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recastcorp-my.sharepoint.com/personal/avery_moon_precastcorp_com/Documents/Documents/Files/PCC Crosstraining LMS/"/>
    </mc:Choice>
  </mc:AlternateContent>
  <xr:revisionPtr revIDLastSave="0" documentId="8_{025E0F10-385B-40CB-BFCB-7632F9B79BEE}" xr6:coauthVersionLast="47" xr6:coauthVersionMax="47" xr10:uidLastSave="{00000000-0000-0000-0000-000000000000}"/>
  <bookViews>
    <workbookView xWindow="-108" yWindow="-108" windowWidth="23256" windowHeight="13896" activeTab="2" xr2:uid="{00000000-000D-0000-FFFF-FFFF00000000}"/>
  </bookViews>
  <sheets>
    <sheet name="How to Use" sheetId="1" r:id="rId1"/>
    <sheet name="HR Quick View" sheetId="2" r:id="rId2"/>
    <sheet name="Skill Management" sheetId="3" r:id="rId3"/>
    <sheet name="Employee Transcript" sheetId="4" r:id="rId4"/>
    <sheet name="Competency Event Log" sheetId="5" r:id="rId5"/>
    <sheet name="Skills Matrix" sheetId="6" r:id="rId6"/>
    <sheet name="Training Plan" sheetId="7" r:id="rId7"/>
    <sheet name="Certifications" sheetId="8" r:id="rId8"/>
    <sheet name="Role Requirements" sheetId="9" state="hidden" r:id="rId9"/>
    <sheet name="Lists" sheetId="10" state="hidden" r:id="rId10"/>
    <sheet name="_Dropdowns" sheetId="11" state="hidden" r:id="rId11"/>
  </sheets>
  <definedNames>
    <definedName name="DepartmentCatalog">_Dropdowns!$A$2:$A$10</definedName>
    <definedName name="DeptPairCatalog">Lists!$V$4:$V$15</definedName>
    <definedName name="EmployeeCatalog">Lists!$B$4:$B$203</definedName>
    <definedName name="HRViewCatalog">Lists!$AN$4:$AN$6</definedName>
    <definedName name="MasterSkillCatalog">Lists!$J$4:$J$108</definedName>
    <definedName name="ShiftCatalog">Lists!$AM$4:$AM$5</definedName>
    <definedName name="SkillCatalog">Lists!$J$4:$J$143</definedName>
    <definedName name="SkillManagementViewCatalog">Lists!$BK$4:$BK$14</definedName>
    <definedName name="Skills_Finishing_FPI">_Dropdowns!$Q$2:$Q$141</definedName>
    <definedName name="Skills_Foundry">_Dropdowns!$G$2:$G$141</definedName>
    <definedName name="Skills_Heat_Treat">_Dropdowns!$O$2:$O$141</definedName>
    <definedName name="Skills_Mid_Finishing">_Dropdowns!$K$2:$K$141</definedName>
    <definedName name="Skills_Pre_Finishing">_Dropdowns!$I$2:$I$141</definedName>
    <definedName name="Skills_Safety_Misc">_Dropdowns!$M$2:$M$141</definedName>
    <definedName name="Skills_Shell">_Dropdowns!$E$2:$E$141</definedName>
    <definedName name="Skills_Wax">_Dropdowns!$C$2:$C$141</definedName>
    <definedName name="Skills_X_Ray">_Dropdowns!$S$2:$S$141</definedName>
    <definedName name="SkillViewCatalog">Lists!$AO$4:$AO$7</definedName>
    <definedName name="TrainingProfileCatalog">_Dropdowns!$U$2:$U$101</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96" i="11" l="1"/>
  <c r="AE395" i="11"/>
  <c r="AE394" i="11"/>
  <c r="AE393" i="11"/>
  <c r="AE392" i="11"/>
  <c r="AE391" i="11"/>
  <c r="AE390" i="11"/>
  <c r="AE389" i="11"/>
  <c r="AE388" i="11"/>
  <c r="AE387" i="11"/>
  <c r="AE386" i="11"/>
  <c r="AE385" i="11"/>
  <c r="AE384" i="11"/>
  <c r="AE383" i="11"/>
  <c r="AE382" i="11"/>
  <c r="AE381" i="11"/>
  <c r="AE380" i="11"/>
  <c r="AE379" i="11"/>
  <c r="AE378" i="11"/>
  <c r="AE377" i="11"/>
  <c r="AE376" i="11"/>
  <c r="AE375" i="11"/>
  <c r="AE374" i="11"/>
  <c r="AE373" i="11"/>
  <c r="AE372" i="11"/>
  <c r="AE371" i="11"/>
  <c r="AE370" i="11"/>
  <c r="AE369" i="11"/>
  <c r="AE368" i="11"/>
  <c r="AE367" i="11"/>
  <c r="AE366" i="11"/>
  <c r="AE365" i="11"/>
  <c r="AE364" i="11"/>
  <c r="AE363" i="11"/>
  <c r="AE362" i="11"/>
  <c r="AE361" i="11"/>
  <c r="AE360" i="11"/>
  <c r="AE359" i="11"/>
  <c r="AE358" i="11"/>
  <c r="AE357" i="11"/>
  <c r="AE356" i="11"/>
  <c r="AE355" i="11"/>
  <c r="AE354" i="11"/>
  <c r="AE353" i="11"/>
  <c r="AE352" i="11"/>
  <c r="AE351" i="11"/>
  <c r="AE350" i="11"/>
  <c r="AE349" i="11"/>
  <c r="AE348" i="11"/>
  <c r="AE347" i="11"/>
  <c r="AE346" i="11"/>
  <c r="AE345" i="11"/>
  <c r="AE344" i="11"/>
  <c r="AE343" i="11"/>
  <c r="AE342" i="11"/>
  <c r="AE341" i="11"/>
  <c r="AE340" i="11"/>
  <c r="AE339" i="11"/>
  <c r="AE338" i="11"/>
  <c r="AE337" i="11"/>
  <c r="AE336" i="11"/>
  <c r="AE335" i="11"/>
  <c r="AE334" i="11"/>
  <c r="AE333" i="11"/>
  <c r="AE332" i="11"/>
  <c r="AE331" i="11"/>
  <c r="AE330" i="11"/>
  <c r="AE329" i="11"/>
  <c r="AE328" i="11"/>
  <c r="AE327" i="11"/>
  <c r="AE326" i="11"/>
  <c r="AE325" i="11"/>
  <c r="AE324" i="11"/>
  <c r="AE323" i="11"/>
  <c r="AE322" i="11"/>
  <c r="AE321" i="11"/>
  <c r="AE320" i="11"/>
  <c r="AE319" i="11"/>
  <c r="AE318" i="11"/>
  <c r="AE317" i="11"/>
  <c r="AE316" i="11"/>
  <c r="AE315" i="11"/>
  <c r="AE314" i="11"/>
  <c r="AE313" i="11"/>
  <c r="AE312" i="11"/>
  <c r="AE311" i="11"/>
  <c r="AE310" i="11"/>
  <c r="AE309" i="11"/>
  <c r="AE308" i="11"/>
  <c r="AE307" i="11"/>
  <c r="AE306" i="11"/>
  <c r="AE305" i="11"/>
  <c r="AE304" i="11"/>
  <c r="AE303" i="11"/>
  <c r="AE302" i="11"/>
  <c r="AE301" i="11"/>
  <c r="AE300" i="11"/>
  <c r="AE299" i="11"/>
  <c r="AE298" i="11"/>
  <c r="AE297" i="11"/>
  <c r="AE296" i="11"/>
  <c r="AE295" i="11"/>
  <c r="AE294" i="11"/>
  <c r="AE293" i="11"/>
  <c r="AE292" i="11"/>
  <c r="AE291" i="11"/>
  <c r="AE290" i="11"/>
  <c r="AE289" i="11"/>
  <c r="AE288" i="11"/>
  <c r="AE287" i="11"/>
  <c r="AE286" i="11"/>
  <c r="AE285" i="11"/>
  <c r="AE284" i="11"/>
  <c r="AE283" i="11"/>
  <c r="AE282" i="11"/>
  <c r="AE281" i="11"/>
  <c r="AE280" i="11"/>
  <c r="AE279" i="11"/>
  <c r="AE278" i="11"/>
  <c r="AE277" i="11"/>
  <c r="AE276" i="11"/>
  <c r="AE275" i="11"/>
  <c r="AE274" i="11"/>
  <c r="AE273" i="11"/>
  <c r="AE272" i="11"/>
  <c r="AE271" i="11"/>
  <c r="AE270" i="11"/>
  <c r="AE269" i="11"/>
  <c r="AE268" i="11"/>
  <c r="AE267" i="11"/>
  <c r="AE266" i="11"/>
  <c r="AE265" i="11"/>
  <c r="AE264" i="11"/>
  <c r="AE263" i="11"/>
  <c r="AE262" i="11"/>
  <c r="AE261" i="11"/>
  <c r="AE260" i="11"/>
  <c r="AE259" i="11"/>
  <c r="AE258" i="11"/>
  <c r="AE257" i="11"/>
  <c r="AE256" i="11"/>
  <c r="AE255" i="11"/>
  <c r="AE254" i="11"/>
  <c r="AE253" i="11"/>
  <c r="AE252" i="11"/>
  <c r="AE251" i="11"/>
  <c r="AE250" i="11"/>
  <c r="AE249" i="11"/>
  <c r="AE248" i="11"/>
  <c r="AE247" i="11"/>
  <c r="AE246" i="11"/>
  <c r="AE245" i="11"/>
  <c r="AE244" i="11"/>
  <c r="AE243" i="11"/>
  <c r="AE242" i="11"/>
  <c r="AE241" i="11"/>
  <c r="AE240" i="11"/>
  <c r="AE239" i="11"/>
  <c r="AE238" i="11"/>
  <c r="AE237" i="11"/>
  <c r="AE236" i="11"/>
  <c r="AE235" i="11"/>
  <c r="AE234" i="11"/>
  <c r="AE233" i="11"/>
  <c r="AE232" i="11"/>
  <c r="AE231" i="11"/>
  <c r="AE230" i="11"/>
  <c r="AE229" i="11"/>
  <c r="AE228" i="11"/>
  <c r="AE227" i="11"/>
  <c r="AE226" i="11"/>
  <c r="AE225" i="11"/>
  <c r="AE224" i="11"/>
  <c r="AE223" i="11"/>
  <c r="AE222" i="11"/>
  <c r="AE221" i="11"/>
  <c r="AE220" i="11"/>
  <c r="AE219" i="11"/>
  <c r="AE218" i="11"/>
  <c r="AE217" i="11"/>
  <c r="AE216" i="11"/>
  <c r="AE215" i="11"/>
  <c r="AE214" i="11"/>
  <c r="AE213" i="11"/>
  <c r="AE212" i="11"/>
  <c r="AE211" i="11"/>
  <c r="AE210" i="11"/>
  <c r="AE209" i="11"/>
  <c r="AE208" i="11"/>
  <c r="AE207" i="11"/>
  <c r="AE206" i="11"/>
  <c r="AE205" i="11"/>
  <c r="AE204" i="11"/>
  <c r="AE203" i="11"/>
  <c r="AE202" i="11"/>
  <c r="AE201" i="11"/>
  <c r="AE200" i="11"/>
  <c r="AE199" i="11"/>
  <c r="AE198" i="11"/>
  <c r="AE197" i="11"/>
  <c r="AE196" i="11"/>
  <c r="AE195" i="11"/>
  <c r="AE194" i="11"/>
  <c r="AE193" i="11"/>
  <c r="AE192" i="11"/>
  <c r="AE191" i="11"/>
  <c r="AE190" i="11"/>
  <c r="AE189" i="11"/>
  <c r="AE188" i="11"/>
  <c r="AE187" i="11"/>
  <c r="AE186" i="11"/>
  <c r="AE185" i="11"/>
  <c r="AE184" i="11"/>
  <c r="AE183" i="11"/>
  <c r="AE182" i="11"/>
  <c r="AE181" i="11"/>
  <c r="AE180" i="11"/>
  <c r="AE179" i="11"/>
  <c r="AE178" i="11"/>
  <c r="AE177" i="11"/>
  <c r="AE176" i="11"/>
  <c r="AE175" i="11"/>
  <c r="AE174" i="11"/>
  <c r="AE173" i="11"/>
  <c r="AE172" i="11"/>
  <c r="AE171" i="11"/>
  <c r="AE170" i="11"/>
  <c r="AE169" i="11"/>
  <c r="AE168" i="11"/>
  <c r="AE167" i="11"/>
  <c r="AE166" i="11"/>
  <c r="AE165" i="11"/>
  <c r="AE164" i="11"/>
  <c r="AE163" i="11"/>
  <c r="AE162" i="11"/>
  <c r="AE161" i="11"/>
  <c r="AE160" i="11"/>
  <c r="AE159" i="11"/>
  <c r="AE158" i="11"/>
  <c r="AE157" i="11"/>
  <c r="AE156" i="11"/>
  <c r="AE155" i="11"/>
  <c r="AE154" i="11"/>
  <c r="AE153" i="11"/>
  <c r="AE152" i="11"/>
  <c r="AE151" i="11"/>
  <c r="AE150" i="11"/>
  <c r="AE149" i="11"/>
  <c r="AE148" i="11"/>
  <c r="AE147" i="11"/>
  <c r="AE146" i="11"/>
  <c r="AE145" i="11"/>
  <c r="AE144" i="11"/>
  <c r="AE143" i="11"/>
  <c r="AE142" i="11"/>
  <c r="AE141" i="11"/>
  <c r="AD141" i="11"/>
  <c r="AC141" i="11"/>
  <c r="AB141" i="11"/>
  <c r="AA141" i="11"/>
  <c r="Z141" i="11"/>
  <c r="Y141" i="11"/>
  <c r="X141" i="11"/>
  <c r="W141" i="11"/>
  <c r="V141" i="11"/>
  <c r="AE140" i="11"/>
  <c r="AD140" i="11"/>
  <c r="AC140" i="11"/>
  <c r="AB140" i="11"/>
  <c r="AA140" i="11"/>
  <c r="Z140" i="11"/>
  <c r="Y140" i="11"/>
  <c r="X140" i="11"/>
  <c r="W140" i="11"/>
  <c r="V140" i="11"/>
  <c r="AE139" i="11"/>
  <c r="AD139" i="11"/>
  <c r="AC139" i="11"/>
  <c r="AB139" i="11"/>
  <c r="AA139" i="11"/>
  <c r="Z139" i="11"/>
  <c r="Y139" i="11"/>
  <c r="X139" i="11"/>
  <c r="W139" i="11"/>
  <c r="V139" i="11"/>
  <c r="AE138" i="11"/>
  <c r="AD138" i="11"/>
  <c r="AC138" i="11"/>
  <c r="AB138" i="11"/>
  <c r="AA138" i="11"/>
  <c r="Z138" i="11"/>
  <c r="Y138" i="11"/>
  <c r="X138" i="11"/>
  <c r="W138" i="11"/>
  <c r="V138" i="11"/>
  <c r="AE137" i="11"/>
  <c r="AD137" i="11"/>
  <c r="AC137" i="11"/>
  <c r="AB137" i="11"/>
  <c r="AA137" i="11"/>
  <c r="Z137" i="11"/>
  <c r="Y137" i="11"/>
  <c r="X137" i="11"/>
  <c r="W137" i="11"/>
  <c r="V137" i="11"/>
  <c r="AE136" i="11"/>
  <c r="AD136" i="11"/>
  <c r="AC136" i="11"/>
  <c r="AB136" i="11"/>
  <c r="AA136" i="11"/>
  <c r="Z136" i="11"/>
  <c r="Y136" i="11"/>
  <c r="X136" i="11"/>
  <c r="W136" i="11"/>
  <c r="V136" i="11"/>
  <c r="AE135" i="11"/>
  <c r="AD135" i="11"/>
  <c r="AC135" i="11"/>
  <c r="AB135" i="11"/>
  <c r="AA135" i="11"/>
  <c r="Z135" i="11"/>
  <c r="Y135" i="11"/>
  <c r="X135" i="11"/>
  <c r="W135" i="11"/>
  <c r="V135" i="11"/>
  <c r="AE134" i="11"/>
  <c r="AD134" i="11"/>
  <c r="AC134" i="11"/>
  <c r="AB134" i="11"/>
  <c r="AA134" i="11"/>
  <c r="Z134" i="11"/>
  <c r="Y134" i="11"/>
  <c r="X134" i="11"/>
  <c r="W134" i="11"/>
  <c r="V134" i="11"/>
  <c r="AE133" i="11"/>
  <c r="AD133" i="11"/>
  <c r="AC133" i="11"/>
  <c r="AB133" i="11"/>
  <c r="AA133" i="11"/>
  <c r="Z133" i="11"/>
  <c r="Y133" i="11"/>
  <c r="X133" i="11"/>
  <c r="W133" i="11"/>
  <c r="V133" i="11"/>
  <c r="AE132" i="11"/>
  <c r="AD132" i="11"/>
  <c r="AC132" i="11"/>
  <c r="AB132" i="11"/>
  <c r="AA132" i="11"/>
  <c r="Z132" i="11"/>
  <c r="Y132" i="11"/>
  <c r="X132" i="11"/>
  <c r="W132" i="11"/>
  <c r="V132" i="11"/>
  <c r="AE131" i="11"/>
  <c r="AD131" i="11"/>
  <c r="AC131" i="11"/>
  <c r="AB131" i="11"/>
  <c r="AA131" i="11"/>
  <c r="Z131" i="11"/>
  <c r="Y131" i="11"/>
  <c r="X131" i="11"/>
  <c r="W131" i="11"/>
  <c r="V131" i="11"/>
  <c r="AE130" i="11"/>
  <c r="AD130" i="11"/>
  <c r="AC130" i="11"/>
  <c r="AB130" i="11"/>
  <c r="AA130" i="11"/>
  <c r="Z130" i="11"/>
  <c r="Y130" i="11"/>
  <c r="X130" i="11"/>
  <c r="W130" i="11"/>
  <c r="V130" i="11"/>
  <c r="AE129" i="11"/>
  <c r="AD129" i="11"/>
  <c r="AC129" i="11"/>
  <c r="AB129" i="11"/>
  <c r="AA129" i="11"/>
  <c r="Z129" i="11"/>
  <c r="Y129" i="11"/>
  <c r="X129" i="11"/>
  <c r="W129" i="11"/>
  <c r="V129" i="11"/>
  <c r="AE128" i="11"/>
  <c r="AD128" i="11"/>
  <c r="AC128" i="11"/>
  <c r="AB128" i="11"/>
  <c r="AA128" i="11"/>
  <c r="Z128" i="11"/>
  <c r="Y128" i="11"/>
  <c r="X128" i="11"/>
  <c r="W128" i="11"/>
  <c r="V128" i="11"/>
  <c r="AE127" i="11"/>
  <c r="AD127" i="11"/>
  <c r="AC127" i="11"/>
  <c r="AB127" i="11"/>
  <c r="AA127" i="11"/>
  <c r="Z127" i="11"/>
  <c r="Y127" i="11"/>
  <c r="X127" i="11"/>
  <c r="W127" i="11"/>
  <c r="V127" i="11"/>
  <c r="AE126" i="11"/>
  <c r="AD126" i="11"/>
  <c r="AC126" i="11"/>
  <c r="AB126" i="11"/>
  <c r="AA126" i="11"/>
  <c r="Z126" i="11"/>
  <c r="Y126" i="11"/>
  <c r="X126" i="11"/>
  <c r="W126" i="11"/>
  <c r="V126" i="11"/>
  <c r="AE125" i="11"/>
  <c r="AD125" i="11"/>
  <c r="AC125" i="11"/>
  <c r="AB125" i="11"/>
  <c r="AA125" i="11"/>
  <c r="Z125" i="11"/>
  <c r="Y125" i="11"/>
  <c r="X125" i="11"/>
  <c r="W125" i="11"/>
  <c r="V125" i="11"/>
  <c r="AE124" i="11"/>
  <c r="AD124" i="11"/>
  <c r="AC124" i="11"/>
  <c r="AB124" i="11"/>
  <c r="AA124" i="11"/>
  <c r="Z124" i="11"/>
  <c r="Y124" i="11"/>
  <c r="X124" i="11"/>
  <c r="W124" i="11"/>
  <c r="V124" i="11"/>
  <c r="AE123" i="11"/>
  <c r="AD123" i="11"/>
  <c r="AC123" i="11"/>
  <c r="AB123" i="11"/>
  <c r="AA123" i="11"/>
  <c r="Z123" i="11"/>
  <c r="Y123" i="11"/>
  <c r="X123" i="11"/>
  <c r="W123" i="11"/>
  <c r="V123" i="11"/>
  <c r="AE122" i="11"/>
  <c r="AD122" i="11"/>
  <c r="AC122" i="11"/>
  <c r="AB122" i="11"/>
  <c r="AA122" i="11"/>
  <c r="Z122" i="11"/>
  <c r="Y122" i="11"/>
  <c r="X122" i="11"/>
  <c r="W122" i="11"/>
  <c r="V122" i="11"/>
  <c r="AE121" i="11"/>
  <c r="AD121" i="11"/>
  <c r="AC121" i="11"/>
  <c r="AB121" i="11"/>
  <c r="AA121" i="11"/>
  <c r="Z121" i="11"/>
  <c r="Y121" i="11"/>
  <c r="X121" i="11"/>
  <c r="W121" i="11"/>
  <c r="V121" i="11"/>
  <c r="AE120" i="11"/>
  <c r="AD120" i="11"/>
  <c r="AC120" i="11"/>
  <c r="AB120" i="11"/>
  <c r="AA120" i="11"/>
  <c r="Z120" i="11"/>
  <c r="Y120" i="11"/>
  <c r="X120" i="11"/>
  <c r="W120" i="11"/>
  <c r="V120" i="11"/>
  <c r="AE119" i="11"/>
  <c r="AD119" i="11"/>
  <c r="AC119" i="11"/>
  <c r="AB119" i="11"/>
  <c r="AA119" i="11"/>
  <c r="Z119" i="11"/>
  <c r="Y119" i="11"/>
  <c r="X119" i="11"/>
  <c r="W119" i="11"/>
  <c r="V119" i="11"/>
  <c r="AE118" i="11"/>
  <c r="AD118" i="11"/>
  <c r="AC118" i="11"/>
  <c r="AB118" i="11"/>
  <c r="AA118" i="11"/>
  <c r="Z118" i="11"/>
  <c r="Y118" i="11"/>
  <c r="X118" i="11"/>
  <c r="W118" i="11"/>
  <c r="V118" i="11"/>
  <c r="AE117" i="11"/>
  <c r="AD117" i="11"/>
  <c r="AC117" i="11"/>
  <c r="AB117" i="11"/>
  <c r="AA117" i="11"/>
  <c r="Z117" i="11"/>
  <c r="Y117" i="11"/>
  <c r="X117" i="11"/>
  <c r="W117" i="11"/>
  <c r="V117" i="11"/>
  <c r="AE116" i="11"/>
  <c r="AD116" i="11"/>
  <c r="AC116" i="11"/>
  <c r="AB116" i="11"/>
  <c r="AA116" i="11"/>
  <c r="Z116" i="11"/>
  <c r="Y116" i="11"/>
  <c r="X116" i="11"/>
  <c r="W116" i="11"/>
  <c r="V116" i="11"/>
  <c r="AE115" i="11"/>
  <c r="AD115" i="11"/>
  <c r="AC115" i="11"/>
  <c r="AB115" i="11"/>
  <c r="AA115" i="11"/>
  <c r="Z115" i="11"/>
  <c r="Y115" i="11"/>
  <c r="X115" i="11"/>
  <c r="W115" i="11"/>
  <c r="V115" i="11"/>
  <c r="AE114" i="11"/>
  <c r="AD114" i="11"/>
  <c r="AC114" i="11"/>
  <c r="AB114" i="11"/>
  <c r="AA114" i="11"/>
  <c r="Z114" i="11"/>
  <c r="Y114" i="11"/>
  <c r="X114" i="11"/>
  <c r="W114" i="11"/>
  <c r="V114" i="11"/>
  <c r="AE113" i="11"/>
  <c r="AD113" i="11"/>
  <c r="AC113" i="11"/>
  <c r="AB113" i="11"/>
  <c r="AA113" i="11"/>
  <c r="Z113" i="11"/>
  <c r="Y113" i="11"/>
  <c r="X113" i="11"/>
  <c r="W113" i="11"/>
  <c r="V113" i="11"/>
  <c r="AE112" i="11"/>
  <c r="AD112" i="11"/>
  <c r="AC112" i="11"/>
  <c r="AB112" i="11"/>
  <c r="AA112" i="11"/>
  <c r="Z112" i="11"/>
  <c r="Y112" i="11"/>
  <c r="X112" i="11"/>
  <c r="W112" i="11"/>
  <c r="V112" i="11"/>
  <c r="AE111" i="11"/>
  <c r="AD111" i="11"/>
  <c r="AC111" i="11"/>
  <c r="AB111" i="11"/>
  <c r="AA111" i="11"/>
  <c r="Z111" i="11"/>
  <c r="Y111" i="11"/>
  <c r="X111" i="11"/>
  <c r="W111" i="11"/>
  <c r="V111" i="11"/>
  <c r="AE110" i="11"/>
  <c r="AD110" i="11"/>
  <c r="AC110" i="11"/>
  <c r="AB110" i="11"/>
  <c r="AA110" i="11"/>
  <c r="Z110" i="11"/>
  <c r="Y110" i="11"/>
  <c r="X110" i="11"/>
  <c r="W110" i="11"/>
  <c r="V110" i="11"/>
  <c r="AE109" i="11"/>
  <c r="AD109" i="11"/>
  <c r="AC109" i="11"/>
  <c r="AB109" i="11"/>
  <c r="AA109" i="11"/>
  <c r="Z109" i="11"/>
  <c r="Y109" i="11"/>
  <c r="X109" i="11"/>
  <c r="W109" i="11"/>
  <c r="V109" i="11"/>
  <c r="AE108" i="11"/>
  <c r="AD108" i="11"/>
  <c r="AC108" i="11"/>
  <c r="AB108" i="11"/>
  <c r="AA108" i="11"/>
  <c r="Z108" i="11"/>
  <c r="Y108" i="11"/>
  <c r="X108" i="11"/>
  <c r="W108" i="11"/>
  <c r="V108" i="11"/>
  <c r="AE107" i="11"/>
  <c r="AD107" i="11"/>
  <c r="AC107" i="11"/>
  <c r="AB107" i="11"/>
  <c r="AA107" i="11"/>
  <c r="Z107" i="11"/>
  <c r="Y107" i="11"/>
  <c r="X107" i="11"/>
  <c r="W107" i="11"/>
  <c r="V107" i="11"/>
  <c r="AE106" i="11"/>
  <c r="AD106" i="11"/>
  <c r="AC106" i="11"/>
  <c r="AB106" i="11"/>
  <c r="AA106" i="11"/>
  <c r="Z106" i="11"/>
  <c r="Y106" i="11"/>
  <c r="X106" i="11"/>
  <c r="W106" i="11"/>
  <c r="V106" i="11"/>
  <c r="AE105" i="11"/>
  <c r="AD105" i="11"/>
  <c r="AC105" i="11"/>
  <c r="AB105" i="11"/>
  <c r="AA105" i="11"/>
  <c r="Z105" i="11"/>
  <c r="Y105" i="11"/>
  <c r="X105" i="11"/>
  <c r="W105" i="11"/>
  <c r="V105" i="11"/>
  <c r="AE104" i="11"/>
  <c r="AD104" i="11"/>
  <c r="AC104" i="11"/>
  <c r="AB104" i="11"/>
  <c r="AA104" i="11"/>
  <c r="Z104" i="11"/>
  <c r="Y104" i="11"/>
  <c r="X104" i="11"/>
  <c r="W104" i="11"/>
  <c r="V104" i="11"/>
  <c r="AE103" i="11"/>
  <c r="AD103" i="11"/>
  <c r="AC103" i="11"/>
  <c r="AB103" i="11"/>
  <c r="AA103" i="11"/>
  <c r="Z103" i="11"/>
  <c r="Y103" i="11"/>
  <c r="X103" i="11"/>
  <c r="W103" i="11"/>
  <c r="V103" i="11"/>
  <c r="AE102" i="11"/>
  <c r="AD102" i="11"/>
  <c r="AC102" i="11"/>
  <c r="AB102" i="11"/>
  <c r="AA102" i="11"/>
  <c r="Z102" i="11"/>
  <c r="Y102" i="11"/>
  <c r="X102" i="11"/>
  <c r="W102" i="11"/>
  <c r="V102" i="11"/>
  <c r="AE101" i="11"/>
  <c r="AD101" i="11"/>
  <c r="AC101" i="11"/>
  <c r="AB101" i="11"/>
  <c r="AA101" i="11"/>
  <c r="Z101" i="11"/>
  <c r="Y101" i="11"/>
  <c r="X101" i="11"/>
  <c r="W101" i="11"/>
  <c r="V101" i="11"/>
  <c r="AE100" i="11"/>
  <c r="AD100" i="11"/>
  <c r="AC100" i="11"/>
  <c r="AB100" i="11"/>
  <c r="AA100" i="11"/>
  <c r="Z100" i="11"/>
  <c r="Y100" i="11"/>
  <c r="X100" i="11"/>
  <c r="W100" i="11"/>
  <c r="V100" i="11"/>
  <c r="AE99" i="11"/>
  <c r="AD99" i="11"/>
  <c r="AC99" i="11"/>
  <c r="AB99" i="11"/>
  <c r="AA99" i="11"/>
  <c r="Z99" i="11"/>
  <c r="Y99" i="11"/>
  <c r="X99" i="11"/>
  <c r="W99" i="11"/>
  <c r="V99" i="11"/>
  <c r="AE98" i="11"/>
  <c r="AD98" i="11"/>
  <c r="AC98" i="11"/>
  <c r="AB98" i="11"/>
  <c r="AA98" i="11"/>
  <c r="Z98" i="11"/>
  <c r="Y98" i="11"/>
  <c r="X98" i="11"/>
  <c r="W98" i="11"/>
  <c r="V98" i="11"/>
  <c r="AE97" i="11"/>
  <c r="AD97" i="11"/>
  <c r="AC97" i="11"/>
  <c r="AB97" i="11"/>
  <c r="AA97" i="11"/>
  <c r="Z97" i="11"/>
  <c r="Y97" i="11"/>
  <c r="X97" i="11"/>
  <c r="W97" i="11"/>
  <c r="V97" i="11"/>
  <c r="AE96" i="11"/>
  <c r="AD96" i="11"/>
  <c r="AC96" i="11"/>
  <c r="AB96" i="11"/>
  <c r="AA96" i="11"/>
  <c r="Z96" i="11"/>
  <c r="Y96" i="11"/>
  <c r="X96" i="11"/>
  <c r="W96" i="11"/>
  <c r="V96" i="11"/>
  <c r="AE95" i="11"/>
  <c r="AD95" i="11"/>
  <c r="AC95" i="11"/>
  <c r="AB95" i="11"/>
  <c r="AA95" i="11"/>
  <c r="Z95" i="11"/>
  <c r="Y95" i="11"/>
  <c r="X95" i="11"/>
  <c r="W95" i="11"/>
  <c r="V95" i="11"/>
  <c r="AE94" i="11"/>
  <c r="AD94" i="11"/>
  <c r="AC94" i="11"/>
  <c r="AB94" i="11"/>
  <c r="AA94" i="11"/>
  <c r="Z94" i="11"/>
  <c r="Y94" i="11"/>
  <c r="X94" i="11"/>
  <c r="W94" i="11"/>
  <c r="V94" i="11"/>
  <c r="AE93" i="11"/>
  <c r="AD93" i="11"/>
  <c r="AC93" i="11"/>
  <c r="AB93" i="11"/>
  <c r="AA93" i="11"/>
  <c r="Z93" i="11"/>
  <c r="Y93" i="11"/>
  <c r="X93" i="11"/>
  <c r="W93" i="11"/>
  <c r="V93" i="11"/>
  <c r="AE92" i="11"/>
  <c r="AD92" i="11"/>
  <c r="AC92" i="11"/>
  <c r="AB92" i="11"/>
  <c r="AA92" i="11"/>
  <c r="Z92" i="11"/>
  <c r="Y92" i="11"/>
  <c r="X92" i="11"/>
  <c r="W92" i="11"/>
  <c r="V92" i="11"/>
  <c r="AE91" i="11"/>
  <c r="AD91" i="11"/>
  <c r="AC91" i="11"/>
  <c r="AB91" i="11"/>
  <c r="AA91" i="11"/>
  <c r="Z91" i="11"/>
  <c r="Y91" i="11"/>
  <c r="X91" i="11"/>
  <c r="W91" i="11"/>
  <c r="V91" i="11"/>
  <c r="AE90" i="11"/>
  <c r="AD90" i="11"/>
  <c r="AC90" i="11"/>
  <c r="AB90" i="11"/>
  <c r="AA90" i="11"/>
  <c r="Z90" i="11"/>
  <c r="Y90" i="11"/>
  <c r="X90" i="11"/>
  <c r="W90" i="11"/>
  <c r="V90" i="11"/>
  <c r="AE89" i="11"/>
  <c r="AD89" i="11"/>
  <c r="AC89" i="11"/>
  <c r="AB89" i="11"/>
  <c r="AA89" i="11"/>
  <c r="Z89" i="11"/>
  <c r="Y89" i="11"/>
  <c r="X89" i="11"/>
  <c r="W89" i="11"/>
  <c r="V89" i="11"/>
  <c r="AE88" i="11"/>
  <c r="AD88" i="11"/>
  <c r="AC88" i="11"/>
  <c r="AB88" i="11"/>
  <c r="AA88" i="11"/>
  <c r="Z88" i="11"/>
  <c r="Y88" i="11"/>
  <c r="X88" i="11"/>
  <c r="W88" i="11"/>
  <c r="V88" i="11"/>
  <c r="AE87" i="11"/>
  <c r="AD87" i="11"/>
  <c r="AC87" i="11"/>
  <c r="AB87" i="11"/>
  <c r="AA87" i="11"/>
  <c r="Z87" i="11"/>
  <c r="Y87" i="11"/>
  <c r="X87" i="11"/>
  <c r="W87" i="11"/>
  <c r="V87" i="11"/>
  <c r="AE86" i="11"/>
  <c r="AD86" i="11"/>
  <c r="AC86" i="11"/>
  <c r="AB86" i="11"/>
  <c r="AA86" i="11"/>
  <c r="Z86" i="11"/>
  <c r="Y86" i="11"/>
  <c r="X86" i="11"/>
  <c r="W86" i="11"/>
  <c r="V86" i="11"/>
  <c r="AE85" i="11"/>
  <c r="AD85" i="11"/>
  <c r="AC85" i="11"/>
  <c r="AB85" i="11"/>
  <c r="AA85" i="11"/>
  <c r="Z85" i="11"/>
  <c r="Y85" i="11"/>
  <c r="X85" i="11"/>
  <c r="W85" i="11"/>
  <c r="V85" i="11"/>
  <c r="AE84" i="11"/>
  <c r="AD84" i="11"/>
  <c r="AC84" i="11"/>
  <c r="AB84" i="11"/>
  <c r="AA84" i="11"/>
  <c r="Z84" i="11"/>
  <c r="Y84" i="11"/>
  <c r="X84" i="11"/>
  <c r="W84" i="11"/>
  <c r="V84" i="11"/>
  <c r="AE83" i="11"/>
  <c r="AD83" i="11"/>
  <c r="AC83" i="11"/>
  <c r="AB83" i="11"/>
  <c r="AA83" i="11"/>
  <c r="Z83" i="11"/>
  <c r="Y83" i="11"/>
  <c r="X83" i="11"/>
  <c r="W83" i="11"/>
  <c r="V83" i="11"/>
  <c r="AE82" i="11"/>
  <c r="AD82" i="11"/>
  <c r="AC82" i="11"/>
  <c r="AB82" i="11"/>
  <c r="AA82" i="11"/>
  <c r="Z82" i="11"/>
  <c r="Y82" i="11"/>
  <c r="X82" i="11"/>
  <c r="W82" i="11"/>
  <c r="V82" i="11"/>
  <c r="AE81" i="11"/>
  <c r="AD81" i="11"/>
  <c r="AC81" i="11"/>
  <c r="AB81" i="11"/>
  <c r="AA81" i="11"/>
  <c r="Z81" i="11"/>
  <c r="Y81" i="11"/>
  <c r="X81" i="11"/>
  <c r="W81" i="11"/>
  <c r="V81" i="11"/>
  <c r="AE80" i="11"/>
  <c r="AD80" i="11"/>
  <c r="AC80" i="11"/>
  <c r="AB80" i="11"/>
  <c r="AA80" i="11"/>
  <c r="Z80" i="11"/>
  <c r="Y80" i="11"/>
  <c r="X80" i="11"/>
  <c r="W80" i="11"/>
  <c r="V80" i="11"/>
  <c r="AE79" i="11"/>
  <c r="AD79" i="11"/>
  <c r="AC79" i="11"/>
  <c r="AB79" i="11"/>
  <c r="AA79" i="11"/>
  <c r="Z79" i="11"/>
  <c r="Y79" i="11"/>
  <c r="X79" i="11"/>
  <c r="W79" i="11"/>
  <c r="V79" i="11"/>
  <c r="AE78" i="11"/>
  <c r="AD78" i="11"/>
  <c r="AC78" i="11"/>
  <c r="AB78" i="11"/>
  <c r="AA78" i="11"/>
  <c r="Z78" i="11"/>
  <c r="Y78" i="11"/>
  <c r="X78" i="11"/>
  <c r="W78" i="11"/>
  <c r="V78" i="11"/>
  <c r="AE77" i="11"/>
  <c r="AD77" i="11"/>
  <c r="AC77" i="11"/>
  <c r="AB77" i="11"/>
  <c r="AA77" i="11"/>
  <c r="Z77" i="11"/>
  <c r="Y77" i="11"/>
  <c r="X77" i="11"/>
  <c r="W77" i="11"/>
  <c r="V77" i="11"/>
  <c r="AE76" i="11"/>
  <c r="AD76" i="11"/>
  <c r="AC76" i="11"/>
  <c r="AB76" i="11"/>
  <c r="AA76" i="11"/>
  <c r="Z76" i="11"/>
  <c r="Y76" i="11"/>
  <c r="X76" i="11"/>
  <c r="W76" i="11"/>
  <c r="V76" i="11"/>
  <c r="AE75" i="11"/>
  <c r="AD75" i="11"/>
  <c r="AC75" i="11"/>
  <c r="AB75" i="11"/>
  <c r="AA75" i="11"/>
  <c r="Z75" i="11"/>
  <c r="Y75" i="11"/>
  <c r="X75" i="11"/>
  <c r="W75" i="11"/>
  <c r="V75" i="11"/>
  <c r="AE74" i="11"/>
  <c r="AD74" i="11"/>
  <c r="AC74" i="11"/>
  <c r="AB74" i="11"/>
  <c r="AA74" i="11"/>
  <c r="Z74" i="11"/>
  <c r="Y74" i="11"/>
  <c r="X74" i="11"/>
  <c r="W74" i="11"/>
  <c r="V74" i="11"/>
  <c r="AE73" i="11"/>
  <c r="AD73" i="11"/>
  <c r="AC73" i="11"/>
  <c r="AB73" i="11"/>
  <c r="AA73" i="11"/>
  <c r="Z73" i="11"/>
  <c r="Y73" i="11"/>
  <c r="X73" i="11"/>
  <c r="W73" i="11"/>
  <c r="V73" i="11"/>
  <c r="AE72" i="11"/>
  <c r="AD72" i="11"/>
  <c r="AC72" i="11"/>
  <c r="AB72" i="11"/>
  <c r="AA72" i="11"/>
  <c r="Z72" i="11"/>
  <c r="Y72" i="11"/>
  <c r="X72" i="11"/>
  <c r="W72" i="11"/>
  <c r="V72" i="11"/>
  <c r="AE71" i="11"/>
  <c r="AD71" i="11"/>
  <c r="AC71" i="11"/>
  <c r="AB71" i="11"/>
  <c r="AA71" i="11"/>
  <c r="Z71" i="11"/>
  <c r="Y71" i="11"/>
  <c r="X71" i="11"/>
  <c r="W71" i="11"/>
  <c r="V71" i="11"/>
  <c r="AE70" i="11"/>
  <c r="AD70" i="11"/>
  <c r="AC70" i="11"/>
  <c r="AB70" i="11"/>
  <c r="AA70" i="11"/>
  <c r="Z70" i="11"/>
  <c r="Y70" i="11"/>
  <c r="X70" i="11"/>
  <c r="W70" i="11"/>
  <c r="V70" i="11"/>
  <c r="AE69" i="11"/>
  <c r="AD69" i="11"/>
  <c r="AC69" i="11"/>
  <c r="AB69" i="11"/>
  <c r="AA69" i="11"/>
  <c r="Z69" i="11"/>
  <c r="Y69" i="11"/>
  <c r="X69" i="11"/>
  <c r="W69" i="11"/>
  <c r="V69" i="11"/>
  <c r="AE68" i="11"/>
  <c r="AD68" i="11"/>
  <c r="AC68" i="11"/>
  <c r="AB68" i="11"/>
  <c r="AA68" i="11"/>
  <c r="Z68" i="11"/>
  <c r="Y68" i="11"/>
  <c r="X68" i="11"/>
  <c r="W68" i="11"/>
  <c r="V68" i="11"/>
  <c r="AE67" i="11"/>
  <c r="AD67" i="11"/>
  <c r="AC67" i="11"/>
  <c r="AB67" i="11"/>
  <c r="AA67" i="11"/>
  <c r="Z67" i="11"/>
  <c r="Y67" i="11"/>
  <c r="X67" i="11"/>
  <c r="W67" i="11"/>
  <c r="V67" i="11"/>
  <c r="AE66" i="11"/>
  <c r="AD66" i="11"/>
  <c r="AC66" i="11"/>
  <c r="AB66" i="11"/>
  <c r="AA66" i="11"/>
  <c r="Z66" i="11"/>
  <c r="Y66" i="11"/>
  <c r="X66" i="11"/>
  <c r="W66" i="11"/>
  <c r="V66" i="11"/>
  <c r="AE65" i="11"/>
  <c r="AD65" i="11"/>
  <c r="AC65" i="11"/>
  <c r="AB65" i="11"/>
  <c r="AA65" i="11"/>
  <c r="Z65" i="11"/>
  <c r="Y65" i="11"/>
  <c r="X65" i="11"/>
  <c r="W65" i="11"/>
  <c r="V65" i="11"/>
  <c r="AE64" i="11"/>
  <c r="AD64" i="11"/>
  <c r="AC64" i="11"/>
  <c r="AB64" i="11"/>
  <c r="AA64" i="11"/>
  <c r="Z64" i="11"/>
  <c r="Y64" i="11"/>
  <c r="X64" i="11"/>
  <c r="W64" i="11"/>
  <c r="V64" i="11"/>
  <c r="AE63" i="11"/>
  <c r="AD63" i="11"/>
  <c r="AC63" i="11"/>
  <c r="AB63" i="11"/>
  <c r="AA63" i="11"/>
  <c r="Z63" i="11"/>
  <c r="Y63" i="11"/>
  <c r="X63" i="11"/>
  <c r="W63" i="11"/>
  <c r="V63" i="11"/>
  <c r="AE62" i="11"/>
  <c r="AD62" i="11"/>
  <c r="AC62" i="11"/>
  <c r="AB62" i="11"/>
  <c r="AA62" i="11"/>
  <c r="Z62" i="11"/>
  <c r="Y62" i="11"/>
  <c r="X62" i="11"/>
  <c r="W62" i="11"/>
  <c r="V62" i="11"/>
  <c r="AE61" i="11"/>
  <c r="AD61" i="11"/>
  <c r="AC61" i="11"/>
  <c r="AB61" i="11"/>
  <c r="AA61" i="11"/>
  <c r="Z61" i="11"/>
  <c r="Y61" i="11"/>
  <c r="X61" i="11"/>
  <c r="W61" i="11"/>
  <c r="V61" i="11"/>
  <c r="AE60" i="11"/>
  <c r="AD60" i="11"/>
  <c r="AC60" i="11"/>
  <c r="AB60" i="11"/>
  <c r="AA60" i="11"/>
  <c r="Z60" i="11"/>
  <c r="Y60" i="11"/>
  <c r="X60" i="11"/>
  <c r="W60" i="11"/>
  <c r="V60" i="11"/>
  <c r="AE59" i="11"/>
  <c r="AD59" i="11"/>
  <c r="AC59" i="11"/>
  <c r="AB59" i="11"/>
  <c r="AA59" i="11"/>
  <c r="Z59" i="11"/>
  <c r="Y59" i="11"/>
  <c r="X59" i="11"/>
  <c r="W59" i="11"/>
  <c r="V59" i="11"/>
  <c r="AD58" i="11"/>
  <c r="AC58" i="11"/>
  <c r="AB58" i="11"/>
  <c r="AA58" i="11"/>
  <c r="Z58" i="11"/>
  <c r="Y58" i="11"/>
  <c r="X58" i="11"/>
  <c r="W58" i="11"/>
  <c r="V58" i="11"/>
  <c r="AD57" i="11"/>
  <c r="AC57" i="11"/>
  <c r="AB57" i="11"/>
  <c r="AA57" i="11"/>
  <c r="Z57" i="11"/>
  <c r="Y57" i="11"/>
  <c r="X57" i="11"/>
  <c r="W57" i="11"/>
  <c r="V57" i="11"/>
  <c r="AE56" i="11"/>
  <c r="AD56" i="11"/>
  <c r="AC56" i="11"/>
  <c r="AB56" i="11"/>
  <c r="AA56" i="11"/>
  <c r="Z56" i="11"/>
  <c r="Y56" i="11"/>
  <c r="X56" i="11"/>
  <c r="W56" i="11"/>
  <c r="V56" i="11"/>
  <c r="AD55" i="11"/>
  <c r="AC55" i="11"/>
  <c r="AB55" i="11"/>
  <c r="AA55" i="11"/>
  <c r="Z55" i="11"/>
  <c r="Y55" i="11"/>
  <c r="X55" i="11"/>
  <c r="W55" i="11"/>
  <c r="V55" i="11"/>
  <c r="AD54" i="11"/>
  <c r="AC54" i="11"/>
  <c r="AB54" i="11"/>
  <c r="AA54" i="11"/>
  <c r="Z54" i="11"/>
  <c r="Y54" i="11"/>
  <c r="X54" i="11"/>
  <c r="W54" i="11"/>
  <c r="V54" i="11"/>
  <c r="AD53" i="11"/>
  <c r="AC53" i="11"/>
  <c r="AB53" i="11"/>
  <c r="AA53" i="11"/>
  <c r="Z53" i="11"/>
  <c r="Y53" i="11"/>
  <c r="X53" i="11"/>
  <c r="W53" i="11"/>
  <c r="V53" i="11"/>
  <c r="AD52" i="11"/>
  <c r="AC52" i="11"/>
  <c r="AB52" i="11"/>
  <c r="AA52" i="11"/>
  <c r="Z52" i="11"/>
  <c r="Y52" i="11"/>
  <c r="X52" i="11"/>
  <c r="W52" i="11"/>
  <c r="V52" i="11"/>
  <c r="AD51" i="11"/>
  <c r="AC51" i="11"/>
  <c r="AB51" i="11"/>
  <c r="AA51" i="11"/>
  <c r="Z51" i="11"/>
  <c r="Y51" i="11"/>
  <c r="X51" i="11"/>
  <c r="W51" i="11"/>
  <c r="V51" i="11"/>
  <c r="AD50" i="11"/>
  <c r="AC50" i="11"/>
  <c r="AB50" i="11"/>
  <c r="AA50" i="11"/>
  <c r="Z50" i="11"/>
  <c r="Y50" i="11"/>
  <c r="X50" i="11"/>
  <c r="W50" i="11"/>
  <c r="V50" i="11"/>
  <c r="AD49" i="11"/>
  <c r="AC49" i="11"/>
  <c r="AB49" i="11"/>
  <c r="AA49" i="11"/>
  <c r="Z49" i="11"/>
  <c r="Y49" i="11"/>
  <c r="X49" i="11"/>
  <c r="W49" i="11"/>
  <c r="V49" i="11"/>
  <c r="AD48" i="11"/>
  <c r="AC48" i="11"/>
  <c r="AB48" i="11"/>
  <c r="AA48" i="11"/>
  <c r="Z48" i="11"/>
  <c r="Y48" i="11"/>
  <c r="X48" i="11"/>
  <c r="W48" i="11"/>
  <c r="V48" i="11"/>
  <c r="AD47" i="11"/>
  <c r="AC47" i="11"/>
  <c r="AB47" i="11"/>
  <c r="AA47" i="11"/>
  <c r="Z47" i="11"/>
  <c r="Y47" i="11"/>
  <c r="X47" i="11"/>
  <c r="W47" i="11"/>
  <c r="V47" i="11"/>
  <c r="AE46" i="11"/>
  <c r="AD46" i="11"/>
  <c r="AC46" i="11"/>
  <c r="AB46" i="11"/>
  <c r="AA46" i="11"/>
  <c r="Z46" i="11"/>
  <c r="Y46" i="11"/>
  <c r="X46" i="11"/>
  <c r="W46" i="11"/>
  <c r="V46" i="11"/>
  <c r="AE45" i="11"/>
  <c r="AD45" i="11"/>
  <c r="AC45" i="11"/>
  <c r="AB45" i="11"/>
  <c r="AA45" i="11"/>
  <c r="Z45" i="11"/>
  <c r="Y45" i="11"/>
  <c r="X45" i="11"/>
  <c r="W45" i="11"/>
  <c r="V45" i="11"/>
  <c r="AE44" i="11"/>
  <c r="AD44" i="11"/>
  <c r="AC44" i="11"/>
  <c r="AB44" i="11"/>
  <c r="AA44" i="11"/>
  <c r="Z44" i="11"/>
  <c r="Y44" i="11"/>
  <c r="X44" i="11"/>
  <c r="W44" i="11"/>
  <c r="V44" i="11"/>
  <c r="AE43" i="11"/>
  <c r="AD43" i="11"/>
  <c r="AC43" i="11"/>
  <c r="AB43" i="11"/>
  <c r="AA43" i="11"/>
  <c r="Z43" i="11"/>
  <c r="Y43" i="11"/>
  <c r="X43" i="11"/>
  <c r="W43" i="11"/>
  <c r="V43" i="11"/>
  <c r="AE42" i="11"/>
  <c r="AD42" i="11"/>
  <c r="AC42" i="11"/>
  <c r="AB42" i="11"/>
  <c r="AA42" i="11"/>
  <c r="Z42" i="11"/>
  <c r="Y42" i="11"/>
  <c r="X42" i="11"/>
  <c r="W42" i="11"/>
  <c r="V42" i="11"/>
  <c r="AE41" i="11"/>
  <c r="AD41" i="11"/>
  <c r="AC41" i="11"/>
  <c r="AB41" i="11"/>
  <c r="AA41" i="11"/>
  <c r="Z41" i="11"/>
  <c r="Y41" i="11"/>
  <c r="X41" i="11"/>
  <c r="W41" i="11"/>
  <c r="V41" i="11"/>
  <c r="AE40" i="11"/>
  <c r="AD40" i="11"/>
  <c r="AC40" i="11"/>
  <c r="AB40" i="11"/>
  <c r="AA40" i="11"/>
  <c r="Z40" i="11"/>
  <c r="Y40" i="11"/>
  <c r="X40" i="11"/>
  <c r="W40" i="11"/>
  <c r="V40" i="11"/>
  <c r="AE39" i="11"/>
  <c r="AD39" i="11"/>
  <c r="AC39" i="11"/>
  <c r="AB39" i="11"/>
  <c r="AA39" i="11"/>
  <c r="Z39" i="11"/>
  <c r="Y39" i="11"/>
  <c r="X39" i="11"/>
  <c r="W39" i="11"/>
  <c r="V39" i="11"/>
  <c r="AE38" i="11"/>
  <c r="AD38" i="11"/>
  <c r="AC38" i="11"/>
  <c r="AB38" i="11"/>
  <c r="AA38" i="11"/>
  <c r="Z38" i="11"/>
  <c r="Y38" i="11"/>
  <c r="X38" i="11"/>
  <c r="W38" i="11"/>
  <c r="V38" i="11"/>
  <c r="AE37" i="11"/>
  <c r="AD37" i="11"/>
  <c r="AC37" i="11"/>
  <c r="AB37" i="11"/>
  <c r="AA37" i="11"/>
  <c r="Z37" i="11"/>
  <c r="Y37" i="11"/>
  <c r="X37" i="11"/>
  <c r="W37" i="11"/>
  <c r="V37" i="11"/>
  <c r="AE36" i="11"/>
  <c r="AD36" i="11"/>
  <c r="AC36" i="11"/>
  <c r="AB36" i="11"/>
  <c r="AA36" i="11"/>
  <c r="Z36" i="11"/>
  <c r="Y36" i="11"/>
  <c r="X36" i="11"/>
  <c r="W36" i="11"/>
  <c r="V36" i="11"/>
  <c r="AE35" i="11"/>
  <c r="AD35" i="11"/>
  <c r="AC35" i="11"/>
  <c r="AB35" i="11"/>
  <c r="AA35" i="11"/>
  <c r="Z35" i="11"/>
  <c r="Y35" i="11"/>
  <c r="X35" i="11"/>
  <c r="W35" i="11"/>
  <c r="V35" i="11"/>
  <c r="AE34" i="11"/>
  <c r="AD34" i="11"/>
  <c r="AC34" i="11"/>
  <c r="AB34" i="11"/>
  <c r="AA34" i="11"/>
  <c r="Z34" i="11"/>
  <c r="Y34" i="11"/>
  <c r="X34" i="11"/>
  <c r="W34" i="11"/>
  <c r="V34" i="11"/>
  <c r="AE33" i="11"/>
  <c r="AD33" i="11"/>
  <c r="AC33" i="11"/>
  <c r="AB33" i="11"/>
  <c r="AA33" i="11"/>
  <c r="Z33" i="11"/>
  <c r="Y33" i="11"/>
  <c r="X33" i="11"/>
  <c r="W33" i="11"/>
  <c r="V33" i="11"/>
  <c r="AE32" i="11"/>
  <c r="AD32" i="11"/>
  <c r="AC32" i="11"/>
  <c r="AB32" i="11"/>
  <c r="AA32" i="11"/>
  <c r="Z32" i="11"/>
  <c r="Y32" i="11"/>
  <c r="X32" i="11"/>
  <c r="W32" i="11"/>
  <c r="V32" i="11"/>
  <c r="AE31" i="11"/>
  <c r="AD31" i="11"/>
  <c r="AC31" i="11"/>
  <c r="AB31" i="11"/>
  <c r="AA31" i="11"/>
  <c r="Z31" i="11"/>
  <c r="Y31" i="11"/>
  <c r="X31" i="11"/>
  <c r="W31" i="11"/>
  <c r="V31" i="11"/>
  <c r="AD30" i="11"/>
  <c r="AC30" i="11"/>
  <c r="AB30" i="11"/>
  <c r="AA30" i="11"/>
  <c r="Z30" i="11"/>
  <c r="Y30" i="11"/>
  <c r="X30" i="11"/>
  <c r="W30" i="11"/>
  <c r="V30" i="11"/>
  <c r="AD29" i="11"/>
  <c r="AC29" i="11"/>
  <c r="AB29" i="11"/>
  <c r="AA29" i="11"/>
  <c r="Z29" i="11"/>
  <c r="Y29" i="11"/>
  <c r="X29" i="11"/>
  <c r="W29" i="11"/>
  <c r="V29" i="11"/>
  <c r="AD28" i="11"/>
  <c r="AC28" i="11"/>
  <c r="AB28" i="11"/>
  <c r="AA28" i="11"/>
  <c r="Z28" i="11"/>
  <c r="Y28" i="11"/>
  <c r="X28" i="11"/>
  <c r="W28" i="11"/>
  <c r="V28" i="11"/>
  <c r="AE27" i="11"/>
  <c r="AD27" i="11"/>
  <c r="AC27" i="11"/>
  <c r="AB27" i="11"/>
  <c r="AA27" i="11"/>
  <c r="Z27" i="11"/>
  <c r="Y27" i="11"/>
  <c r="X27" i="11"/>
  <c r="W27" i="11"/>
  <c r="V27" i="11"/>
  <c r="AD26" i="11"/>
  <c r="AC26" i="11"/>
  <c r="AB26" i="11"/>
  <c r="AA26" i="11"/>
  <c r="Z26" i="11"/>
  <c r="Y26" i="11"/>
  <c r="X26" i="11"/>
  <c r="W26" i="11"/>
  <c r="V26" i="11"/>
  <c r="AD25" i="11"/>
  <c r="AC25" i="11"/>
  <c r="AB25" i="11"/>
  <c r="AA25" i="11"/>
  <c r="Z25" i="11"/>
  <c r="Y25" i="11"/>
  <c r="X25" i="11"/>
  <c r="W25" i="11"/>
  <c r="V25" i="11"/>
  <c r="AD24" i="11"/>
  <c r="AC24" i="11"/>
  <c r="AB24" i="11"/>
  <c r="AA24" i="11"/>
  <c r="Z24" i="11"/>
  <c r="Y24" i="11"/>
  <c r="X24" i="11"/>
  <c r="W24" i="11"/>
  <c r="V24" i="11"/>
  <c r="AD23" i="11"/>
  <c r="AC23" i="11"/>
  <c r="AB23" i="11"/>
  <c r="AA23" i="11"/>
  <c r="Z23" i="11"/>
  <c r="Y23" i="11"/>
  <c r="X23" i="11"/>
  <c r="W23" i="11"/>
  <c r="V23" i="11"/>
  <c r="AD22" i="11"/>
  <c r="AC22" i="11"/>
  <c r="AB22" i="11"/>
  <c r="AA22" i="11"/>
  <c r="Z22" i="11"/>
  <c r="Y22" i="11"/>
  <c r="X22" i="11"/>
  <c r="W22" i="11"/>
  <c r="V22" i="11"/>
  <c r="AE21" i="11"/>
  <c r="AD21" i="11"/>
  <c r="AC21" i="11"/>
  <c r="AB21" i="11"/>
  <c r="AA21" i="11"/>
  <c r="Z21" i="11"/>
  <c r="Y21" i="11"/>
  <c r="X21" i="11"/>
  <c r="W21" i="11"/>
  <c r="V21" i="11"/>
  <c r="AE20" i="11"/>
  <c r="AD20" i="11"/>
  <c r="AC20" i="11"/>
  <c r="AB20" i="11"/>
  <c r="AA20" i="11"/>
  <c r="Z20" i="11"/>
  <c r="Y20" i="11"/>
  <c r="X20" i="11"/>
  <c r="W20" i="11"/>
  <c r="V20" i="11"/>
  <c r="AE19" i="11"/>
  <c r="AD19" i="11"/>
  <c r="AC19" i="11"/>
  <c r="AB19" i="11"/>
  <c r="AA19" i="11"/>
  <c r="Z19" i="11"/>
  <c r="Y19" i="11"/>
  <c r="X19" i="11"/>
  <c r="W19" i="11"/>
  <c r="V19" i="11"/>
  <c r="AD18" i="11"/>
  <c r="AC18" i="11"/>
  <c r="AB18" i="11"/>
  <c r="AA18" i="11"/>
  <c r="Z18" i="11"/>
  <c r="Y18" i="11"/>
  <c r="X18" i="11"/>
  <c r="W18" i="11"/>
  <c r="V18" i="11"/>
  <c r="AD17" i="11"/>
  <c r="AC17" i="11"/>
  <c r="AB17" i="11"/>
  <c r="AA17" i="11"/>
  <c r="Z17" i="11"/>
  <c r="Y17" i="11"/>
  <c r="X17" i="11"/>
  <c r="W17" i="11"/>
  <c r="V17" i="11"/>
  <c r="AD16" i="11"/>
  <c r="AC16" i="11"/>
  <c r="AB16" i="11"/>
  <c r="AA16" i="11"/>
  <c r="Z16" i="11"/>
  <c r="Y16" i="11"/>
  <c r="X16" i="11"/>
  <c r="W16" i="11"/>
  <c r="V16" i="11"/>
  <c r="AD15" i="11"/>
  <c r="AC15" i="11"/>
  <c r="AB15" i="11"/>
  <c r="AA15" i="11"/>
  <c r="Z15" i="11"/>
  <c r="Y15" i="11"/>
  <c r="X15" i="11"/>
  <c r="W15" i="11"/>
  <c r="V15" i="11"/>
  <c r="AE14" i="11"/>
  <c r="AD14" i="11"/>
  <c r="AC14" i="11"/>
  <c r="AB14" i="11"/>
  <c r="AA14" i="11"/>
  <c r="Z14" i="11"/>
  <c r="Y14" i="11"/>
  <c r="X14" i="11"/>
  <c r="W14" i="11"/>
  <c r="V14" i="11"/>
  <c r="AD13" i="11"/>
  <c r="AC13" i="11"/>
  <c r="AB13" i="11"/>
  <c r="AA13" i="11"/>
  <c r="Z13" i="11"/>
  <c r="Y13" i="11"/>
  <c r="X13" i="11"/>
  <c r="W13" i="11"/>
  <c r="V13" i="11"/>
  <c r="AE12" i="11"/>
  <c r="AD12" i="11"/>
  <c r="AC12" i="11"/>
  <c r="AB12" i="11"/>
  <c r="AA12" i="11"/>
  <c r="Z12" i="11"/>
  <c r="Y12" i="11"/>
  <c r="X12" i="11"/>
  <c r="W12" i="11"/>
  <c r="V12" i="11"/>
  <c r="AD11" i="11"/>
  <c r="AC11" i="11"/>
  <c r="AB11" i="11"/>
  <c r="AA11" i="11"/>
  <c r="Z11" i="11"/>
  <c r="Y11" i="11"/>
  <c r="X11" i="11"/>
  <c r="W11" i="11"/>
  <c r="V11" i="11"/>
  <c r="AE10" i="11"/>
  <c r="AD10" i="11"/>
  <c r="AC10" i="11"/>
  <c r="AB10" i="11"/>
  <c r="AA10" i="11"/>
  <c r="Z10" i="11"/>
  <c r="Y10" i="11"/>
  <c r="X10" i="11"/>
  <c r="W10" i="11"/>
  <c r="V10" i="11"/>
  <c r="AD9" i="11"/>
  <c r="AC9" i="11"/>
  <c r="AB9" i="11"/>
  <c r="AA9" i="11"/>
  <c r="Z9" i="11"/>
  <c r="Y9" i="11"/>
  <c r="X9" i="11"/>
  <c r="W9" i="11"/>
  <c r="V9" i="11"/>
  <c r="AE8" i="11"/>
  <c r="AD8" i="11"/>
  <c r="AC8" i="11"/>
  <c r="AB8" i="11"/>
  <c r="AA8" i="11"/>
  <c r="Z8" i="11"/>
  <c r="Y8" i="11"/>
  <c r="X8" i="11"/>
  <c r="W8" i="11"/>
  <c r="V8" i="11"/>
  <c r="AD7" i="11"/>
  <c r="AC7" i="11"/>
  <c r="AB7" i="11"/>
  <c r="AA7" i="11"/>
  <c r="Z7" i="11"/>
  <c r="Y7" i="11"/>
  <c r="X7" i="11"/>
  <c r="W7" i="11"/>
  <c r="V7" i="11"/>
  <c r="AD6" i="11"/>
  <c r="AC6" i="11"/>
  <c r="AB6" i="11"/>
  <c r="AA6" i="11"/>
  <c r="Z6" i="11"/>
  <c r="Y6" i="11"/>
  <c r="X6" i="11"/>
  <c r="W6" i="11"/>
  <c r="V6" i="11"/>
  <c r="AD5" i="11"/>
  <c r="AC5" i="11"/>
  <c r="AB5" i="11"/>
  <c r="AA5" i="11"/>
  <c r="Z5" i="11"/>
  <c r="Y5" i="11"/>
  <c r="X5" i="11"/>
  <c r="W5" i="11"/>
  <c r="V5" i="11"/>
  <c r="AD4" i="11"/>
  <c r="AC4" i="11"/>
  <c r="AB4" i="11"/>
  <c r="AA4" i="11"/>
  <c r="Z4" i="11"/>
  <c r="Y4" i="11"/>
  <c r="X4" i="11"/>
  <c r="W4" i="11"/>
  <c r="V4" i="11"/>
  <c r="AD3" i="11"/>
  <c r="AC3" i="11"/>
  <c r="AB3" i="11"/>
  <c r="AA3" i="11"/>
  <c r="Z3" i="11"/>
  <c r="Y3" i="11"/>
  <c r="X3" i="11"/>
  <c r="W3" i="11"/>
  <c r="V3" i="11"/>
  <c r="AE2" i="11"/>
  <c r="AD2" i="11"/>
  <c r="AC2" i="11"/>
  <c r="AB2" i="11"/>
  <c r="AA2" i="11"/>
  <c r="Z2" i="11"/>
  <c r="Y2" i="11"/>
  <c r="X2" i="11"/>
  <c r="W2" i="11"/>
  <c r="V2" i="11"/>
  <c r="CB803" i="10"/>
  <c r="CC803" i="10" s="1"/>
  <c r="CB802" i="10"/>
  <c r="CC802" i="10" s="1"/>
  <c r="CB801" i="10"/>
  <c r="CC801" i="10" s="1"/>
  <c r="CB800" i="10"/>
  <c r="CC800" i="10" s="1"/>
  <c r="CB799" i="10"/>
  <c r="CC799" i="10" s="1"/>
  <c r="CB798" i="10"/>
  <c r="CC798" i="10" s="1"/>
  <c r="CB797" i="10"/>
  <c r="CC797" i="10" s="1"/>
  <c r="CB796" i="10"/>
  <c r="CC796" i="10" s="1"/>
  <c r="CB795" i="10"/>
  <c r="CC795" i="10" s="1"/>
  <c r="CB794" i="10"/>
  <c r="CC794" i="10" s="1"/>
  <c r="CB793" i="10"/>
  <c r="CC793" i="10" s="1"/>
  <c r="CB792" i="10"/>
  <c r="CC792" i="10" s="1"/>
  <c r="CB791" i="10"/>
  <c r="CC791" i="10" s="1"/>
  <c r="CB790" i="10"/>
  <c r="CC790" i="10" s="1"/>
  <c r="CB789" i="10"/>
  <c r="CC789" i="10" s="1"/>
  <c r="CB788" i="10"/>
  <c r="CC788" i="10" s="1"/>
  <c r="CB787" i="10"/>
  <c r="CC787" i="10" s="1"/>
  <c r="CB786" i="10"/>
  <c r="CC786" i="10" s="1"/>
  <c r="CB785" i="10"/>
  <c r="CC785" i="10" s="1"/>
  <c r="CB784" i="10"/>
  <c r="CC784" i="10" s="1"/>
  <c r="CB783" i="10"/>
  <c r="CC783" i="10" s="1"/>
  <c r="CB782" i="10"/>
  <c r="CC782" i="10" s="1"/>
  <c r="CB781" i="10"/>
  <c r="CC781" i="10" s="1"/>
  <c r="CB780" i="10"/>
  <c r="CC780" i="10" s="1"/>
  <c r="CB779" i="10"/>
  <c r="CC779" i="10" s="1"/>
  <c r="CB778" i="10"/>
  <c r="CC778" i="10" s="1"/>
  <c r="CB777" i="10"/>
  <c r="CC777" i="10" s="1"/>
  <c r="CB776" i="10"/>
  <c r="CC776" i="10" s="1"/>
  <c r="CB775" i="10"/>
  <c r="CC775" i="10" s="1"/>
  <c r="CB774" i="10"/>
  <c r="CC774" i="10" s="1"/>
  <c r="CB773" i="10"/>
  <c r="CC773" i="10" s="1"/>
  <c r="CB772" i="10"/>
  <c r="CC772" i="10" s="1"/>
  <c r="CB771" i="10"/>
  <c r="CC771" i="10" s="1"/>
  <c r="CB770" i="10"/>
  <c r="CC770" i="10" s="1"/>
  <c r="CB769" i="10"/>
  <c r="CC769" i="10" s="1"/>
  <c r="CB768" i="10"/>
  <c r="CC768" i="10" s="1"/>
  <c r="CB767" i="10"/>
  <c r="CC767" i="10" s="1"/>
  <c r="CB766" i="10"/>
  <c r="CC766" i="10" s="1"/>
  <c r="CB765" i="10"/>
  <c r="CC765" i="10" s="1"/>
  <c r="CB764" i="10"/>
  <c r="CC764" i="10" s="1"/>
  <c r="CB763" i="10"/>
  <c r="CC763" i="10" s="1"/>
  <c r="CB762" i="10"/>
  <c r="CC762" i="10" s="1"/>
  <c r="CB761" i="10"/>
  <c r="CC761" i="10" s="1"/>
  <c r="CB760" i="10"/>
  <c r="CC760" i="10" s="1"/>
  <c r="CB759" i="10"/>
  <c r="CC759" i="10" s="1"/>
  <c r="CB758" i="10"/>
  <c r="CC758" i="10" s="1"/>
  <c r="CB757" i="10"/>
  <c r="CC757" i="10" s="1"/>
  <c r="CB756" i="10"/>
  <c r="CC756" i="10" s="1"/>
  <c r="CB755" i="10"/>
  <c r="CC755" i="10" s="1"/>
  <c r="CB754" i="10"/>
  <c r="CC754" i="10" s="1"/>
  <c r="CB753" i="10"/>
  <c r="CC753" i="10" s="1"/>
  <c r="CB752" i="10"/>
  <c r="CC752" i="10" s="1"/>
  <c r="CB751" i="10"/>
  <c r="CC751" i="10" s="1"/>
  <c r="CB750" i="10"/>
  <c r="CC750" i="10" s="1"/>
  <c r="CB749" i="10"/>
  <c r="CC749" i="10" s="1"/>
  <c r="CB748" i="10"/>
  <c r="CC748" i="10" s="1"/>
  <c r="CB747" i="10"/>
  <c r="CC747" i="10" s="1"/>
  <c r="CB746" i="10"/>
  <c r="CC746" i="10" s="1"/>
  <c r="CB745" i="10"/>
  <c r="CC745" i="10" s="1"/>
  <c r="CB744" i="10"/>
  <c r="CC744" i="10" s="1"/>
  <c r="CB743" i="10"/>
  <c r="CC743" i="10" s="1"/>
  <c r="CB742" i="10"/>
  <c r="CC742" i="10" s="1"/>
  <c r="CB741" i="10"/>
  <c r="CC741" i="10" s="1"/>
  <c r="CB740" i="10"/>
  <c r="CC740" i="10" s="1"/>
  <c r="CB739" i="10"/>
  <c r="CC739" i="10" s="1"/>
  <c r="CB738" i="10"/>
  <c r="CC738" i="10" s="1"/>
  <c r="CB737" i="10"/>
  <c r="CC737" i="10" s="1"/>
  <c r="CB736" i="10"/>
  <c r="CC736" i="10" s="1"/>
  <c r="CB735" i="10"/>
  <c r="CC735" i="10" s="1"/>
  <c r="CB734" i="10"/>
  <c r="CC734" i="10" s="1"/>
  <c r="CB733" i="10"/>
  <c r="CC733" i="10" s="1"/>
  <c r="CB732" i="10"/>
  <c r="CC732" i="10" s="1"/>
  <c r="CB731" i="10"/>
  <c r="CC731" i="10" s="1"/>
  <c r="CB730" i="10"/>
  <c r="CC730" i="10" s="1"/>
  <c r="CB729" i="10"/>
  <c r="CC729" i="10" s="1"/>
  <c r="CB728" i="10"/>
  <c r="CC728" i="10" s="1"/>
  <c r="CB727" i="10"/>
  <c r="CC727" i="10" s="1"/>
  <c r="CB726" i="10"/>
  <c r="CC726" i="10" s="1"/>
  <c r="CB725" i="10"/>
  <c r="CC725" i="10" s="1"/>
  <c r="CB724" i="10"/>
  <c r="CC724" i="10" s="1"/>
  <c r="CB723" i="10"/>
  <c r="CC723" i="10" s="1"/>
  <c r="CB722" i="10"/>
  <c r="CC722" i="10" s="1"/>
  <c r="CB721" i="10"/>
  <c r="CC721" i="10" s="1"/>
  <c r="CB720" i="10"/>
  <c r="CC720" i="10" s="1"/>
  <c r="CB719" i="10"/>
  <c r="CC719" i="10" s="1"/>
  <c r="CB718" i="10"/>
  <c r="CC718" i="10" s="1"/>
  <c r="CB717" i="10"/>
  <c r="CC717" i="10" s="1"/>
  <c r="CB716" i="10"/>
  <c r="CC716" i="10" s="1"/>
  <c r="CB715" i="10"/>
  <c r="CC715" i="10" s="1"/>
  <c r="CB714" i="10"/>
  <c r="CC714" i="10" s="1"/>
  <c r="CB713" i="10"/>
  <c r="CC713" i="10" s="1"/>
  <c r="CB712" i="10"/>
  <c r="CC712" i="10" s="1"/>
  <c r="CB711" i="10"/>
  <c r="CC711" i="10" s="1"/>
  <c r="CB710" i="10"/>
  <c r="CC710" i="10" s="1"/>
  <c r="CB709" i="10"/>
  <c r="CC709" i="10" s="1"/>
  <c r="CB708" i="10"/>
  <c r="CC708" i="10" s="1"/>
  <c r="CB707" i="10"/>
  <c r="CC707" i="10" s="1"/>
  <c r="CB706" i="10"/>
  <c r="CC706" i="10" s="1"/>
  <c r="CB705" i="10"/>
  <c r="CC705" i="10" s="1"/>
  <c r="CB704" i="10"/>
  <c r="CC704" i="10" s="1"/>
  <c r="CB703" i="10"/>
  <c r="CC703" i="10" s="1"/>
  <c r="CB702" i="10"/>
  <c r="CC702" i="10" s="1"/>
  <c r="CB701" i="10"/>
  <c r="CC701" i="10" s="1"/>
  <c r="CB700" i="10"/>
  <c r="CC700" i="10" s="1"/>
  <c r="CB699" i="10"/>
  <c r="CC699" i="10" s="1"/>
  <c r="CB698" i="10"/>
  <c r="CC698" i="10" s="1"/>
  <c r="CB697" i="10"/>
  <c r="CC697" i="10" s="1"/>
  <c r="CB696" i="10"/>
  <c r="CC696" i="10" s="1"/>
  <c r="CB695" i="10"/>
  <c r="CC695" i="10" s="1"/>
  <c r="CB694" i="10"/>
  <c r="CC694" i="10" s="1"/>
  <c r="CB693" i="10"/>
  <c r="CC693" i="10" s="1"/>
  <c r="CB692" i="10"/>
  <c r="CC692" i="10" s="1"/>
  <c r="CB691" i="10"/>
  <c r="CC691" i="10" s="1"/>
  <c r="CB690" i="10"/>
  <c r="CC690" i="10" s="1"/>
  <c r="CB689" i="10"/>
  <c r="CC689" i="10" s="1"/>
  <c r="CB688" i="10"/>
  <c r="CC688" i="10" s="1"/>
  <c r="CB687" i="10"/>
  <c r="CC687" i="10" s="1"/>
  <c r="CB686" i="10"/>
  <c r="CC686" i="10" s="1"/>
  <c r="CB685" i="10"/>
  <c r="CC685" i="10" s="1"/>
  <c r="CB684" i="10"/>
  <c r="CC684" i="10" s="1"/>
  <c r="CB683" i="10"/>
  <c r="CC683" i="10" s="1"/>
  <c r="CB682" i="10"/>
  <c r="CC682" i="10" s="1"/>
  <c r="CB681" i="10"/>
  <c r="CC681" i="10" s="1"/>
  <c r="CB680" i="10"/>
  <c r="CC680" i="10" s="1"/>
  <c r="CB679" i="10"/>
  <c r="CC679" i="10" s="1"/>
  <c r="CB678" i="10"/>
  <c r="CC678" i="10" s="1"/>
  <c r="CB677" i="10"/>
  <c r="CC677" i="10" s="1"/>
  <c r="CB676" i="10"/>
  <c r="CC676" i="10" s="1"/>
  <c r="CB675" i="10"/>
  <c r="CC675" i="10" s="1"/>
  <c r="CB674" i="10"/>
  <c r="CC674" i="10" s="1"/>
  <c r="CB673" i="10"/>
  <c r="CC673" i="10" s="1"/>
  <c r="CB672" i="10"/>
  <c r="CC672" i="10" s="1"/>
  <c r="CB671" i="10"/>
  <c r="CC671" i="10" s="1"/>
  <c r="CB670" i="10"/>
  <c r="CC670" i="10" s="1"/>
  <c r="CB669" i="10"/>
  <c r="CC669" i="10" s="1"/>
  <c r="CB668" i="10"/>
  <c r="CC668" i="10" s="1"/>
  <c r="CB667" i="10"/>
  <c r="CC667" i="10" s="1"/>
  <c r="CB666" i="10"/>
  <c r="CC666" i="10" s="1"/>
  <c r="CB665" i="10"/>
  <c r="CC665" i="10" s="1"/>
  <c r="CB664" i="10"/>
  <c r="CC664" i="10" s="1"/>
  <c r="CB663" i="10"/>
  <c r="CC663" i="10" s="1"/>
  <c r="CB662" i="10"/>
  <c r="CC662" i="10" s="1"/>
  <c r="CB661" i="10"/>
  <c r="CC661" i="10" s="1"/>
  <c r="CB660" i="10"/>
  <c r="CC660" i="10" s="1"/>
  <c r="CB659" i="10"/>
  <c r="CC659" i="10" s="1"/>
  <c r="CB658" i="10"/>
  <c r="CC658" i="10" s="1"/>
  <c r="CB657" i="10"/>
  <c r="CC657" i="10" s="1"/>
  <c r="CB656" i="10"/>
  <c r="CC656" i="10" s="1"/>
  <c r="CB655" i="10"/>
  <c r="CC655" i="10" s="1"/>
  <c r="CB654" i="10"/>
  <c r="CC654" i="10" s="1"/>
  <c r="CB653" i="10"/>
  <c r="CC653" i="10" s="1"/>
  <c r="CB652" i="10"/>
  <c r="CC652" i="10" s="1"/>
  <c r="CB651" i="10"/>
  <c r="CC651" i="10" s="1"/>
  <c r="CB650" i="10"/>
  <c r="CC650" i="10" s="1"/>
  <c r="CB649" i="10"/>
  <c r="CC649" i="10" s="1"/>
  <c r="CB648" i="10"/>
  <c r="CC648" i="10" s="1"/>
  <c r="CB647" i="10"/>
  <c r="CC647" i="10" s="1"/>
  <c r="CB646" i="10"/>
  <c r="CC646" i="10" s="1"/>
  <c r="CB645" i="10"/>
  <c r="CC645" i="10" s="1"/>
  <c r="CB644" i="10"/>
  <c r="CC644" i="10" s="1"/>
  <c r="CB643" i="10"/>
  <c r="CC643" i="10" s="1"/>
  <c r="CB642" i="10"/>
  <c r="CC642" i="10" s="1"/>
  <c r="CB641" i="10"/>
  <c r="CC641" i="10" s="1"/>
  <c r="CB640" i="10"/>
  <c r="CC640" i="10" s="1"/>
  <c r="CB639" i="10"/>
  <c r="CC639" i="10" s="1"/>
  <c r="CB638" i="10"/>
  <c r="CC638" i="10" s="1"/>
  <c r="CB637" i="10"/>
  <c r="CC637" i="10" s="1"/>
  <c r="CB636" i="10"/>
  <c r="CC636" i="10" s="1"/>
  <c r="CB635" i="10"/>
  <c r="CC635" i="10" s="1"/>
  <c r="CB634" i="10"/>
  <c r="CC634" i="10" s="1"/>
  <c r="CB633" i="10"/>
  <c r="CC633" i="10" s="1"/>
  <c r="CB632" i="10"/>
  <c r="CC632" i="10" s="1"/>
  <c r="CB631" i="10"/>
  <c r="CC631" i="10" s="1"/>
  <c r="CB630" i="10"/>
  <c r="CC630" i="10" s="1"/>
  <c r="CB629" i="10"/>
  <c r="CC629" i="10" s="1"/>
  <c r="CB628" i="10"/>
  <c r="CC628" i="10" s="1"/>
  <c r="CB627" i="10"/>
  <c r="CC627" i="10" s="1"/>
  <c r="CB626" i="10"/>
  <c r="CC626" i="10" s="1"/>
  <c r="CB625" i="10"/>
  <c r="CC625" i="10" s="1"/>
  <c r="CB624" i="10"/>
  <c r="CC624" i="10" s="1"/>
  <c r="CB623" i="10"/>
  <c r="CC623" i="10" s="1"/>
  <c r="CB622" i="10"/>
  <c r="CC622" i="10" s="1"/>
  <c r="CB621" i="10"/>
  <c r="CC621" i="10" s="1"/>
  <c r="CB620" i="10"/>
  <c r="CC620" i="10" s="1"/>
  <c r="CB619" i="10"/>
  <c r="CC619" i="10" s="1"/>
  <c r="CB618" i="10"/>
  <c r="CC618" i="10" s="1"/>
  <c r="CB617" i="10"/>
  <c r="CC617" i="10" s="1"/>
  <c r="CB616" i="10"/>
  <c r="CC616" i="10" s="1"/>
  <c r="CB615" i="10"/>
  <c r="CC615" i="10" s="1"/>
  <c r="CB614" i="10"/>
  <c r="CC614" i="10" s="1"/>
  <c r="CB613" i="10"/>
  <c r="CC613" i="10" s="1"/>
  <c r="CB612" i="10"/>
  <c r="CC612" i="10" s="1"/>
  <c r="CB611" i="10"/>
  <c r="CC611" i="10" s="1"/>
  <c r="CB610" i="10"/>
  <c r="CC610" i="10" s="1"/>
  <c r="CB609" i="10"/>
  <c r="CC609" i="10" s="1"/>
  <c r="CB608" i="10"/>
  <c r="CC608" i="10" s="1"/>
  <c r="CB607" i="10"/>
  <c r="CC607" i="10" s="1"/>
  <c r="CB606" i="10"/>
  <c r="CC606" i="10" s="1"/>
  <c r="CB605" i="10"/>
  <c r="CC605" i="10" s="1"/>
  <c r="CB604" i="10"/>
  <c r="CC604" i="10" s="1"/>
  <c r="CB603" i="10"/>
  <c r="CC603" i="10" s="1"/>
  <c r="CB602" i="10"/>
  <c r="CC602" i="10" s="1"/>
  <c r="CB601" i="10"/>
  <c r="CC601" i="10" s="1"/>
  <c r="CB600" i="10"/>
  <c r="CC600" i="10" s="1"/>
  <c r="CB599" i="10"/>
  <c r="CC599" i="10" s="1"/>
  <c r="CB598" i="10"/>
  <c r="CC598" i="10" s="1"/>
  <c r="CB597" i="10"/>
  <c r="CC597" i="10" s="1"/>
  <c r="CB596" i="10"/>
  <c r="CC596" i="10" s="1"/>
  <c r="CB595" i="10"/>
  <c r="CC595" i="10" s="1"/>
  <c r="CB594" i="10"/>
  <c r="CC594" i="10" s="1"/>
  <c r="CB593" i="10"/>
  <c r="CC593" i="10" s="1"/>
  <c r="CB592" i="10"/>
  <c r="CC592" i="10" s="1"/>
  <c r="CB591" i="10"/>
  <c r="CC591" i="10" s="1"/>
  <c r="CB590" i="10"/>
  <c r="CC590" i="10" s="1"/>
  <c r="CB589" i="10"/>
  <c r="CC589" i="10" s="1"/>
  <c r="CB588" i="10"/>
  <c r="CC588" i="10" s="1"/>
  <c r="CB587" i="10"/>
  <c r="CC587" i="10" s="1"/>
  <c r="CB586" i="10"/>
  <c r="CC586" i="10" s="1"/>
  <c r="CB585" i="10"/>
  <c r="CC585" i="10" s="1"/>
  <c r="CB584" i="10"/>
  <c r="CC584" i="10" s="1"/>
  <c r="CB583" i="10"/>
  <c r="CC583" i="10" s="1"/>
  <c r="CB582" i="10"/>
  <c r="CC582" i="10" s="1"/>
  <c r="CB581" i="10"/>
  <c r="CC581" i="10" s="1"/>
  <c r="CB580" i="10"/>
  <c r="CC580" i="10" s="1"/>
  <c r="CB579" i="10"/>
  <c r="CC579" i="10" s="1"/>
  <c r="CB578" i="10"/>
  <c r="CC578" i="10" s="1"/>
  <c r="CB577" i="10"/>
  <c r="CC577" i="10" s="1"/>
  <c r="CB576" i="10"/>
  <c r="CC576" i="10" s="1"/>
  <c r="CB575" i="10"/>
  <c r="CC575" i="10" s="1"/>
  <c r="CB574" i="10"/>
  <c r="CC574" i="10" s="1"/>
  <c r="CB573" i="10"/>
  <c r="CC573" i="10" s="1"/>
  <c r="CB572" i="10"/>
  <c r="CC572" i="10" s="1"/>
  <c r="CB571" i="10"/>
  <c r="CC571" i="10" s="1"/>
  <c r="CB570" i="10"/>
  <c r="CC570" i="10" s="1"/>
  <c r="CB569" i="10"/>
  <c r="CC569" i="10" s="1"/>
  <c r="CB568" i="10"/>
  <c r="CC568" i="10" s="1"/>
  <c r="CB567" i="10"/>
  <c r="CC567" i="10" s="1"/>
  <c r="CB566" i="10"/>
  <c r="CC566" i="10" s="1"/>
  <c r="CB565" i="10"/>
  <c r="CC565" i="10" s="1"/>
  <c r="CB564" i="10"/>
  <c r="CC564" i="10" s="1"/>
  <c r="CB563" i="10"/>
  <c r="CC563" i="10" s="1"/>
  <c r="CB562" i="10"/>
  <c r="CC562" i="10" s="1"/>
  <c r="CB561" i="10"/>
  <c r="CC561" i="10" s="1"/>
  <c r="CB560" i="10"/>
  <c r="CC560" i="10" s="1"/>
  <c r="CB559" i="10"/>
  <c r="CC559" i="10" s="1"/>
  <c r="CB558" i="10"/>
  <c r="CC558" i="10" s="1"/>
  <c r="CB557" i="10"/>
  <c r="CC557" i="10" s="1"/>
  <c r="CB556" i="10"/>
  <c r="CC556" i="10" s="1"/>
  <c r="CB555" i="10"/>
  <c r="CC555" i="10" s="1"/>
  <c r="CB554" i="10"/>
  <c r="CC554" i="10" s="1"/>
  <c r="CB553" i="10"/>
  <c r="CC553" i="10" s="1"/>
  <c r="CB552" i="10"/>
  <c r="CC552" i="10" s="1"/>
  <c r="CB551" i="10"/>
  <c r="CC551" i="10" s="1"/>
  <c r="CB550" i="10"/>
  <c r="CC550" i="10" s="1"/>
  <c r="CB549" i="10"/>
  <c r="CC549" i="10" s="1"/>
  <c r="CB548" i="10"/>
  <c r="CC548" i="10" s="1"/>
  <c r="CB547" i="10"/>
  <c r="CC547" i="10" s="1"/>
  <c r="CB546" i="10"/>
  <c r="CC546" i="10" s="1"/>
  <c r="CB545" i="10"/>
  <c r="CC545" i="10" s="1"/>
  <c r="CB544" i="10"/>
  <c r="CC544" i="10" s="1"/>
  <c r="CB543" i="10"/>
  <c r="CC543" i="10" s="1"/>
  <c r="CB542" i="10"/>
  <c r="CC542" i="10" s="1"/>
  <c r="CB541" i="10"/>
  <c r="CC541" i="10" s="1"/>
  <c r="CB540" i="10"/>
  <c r="CC540" i="10" s="1"/>
  <c r="CB539" i="10"/>
  <c r="CC539" i="10" s="1"/>
  <c r="CB538" i="10"/>
  <c r="CC538" i="10" s="1"/>
  <c r="CB537" i="10"/>
  <c r="CC537" i="10" s="1"/>
  <c r="CB536" i="10"/>
  <c r="CC536" i="10" s="1"/>
  <c r="CB535" i="10"/>
  <c r="CC535" i="10" s="1"/>
  <c r="CB534" i="10"/>
  <c r="CC534" i="10" s="1"/>
  <c r="CB533" i="10"/>
  <c r="CC533" i="10" s="1"/>
  <c r="CB532" i="10"/>
  <c r="CC532" i="10" s="1"/>
  <c r="CB531" i="10"/>
  <c r="CC531" i="10" s="1"/>
  <c r="CB530" i="10"/>
  <c r="CC530" i="10" s="1"/>
  <c r="CB529" i="10"/>
  <c r="CC529" i="10" s="1"/>
  <c r="CB528" i="10"/>
  <c r="CC528" i="10" s="1"/>
  <c r="CB527" i="10"/>
  <c r="CC527" i="10" s="1"/>
  <c r="CB526" i="10"/>
  <c r="CC526" i="10" s="1"/>
  <c r="CB525" i="10"/>
  <c r="CC525" i="10" s="1"/>
  <c r="CB524" i="10"/>
  <c r="CC524" i="10" s="1"/>
  <c r="CB523" i="10"/>
  <c r="CC523" i="10" s="1"/>
  <c r="CB522" i="10"/>
  <c r="CC522" i="10" s="1"/>
  <c r="CB521" i="10"/>
  <c r="CC521" i="10" s="1"/>
  <c r="CB520" i="10"/>
  <c r="CC520" i="10" s="1"/>
  <c r="CB519" i="10"/>
  <c r="CC519" i="10" s="1"/>
  <c r="CB518" i="10"/>
  <c r="CC518" i="10" s="1"/>
  <c r="CB517" i="10"/>
  <c r="CC517" i="10" s="1"/>
  <c r="CB516" i="10"/>
  <c r="CC516" i="10" s="1"/>
  <c r="CB515" i="10"/>
  <c r="CC515" i="10" s="1"/>
  <c r="CB514" i="10"/>
  <c r="CC514" i="10" s="1"/>
  <c r="CB513" i="10"/>
  <c r="CC513" i="10" s="1"/>
  <c r="CB512" i="10"/>
  <c r="CC512" i="10" s="1"/>
  <c r="CB511" i="10"/>
  <c r="CC511" i="10" s="1"/>
  <c r="CB510" i="10"/>
  <c r="CC510" i="10" s="1"/>
  <c r="CB509" i="10"/>
  <c r="CC509" i="10" s="1"/>
  <c r="CB508" i="10"/>
  <c r="CC508" i="10" s="1"/>
  <c r="CB507" i="10"/>
  <c r="CC507" i="10" s="1"/>
  <c r="CB506" i="10"/>
  <c r="CC506" i="10" s="1"/>
  <c r="CB505" i="10"/>
  <c r="CC505" i="10" s="1"/>
  <c r="CB504" i="10"/>
  <c r="CC504" i="10" s="1"/>
  <c r="CD503" i="10"/>
  <c r="CE503" i="10" s="1"/>
  <c r="CB503" i="10"/>
  <c r="CC503" i="10" s="1"/>
  <c r="CD502" i="10"/>
  <c r="CE502" i="10" s="1"/>
  <c r="CB502" i="10"/>
  <c r="CC502" i="10" s="1"/>
  <c r="CD501" i="10"/>
  <c r="CE501" i="10" s="1"/>
  <c r="CB501" i="10"/>
  <c r="CC501" i="10" s="1"/>
  <c r="CD500" i="10"/>
  <c r="CE500" i="10" s="1"/>
  <c r="CB500" i="10"/>
  <c r="CC500" i="10" s="1"/>
  <c r="CD499" i="10"/>
  <c r="CE499" i="10" s="1"/>
  <c r="CB499" i="10"/>
  <c r="CC499" i="10" s="1"/>
  <c r="CD498" i="10"/>
  <c r="CE498" i="10" s="1"/>
  <c r="CB498" i="10"/>
  <c r="CC498" i="10" s="1"/>
  <c r="CD497" i="10"/>
  <c r="CE497" i="10" s="1"/>
  <c r="CB497" i="10"/>
  <c r="CC497" i="10" s="1"/>
  <c r="CD496" i="10"/>
  <c r="CE496" i="10" s="1"/>
  <c r="CB496" i="10"/>
  <c r="CC496" i="10" s="1"/>
  <c r="CD495" i="10"/>
  <c r="CE495" i="10" s="1"/>
  <c r="CB495" i="10"/>
  <c r="CC495" i="10" s="1"/>
  <c r="CD494" i="10"/>
  <c r="CE494" i="10" s="1"/>
  <c r="CB494" i="10"/>
  <c r="CC494" i="10" s="1"/>
  <c r="CD493" i="10"/>
  <c r="CE493" i="10" s="1"/>
  <c r="CB493" i="10"/>
  <c r="CC493" i="10" s="1"/>
  <c r="CD492" i="10"/>
  <c r="CE492" i="10" s="1"/>
  <c r="CB492" i="10"/>
  <c r="CC492" i="10" s="1"/>
  <c r="CD491" i="10"/>
  <c r="CE491" i="10" s="1"/>
  <c r="CB491" i="10"/>
  <c r="CC491" i="10" s="1"/>
  <c r="CD490" i="10"/>
  <c r="CE490" i="10" s="1"/>
  <c r="CB490" i="10"/>
  <c r="CC490" i="10" s="1"/>
  <c r="CD489" i="10"/>
  <c r="CE489" i="10" s="1"/>
  <c r="CB489" i="10"/>
  <c r="CC489" i="10" s="1"/>
  <c r="CD488" i="10"/>
  <c r="CE488" i="10" s="1"/>
  <c r="CB488" i="10"/>
  <c r="CC488" i="10" s="1"/>
  <c r="CD487" i="10"/>
  <c r="CE487" i="10" s="1"/>
  <c r="CB487" i="10"/>
  <c r="CC487" i="10" s="1"/>
  <c r="CD486" i="10"/>
  <c r="CE486" i="10" s="1"/>
  <c r="CB486" i="10"/>
  <c r="CC486" i="10" s="1"/>
  <c r="CD485" i="10"/>
  <c r="CE485" i="10" s="1"/>
  <c r="CB485" i="10"/>
  <c r="CC485" i="10" s="1"/>
  <c r="CD484" i="10"/>
  <c r="CE484" i="10" s="1"/>
  <c r="CB484" i="10"/>
  <c r="CC484" i="10" s="1"/>
  <c r="CD483" i="10"/>
  <c r="CE483" i="10" s="1"/>
  <c r="CB483" i="10"/>
  <c r="CC483" i="10" s="1"/>
  <c r="CD482" i="10"/>
  <c r="CE482" i="10" s="1"/>
  <c r="CB482" i="10"/>
  <c r="CC482" i="10" s="1"/>
  <c r="CD481" i="10"/>
  <c r="CE481" i="10" s="1"/>
  <c r="CB481" i="10"/>
  <c r="CC481" i="10" s="1"/>
  <c r="CD480" i="10"/>
  <c r="CE480" i="10" s="1"/>
  <c r="CB480" i="10"/>
  <c r="CC480" i="10" s="1"/>
  <c r="CD479" i="10"/>
  <c r="CE479" i="10" s="1"/>
  <c r="CB479" i="10"/>
  <c r="CC479" i="10" s="1"/>
  <c r="CD478" i="10"/>
  <c r="CE478" i="10" s="1"/>
  <c r="CB478" i="10"/>
  <c r="CC478" i="10" s="1"/>
  <c r="CD477" i="10"/>
  <c r="CE477" i="10" s="1"/>
  <c r="CB477" i="10"/>
  <c r="CC477" i="10" s="1"/>
  <c r="CD476" i="10"/>
  <c r="CE476" i="10" s="1"/>
  <c r="CB476" i="10"/>
  <c r="CC476" i="10" s="1"/>
  <c r="CD475" i="10"/>
  <c r="CE475" i="10" s="1"/>
  <c r="CB475" i="10"/>
  <c r="CC475" i="10" s="1"/>
  <c r="CD474" i="10"/>
  <c r="CE474" i="10" s="1"/>
  <c r="CB474" i="10"/>
  <c r="CC474" i="10" s="1"/>
  <c r="CD473" i="10"/>
  <c r="CE473" i="10" s="1"/>
  <c r="CB473" i="10"/>
  <c r="CC473" i="10" s="1"/>
  <c r="CD472" i="10"/>
  <c r="CE472" i="10" s="1"/>
  <c r="CB472" i="10"/>
  <c r="CC472" i="10" s="1"/>
  <c r="CD471" i="10"/>
  <c r="CE471" i="10" s="1"/>
  <c r="CB471" i="10"/>
  <c r="CC471" i="10" s="1"/>
  <c r="CD470" i="10"/>
  <c r="CE470" i="10" s="1"/>
  <c r="CB470" i="10"/>
  <c r="CC470" i="10" s="1"/>
  <c r="CD469" i="10"/>
  <c r="CE469" i="10" s="1"/>
  <c r="CB469" i="10"/>
  <c r="CC469" i="10" s="1"/>
  <c r="CD468" i="10"/>
  <c r="CE468" i="10" s="1"/>
  <c r="CB468" i="10"/>
  <c r="CC468" i="10" s="1"/>
  <c r="CD467" i="10"/>
  <c r="CE467" i="10" s="1"/>
  <c r="CB467" i="10"/>
  <c r="CC467" i="10" s="1"/>
  <c r="CD466" i="10"/>
  <c r="CE466" i="10" s="1"/>
  <c r="CB466" i="10"/>
  <c r="CC466" i="10" s="1"/>
  <c r="CD465" i="10"/>
  <c r="CE465" i="10" s="1"/>
  <c r="CB465" i="10"/>
  <c r="CC465" i="10" s="1"/>
  <c r="CD464" i="10"/>
  <c r="CE464" i="10" s="1"/>
  <c r="CB464" i="10"/>
  <c r="CC464" i="10" s="1"/>
  <c r="CD463" i="10"/>
  <c r="CE463" i="10" s="1"/>
  <c r="CB463" i="10"/>
  <c r="CC463" i="10" s="1"/>
  <c r="CD462" i="10"/>
  <c r="CE462" i="10" s="1"/>
  <c r="CB462" i="10"/>
  <c r="CC462" i="10" s="1"/>
  <c r="CD461" i="10"/>
  <c r="CE461" i="10" s="1"/>
  <c r="CB461" i="10"/>
  <c r="CC461" i="10" s="1"/>
  <c r="CD460" i="10"/>
  <c r="CE460" i="10" s="1"/>
  <c r="CB460" i="10"/>
  <c r="CC460" i="10" s="1"/>
  <c r="CD459" i="10"/>
  <c r="CE459" i="10" s="1"/>
  <c r="CB459" i="10"/>
  <c r="CC459" i="10" s="1"/>
  <c r="CD458" i="10"/>
  <c r="CE458" i="10" s="1"/>
  <c r="CB458" i="10"/>
  <c r="CC458" i="10" s="1"/>
  <c r="CD457" i="10"/>
  <c r="CE457" i="10" s="1"/>
  <c r="CB457" i="10"/>
  <c r="CC457" i="10" s="1"/>
  <c r="CD456" i="10"/>
  <c r="CE456" i="10" s="1"/>
  <c r="CB456" i="10"/>
  <c r="CC456" i="10" s="1"/>
  <c r="CD455" i="10"/>
  <c r="CE455" i="10" s="1"/>
  <c r="CB455" i="10"/>
  <c r="CC455" i="10" s="1"/>
  <c r="CD454" i="10"/>
  <c r="CE454" i="10" s="1"/>
  <c r="CB454" i="10"/>
  <c r="CC454" i="10" s="1"/>
  <c r="CD453" i="10"/>
  <c r="CE453" i="10" s="1"/>
  <c r="CB453" i="10"/>
  <c r="CC453" i="10" s="1"/>
  <c r="CD452" i="10"/>
  <c r="CE452" i="10" s="1"/>
  <c r="CB452" i="10"/>
  <c r="CC452" i="10" s="1"/>
  <c r="CD451" i="10"/>
  <c r="CE451" i="10" s="1"/>
  <c r="CB451" i="10"/>
  <c r="CC451" i="10" s="1"/>
  <c r="CD450" i="10"/>
  <c r="CE450" i="10" s="1"/>
  <c r="CB450" i="10"/>
  <c r="CC450" i="10" s="1"/>
  <c r="CD449" i="10"/>
  <c r="CE449" i="10" s="1"/>
  <c r="CB449" i="10"/>
  <c r="CC449" i="10" s="1"/>
  <c r="CD448" i="10"/>
  <c r="CE448" i="10" s="1"/>
  <c r="CB448" i="10"/>
  <c r="CC448" i="10" s="1"/>
  <c r="CD447" i="10"/>
  <c r="CE447" i="10" s="1"/>
  <c r="CB447" i="10"/>
  <c r="CC447" i="10" s="1"/>
  <c r="CD446" i="10"/>
  <c r="CE446" i="10" s="1"/>
  <c r="CB446" i="10"/>
  <c r="CC446" i="10" s="1"/>
  <c r="CD445" i="10"/>
  <c r="CE445" i="10" s="1"/>
  <c r="CB445" i="10"/>
  <c r="CC445" i="10" s="1"/>
  <c r="CD444" i="10"/>
  <c r="CE444" i="10" s="1"/>
  <c r="CB444" i="10"/>
  <c r="CC444" i="10" s="1"/>
  <c r="CD443" i="10"/>
  <c r="CE443" i="10" s="1"/>
  <c r="CB443" i="10"/>
  <c r="CC443" i="10" s="1"/>
  <c r="CD442" i="10"/>
  <c r="CE442" i="10" s="1"/>
  <c r="CB442" i="10"/>
  <c r="CC442" i="10" s="1"/>
  <c r="CD441" i="10"/>
  <c r="CE441" i="10" s="1"/>
  <c r="CB441" i="10"/>
  <c r="CC441" i="10" s="1"/>
  <c r="CD440" i="10"/>
  <c r="CE440" i="10" s="1"/>
  <c r="CB440" i="10"/>
  <c r="CC440" i="10" s="1"/>
  <c r="CD439" i="10"/>
  <c r="CE439" i="10" s="1"/>
  <c r="CB439" i="10"/>
  <c r="CC439" i="10" s="1"/>
  <c r="CD438" i="10"/>
  <c r="CE438" i="10" s="1"/>
  <c r="CB438" i="10"/>
  <c r="CC438" i="10" s="1"/>
  <c r="CD437" i="10"/>
  <c r="CE437" i="10" s="1"/>
  <c r="CB437" i="10"/>
  <c r="CC437" i="10" s="1"/>
  <c r="CD436" i="10"/>
  <c r="CE436" i="10" s="1"/>
  <c r="CB436" i="10"/>
  <c r="CC436" i="10" s="1"/>
  <c r="CD435" i="10"/>
  <c r="CE435" i="10" s="1"/>
  <c r="CB435" i="10"/>
  <c r="CC435" i="10" s="1"/>
  <c r="CD434" i="10"/>
  <c r="CE434" i="10" s="1"/>
  <c r="CB434" i="10"/>
  <c r="CC434" i="10" s="1"/>
  <c r="CD433" i="10"/>
  <c r="CE433" i="10" s="1"/>
  <c r="CB433" i="10"/>
  <c r="CC433" i="10" s="1"/>
  <c r="CD432" i="10"/>
  <c r="CE432" i="10" s="1"/>
  <c r="CB432" i="10"/>
  <c r="CC432" i="10" s="1"/>
  <c r="CD431" i="10"/>
  <c r="CE431" i="10" s="1"/>
  <c r="CB431" i="10"/>
  <c r="CC431" i="10" s="1"/>
  <c r="CD430" i="10"/>
  <c r="CE430" i="10" s="1"/>
  <c r="CB430" i="10"/>
  <c r="CC430" i="10" s="1"/>
  <c r="CD429" i="10"/>
  <c r="CE429" i="10" s="1"/>
  <c r="CB429" i="10"/>
  <c r="CC429" i="10" s="1"/>
  <c r="CD428" i="10"/>
  <c r="CE428" i="10" s="1"/>
  <c r="CB428" i="10"/>
  <c r="CC428" i="10" s="1"/>
  <c r="CD427" i="10"/>
  <c r="CE427" i="10" s="1"/>
  <c r="CB427" i="10"/>
  <c r="CC427" i="10" s="1"/>
  <c r="CD426" i="10"/>
  <c r="CE426" i="10" s="1"/>
  <c r="CB426" i="10"/>
  <c r="CC426" i="10" s="1"/>
  <c r="CD425" i="10"/>
  <c r="CE425" i="10" s="1"/>
  <c r="CB425" i="10"/>
  <c r="CC425" i="10" s="1"/>
  <c r="CD424" i="10"/>
  <c r="CE424" i="10" s="1"/>
  <c r="CB424" i="10"/>
  <c r="CC424" i="10" s="1"/>
  <c r="CD423" i="10"/>
  <c r="CE423" i="10" s="1"/>
  <c r="CB423" i="10"/>
  <c r="CC423" i="10" s="1"/>
  <c r="CD422" i="10"/>
  <c r="CE422" i="10" s="1"/>
  <c r="CB422" i="10"/>
  <c r="CC422" i="10" s="1"/>
  <c r="CD421" i="10"/>
  <c r="CE421" i="10" s="1"/>
  <c r="CB421" i="10"/>
  <c r="CC421" i="10" s="1"/>
  <c r="CD420" i="10"/>
  <c r="CE420" i="10" s="1"/>
  <c r="CB420" i="10"/>
  <c r="CC420" i="10" s="1"/>
  <c r="CD419" i="10"/>
  <c r="CE419" i="10" s="1"/>
  <c r="CB419" i="10"/>
  <c r="CC419" i="10" s="1"/>
  <c r="CD418" i="10"/>
  <c r="CE418" i="10" s="1"/>
  <c r="CB418" i="10"/>
  <c r="CC418" i="10" s="1"/>
  <c r="CD417" i="10"/>
  <c r="CE417" i="10" s="1"/>
  <c r="CB417" i="10"/>
  <c r="CC417" i="10" s="1"/>
  <c r="CD416" i="10"/>
  <c r="CE416" i="10" s="1"/>
  <c r="CB416" i="10"/>
  <c r="CC416" i="10" s="1"/>
  <c r="CD415" i="10"/>
  <c r="CE415" i="10" s="1"/>
  <c r="CB415" i="10"/>
  <c r="CC415" i="10" s="1"/>
  <c r="CD414" i="10"/>
  <c r="CE414" i="10" s="1"/>
  <c r="CB414" i="10"/>
  <c r="CC414" i="10" s="1"/>
  <c r="CD413" i="10"/>
  <c r="CE413" i="10" s="1"/>
  <c r="CB413" i="10"/>
  <c r="CC413" i="10" s="1"/>
  <c r="CD412" i="10"/>
  <c r="CE412" i="10" s="1"/>
  <c r="CB412" i="10"/>
  <c r="CC412" i="10" s="1"/>
  <c r="CD411" i="10"/>
  <c r="CE411" i="10" s="1"/>
  <c r="CB411" i="10"/>
  <c r="CC411" i="10" s="1"/>
  <c r="CD410" i="10"/>
  <c r="CE410" i="10" s="1"/>
  <c r="CB410" i="10"/>
  <c r="CC410" i="10" s="1"/>
  <c r="CD409" i="10"/>
  <c r="CE409" i="10" s="1"/>
  <c r="CB409" i="10"/>
  <c r="CC409" i="10" s="1"/>
  <c r="CD408" i="10"/>
  <c r="CE408" i="10" s="1"/>
  <c r="CB408" i="10"/>
  <c r="CC408" i="10" s="1"/>
  <c r="CD407" i="10"/>
  <c r="CE407" i="10" s="1"/>
  <c r="CB407" i="10"/>
  <c r="CC407" i="10" s="1"/>
  <c r="CD406" i="10"/>
  <c r="CE406" i="10" s="1"/>
  <c r="CB406" i="10"/>
  <c r="CC406" i="10" s="1"/>
  <c r="CD405" i="10"/>
  <c r="CE405" i="10" s="1"/>
  <c r="CB405" i="10"/>
  <c r="CC405" i="10" s="1"/>
  <c r="CD404" i="10"/>
  <c r="CE404" i="10" s="1"/>
  <c r="CB404" i="10"/>
  <c r="CC404" i="10" s="1"/>
  <c r="CD403" i="10"/>
  <c r="CE403" i="10" s="1"/>
  <c r="CB403" i="10"/>
  <c r="CC403" i="10" s="1"/>
  <c r="CD402" i="10"/>
  <c r="CE402" i="10" s="1"/>
  <c r="CB402" i="10"/>
  <c r="CC402" i="10" s="1"/>
  <c r="CD401" i="10"/>
  <c r="CE401" i="10" s="1"/>
  <c r="CB401" i="10"/>
  <c r="CC401" i="10" s="1"/>
  <c r="CD400" i="10"/>
  <c r="CE400" i="10" s="1"/>
  <c r="CB400" i="10"/>
  <c r="CC400" i="10" s="1"/>
  <c r="CD399" i="10"/>
  <c r="CE399" i="10" s="1"/>
  <c r="CB399" i="10"/>
  <c r="CC399" i="10" s="1"/>
  <c r="CD398" i="10"/>
  <c r="CE398" i="10" s="1"/>
  <c r="CB398" i="10"/>
  <c r="CC398" i="10" s="1"/>
  <c r="CD397" i="10"/>
  <c r="CE397" i="10" s="1"/>
  <c r="CB397" i="10"/>
  <c r="CC397" i="10" s="1"/>
  <c r="CD396" i="10"/>
  <c r="CE396" i="10" s="1"/>
  <c r="CB396" i="10"/>
  <c r="CC396" i="10" s="1"/>
  <c r="CD395" i="10"/>
  <c r="CE395" i="10" s="1"/>
  <c r="CB395" i="10"/>
  <c r="CC395" i="10" s="1"/>
  <c r="CD394" i="10"/>
  <c r="CE394" i="10" s="1"/>
  <c r="CB394" i="10"/>
  <c r="CC394" i="10" s="1"/>
  <c r="CD393" i="10"/>
  <c r="CE393" i="10" s="1"/>
  <c r="CB393" i="10"/>
  <c r="CC393" i="10" s="1"/>
  <c r="CD392" i="10"/>
  <c r="CE392" i="10" s="1"/>
  <c r="CB392" i="10"/>
  <c r="CC392" i="10" s="1"/>
  <c r="CD391" i="10"/>
  <c r="CE391" i="10" s="1"/>
  <c r="CB391" i="10"/>
  <c r="CC391" i="10" s="1"/>
  <c r="CD390" i="10"/>
  <c r="CE390" i="10" s="1"/>
  <c r="CB390" i="10"/>
  <c r="CC390" i="10" s="1"/>
  <c r="CD389" i="10"/>
  <c r="CE389" i="10" s="1"/>
  <c r="CB389" i="10"/>
  <c r="CC389" i="10" s="1"/>
  <c r="CD388" i="10"/>
  <c r="CE388" i="10" s="1"/>
  <c r="CB388" i="10"/>
  <c r="CC388" i="10" s="1"/>
  <c r="CD387" i="10"/>
  <c r="CE387" i="10" s="1"/>
  <c r="CB387" i="10"/>
  <c r="CC387" i="10" s="1"/>
  <c r="CD386" i="10"/>
  <c r="CE386" i="10" s="1"/>
  <c r="CB386" i="10"/>
  <c r="CC386" i="10" s="1"/>
  <c r="CD385" i="10"/>
  <c r="CE385" i="10" s="1"/>
  <c r="CB385" i="10"/>
  <c r="CC385" i="10" s="1"/>
  <c r="CD384" i="10"/>
  <c r="CE384" i="10" s="1"/>
  <c r="CB384" i="10"/>
  <c r="CC384" i="10" s="1"/>
  <c r="CD383" i="10"/>
  <c r="CE383" i="10" s="1"/>
  <c r="CB383" i="10"/>
  <c r="CC383" i="10" s="1"/>
  <c r="CD382" i="10"/>
  <c r="CE382" i="10" s="1"/>
  <c r="CB382" i="10"/>
  <c r="CC382" i="10" s="1"/>
  <c r="CD381" i="10"/>
  <c r="CE381" i="10" s="1"/>
  <c r="CB381" i="10"/>
  <c r="CC381" i="10" s="1"/>
  <c r="CD380" i="10"/>
  <c r="CE380" i="10" s="1"/>
  <c r="CB380" i="10"/>
  <c r="CC380" i="10" s="1"/>
  <c r="CD379" i="10"/>
  <c r="CE379" i="10" s="1"/>
  <c r="CB379" i="10"/>
  <c r="CC379" i="10" s="1"/>
  <c r="CD378" i="10"/>
  <c r="CE378" i="10" s="1"/>
  <c r="CB378" i="10"/>
  <c r="CC378" i="10" s="1"/>
  <c r="CD377" i="10"/>
  <c r="CE377" i="10" s="1"/>
  <c r="CB377" i="10"/>
  <c r="CC377" i="10" s="1"/>
  <c r="CD376" i="10"/>
  <c r="CE376" i="10" s="1"/>
  <c r="CB376" i="10"/>
  <c r="CC376" i="10" s="1"/>
  <c r="CD375" i="10"/>
  <c r="CE375" i="10" s="1"/>
  <c r="CB375" i="10"/>
  <c r="CC375" i="10" s="1"/>
  <c r="CD374" i="10"/>
  <c r="CE374" i="10" s="1"/>
  <c r="CB374" i="10"/>
  <c r="CC374" i="10" s="1"/>
  <c r="CD373" i="10"/>
  <c r="CE373" i="10" s="1"/>
  <c r="CB373" i="10"/>
  <c r="CC373" i="10" s="1"/>
  <c r="CD372" i="10"/>
  <c r="CE372" i="10" s="1"/>
  <c r="CB372" i="10"/>
  <c r="CC372" i="10" s="1"/>
  <c r="CD371" i="10"/>
  <c r="CE371" i="10" s="1"/>
  <c r="CB371" i="10"/>
  <c r="CC371" i="10" s="1"/>
  <c r="CD370" i="10"/>
  <c r="CE370" i="10" s="1"/>
  <c r="CB370" i="10"/>
  <c r="CC370" i="10" s="1"/>
  <c r="CD369" i="10"/>
  <c r="CE369" i="10" s="1"/>
  <c r="CB369" i="10"/>
  <c r="CC369" i="10" s="1"/>
  <c r="CD368" i="10"/>
  <c r="CE368" i="10" s="1"/>
  <c r="CB368" i="10"/>
  <c r="CC368" i="10" s="1"/>
  <c r="CD367" i="10"/>
  <c r="CE367" i="10" s="1"/>
  <c r="CB367" i="10"/>
  <c r="CC367" i="10" s="1"/>
  <c r="CD366" i="10"/>
  <c r="CE366" i="10" s="1"/>
  <c r="CB366" i="10"/>
  <c r="CC366" i="10" s="1"/>
  <c r="CD365" i="10"/>
  <c r="CE365" i="10" s="1"/>
  <c r="CB365" i="10"/>
  <c r="CC365" i="10" s="1"/>
  <c r="CD364" i="10"/>
  <c r="CE364" i="10" s="1"/>
  <c r="CB364" i="10"/>
  <c r="CC364" i="10" s="1"/>
  <c r="CD363" i="10"/>
  <c r="CE363" i="10" s="1"/>
  <c r="CB363" i="10"/>
  <c r="CC363" i="10" s="1"/>
  <c r="CD362" i="10"/>
  <c r="CE362" i="10" s="1"/>
  <c r="CB362" i="10"/>
  <c r="CC362" i="10" s="1"/>
  <c r="CD361" i="10"/>
  <c r="CE361" i="10" s="1"/>
  <c r="CB361" i="10"/>
  <c r="CC361" i="10" s="1"/>
  <c r="CD360" i="10"/>
  <c r="CE360" i="10" s="1"/>
  <c r="CB360" i="10"/>
  <c r="CC360" i="10" s="1"/>
  <c r="CD359" i="10"/>
  <c r="CE359" i="10" s="1"/>
  <c r="CB359" i="10"/>
  <c r="CC359" i="10" s="1"/>
  <c r="CD358" i="10"/>
  <c r="CE358" i="10" s="1"/>
  <c r="CB358" i="10"/>
  <c r="CC358" i="10" s="1"/>
  <c r="CD357" i="10"/>
  <c r="CE357" i="10" s="1"/>
  <c r="CB357" i="10"/>
  <c r="CC357" i="10" s="1"/>
  <c r="CD356" i="10"/>
  <c r="CE356" i="10" s="1"/>
  <c r="CB356" i="10"/>
  <c r="CC356" i="10" s="1"/>
  <c r="CD355" i="10"/>
  <c r="CE355" i="10" s="1"/>
  <c r="CB355" i="10"/>
  <c r="CC355" i="10" s="1"/>
  <c r="CD354" i="10"/>
  <c r="CE354" i="10" s="1"/>
  <c r="CB354" i="10"/>
  <c r="CC354" i="10" s="1"/>
  <c r="CD353" i="10"/>
  <c r="CE353" i="10" s="1"/>
  <c r="CB353" i="10"/>
  <c r="CC353" i="10" s="1"/>
  <c r="CD352" i="10"/>
  <c r="CE352" i="10" s="1"/>
  <c r="CB352" i="10"/>
  <c r="CC352" i="10" s="1"/>
  <c r="CD351" i="10"/>
  <c r="CE351" i="10" s="1"/>
  <c r="CB351" i="10"/>
  <c r="CC351" i="10" s="1"/>
  <c r="CD350" i="10"/>
  <c r="CE350" i="10" s="1"/>
  <c r="CB350" i="10"/>
  <c r="CC350" i="10" s="1"/>
  <c r="CD349" i="10"/>
  <c r="CE349" i="10" s="1"/>
  <c r="CB349" i="10"/>
  <c r="CC349" i="10" s="1"/>
  <c r="CD348" i="10"/>
  <c r="CE348" i="10" s="1"/>
  <c r="CB348" i="10"/>
  <c r="CC348" i="10" s="1"/>
  <c r="CD347" i="10"/>
  <c r="CE347" i="10" s="1"/>
  <c r="CB347" i="10"/>
  <c r="CC347" i="10" s="1"/>
  <c r="CD346" i="10"/>
  <c r="CE346" i="10" s="1"/>
  <c r="CB346" i="10"/>
  <c r="CC346" i="10" s="1"/>
  <c r="CD345" i="10"/>
  <c r="CE345" i="10" s="1"/>
  <c r="CB345" i="10"/>
  <c r="CC345" i="10" s="1"/>
  <c r="CD344" i="10"/>
  <c r="CE344" i="10" s="1"/>
  <c r="CB344" i="10"/>
  <c r="CC344" i="10" s="1"/>
  <c r="CD343" i="10"/>
  <c r="CE343" i="10" s="1"/>
  <c r="CB343" i="10"/>
  <c r="CC343" i="10" s="1"/>
  <c r="CD342" i="10"/>
  <c r="CE342" i="10" s="1"/>
  <c r="CB342" i="10"/>
  <c r="CC342" i="10" s="1"/>
  <c r="CD341" i="10"/>
  <c r="CE341" i="10" s="1"/>
  <c r="CB341" i="10"/>
  <c r="CC341" i="10" s="1"/>
  <c r="CD340" i="10"/>
  <c r="CE340" i="10" s="1"/>
  <c r="CB340" i="10"/>
  <c r="CC340" i="10" s="1"/>
  <c r="CD339" i="10"/>
  <c r="CE339" i="10" s="1"/>
  <c r="CB339" i="10"/>
  <c r="CC339" i="10" s="1"/>
  <c r="CD338" i="10"/>
  <c r="CE338" i="10" s="1"/>
  <c r="CB338" i="10"/>
  <c r="CC338" i="10" s="1"/>
  <c r="CD337" i="10"/>
  <c r="CE337" i="10" s="1"/>
  <c r="CB337" i="10"/>
  <c r="CC337" i="10" s="1"/>
  <c r="CD336" i="10"/>
  <c r="CE336" i="10" s="1"/>
  <c r="CB336" i="10"/>
  <c r="CC336" i="10" s="1"/>
  <c r="CD335" i="10"/>
  <c r="CE335" i="10" s="1"/>
  <c r="CB335" i="10"/>
  <c r="CC335" i="10" s="1"/>
  <c r="CD334" i="10"/>
  <c r="CE334" i="10" s="1"/>
  <c r="CB334" i="10"/>
  <c r="CC334" i="10" s="1"/>
  <c r="CD333" i="10"/>
  <c r="CE333" i="10" s="1"/>
  <c r="CB333" i="10"/>
  <c r="CC333" i="10" s="1"/>
  <c r="CD332" i="10"/>
  <c r="CE332" i="10" s="1"/>
  <c r="CB332" i="10"/>
  <c r="CC332" i="10" s="1"/>
  <c r="CD331" i="10"/>
  <c r="CE331" i="10" s="1"/>
  <c r="CB331" i="10"/>
  <c r="CC331" i="10" s="1"/>
  <c r="CD330" i="10"/>
  <c r="CE330" i="10" s="1"/>
  <c r="CB330" i="10"/>
  <c r="CC330" i="10" s="1"/>
  <c r="CD329" i="10"/>
  <c r="CE329" i="10" s="1"/>
  <c r="CB329" i="10"/>
  <c r="CC329" i="10" s="1"/>
  <c r="CD328" i="10"/>
  <c r="CE328" i="10" s="1"/>
  <c r="CB328" i="10"/>
  <c r="CC328" i="10" s="1"/>
  <c r="CD327" i="10"/>
  <c r="CE327" i="10" s="1"/>
  <c r="CB327" i="10"/>
  <c r="CC327" i="10" s="1"/>
  <c r="CD326" i="10"/>
  <c r="CE326" i="10" s="1"/>
  <c r="CB326" i="10"/>
  <c r="CC326" i="10" s="1"/>
  <c r="CD325" i="10"/>
  <c r="CE325" i="10" s="1"/>
  <c r="CB325" i="10"/>
  <c r="CC325" i="10" s="1"/>
  <c r="CD324" i="10"/>
  <c r="CE324" i="10" s="1"/>
  <c r="CB324" i="10"/>
  <c r="CC324" i="10" s="1"/>
  <c r="CD323" i="10"/>
  <c r="CE323" i="10" s="1"/>
  <c r="CB323" i="10"/>
  <c r="CC323" i="10" s="1"/>
  <c r="CD322" i="10"/>
  <c r="CE322" i="10" s="1"/>
  <c r="CB322" i="10"/>
  <c r="CC322" i="10" s="1"/>
  <c r="CD321" i="10"/>
  <c r="CE321" i="10" s="1"/>
  <c r="CB321" i="10"/>
  <c r="CC321" i="10" s="1"/>
  <c r="CD320" i="10"/>
  <c r="CE320" i="10" s="1"/>
  <c r="CB320" i="10"/>
  <c r="CC320" i="10" s="1"/>
  <c r="CD319" i="10"/>
  <c r="CE319" i="10" s="1"/>
  <c r="CB319" i="10"/>
  <c r="CC319" i="10" s="1"/>
  <c r="CD318" i="10"/>
  <c r="CE318" i="10" s="1"/>
  <c r="CB318" i="10"/>
  <c r="CC318" i="10" s="1"/>
  <c r="CD317" i="10"/>
  <c r="CE317" i="10" s="1"/>
  <c r="CB317" i="10"/>
  <c r="CC317" i="10" s="1"/>
  <c r="CD316" i="10"/>
  <c r="CE316" i="10" s="1"/>
  <c r="CB316" i="10"/>
  <c r="CC316" i="10" s="1"/>
  <c r="CD315" i="10"/>
  <c r="CE315" i="10" s="1"/>
  <c r="CB315" i="10"/>
  <c r="CC315" i="10" s="1"/>
  <c r="CD314" i="10"/>
  <c r="CE314" i="10" s="1"/>
  <c r="CB314" i="10"/>
  <c r="CC314" i="10" s="1"/>
  <c r="CD313" i="10"/>
  <c r="CE313" i="10" s="1"/>
  <c r="CB313" i="10"/>
  <c r="CC313" i="10" s="1"/>
  <c r="CD312" i="10"/>
  <c r="CE312" i="10" s="1"/>
  <c r="CB312" i="10"/>
  <c r="CC312" i="10" s="1"/>
  <c r="CD311" i="10"/>
  <c r="CE311" i="10" s="1"/>
  <c r="CB311" i="10"/>
  <c r="CC311" i="10" s="1"/>
  <c r="CD310" i="10"/>
  <c r="CE310" i="10" s="1"/>
  <c r="CB310" i="10"/>
  <c r="CC310" i="10" s="1"/>
  <c r="CD309" i="10"/>
  <c r="CE309" i="10" s="1"/>
  <c r="CB309" i="10"/>
  <c r="CC309" i="10" s="1"/>
  <c r="CD308" i="10"/>
  <c r="CE308" i="10" s="1"/>
  <c r="CB308" i="10"/>
  <c r="CC308" i="10" s="1"/>
  <c r="CD307" i="10"/>
  <c r="CE307" i="10" s="1"/>
  <c r="CB307" i="10"/>
  <c r="CC307" i="10" s="1"/>
  <c r="CD306" i="10"/>
  <c r="CE306" i="10" s="1"/>
  <c r="CB306" i="10"/>
  <c r="CC306" i="10" s="1"/>
  <c r="CD305" i="10"/>
  <c r="CE305" i="10" s="1"/>
  <c r="CB305" i="10"/>
  <c r="CC305" i="10" s="1"/>
  <c r="CD304" i="10"/>
  <c r="CE304" i="10" s="1"/>
  <c r="CB304" i="10"/>
  <c r="CC304" i="10" s="1"/>
  <c r="CD303" i="10"/>
  <c r="CE303" i="10" s="1"/>
  <c r="CB303" i="10"/>
  <c r="CC303" i="10" s="1"/>
  <c r="CD302" i="10"/>
  <c r="CE302" i="10" s="1"/>
  <c r="CB302" i="10"/>
  <c r="CC302" i="10" s="1"/>
  <c r="CD301" i="10"/>
  <c r="CE301" i="10" s="1"/>
  <c r="CB301" i="10"/>
  <c r="CC301" i="10" s="1"/>
  <c r="CD300" i="10"/>
  <c r="CE300" i="10" s="1"/>
  <c r="CB300" i="10"/>
  <c r="CC300" i="10" s="1"/>
  <c r="CD299" i="10"/>
  <c r="CE299" i="10" s="1"/>
  <c r="CB299" i="10"/>
  <c r="CC299" i="10" s="1"/>
  <c r="CD298" i="10"/>
  <c r="CE298" i="10" s="1"/>
  <c r="CB298" i="10"/>
  <c r="CC298" i="10" s="1"/>
  <c r="CD297" i="10"/>
  <c r="CE297" i="10" s="1"/>
  <c r="CB297" i="10"/>
  <c r="CC297" i="10" s="1"/>
  <c r="CD296" i="10"/>
  <c r="CE296" i="10" s="1"/>
  <c r="CB296" i="10"/>
  <c r="CC296" i="10" s="1"/>
  <c r="CD295" i="10"/>
  <c r="CE295" i="10" s="1"/>
  <c r="CB295" i="10"/>
  <c r="CC295" i="10" s="1"/>
  <c r="CD294" i="10"/>
  <c r="CE294" i="10" s="1"/>
  <c r="CB294" i="10"/>
  <c r="CC294" i="10" s="1"/>
  <c r="CD293" i="10"/>
  <c r="CE293" i="10" s="1"/>
  <c r="CB293" i="10"/>
  <c r="CC293" i="10" s="1"/>
  <c r="CD292" i="10"/>
  <c r="CE292" i="10" s="1"/>
  <c r="CB292" i="10"/>
  <c r="CC292" i="10" s="1"/>
  <c r="CD291" i="10"/>
  <c r="CE291" i="10" s="1"/>
  <c r="CB291" i="10"/>
  <c r="CC291" i="10" s="1"/>
  <c r="CD290" i="10"/>
  <c r="CE290" i="10" s="1"/>
  <c r="CB290" i="10"/>
  <c r="CC290" i="10" s="1"/>
  <c r="CD289" i="10"/>
  <c r="CE289" i="10" s="1"/>
  <c r="CB289" i="10"/>
  <c r="CC289" i="10" s="1"/>
  <c r="CD288" i="10"/>
  <c r="CE288" i="10" s="1"/>
  <c r="CB288" i="10"/>
  <c r="CC288" i="10" s="1"/>
  <c r="CD287" i="10"/>
  <c r="CE287" i="10" s="1"/>
  <c r="CB287" i="10"/>
  <c r="CC287" i="10" s="1"/>
  <c r="CD286" i="10"/>
  <c r="CE286" i="10" s="1"/>
  <c r="CB286" i="10"/>
  <c r="CC286" i="10" s="1"/>
  <c r="CD285" i="10"/>
  <c r="CE285" i="10" s="1"/>
  <c r="CB285" i="10"/>
  <c r="CC285" i="10" s="1"/>
  <c r="CD284" i="10"/>
  <c r="CE284" i="10" s="1"/>
  <c r="CB284" i="10"/>
  <c r="CC284" i="10" s="1"/>
  <c r="CD283" i="10"/>
  <c r="CE283" i="10" s="1"/>
  <c r="CB283" i="10"/>
  <c r="CC283" i="10" s="1"/>
  <c r="CD282" i="10"/>
  <c r="CE282" i="10" s="1"/>
  <c r="CB282" i="10"/>
  <c r="CC282" i="10" s="1"/>
  <c r="CD281" i="10"/>
  <c r="CE281" i="10" s="1"/>
  <c r="CB281" i="10"/>
  <c r="CC281" i="10" s="1"/>
  <c r="CD280" i="10"/>
  <c r="CE280" i="10" s="1"/>
  <c r="CB280" i="10"/>
  <c r="CC280" i="10" s="1"/>
  <c r="CD279" i="10"/>
  <c r="CE279" i="10" s="1"/>
  <c r="CB279" i="10"/>
  <c r="CC279" i="10" s="1"/>
  <c r="CD278" i="10"/>
  <c r="CE278" i="10" s="1"/>
  <c r="CB278" i="10"/>
  <c r="CC278" i="10" s="1"/>
  <c r="CD277" i="10"/>
  <c r="CE277" i="10" s="1"/>
  <c r="CB277" i="10"/>
  <c r="CC277" i="10" s="1"/>
  <c r="CD276" i="10"/>
  <c r="CE276" i="10" s="1"/>
  <c r="CB276" i="10"/>
  <c r="CC276" i="10" s="1"/>
  <c r="CD275" i="10"/>
  <c r="CE275" i="10" s="1"/>
  <c r="CB275" i="10"/>
  <c r="CC275" i="10" s="1"/>
  <c r="CD274" i="10"/>
  <c r="CE274" i="10" s="1"/>
  <c r="CB274" i="10"/>
  <c r="CC274" i="10" s="1"/>
  <c r="CD273" i="10"/>
  <c r="CE273" i="10" s="1"/>
  <c r="CB273" i="10"/>
  <c r="CC273" i="10" s="1"/>
  <c r="CD272" i="10"/>
  <c r="CE272" i="10" s="1"/>
  <c r="CB272" i="10"/>
  <c r="CC272" i="10" s="1"/>
  <c r="CD271" i="10"/>
  <c r="CE271" i="10" s="1"/>
  <c r="CB271" i="10"/>
  <c r="CC271" i="10" s="1"/>
  <c r="CD270" i="10"/>
  <c r="CE270" i="10" s="1"/>
  <c r="CB270" i="10"/>
  <c r="CC270" i="10" s="1"/>
  <c r="CD269" i="10"/>
  <c r="CE269" i="10" s="1"/>
  <c r="CB269" i="10"/>
  <c r="CC269" i="10" s="1"/>
  <c r="CD268" i="10"/>
  <c r="CE268" i="10" s="1"/>
  <c r="CB268" i="10"/>
  <c r="CC268" i="10" s="1"/>
  <c r="CD267" i="10"/>
  <c r="CE267" i="10" s="1"/>
  <c r="CB267" i="10"/>
  <c r="CC267" i="10" s="1"/>
  <c r="CD266" i="10"/>
  <c r="CE266" i="10" s="1"/>
  <c r="CB266" i="10"/>
  <c r="CC266" i="10" s="1"/>
  <c r="CD265" i="10"/>
  <c r="CE265" i="10" s="1"/>
  <c r="CB265" i="10"/>
  <c r="CC265" i="10" s="1"/>
  <c r="CD264" i="10"/>
  <c r="CE264" i="10" s="1"/>
  <c r="CB264" i="10"/>
  <c r="CC264" i="10" s="1"/>
  <c r="CD263" i="10"/>
  <c r="CE263" i="10" s="1"/>
  <c r="CB263" i="10"/>
  <c r="CC263" i="10" s="1"/>
  <c r="CD262" i="10"/>
  <c r="CE262" i="10" s="1"/>
  <c r="CB262" i="10"/>
  <c r="CC262" i="10" s="1"/>
  <c r="CD261" i="10"/>
  <c r="CE261" i="10" s="1"/>
  <c r="CB261" i="10"/>
  <c r="CC261" i="10" s="1"/>
  <c r="CD260" i="10"/>
  <c r="CE260" i="10" s="1"/>
  <c r="CB260" i="10"/>
  <c r="CC260" i="10" s="1"/>
  <c r="CD259" i="10"/>
  <c r="CE259" i="10" s="1"/>
  <c r="CB259" i="10"/>
  <c r="CC259" i="10" s="1"/>
  <c r="CD258" i="10"/>
  <c r="CE258" i="10" s="1"/>
  <c r="CB258" i="10"/>
  <c r="CC258" i="10" s="1"/>
  <c r="CD257" i="10"/>
  <c r="CE257" i="10" s="1"/>
  <c r="CB257" i="10"/>
  <c r="CC257" i="10" s="1"/>
  <c r="CD256" i="10"/>
  <c r="CE256" i="10" s="1"/>
  <c r="CB256" i="10"/>
  <c r="CC256" i="10" s="1"/>
  <c r="CD255" i="10"/>
  <c r="CE255" i="10" s="1"/>
  <c r="CB255" i="10"/>
  <c r="CC255" i="10" s="1"/>
  <c r="CD254" i="10"/>
  <c r="CE254" i="10" s="1"/>
  <c r="CB254" i="10"/>
  <c r="CC254" i="10" s="1"/>
  <c r="CD253" i="10"/>
  <c r="CE253" i="10" s="1"/>
  <c r="CB253" i="10"/>
  <c r="CC253" i="10" s="1"/>
  <c r="CD252" i="10"/>
  <c r="CE252" i="10" s="1"/>
  <c r="CB252" i="10"/>
  <c r="CC252" i="10" s="1"/>
  <c r="CD251" i="10"/>
  <c r="CE251" i="10" s="1"/>
  <c r="CB251" i="10"/>
  <c r="CC251" i="10" s="1"/>
  <c r="CD250" i="10"/>
  <c r="CE250" i="10" s="1"/>
  <c r="CB250" i="10"/>
  <c r="CC250" i="10" s="1"/>
  <c r="CD249" i="10"/>
  <c r="CE249" i="10" s="1"/>
  <c r="CB249" i="10"/>
  <c r="CC249" i="10" s="1"/>
  <c r="CD248" i="10"/>
  <c r="CE248" i="10" s="1"/>
  <c r="CB248" i="10"/>
  <c r="CC248" i="10" s="1"/>
  <c r="CD247" i="10"/>
  <c r="CE247" i="10" s="1"/>
  <c r="CB247" i="10"/>
  <c r="CC247" i="10" s="1"/>
  <c r="CD246" i="10"/>
  <c r="CE246" i="10" s="1"/>
  <c r="CB246" i="10"/>
  <c r="CC246" i="10" s="1"/>
  <c r="CD245" i="10"/>
  <c r="CE245" i="10" s="1"/>
  <c r="CB245" i="10"/>
  <c r="CC245" i="10" s="1"/>
  <c r="CD244" i="10"/>
  <c r="CE244" i="10" s="1"/>
  <c r="CB244" i="10"/>
  <c r="CC244" i="10" s="1"/>
  <c r="CD243" i="10"/>
  <c r="CE243" i="10" s="1"/>
  <c r="CB243" i="10"/>
  <c r="CC243" i="10" s="1"/>
  <c r="CD242" i="10"/>
  <c r="CE242" i="10" s="1"/>
  <c r="CB242" i="10"/>
  <c r="CC242" i="10" s="1"/>
  <c r="CD241" i="10"/>
  <c r="CE241" i="10" s="1"/>
  <c r="CB241" i="10"/>
  <c r="CC241" i="10" s="1"/>
  <c r="CD240" i="10"/>
  <c r="CE240" i="10" s="1"/>
  <c r="CB240" i="10"/>
  <c r="CC240" i="10" s="1"/>
  <c r="CD239" i="10"/>
  <c r="CE239" i="10" s="1"/>
  <c r="CB239" i="10"/>
  <c r="CC239" i="10" s="1"/>
  <c r="CD238" i="10"/>
  <c r="CE238" i="10" s="1"/>
  <c r="CB238" i="10"/>
  <c r="CC238" i="10" s="1"/>
  <c r="CD237" i="10"/>
  <c r="CE237" i="10" s="1"/>
  <c r="CB237" i="10"/>
  <c r="CC237" i="10" s="1"/>
  <c r="CD236" i="10"/>
  <c r="CE236" i="10" s="1"/>
  <c r="CB236" i="10"/>
  <c r="CC236" i="10" s="1"/>
  <c r="CD235" i="10"/>
  <c r="CE235" i="10" s="1"/>
  <c r="CB235" i="10"/>
  <c r="CC235" i="10" s="1"/>
  <c r="CD234" i="10"/>
  <c r="CE234" i="10" s="1"/>
  <c r="CB234" i="10"/>
  <c r="CC234" i="10" s="1"/>
  <c r="CD233" i="10"/>
  <c r="CE233" i="10" s="1"/>
  <c r="CB233" i="10"/>
  <c r="CC233" i="10" s="1"/>
  <c r="CD232" i="10"/>
  <c r="CE232" i="10" s="1"/>
  <c r="CB232" i="10"/>
  <c r="CC232" i="10" s="1"/>
  <c r="CD231" i="10"/>
  <c r="CE231" i="10" s="1"/>
  <c r="CB231" i="10"/>
  <c r="CC231" i="10" s="1"/>
  <c r="CD230" i="10"/>
  <c r="CE230" i="10" s="1"/>
  <c r="CB230" i="10"/>
  <c r="CC230" i="10" s="1"/>
  <c r="CD229" i="10"/>
  <c r="CE229" i="10" s="1"/>
  <c r="CB229" i="10"/>
  <c r="CC229" i="10" s="1"/>
  <c r="CD228" i="10"/>
  <c r="CE228" i="10" s="1"/>
  <c r="CB228" i="10"/>
  <c r="CC228" i="10" s="1"/>
  <c r="CD227" i="10"/>
  <c r="CE227" i="10" s="1"/>
  <c r="CB227" i="10"/>
  <c r="CC227" i="10" s="1"/>
  <c r="CD226" i="10"/>
  <c r="CE226" i="10" s="1"/>
  <c r="CB226" i="10"/>
  <c r="CC226" i="10" s="1"/>
  <c r="CD225" i="10"/>
  <c r="CE225" i="10" s="1"/>
  <c r="CB225" i="10"/>
  <c r="CC225" i="10" s="1"/>
  <c r="CD224" i="10"/>
  <c r="CE224" i="10" s="1"/>
  <c r="CB224" i="10"/>
  <c r="CC224" i="10" s="1"/>
  <c r="CD223" i="10"/>
  <c r="CE223" i="10" s="1"/>
  <c r="CB223" i="10"/>
  <c r="CC223" i="10" s="1"/>
  <c r="CD222" i="10"/>
  <c r="CE222" i="10" s="1"/>
  <c r="CB222" i="10"/>
  <c r="CC222" i="10" s="1"/>
  <c r="CD221" i="10"/>
  <c r="CE221" i="10" s="1"/>
  <c r="CB221" i="10"/>
  <c r="CC221" i="10" s="1"/>
  <c r="CD220" i="10"/>
  <c r="CE220" i="10" s="1"/>
  <c r="CB220" i="10"/>
  <c r="CC220" i="10" s="1"/>
  <c r="CD219" i="10"/>
  <c r="CE219" i="10" s="1"/>
  <c r="CB219" i="10"/>
  <c r="CC219" i="10" s="1"/>
  <c r="CD218" i="10"/>
  <c r="CE218" i="10" s="1"/>
  <c r="CB218" i="10"/>
  <c r="CC218" i="10" s="1"/>
  <c r="CD217" i="10"/>
  <c r="CE217" i="10" s="1"/>
  <c r="CB217" i="10"/>
  <c r="CC217" i="10" s="1"/>
  <c r="CD216" i="10"/>
  <c r="CE216" i="10" s="1"/>
  <c r="CB216" i="10"/>
  <c r="CC216" i="10" s="1"/>
  <c r="CD215" i="10"/>
  <c r="CE215" i="10" s="1"/>
  <c r="CB215" i="10"/>
  <c r="CC215" i="10" s="1"/>
  <c r="CD214" i="10"/>
  <c r="CE214" i="10" s="1"/>
  <c r="CB214" i="10"/>
  <c r="CC214" i="10" s="1"/>
  <c r="CD213" i="10"/>
  <c r="CE213" i="10" s="1"/>
  <c r="CB213" i="10"/>
  <c r="CC213" i="10" s="1"/>
  <c r="CD212" i="10"/>
  <c r="CE212" i="10" s="1"/>
  <c r="CB212" i="10"/>
  <c r="CC212" i="10" s="1"/>
  <c r="CD211" i="10"/>
  <c r="CE211" i="10" s="1"/>
  <c r="CB211" i="10"/>
  <c r="CC211" i="10" s="1"/>
  <c r="CD210" i="10"/>
  <c r="CE210" i="10" s="1"/>
  <c r="CB210" i="10"/>
  <c r="CC210" i="10" s="1"/>
  <c r="CD209" i="10"/>
  <c r="CE209" i="10" s="1"/>
  <c r="CB209" i="10"/>
  <c r="CC209" i="10" s="1"/>
  <c r="CD208" i="10"/>
  <c r="CE208" i="10" s="1"/>
  <c r="CB208" i="10"/>
  <c r="CC208" i="10" s="1"/>
  <c r="CD207" i="10"/>
  <c r="CE207" i="10" s="1"/>
  <c r="CB207" i="10"/>
  <c r="CC207" i="10" s="1"/>
  <c r="CD206" i="10"/>
  <c r="CE206" i="10" s="1"/>
  <c r="CB206" i="10"/>
  <c r="CC206" i="10" s="1"/>
  <c r="CD205" i="10"/>
  <c r="CE205" i="10" s="1"/>
  <c r="CB205" i="10"/>
  <c r="CC205" i="10" s="1"/>
  <c r="CD204" i="10"/>
  <c r="CE204" i="10" s="1"/>
  <c r="CB204" i="10"/>
  <c r="CC204" i="10" s="1"/>
  <c r="CF203" i="10"/>
  <c r="CG203" i="10" s="1"/>
  <c r="CD203" i="10"/>
  <c r="CE203" i="10" s="1"/>
  <c r="CB203" i="10"/>
  <c r="CC203" i="10" s="1"/>
  <c r="BH203" i="10"/>
  <c r="BG203" i="10"/>
  <c r="BF203" i="10"/>
  <c r="BE203" i="10"/>
  <c r="BD203" i="10"/>
  <c r="BC203" i="10"/>
  <c r="BB203" i="10"/>
  <c r="BA203" i="10"/>
  <c r="AK203" i="10"/>
  <c r="AH203" i="10"/>
  <c r="AG203" i="10"/>
  <c r="AF203" i="10"/>
  <c r="AI203" i="10" s="1"/>
  <c r="AJ203" i="10" s="1"/>
  <c r="CF202" i="10"/>
  <c r="CG202" i="10" s="1"/>
  <c r="CD202" i="10"/>
  <c r="CE202" i="10" s="1"/>
  <c r="CB202" i="10"/>
  <c r="CC202" i="10" s="1"/>
  <c r="BH202" i="10"/>
  <c r="BG202" i="10"/>
  <c r="BF202" i="10"/>
  <c r="BE202" i="10"/>
  <c r="BD202" i="10"/>
  <c r="BC202" i="10"/>
  <c r="BB202" i="10"/>
  <c r="BA202" i="10"/>
  <c r="AK202" i="10"/>
  <c r="AH202" i="10"/>
  <c r="AG202" i="10"/>
  <c r="AF202" i="10"/>
  <c r="AI202" i="10" s="1"/>
  <c r="AJ202" i="10" s="1"/>
  <c r="CF201" i="10"/>
  <c r="CG201" i="10" s="1"/>
  <c r="CD201" i="10"/>
  <c r="CE201" i="10" s="1"/>
  <c r="CB201" i="10"/>
  <c r="CC201" i="10" s="1"/>
  <c r="BH201" i="10"/>
  <c r="BG201" i="10"/>
  <c r="BF201" i="10"/>
  <c r="BE201" i="10"/>
  <c r="BD201" i="10"/>
  <c r="BC201" i="10"/>
  <c r="BB201" i="10"/>
  <c r="BA201" i="10"/>
  <c r="AK201" i="10"/>
  <c r="AH201" i="10"/>
  <c r="AG201" i="10"/>
  <c r="AF201" i="10"/>
  <c r="AI201" i="10" s="1"/>
  <c r="AJ201" i="10" s="1"/>
  <c r="CF200" i="10"/>
  <c r="CG200" i="10" s="1"/>
  <c r="CD200" i="10"/>
  <c r="CE200" i="10" s="1"/>
  <c r="CB200" i="10"/>
  <c r="CC200" i="10" s="1"/>
  <c r="BH200" i="10"/>
  <c r="BG200" i="10"/>
  <c r="BF200" i="10"/>
  <c r="BE200" i="10"/>
  <c r="BD200" i="10"/>
  <c r="BC200" i="10"/>
  <c r="BB200" i="10"/>
  <c r="BA200" i="10"/>
  <c r="AK200" i="10"/>
  <c r="AH200" i="10"/>
  <c r="AG200" i="10"/>
  <c r="AF200" i="10"/>
  <c r="AI200" i="10" s="1"/>
  <c r="AJ200" i="10" s="1"/>
  <c r="CF199" i="10"/>
  <c r="CG199" i="10" s="1"/>
  <c r="CD199" i="10"/>
  <c r="CE199" i="10" s="1"/>
  <c r="CB199" i="10"/>
  <c r="CC199" i="10" s="1"/>
  <c r="BH199" i="10"/>
  <c r="BG199" i="10"/>
  <c r="BF199" i="10"/>
  <c r="BE199" i="10"/>
  <c r="BD199" i="10"/>
  <c r="BC199" i="10"/>
  <c r="BB199" i="10"/>
  <c r="BA199" i="10"/>
  <c r="AK199" i="10"/>
  <c r="AH199" i="10"/>
  <c r="AG199" i="10"/>
  <c r="AF199" i="10"/>
  <c r="AI199" i="10" s="1"/>
  <c r="AJ199" i="10" s="1"/>
  <c r="CF198" i="10"/>
  <c r="CG198" i="10" s="1"/>
  <c r="CD198" i="10"/>
  <c r="CE198" i="10" s="1"/>
  <c r="CB198" i="10"/>
  <c r="CC198" i="10" s="1"/>
  <c r="BH198" i="10"/>
  <c r="BG198" i="10"/>
  <c r="BF198" i="10"/>
  <c r="BE198" i="10"/>
  <c r="BD198" i="10"/>
  <c r="BC198" i="10"/>
  <c r="BB198" i="10"/>
  <c r="BA198" i="10"/>
  <c r="AK198" i="10"/>
  <c r="AH198" i="10"/>
  <c r="AG198" i="10"/>
  <c r="AF198" i="10"/>
  <c r="AI198" i="10" s="1"/>
  <c r="CF197" i="10"/>
  <c r="CG197" i="10" s="1"/>
  <c r="CD197" i="10"/>
  <c r="CE197" i="10" s="1"/>
  <c r="CB197" i="10"/>
  <c r="CC197" i="10" s="1"/>
  <c r="BH197" i="10"/>
  <c r="BG197" i="10"/>
  <c r="BF197" i="10"/>
  <c r="BE197" i="10"/>
  <c r="BD197" i="10"/>
  <c r="BC197" i="10"/>
  <c r="BB197" i="10"/>
  <c r="BA197" i="10"/>
  <c r="AK197" i="10"/>
  <c r="AH197" i="10"/>
  <c r="AG197" i="10"/>
  <c r="AF197" i="10"/>
  <c r="AI197" i="10" s="1"/>
  <c r="AJ197" i="10" s="1"/>
  <c r="CF196" i="10"/>
  <c r="CG196" i="10" s="1"/>
  <c r="CD196" i="10"/>
  <c r="CE196" i="10" s="1"/>
  <c r="CB196" i="10"/>
  <c r="CC196" i="10" s="1"/>
  <c r="BH196" i="10"/>
  <c r="BG196" i="10"/>
  <c r="BF196" i="10"/>
  <c r="BE196" i="10"/>
  <c r="BD196" i="10"/>
  <c r="BC196" i="10"/>
  <c r="BB196" i="10"/>
  <c r="BA196" i="10"/>
  <c r="AK196" i="10"/>
  <c r="AH196" i="10"/>
  <c r="AG196" i="10"/>
  <c r="AF196" i="10"/>
  <c r="AI196" i="10" s="1"/>
  <c r="AJ196" i="10" s="1"/>
  <c r="CF195" i="10"/>
  <c r="CG195" i="10" s="1"/>
  <c r="CD195" i="10"/>
  <c r="CE195" i="10" s="1"/>
  <c r="CB195" i="10"/>
  <c r="CC195" i="10" s="1"/>
  <c r="BH195" i="10"/>
  <c r="BG195" i="10"/>
  <c r="BF195" i="10"/>
  <c r="BE195" i="10"/>
  <c r="BD195" i="10"/>
  <c r="BC195" i="10"/>
  <c r="BB195" i="10"/>
  <c r="BA195" i="10"/>
  <c r="AK195" i="10"/>
  <c r="AH195" i="10"/>
  <c r="AG195" i="10"/>
  <c r="AF195" i="10"/>
  <c r="AI195" i="10" s="1"/>
  <c r="AJ195" i="10" s="1"/>
  <c r="CF194" i="10"/>
  <c r="CG194" i="10" s="1"/>
  <c r="CD194" i="10"/>
  <c r="CE194" i="10" s="1"/>
  <c r="CB194" i="10"/>
  <c r="CC194" i="10" s="1"/>
  <c r="BH194" i="10"/>
  <c r="BG194" i="10"/>
  <c r="BF194" i="10"/>
  <c r="BE194" i="10"/>
  <c r="BD194" i="10"/>
  <c r="BC194" i="10"/>
  <c r="BB194" i="10"/>
  <c r="BA194" i="10"/>
  <c r="AK194" i="10"/>
  <c r="AH194" i="10"/>
  <c r="AG194" i="10"/>
  <c r="AF194" i="10"/>
  <c r="AI194" i="10" s="1"/>
  <c r="AJ194" i="10" s="1"/>
  <c r="CF193" i="10"/>
  <c r="CG193" i="10" s="1"/>
  <c r="CD193" i="10"/>
  <c r="CE193" i="10" s="1"/>
  <c r="CB193" i="10"/>
  <c r="CC193" i="10" s="1"/>
  <c r="BH193" i="10"/>
  <c r="BG193" i="10"/>
  <c r="BF193" i="10"/>
  <c r="BE193" i="10"/>
  <c r="BD193" i="10"/>
  <c r="BC193" i="10"/>
  <c r="BB193" i="10"/>
  <c r="BA193" i="10"/>
  <c r="AK193" i="10"/>
  <c r="AH193" i="10"/>
  <c r="AG193" i="10"/>
  <c r="AF193" i="10"/>
  <c r="AI193" i="10" s="1"/>
  <c r="CF192" i="10"/>
  <c r="CG192" i="10" s="1"/>
  <c r="CD192" i="10"/>
  <c r="CE192" i="10" s="1"/>
  <c r="CB192" i="10"/>
  <c r="CC192" i="10" s="1"/>
  <c r="BH192" i="10"/>
  <c r="BG192" i="10"/>
  <c r="BF192" i="10"/>
  <c r="BE192" i="10"/>
  <c r="BD192" i="10"/>
  <c r="BC192" i="10"/>
  <c r="BB192" i="10"/>
  <c r="BA192" i="10"/>
  <c r="AK192" i="10"/>
  <c r="AH192" i="10"/>
  <c r="AG192" i="10"/>
  <c r="AF192" i="10"/>
  <c r="AI192" i="10" s="1"/>
  <c r="CF191" i="10"/>
  <c r="CG191" i="10" s="1"/>
  <c r="CD191" i="10"/>
  <c r="CE191" i="10" s="1"/>
  <c r="CB191" i="10"/>
  <c r="CC191" i="10" s="1"/>
  <c r="BH191" i="10"/>
  <c r="BG191" i="10"/>
  <c r="BF191" i="10"/>
  <c r="BE191" i="10"/>
  <c r="BD191" i="10"/>
  <c r="BC191" i="10"/>
  <c r="BB191" i="10"/>
  <c r="BA191" i="10"/>
  <c r="AK191" i="10"/>
  <c r="AH191" i="10"/>
  <c r="AG191" i="10"/>
  <c r="AF191" i="10"/>
  <c r="AI191" i="10" s="1"/>
  <c r="AJ191" i="10" s="1"/>
  <c r="CF190" i="10"/>
  <c r="CG190" i="10" s="1"/>
  <c r="CD190" i="10"/>
  <c r="CE190" i="10" s="1"/>
  <c r="CB190" i="10"/>
  <c r="CC190" i="10" s="1"/>
  <c r="BH190" i="10"/>
  <c r="BG190" i="10"/>
  <c r="BF190" i="10"/>
  <c r="BE190" i="10"/>
  <c r="BD190" i="10"/>
  <c r="BC190" i="10"/>
  <c r="BB190" i="10"/>
  <c r="BA190" i="10"/>
  <c r="AK190" i="10"/>
  <c r="AH190" i="10"/>
  <c r="AG190" i="10"/>
  <c r="AF190" i="10"/>
  <c r="AI190" i="10" s="1"/>
  <c r="AJ190" i="10" s="1"/>
  <c r="CF189" i="10"/>
  <c r="CG189" i="10" s="1"/>
  <c r="CD189" i="10"/>
  <c r="CE189" i="10" s="1"/>
  <c r="CB189" i="10"/>
  <c r="CC189" i="10" s="1"/>
  <c r="BH189" i="10"/>
  <c r="BG189" i="10"/>
  <c r="BF189" i="10"/>
  <c r="BE189" i="10"/>
  <c r="BD189" i="10"/>
  <c r="BC189" i="10"/>
  <c r="BB189" i="10"/>
  <c r="BA189" i="10"/>
  <c r="AK189" i="10"/>
  <c r="AH189" i="10"/>
  <c r="AG189" i="10"/>
  <c r="AF189" i="10"/>
  <c r="AI189" i="10" s="1"/>
  <c r="AJ189" i="10" s="1"/>
  <c r="CF188" i="10"/>
  <c r="CG188" i="10" s="1"/>
  <c r="CD188" i="10"/>
  <c r="CE188" i="10" s="1"/>
  <c r="CB188" i="10"/>
  <c r="CC188" i="10" s="1"/>
  <c r="BH188" i="10"/>
  <c r="BG188" i="10"/>
  <c r="BF188" i="10"/>
  <c r="BE188" i="10"/>
  <c r="BD188" i="10"/>
  <c r="BC188" i="10"/>
  <c r="BB188" i="10"/>
  <c r="BA188" i="10"/>
  <c r="AK188" i="10"/>
  <c r="AH188" i="10"/>
  <c r="AG188" i="10"/>
  <c r="AF188" i="10"/>
  <c r="AI188" i="10" s="1"/>
  <c r="AJ188" i="10" s="1"/>
  <c r="CF187" i="10"/>
  <c r="CG187" i="10" s="1"/>
  <c r="CD187" i="10"/>
  <c r="CE187" i="10" s="1"/>
  <c r="CB187" i="10"/>
  <c r="CC187" i="10" s="1"/>
  <c r="BH187" i="10"/>
  <c r="BG187" i="10"/>
  <c r="BF187" i="10"/>
  <c r="BE187" i="10"/>
  <c r="BD187" i="10"/>
  <c r="BC187" i="10"/>
  <c r="BB187" i="10"/>
  <c r="BA187" i="10"/>
  <c r="AK187" i="10"/>
  <c r="AH187" i="10"/>
  <c r="AG187" i="10"/>
  <c r="AF187" i="10"/>
  <c r="AI187" i="10" s="1"/>
  <c r="CF186" i="10"/>
  <c r="CG186" i="10" s="1"/>
  <c r="CD186" i="10"/>
  <c r="CE186" i="10" s="1"/>
  <c r="CB186" i="10"/>
  <c r="CC186" i="10" s="1"/>
  <c r="BH186" i="10"/>
  <c r="BG186" i="10"/>
  <c r="BF186" i="10"/>
  <c r="BE186" i="10"/>
  <c r="BD186" i="10"/>
  <c r="BC186" i="10"/>
  <c r="BB186" i="10"/>
  <c r="BA186" i="10"/>
  <c r="AK186" i="10"/>
  <c r="AH186" i="10"/>
  <c r="AG186" i="10"/>
  <c r="AF186" i="10"/>
  <c r="AI186" i="10" s="1"/>
  <c r="AJ186" i="10" s="1"/>
  <c r="CF185" i="10"/>
  <c r="CG185" i="10" s="1"/>
  <c r="CD185" i="10"/>
  <c r="CE185" i="10" s="1"/>
  <c r="CB185" i="10"/>
  <c r="CC185" i="10" s="1"/>
  <c r="BH185" i="10"/>
  <c r="BG185" i="10"/>
  <c r="BF185" i="10"/>
  <c r="BE185" i="10"/>
  <c r="BD185" i="10"/>
  <c r="BC185" i="10"/>
  <c r="BB185" i="10"/>
  <c r="BA185" i="10"/>
  <c r="AK185" i="10"/>
  <c r="AH185" i="10"/>
  <c r="AG185" i="10"/>
  <c r="AF185" i="10"/>
  <c r="AI185" i="10" s="1"/>
  <c r="AJ185" i="10" s="1"/>
  <c r="CF184" i="10"/>
  <c r="CG184" i="10" s="1"/>
  <c r="CD184" i="10"/>
  <c r="CE184" i="10" s="1"/>
  <c r="CB184" i="10"/>
  <c r="CC184" i="10" s="1"/>
  <c r="BH184" i="10"/>
  <c r="BG184" i="10"/>
  <c r="BF184" i="10"/>
  <c r="BE184" i="10"/>
  <c r="BD184" i="10"/>
  <c r="BC184" i="10"/>
  <c r="BB184" i="10"/>
  <c r="BA184" i="10"/>
  <c r="AK184" i="10"/>
  <c r="AH184" i="10"/>
  <c r="AG184" i="10"/>
  <c r="AF184" i="10"/>
  <c r="AI184" i="10" s="1"/>
  <c r="CF183" i="10"/>
  <c r="CG183" i="10" s="1"/>
  <c r="CD183" i="10"/>
  <c r="CE183" i="10" s="1"/>
  <c r="CB183" i="10"/>
  <c r="CC183" i="10" s="1"/>
  <c r="BH183" i="10"/>
  <c r="BG183" i="10"/>
  <c r="BF183" i="10"/>
  <c r="BE183" i="10"/>
  <c r="BD183" i="10"/>
  <c r="BC183" i="10"/>
  <c r="BB183" i="10"/>
  <c r="BA183" i="10"/>
  <c r="AK183" i="10"/>
  <c r="AH183" i="10"/>
  <c r="AG183" i="10"/>
  <c r="AF183" i="10"/>
  <c r="AI183" i="10" s="1"/>
  <c r="AJ183" i="10" s="1"/>
  <c r="CF182" i="10"/>
  <c r="CG182" i="10" s="1"/>
  <c r="CD182" i="10"/>
  <c r="CE182" i="10" s="1"/>
  <c r="CB182" i="10"/>
  <c r="CC182" i="10" s="1"/>
  <c r="BH182" i="10"/>
  <c r="BG182" i="10"/>
  <c r="BF182" i="10"/>
  <c r="BE182" i="10"/>
  <c r="BD182" i="10"/>
  <c r="BC182" i="10"/>
  <c r="BB182" i="10"/>
  <c r="BA182" i="10"/>
  <c r="AK182" i="10"/>
  <c r="AH182" i="10"/>
  <c r="AG182" i="10"/>
  <c r="AF182" i="10"/>
  <c r="AI182" i="10" s="1"/>
  <c r="AJ182" i="10" s="1"/>
  <c r="CF181" i="10"/>
  <c r="CG181" i="10" s="1"/>
  <c r="CD181" i="10"/>
  <c r="CE181" i="10" s="1"/>
  <c r="CB181" i="10"/>
  <c r="CC181" i="10" s="1"/>
  <c r="BH181" i="10"/>
  <c r="BG181" i="10"/>
  <c r="BF181" i="10"/>
  <c r="BE181" i="10"/>
  <c r="BD181" i="10"/>
  <c r="BC181" i="10"/>
  <c r="BB181" i="10"/>
  <c r="BA181" i="10"/>
  <c r="AK181" i="10"/>
  <c r="AH181" i="10"/>
  <c r="AG181" i="10"/>
  <c r="AF181" i="10"/>
  <c r="AI181" i="10" s="1"/>
  <c r="CF180" i="10"/>
  <c r="CG180" i="10" s="1"/>
  <c r="CD180" i="10"/>
  <c r="CE180" i="10" s="1"/>
  <c r="CB180" i="10"/>
  <c r="CC180" i="10" s="1"/>
  <c r="BH180" i="10"/>
  <c r="BG180" i="10"/>
  <c r="BF180" i="10"/>
  <c r="BE180" i="10"/>
  <c r="BD180" i="10"/>
  <c r="BC180" i="10"/>
  <c r="BB180" i="10"/>
  <c r="BA180" i="10"/>
  <c r="AK180" i="10"/>
  <c r="AH180" i="10"/>
  <c r="AG180" i="10"/>
  <c r="AF180" i="10"/>
  <c r="AI180" i="10" s="1"/>
  <c r="AJ180" i="10" s="1"/>
  <c r="CF179" i="10"/>
  <c r="CG179" i="10" s="1"/>
  <c r="CD179" i="10"/>
  <c r="CE179" i="10" s="1"/>
  <c r="CB179" i="10"/>
  <c r="CC179" i="10" s="1"/>
  <c r="BH179" i="10"/>
  <c r="BG179" i="10"/>
  <c r="BF179" i="10"/>
  <c r="BE179" i="10"/>
  <c r="BD179" i="10"/>
  <c r="BC179" i="10"/>
  <c r="BB179" i="10"/>
  <c r="BA179" i="10"/>
  <c r="AK179" i="10"/>
  <c r="AH179" i="10"/>
  <c r="AG179" i="10"/>
  <c r="AF179" i="10"/>
  <c r="AI179" i="10" s="1"/>
  <c r="AJ179" i="10" s="1"/>
  <c r="CF178" i="10"/>
  <c r="CG178" i="10" s="1"/>
  <c r="CD178" i="10"/>
  <c r="CE178" i="10" s="1"/>
  <c r="CB178" i="10"/>
  <c r="CC178" i="10" s="1"/>
  <c r="BH178" i="10"/>
  <c r="BG178" i="10"/>
  <c r="BF178" i="10"/>
  <c r="BE178" i="10"/>
  <c r="BD178" i="10"/>
  <c r="BC178" i="10"/>
  <c r="BB178" i="10"/>
  <c r="BA178" i="10"/>
  <c r="AK178" i="10"/>
  <c r="AH178" i="10"/>
  <c r="AG178" i="10"/>
  <c r="AF178" i="10"/>
  <c r="AI178" i="10" s="1"/>
  <c r="CF177" i="10"/>
  <c r="CG177" i="10" s="1"/>
  <c r="CD177" i="10"/>
  <c r="CE177" i="10" s="1"/>
  <c r="CB177" i="10"/>
  <c r="CC177" i="10" s="1"/>
  <c r="BH177" i="10"/>
  <c r="BG177" i="10"/>
  <c r="BF177" i="10"/>
  <c r="BE177" i="10"/>
  <c r="BD177" i="10"/>
  <c r="BC177" i="10"/>
  <c r="BB177" i="10"/>
  <c r="BA177" i="10"/>
  <c r="AK177" i="10"/>
  <c r="AH177" i="10"/>
  <c r="AG177" i="10"/>
  <c r="AF177" i="10"/>
  <c r="AI177" i="10" s="1"/>
  <c r="AJ177" i="10" s="1"/>
  <c r="CF176" i="10"/>
  <c r="CG176" i="10" s="1"/>
  <c r="CD176" i="10"/>
  <c r="CE176" i="10" s="1"/>
  <c r="CB176" i="10"/>
  <c r="CC176" i="10" s="1"/>
  <c r="BH176" i="10"/>
  <c r="BG176" i="10"/>
  <c r="BF176" i="10"/>
  <c r="BE176" i="10"/>
  <c r="BD176" i="10"/>
  <c r="BC176" i="10"/>
  <c r="BB176" i="10"/>
  <c r="BA176" i="10"/>
  <c r="AK176" i="10"/>
  <c r="AH176" i="10"/>
  <c r="AG176" i="10"/>
  <c r="AF176" i="10"/>
  <c r="AI176" i="10" s="1"/>
  <c r="AJ176" i="10" s="1"/>
  <c r="CF175" i="10"/>
  <c r="CG175" i="10" s="1"/>
  <c r="CD175" i="10"/>
  <c r="CE175" i="10" s="1"/>
  <c r="CB175" i="10"/>
  <c r="CC175" i="10" s="1"/>
  <c r="BH175" i="10"/>
  <c r="BG175" i="10"/>
  <c r="BF175" i="10"/>
  <c r="BE175" i="10"/>
  <c r="BD175" i="10"/>
  <c r="BC175" i="10"/>
  <c r="BB175" i="10"/>
  <c r="BA175" i="10"/>
  <c r="AK175" i="10"/>
  <c r="AH175" i="10"/>
  <c r="AG175" i="10"/>
  <c r="AF175" i="10"/>
  <c r="AI175" i="10" s="1"/>
  <c r="AJ175" i="10" s="1"/>
  <c r="CF174" i="10"/>
  <c r="CG174" i="10" s="1"/>
  <c r="CD174" i="10"/>
  <c r="CE174" i="10" s="1"/>
  <c r="CB174" i="10"/>
  <c r="CC174" i="10" s="1"/>
  <c r="BH174" i="10"/>
  <c r="BG174" i="10"/>
  <c r="BF174" i="10"/>
  <c r="BE174" i="10"/>
  <c r="BD174" i="10"/>
  <c r="BC174" i="10"/>
  <c r="BB174" i="10"/>
  <c r="BA174" i="10"/>
  <c r="AK174" i="10"/>
  <c r="AH174" i="10"/>
  <c r="AG174" i="10"/>
  <c r="AF174" i="10"/>
  <c r="AI174" i="10" s="1"/>
  <c r="CF173" i="10"/>
  <c r="CG173" i="10" s="1"/>
  <c r="CD173" i="10"/>
  <c r="CE173" i="10" s="1"/>
  <c r="CB173" i="10"/>
  <c r="CC173" i="10" s="1"/>
  <c r="BH173" i="10"/>
  <c r="BG173" i="10"/>
  <c r="BF173" i="10"/>
  <c r="BE173" i="10"/>
  <c r="BD173" i="10"/>
  <c r="BC173" i="10"/>
  <c r="BB173" i="10"/>
  <c r="BA173" i="10"/>
  <c r="AK173" i="10"/>
  <c r="AH173" i="10"/>
  <c r="AG173" i="10"/>
  <c r="AF173" i="10"/>
  <c r="AI173" i="10" s="1"/>
  <c r="CF172" i="10"/>
  <c r="CG172" i="10" s="1"/>
  <c r="CD172" i="10"/>
  <c r="CE172" i="10" s="1"/>
  <c r="CB172" i="10"/>
  <c r="CC172" i="10" s="1"/>
  <c r="BH172" i="10"/>
  <c r="BG172" i="10"/>
  <c r="BF172" i="10"/>
  <c r="BE172" i="10"/>
  <c r="BD172" i="10"/>
  <c r="BC172" i="10"/>
  <c r="BB172" i="10"/>
  <c r="BA172" i="10"/>
  <c r="AK172" i="10"/>
  <c r="AH172" i="10"/>
  <c r="AG172" i="10"/>
  <c r="AF172" i="10"/>
  <c r="AI172" i="10" s="1"/>
  <c r="CF171" i="10"/>
  <c r="CG171" i="10" s="1"/>
  <c r="CD171" i="10"/>
  <c r="CE171" i="10" s="1"/>
  <c r="CB171" i="10"/>
  <c r="CC171" i="10" s="1"/>
  <c r="BH171" i="10"/>
  <c r="BG171" i="10"/>
  <c r="BF171" i="10"/>
  <c r="BE171" i="10"/>
  <c r="BD171" i="10"/>
  <c r="BC171" i="10"/>
  <c r="BB171" i="10"/>
  <c r="BA171" i="10"/>
  <c r="AK171" i="10"/>
  <c r="AH171" i="10"/>
  <c r="AG171" i="10"/>
  <c r="AF171" i="10"/>
  <c r="AI171" i="10" s="1"/>
  <c r="AJ171" i="10" s="1"/>
  <c r="CF170" i="10"/>
  <c r="CG170" i="10" s="1"/>
  <c r="CD170" i="10"/>
  <c r="CE170" i="10" s="1"/>
  <c r="CB170" i="10"/>
  <c r="CC170" i="10" s="1"/>
  <c r="BH170" i="10"/>
  <c r="BG170" i="10"/>
  <c r="BF170" i="10"/>
  <c r="BE170" i="10"/>
  <c r="BD170" i="10"/>
  <c r="BC170" i="10"/>
  <c r="BB170" i="10"/>
  <c r="BA170" i="10"/>
  <c r="AK170" i="10"/>
  <c r="AH170" i="10"/>
  <c r="AG170" i="10"/>
  <c r="AF170" i="10"/>
  <c r="AI170" i="10" s="1"/>
  <c r="CF169" i="10"/>
  <c r="CG169" i="10" s="1"/>
  <c r="CD169" i="10"/>
  <c r="CE169" i="10" s="1"/>
  <c r="CB169" i="10"/>
  <c r="CC169" i="10" s="1"/>
  <c r="BH169" i="10"/>
  <c r="BG169" i="10"/>
  <c r="BF169" i="10"/>
  <c r="BE169" i="10"/>
  <c r="BD169" i="10"/>
  <c r="BC169" i="10"/>
  <c r="BB169" i="10"/>
  <c r="BA169" i="10"/>
  <c r="AK169" i="10"/>
  <c r="AH169" i="10"/>
  <c r="AG169" i="10"/>
  <c r="AF169" i="10"/>
  <c r="AI169" i="10" s="1"/>
  <c r="AJ169" i="10" s="1"/>
  <c r="CF168" i="10"/>
  <c r="CG168" i="10" s="1"/>
  <c r="CD168" i="10"/>
  <c r="CE168" i="10" s="1"/>
  <c r="CB168" i="10"/>
  <c r="CC168" i="10" s="1"/>
  <c r="BH168" i="10"/>
  <c r="BG168" i="10"/>
  <c r="BF168" i="10"/>
  <c r="BE168" i="10"/>
  <c r="BD168" i="10"/>
  <c r="BC168" i="10"/>
  <c r="BB168" i="10"/>
  <c r="BA168" i="10"/>
  <c r="AK168" i="10"/>
  <c r="AH168" i="10"/>
  <c r="AG168" i="10"/>
  <c r="AF168" i="10"/>
  <c r="AI168" i="10" s="1"/>
  <c r="AJ168" i="10" s="1"/>
  <c r="CF167" i="10"/>
  <c r="CG167" i="10" s="1"/>
  <c r="CD167" i="10"/>
  <c r="CE167" i="10" s="1"/>
  <c r="CB167" i="10"/>
  <c r="CC167" i="10" s="1"/>
  <c r="BH167" i="10"/>
  <c r="BG167" i="10"/>
  <c r="BF167" i="10"/>
  <c r="BE167" i="10"/>
  <c r="BD167" i="10"/>
  <c r="BC167" i="10"/>
  <c r="BB167" i="10"/>
  <c r="BA167" i="10"/>
  <c r="AK167" i="10"/>
  <c r="AH167" i="10"/>
  <c r="AG167" i="10"/>
  <c r="AF167" i="10"/>
  <c r="AI167" i="10" s="1"/>
  <c r="AJ167" i="10" s="1"/>
  <c r="CF166" i="10"/>
  <c r="CG166" i="10" s="1"/>
  <c r="CD166" i="10"/>
  <c r="CE166" i="10" s="1"/>
  <c r="CB166" i="10"/>
  <c r="CC166" i="10" s="1"/>
  <c r="BH166" i="10"/>
  <c r="BG166" i="10"/>
  <c r="BF166" i="10"/>
  <c r="BE166" i="10"/>
  <c r="BD166" i="10"/>
  <c r="BC166" i="10"/>
  <c r="BB166" i="10"/>
  <c r="BA166" i="10"/>
  <c r="AK166" i="10"/>
  <c r="AH166" i="10"/>
  <c r="AG166" i="10"/>
  <c r="AF166" i="10"/>
  <c r="AI166" i="10" s="1"/>
  <c r="AJ166" i="10" s="1"/>
  <c r="CF165" i="10"/>
  <c r="CG165" i="10" s="1"/>
  <c r="CD165" i="10"/>
  <c r="CE165" i="10" s="1"/>
  <c r="CB165" i="10"/>
  <c r="CC165" i="10" s="1"/>
  <c r="BH165" i="10"/>
  <c r="BG165" i="10"/>
  <c r="BF165" i="10"/>
  <c r="BE165" i="10"/>
  <c r="BD165" i="10"/>
  <c r="BC165" i="10"/>
  <c r="BB165" i="10"/>
  <c r="BA165" i="10"/>
  <c r="AK165" i="10"/>
  <c r="AH165" i="10"/>
  <c r="AG165" i="10"/>
  <c r="AF165" i="10"/>
  <c r="AI165" i="10" s="1"/>
  <c r="CF164" i="10"/>
  <c r="CG164" i="10" s="1"/>
  <c r="CD164" i="10"/>
  <c r="CE164" i="10" s="1"/>
  <c r="CB164" i="10"/>
  <c r="CC164" i="10" s="1"/>
  <c r="BH164" i="10"/>
  <c r="BG164" i="10"/>
  <c r="BF164" i="10"/>
  <c r="BE164" i="10"/>
  <c r="BD164" i="10"/>
  <c r="BC164" i="10"/>
  <c r="BB164" i="10"/>
  <c r="BA164" i="10"/>
  <c r="AK164" i="10"/>
  <c r="AH164" i="10"/>
  <c r="AG164" i="10"/>
  <c r="AF164" i="10"/>
  <c r="AI164" i="10" s="1"/>
  <c r="AJ164" i="10" s="1"/>
  <c r="CF163" i="10"/>
  <c r="CG163" i="10" s="1"/>
  <c r="CD163" i="10"/>
  <c r="CE163" i="10" s="1"/>
  <c r="CB163" i="10"/>
  <c r="CC163" i="10" s="1"/>
  <c r="BH163" i="10"/>
  <c r="BG163" i="10"/>
  <c r="BF163" i="10"/>
  <c r="BE163" i="10"/>
  <c r="BD163" i="10"/>
  <c r="BC163" i="10"/>
  <c r="BB163" i="10"/>
  <c r="BA163" i="10"/>
  <c r="AK163" i="10"/>
  <c r="AH163" i="10"/>
  <c r="AG163" i="10"/>
  <c r="AF163" i="10"/>
  <c r="AI163" i="10" s="1"/>
  <c r="AJ163" i="10" s="1"/>
  <c r="CF162" i="10"/>
  <c r="CG162" i="10" s="1"/>
  <c r="CD162" i="10"/>
  <c r="CE162" i="10" s="1"/>
  <c r="CB162" i="10"/>
  <c r="CC162" i="10" s="1"/>
  <c r="BH162" i="10"/>
  <c r="BG162" i="10"/>
  <c r="BF162" i="10"/>
  <c r="BE162" i="10"/>
  <c r="BD162" i="10"/>
  <c r="BC162" i="10"/>
  <c r="BB162" i="10"/>
  <c r="BA162" i="10"/>
  <c r="AK162" i="10"/>
  <c r="AH162" i="10"/>
  <c r="AG162" i="10"/>
  <c r="AF162" i="10"/>
  <c r="AI162" i="10" s="1"/>
  <c r="CF161" i="10"/>
  <c r="CG161" i="10" s="1"/>
  <c r="CD161" i="10"/>
  <c r="CE161" i="10" s="1"/>
  <c r="CB161" i="10"/>
  <c r="CC161" i="10" s="1"/>
  <c r="BH161" i="10"/>
  <c r="BG161" i="10"/>
  <c r="BF161" i="10"/>
  <c r="BE161" i="10"/>
  <c r="BD161" i="10"/>
  <c r="BC161" i="10"/>
  <c r="BB161" i="10"/>
  <c r="BA161" i="10"/>
  <c r="AK161" i="10"/>
  <c r="AH161" i="10"/>
  <c r="AG161" i="10"/>
  <c r="AF161" i="10"/>
  <c r="AI161" i="10" s="1"/>
  <c r="CF160" i="10"/>
  <c r="CG160" i="10" s="1"/>
  <c r="CD160" i="10"/>
  <c r="CE160" i="10" s="1"/>
  <c r="CB160" i="10"/>
  <c r="CC160" i="10" s="1"/>
  <c r="BH160" i="10"/>
  <c r="BG160" i="10"/>
  <c r="BF160" i="10"/>
  <c r="BE160" i="10"/>
  <c r="BD160" i="10"/>
  <c r="BC160" i="10"/>
  <c r="BB160" i="10"/>
  <c r="BA160" i="10"/>
  <c r="AK160" i="10"/>
  <c r="AH160" i="10"/>
  <c r="AG160" i="10"/>
  <c r="AF160" i="10"/>
  <c r="AI160" i="10" s="1"/>
  <c r="CF159" i="10"/>
  <c r="CG159" i="10" s="1"/>
  <c r="CD159" i="10"/>
  <c r="CE159" i="10" s="1"/>
  <c r="CB159" i="10"/>
  <c r="CC159" i="10" s="1"/>
  <c r="BH159" i="10"/>
  <c r="BG159" i="10"/>
  <c r="BF159" i="10"/>
  <c r="BE159" i="10"/>
  <c r="BD159" i="10"/>
  <c r="BC159" i="10"/>
  <c r="BB159" i="10"/>
  <c r="BA159" i="10"/>
  <c r="AK159" i="10"/>
  <c r="AH159" i="10"/>
  <c r="AG159" i="10"/>
  <c r="AF159" i="10"/>
  <c r="AI159" i="10" s="1"/>
  <c r="AJ159" i="10" s="1"/>
  <c r="CF158" i="10"/>
  <c r="CG158" i="10" s="1"/>
  <c r="CD158" i="10"/>
  <c r="CE158" i="10" s="1"/>
  <c r="CB158" i="10"/>
  <c r="CC158" i="10" s="1"/>
  <c r="BH158" i="10"/>
  <c r="BG158" i="10"/>
  <c r="BF158" i="10"/>
  <c r="BE158" i="10"/>
  <c r="BD158" i="10"/>
  <c r="BC158" i="10"/>
  <c r="BB158" i="10"/>
  <c r="BA158" i="10"/>
  <c r="AK158" i="10"/>
  <c r="AH158" i="10"/>
  <c r="AG158" i="10"/>
  <c r="AF158" i="10"/>
  <c r="AI158" i="10" s="1"/>
  <c r="CF157" i="10"/>
  <c r="CG157" i="10" s="1"/>
  <c r="CD157" i="10"/>
  <c r="CE157" i="10" s="1"/>
  <c r="CB157" i="10"/>
  <c r="CC157" i="10" s="1"/>
  <c r="BH157" i="10"/>
  <c r="BG157" i="10"/>
  <c r="BF157" i="10"/>
  <c r="BE157" i="10"/>
  <c r="BD157" i="10"/>
  <c r="BC157" i="10"/>
  <c r="BB157" i="10"/>
  <c r="BA157" i="10"/>
  <c r="AK157" i="10"/>
  <c r="AH157" i="10"/>
  <c r="AG157" i="10"/>
  <c r="AF157" i="10"/>
  <c r="AI157" i="10" s="1"/>
  <c r="AJ157" i="10" s="1"/>
  <c r="CF156" i="10"/>
  <c r="CG156" i="10" s="1"/>
  <c r="CD156" i="10"/>
  <c r="CE156" i="10" s="1"/>
  <c r="CB156" i="10"/>
  <c r="CC156" i="10" s="1"/>
  <c r="BH156" i="10"/>
  <c r="BG156" i="10"/>
  <c r="BF156" i="10"/>
  <c r="BE156" i="10"/>
  <c r="BD156" i="10"/>
  <c r="BC156" i="10"/>
  <c r="BB156" i="10"/>
  <c r="BA156" i="10"/>
  <c r="AK156" i="10"/>
  <c r="AH156" i="10"/>
  <c r="AG156" i="10"/>
  <c r="AF156" i="10"/>
  <c r="AI156" i="10" s="1"/>
  <c r="CF155" i="10"/>
  <c r="CG155" i="10" s="1"/>
  <c r="CD155" i="10"/>
  <c r="CE155" i="10" s="1"/>
  <c r="CB155" i="10"/>
  <c r="CC155" i="10" s="1"/>
  <c r="BH155" i="10"/>
  <c r="BG155" i="10"/>
  <c r="BF155" i="10"/>
  <c r="BE155" i="10"/>
  <c r="BD155" i="10"/>
  <c r="BC155" i="10"/>
  <c r="BB155" i="10"/>
  <c r="BA155" i="10"/>
  <c r="AK155" i="10"/>
  <c r="AH155" i="10"/>
  <c r="AG155" i="10"/>
  <c r="AF155" i="10"/>
  <c r="AI155" i="10" s="1"/>
  <c r="CF154" i="10"/>
  <c r="CG154" i="10" s="1"/>
  <c r="CD154" i="10"/>
  <c r="CE154" i="10" s="1"/>
  <c r="CB154" i="10"/>
  <c r="CC154" i="10" s="1"/>
  <c r="BH154" i="10"/>
  <c r="BG154" i="10"/>
  <c r="BF154" i="10"/>
  <c r="BE154" i="10"/>
  <c r="BD154" i="10"/>
  <c r="BC154" i="10"/>
  <c r="BB154" i="10"/>
  <c r="BA154" i="10"/>
  <c r="AK154" i="10"/>
  <c r="AH154" i="10"/>
  <c r="AG154" i="10"/>
  <c r="AF154" i="10"/>
  <c r="AI154" i="10" s="1"/>
  <c r="AJ154" i="10" s="1"/>
  <c r="CF153" i="10"/>
  <c r="CG153" i="10" s="1"/>
  <c r="CD153" i="10"/>
  <c r="CE153" i="10" s="1"/>
  <c r="CB153" i="10"/>
  <c r="CC153" i="10" s="1"/>
  <c r="BH153" i="10"/>
  <c r="BG153" i="10"/>
  <c r="BF153" i="10"/>
  <c r="BE153" i="10"/>
  <c r="BD153" i="10"/>
  <c r="BC153" i="10"/>
  <c r="BB153" i="10"/>
  <c r="BA153" i="10"/>
  <c r="AK153" i="10"/>
  <c r="AH153" i="10"/>
  <c r="AG153" i="10"/>
  <c r="AF153" i="10"/>
  <c r="AI153" i="10" s="1"/>
  <c r="AJ153" i="10" s="1"/>
  <c r="CF152" i="10"/>
  <c r="CG152" i="10" s="1"/>
  <c r="CD152" i="10"/>
  <c r="CE152" i="10" s="1"/>
  <c r="CB152" i="10"/>
  <c r="CC152" i="10" s="1"/>
  <c r="BH152" i="10"/>
  <c r="BG152" i="10"/>
  <c r="BF152" i="10"/>
  <c r="BE152" i="10"/>
  <c r="BD152" i="10"/>
  <c r="BC152" i="10"/>
  <c r="BB152" i="10"/>
  <c r="BA152" i="10"/>
  <c r="AK152" i="10"/>
  <c r="AH152" i="10"/>
  <c r="AG152" i="10"/>
  <c r="AF152" i="10"/>
  <c r="AI152" i="10" s="1"/>
  <c r="AJ152" i="10" s="1"/>
  <c r="CF151" i="10"/>
  <c r="CG151" i="10" s="1"/>
  <c r="CD151" i="10"/>
  <c r="CE151" i="10" s="1"/>
  <c r="CB151" i="10"/>
  <c r="CC151" i="10" s="1"/>
  <c r="BH151" i="10"/>
  <c r="BG151" i="10"/>
  <c r="BF151" i="10"/>
  <c r="BE151" i="10"/>
  <c r="BD151" i="10"/>
  <c r="BC151" i="10"/>
  <c r="BB151" i="10"/>
  <c r="BA151" i="10"/>
  <c r="AK151" i="10"/>
  <c r="AH151" i="10"/>
  <c r="AG151" i="10"/>
  <c r="AF151" i="10"/>
  <c r="AI151" i="10" s="1"/>
  <c r="CF150" i="10"/>
  <c r="CG150" i="10" s="1"/>
  <c r="CD150" i="10"/>
  <c r="CE150" i="10" s="1"/>
  <c r="CB150" i="10"/>
  <c r="CC150" i="10" s="1"/>
  <c r="BH150" i="10"/>
  <c r="BG150" i="10"/>
  <c r="BF150" i="10"/>
  <c r="BE150" i="10"/>
  <c r="BD150" i="10"/>
  <c r="BC150" i="10"/>
  <c r="BB150" i="10"/>
  <c r="BA150" i="10"/>
  <c r="AK150" i="10"/>
  <c r="AH150" i="10"/>
  <c r="AG150" i="10"/>
  <c r="AF150" i="10"/>
  <c r="AI150" i="10" s="1"/>
  <c r="CF149" i="10"/>
  <c r="CG149" i="10" s="1"/>
  <c r="CD149" i="10"/>
  <c r="CE149" i="10" s="1"/>
  <c r="CB149" i="10"/>
  <c r="CC149" i="10" s="1"/>
  <c r="BH149" i="10"/>
  <c r="BG149" i="10"/>
  <c r="BF149" i="10"/>
  <c r="BE149" i="10"/>
  <c r="BD149" i="10"/>
  <c r="BC149" i="10"/>
  <c r="BB149" i="10"/>
  <c r="BA149" i="10"/>
  <c r="AK149" i="10"/>
  <c r="AH149" i="10"/>
  <c r="AG149" i="10"/>
  <c r="AF149" i="10"/>
  <c r="AI149" i="10" s="1"/>
  <c r="CF148" i="10"/>
  <c r="CG148" i="10" s="1"/>
  <c r="CD148" i="10"/>
  <c r="CE148" i="10" s="1"/>
  <c r="CB148" i="10"/>
  <c r="CC148" i="10" s="1"/>
  <c r="BH148" i="10"/>
  <c r="BG148" i="10"/>
  <c r="BF148" i="10"/>
  <c r="BE148" i="10"/>
  <c r="BD148" i="10"/>
  <c r="BC148" i="10"/>
  <c r="BB148" i="10"/>
  <c r="BA148" i="10"/>
  <c r="AK148" i="10"/>
  <c r="AH148" i="10"/>
  <c r="AG148" i="10"/>
  <c r="AF148" i="10"/>
  <c r="AI148" i="10" s="1"/>
  <c r="AJ148" i="10" s="1"/>
  <c r="CF147" i="10"/>
  <c r="CG147" i="10" s="1"/>
  <c r="CD147" i="10"/>
  <c r="CE147" i="10" s="1"/>
  <c r="CB147" i="10"/>
  <c r="CC147" i="10" s="1"/>
  <c r="BH147" i="10"/>
  <c r="BG147" i="10"/>
  <c r="BF147" i="10"/>
  <c r="BE147" i="10"/>
  <c r="BD147" i="10"/>
  <c r="BC147" i="10"/>
  <c r="BB147" i="10"/>
  <c r="BA147" i="10"/>
  <c r="AK147" i="10"/>
  <c r="AH147" i="10"/>
  <c r="AG147" i="10"/>
  <c r="AF147" i="10"/>
  <c r="AI147" i="10" s="1"/>
  <c r="AJ147" i="10" s="1"/>
  <c r="CF146" i="10"/>
  <c r="CG146" i="10" s="1"/>
  <c r="CD146" i="10"/>
  <c r="CE146" i="10" s="1"/>
  <c r="CB146" i="10"/>
  <c r="CC146" i="10" s="1"/>
  <c r="BH146" i="10"/>
  <c r="BG146" i="10"/>
  <c r="BF146" i="10"/>
  <c r="BE146" i="10"/>
  <c r="BD146" i="10"/>
  <c r="BC146" i="10"/>
  <c r="BB146" i="10"/>
  <c r="BA146" i="10"/>
  <c r="AK146" i="10"/>
  <c r="AH146" i="10"/>
  <c r="AG146" i="10"/>
  <c r="AF146" i="10"/>
  <c r="AI146" i="10" s="1"/>
  <c r="AJ146" i="10" s="1"/>
  <c r="CF145" i="10"/>
  <c r="CG145" i="10" s="1"/>
  <c r="CD145" i="10"/>
  <c r="CE145" i="10" s="1"/>
  <c r="CB145" i="10"/>
  <c r="CC145" i="10" s="1"/>
  <c r="BH145" i="10"/>
  <c r="BG145" i="10"/>
  <c r="BF145" i="10"/>
  <c r="BE145" i="10"/>
  <c r="BD145" i="10"/>
  <c r="BC145" i="10"/>
  <c r="BB145" i="10"/>
  <c r="BA145" i="10"/>
  <c r="AK145" i="10"/>
  <c r="AH145" i="10"/>
  <c r="AG145" i="10"/>
  <c r="AF145" i="10"/>
  <c r="AI145" i="10" s="1"/>
  <c r="CF144" i="10"/>
  <c r="CG144" i="10" s="1"/>
  <c r="CD144" i="10"/>
  <c r="CE144" i="10" s="1"/>
  <c r="CB144" i="10"/>
  <c r="CC144" i="10" s="1"/>
  <c r="BH144" i="10"/>
  <c r="BG144" i="10"/>
  <c r="BF144" i="10"/>
  <c r="BE144" i="10"/>
  <c r="BD144" i="10"/>
  <c r="BC144" i="10"/>
  <c r="BB144" i="10"/>
  <c r="BA144" i="10"/>
  <c r="AK144" i="10"/>
  <c r="AH144" i="10"/>
  <c r="AG144" i="10"/>
  <c r="AF144" i="10"/>
  <c r="AI144" i="10" s="1"/>
  <c r="AJ144" i="10" s="1"/>
  <c r="CF143" i="10"/>
  <c r="CG143" i="10" s="1"/>
  <c r="CD143" i="10"/>
  <c r="CE143" i="10" s="1"/>
  <c r="CB143" i="10"/>
  <c r="CC143" i="10" s="1"/>
  <c r="BH143" i="10"/>
  <c r="BG143" i="10"/>
  <c r="BF143" i="10"/>
  <c r="BE143" i="10"/>
  <c r="BD143" i="10"/>
  <c r="BC143" i="10"/>
  <c r="BB143" i="10"/>
  <c r="BA143" i="10"/>
  <c r="AK143" i="10"/>
  <c r="AH143" i="10"/>
  <c r="AG143" i="10"/>
  <c r="AF143" i="10"/>
  <c r="AI143" i="10" s="1"/>
  <c r="AJ143" i="10" s="1"/>
  <c r="CF142" i="10"/>
  <c r="CG142" i="10" s="1"/>
  <c r="CD142" i="10"/>
  <c r="CE142" i="10" s="1"/>
  <c r="CB142" i="10"/>
  <c r="CC142" i="10" s="1"/>
  <c r="BH142" i="10"/>
  <c r="BG142" i="10"/>
  <c r="BF142" i="10"/>
  <c r="BE142" i="10"/>
  <c r="BD142" i="10"/>
  <c r="BC142" i="10"/>
  <c r="BB142" i="10"/>
  <c r="BA142" i="10"/>
  <c r="AK142" i="10"/>
  <c r="AH142" i="10"/>
  <c r="AG142" i="10"/>
  <c r="AF142" i="10"/>
  <c r="AI142" i="10" s="1"/>
  <c r="AJ142" i="10" s="1"/>
  <c r="CF141" i="10"/>
  <c r="CG141" i="10" s="1"/>
  <c r="CD141" i="10"/>
  <c r="CE141" i="10" s="1"/>
  <c r="CB141" i="10"/>
  <c r="CC141" i="10" s="1"/>
  <c r="BH141" i="10"/>
  <c r="BG141" i="10"/>
  <c r="BF141" i="10"/>
  <c r="BE141" i="10"/>
  <c r="BD141" i="10"/>
  <c r="BC141" i="10"/>
  <c r="BB141" i="10"/>
  <c r="BA141" i="10"/>
  <c r="AK141" i="10"/>
  <c r="AH141" i="10"/>
  <c r="AG141" i="10"/>
  <c r="AF141" i="10"/>
  <c r="AI141" i="10" s="1"/>
  <c r="AJ141" i="10" s="1"/>
  <c r="CF140" i="10"/>
  <c r="CG140" i="10" s="1"/>
  <c r="CD140" i="10"/>
  <c r="CE140" i="10" s="1"/>
  <c r="CB140" i="10"/>
  <c r="CC140" i="10" s="1"/>
  <c r="BH140" i="10"/>
  <c r="BG140" i="10"/>
  <c r="BF140" i="10"/>
  <c r="BE140" i="10"/>
  <c r="BD140" i="10"/>
  <c r="BC140" i="10"/>
  <c r="BB140" i="10"/>
  <c r="BA140" i="10"/>
  <c r="AK140" i="10"/>
  <c r="AH140" i="10"/>
  <c r="AG140" i="10"/>
  <c r="AF140" i="10"/>
  <c r="AI140" i="10" s="1"/>
  <c r="CF139" i="10"/>
  <c r="CG139" i="10" s="1"/>
  <c r="CD139" i="10"/>
  <c r="CE139" i="10" s="1"/>
  <c r="CB139" i="10"/>
  <c r="CC139" i="10" s="1"/>
  <c r="BH139" i="10"/>
  <c r="BG139" i="10"/>
  <c r="BF139" i="10"/>
  <c r="BE139" i="10"/>
  <c r="BD139" i="10"/>
  <c r="BC139" i="10"/>
  <c r="BB139" i="10"/>
  <c r="BA139" i="10"/>
  <c r="AK139" i="10"/>
  <c r="AH139" i="10"/>
  <c r="AG139" i="10"/>
  <c r="AF139" i="10"/>
  <c r="AI139" i="10" s="1"/>
  <c r="AJ139" i="10" s="1"/>
  <c r="CF138" i="10"/>
  <c r="CG138" i="10" s="1"/>
  <c r="CD138" i="10"/>
  <c r="CE138" i="10" s="1"/>
  <c r="CB138" i="10"/>
  <c r="CC138" i="10" s="1"/>
  <c r="BH138" i="10"/>
  <c r="BG138" i="10"/>
  <c r="BF138" i="10"/>
  <c r="BE138" i="10"/>
  <c r="BD138" i="10"/>
  <c r="BC138" i="10"/>
  <c r="BB138" i="10"/>
  <c r="BA138" i="10"/>
  <c r="AK138" i="10"/>
  <c r="AH138" i="10"/>
  <c r="AG138" i="10"/>
  <c r="AF138" i="10"/>
  <c r="AI138" i="10" s="1"/>
  <c r="AJ138" i="10" s="1"/>
  <c r="CF137" i="10"/>
  <c r="CG137" i="10" s="1"/>
  <c r="CD137" i="10"/>
  <c r="CE137" i="10" s="1"/>
  <c r="CB137" i="10"/>
  <c r="CC137" i="10" s="1"/>
  <c r="BH137" i="10"/>
  <c r="BG137" i="10"/>
  <c r="BF137" i="10"/>
  <c r="BE137" i="10"/>
  <c r="BD137" i="10"/>
  <c r="BC137" i="10"/>
  <c r="BB137" i="10"/>
  <c r="BA137" i="10"/>
  <c r="AK137" i="10"/>
  <c r="AH137" i="10"/>
  <c r="AG137" i="10"/>
  <c r="AF137" i="10"/>
  <c r="AI137" i="10" s="1"/>
  <c r="AJ137" i="10" s="1"/>
  <c r="CF136" i="10"/>
  <c r="CG136" i="10" s="1"/>
  <c r="CD136" i="10"/>
  <c r="CE136" i="10" s="1"/>
  <c r="CB136" i="10"/>
  <c r="CC136" i="10" s="1"/>
  <c r="BH136" i="10"/>
  <c r="BG136" i="10"/>
  <c r="BF136" i="10"/>
  <c r="BE136" i="10"/>
  <c r="BD136" i="10"/>
  <c r="BC136" i="10"/>
  <c r="BB136" i="10"/>
  <c r="BA136" i="10"/>
  <c r="AK136" i="10"/>
  <c r="AH136" i="10"/>
  <c r="AG136" i="10"/>
  <c r="AF136" i="10"/>
  <c r="AI136" i="10" s="1"/>
  <c r="CF135" i="10"/>
  <c r="CG135" i="10" s="1"/>
  <c r="CD135" i="10"/>
  <c r="CE135" i="10" s="1"/>
  <c r="CB135" i="10"/>
  <c r="CC135" i="10" s="1"/>
  <c r="BH135" i="10"/>
  <c r="BG135" i="10"/>
  <c r="BF135" i="10"/>
  <c r="BE135" i="10"/>
  <c r="BD135" i="10"/>
  <c r="BC135" i="10"/>
  <c r="BB135" i="10"/>
  <c r="BA135" i="10"/>
  <c r="AK135" i="10"/>
  <c r="AH135" i="10"/>
  <c r="AG135" i="10"/>
  <c r="AF135" i="10"/>
  <c r="AI135" i="10" s="1"/>
  <c r="AJ135" i="10" s="1"/>
  <c r="CF134" i="10"/>
  <c r="CG134" i="10" s="1"/>
  <c r="CD134" i="10"/>
  <c r="CE134" i="10" s="1"/>
  <c r="CB134" i="10"/>
  <c r="CC134" i="10" s="1"/>
  <c r="BH134" i="10"/>
  <c r="BG134" i="10"/>
  <c r="BF134" i="10"/>
  <c r="BE134" i="10"/>
  <c r="BD134" i="10"/>
  <c r="BC134" i="10"/>
  <c r="BB134" i="10"/>
  <c r="BA134" i="10"/>
  <c r="AK134" i="10"/>
  <c r="AH134" i="10"/>
  <c r="AG134" i="10"/>
  <c r="AF134" i="10"/>
  <c r="AI134" i="10" s="1"/>
  <c r="AJ134" i="10" s="1"/>
  <c r="CF133" i="10"/>
  <c r="CG133" i="10" s="1"/>
  <c r="CD133" i="10"/>
  <c r="CE133" i="10" s="1"/>
  <c r="CB133" i="10"/>
  <c r="CC133" i="10" s="1"/>
  <c r="BH133" i="10"/>
  <c r="BG133" i="10"/>
  <c r="BF133" i="10"/>
  <c r="BE133" i="10"/>
  <c r="BD133" i="10"/>
  <c r="BC133" i="10"/>
  <c r="BB133" i="10"/>
  <c r="BA133" i="10"/>
  <c r="AK133" i="10"/>
  <c r="AH133" i="10"/>
  <c r="AG133" i="10"/>
  <c r="AF133" i="10"/>
  <c r="AI133" i="10" s="1"/>
  <c r="AJ133" i="10" s="1"/>
  <c r="CF132" i="10"/>
  <c r="CG132" i="10" s="1"/>
  <c r="CD132" i="10"/>
  <c r="CE132" i="10" s="1"/>
  <c r="CB132" i="10"/>
  <c r="CC132" i="10" s="1"/>
  <c r="BH132" i="10"/>
  <c r="BG132" i="10"/>
  <c r="BF132" i="10"/>
  <c r="BE132" i="10"/>
  <c r="BD132" i="10"/>
  <c r="BC132" i="10"/>
  <c r="BB132" i="10"/>
  <c r="BA132" i="10"/>
  <c r="AK132" i="10"/>
  <c r="AH132" i="10"/>
  <c r="AG132" i="10"/>
  <c r="AF132" i="10"/>
  <c r="AI132" i="10" s="1"/>
  <c r="AJ132" i="10" s="1"/>
  <c r="CF131" i="10"/>
  <c r="CG131" i="10" s="1"/>
  <c r="CD131" i="10"/>
  <c r="CE131" i="10" s="1"/>
  <c r="CB131" i="10"/>
  <c r="CC131" i="10" s="1"/>
  <c r="BH131" i="10"/>
  <c r="BG131" i="10"/>
  <c r="BF131" i="10"/>
  <c r="BE131" i="10"/>
  <c r="BD131" i="10"/>
  <c r="BC131" i="10"/>
  <c r="BB131" i="10"/>
  <c r="BA131" i="10"/>
  <c r="AK131" i="10"/>
  <c r="AH131" i="10"/>
  <c r="AG131" i="10"/>
  <c r="AF131" i="10"/>
  <c r="AI131" i="10" s="1"/>
  <c r="CF130" i="10"/>
  <c r="CG130" i="10" s="1"/>
  <c r="CD130" i="10"/>
  <c r="CE130" i="10" s="1"/>
  <c r="CB130" i="10"/>
  <c r="CC130" i="10" s="1"/>
  <c r="BH130" i="10"/>
  <c r="BG130" i="10"/>
  <c r="BF130" i="10"/>
  <c r="BE130" i="10"/>
  <c r="BD130" i="10"/>
  <c r="BC130" i="10"/>
  <c r="BB130" i="10"/>
  <c r="BA130" i="10"/>
  <c r="AK130" i="10"/>
  <c r="AH130" i="10"/>
  <c r="AG130" i="10"/>
  <c r="AF130" i="10"/>
  <c r="AI130" i="10" s="1"/>
  <c r="AJ130" i="10" s="1"/>
  <c r="CF129" i="10"/>
  <c r="CG129" i="10" s="1"/>
  <c r="CD129" i="10"/>
  <c r="CE129" i="10" s="1"/>
  <c r="CB129" i="10"/>
  <c r="CC129" i="10" s="1"/>
  <c r="BH129" i="10"/>
  <c r="BG129" i="10"/>
  <c r="BF129" i="10"/>
  <c r="BE129" i="10"/>
  <c r="BD129" i="10"/>
  <c r="BC129" i="10"/>
  <c r="BB129" i="10"/>
  <c r="BA129" i="10"/>
  <c r="AK129" i="10"/>
  <c r="AH129" i="10"/>
  <c r="AG129" i="10"/>
  <c r="AF129" i="10"/>
  <c r="AI129" i="10" s="1"/>
  <c r="AJ129" i="10" s="1"/>
  <c r="CF128" i="10"/>
  <c r="CG128" i="10" s="1"/>
  <c r="CD128" i="10"/>
  <c r="CE128" i="10" s="1"/>
  <c r="CB128" i="10"/>
  <c r="CC128" i="10" s="1"/>
  <c r="BH128" i="10"/>
  <c r="BG128" i="10"/>
  <c r="BF128" i="10"/>
  <c r="BE128" i="10"/>
  <c r="BD128" i="10"/>
  <c r="BC128" i="10"/>
  <c r="BB128" i="10"/>
  <c r="BA128" i="10"/>
  <c r="AK128" i="10"/>
  <c r="AH128" i="10"/>
  <c r="AG128" i="10"/>
  <c r="AF128" i="10"/>
  <c r="AI128" i="10" s="1"/>
  <c r="AJ128" i="10" s="1"/>
  <c r="CF127" i="10"/>
  <c r="CG127" i="10" s="1"/>
  <c r="CD127" i="10"/>
  <c r="CE127" i="10" s="1"/>
  <c r="CB127" i="10"/>
  <c r="CC127" i="10" s="1"/>
  <c r="BH127" i="10"/>
  <c r="BG127" i="10"/>
  <c r="BF127" i="10"/>
  <c r="BE127" i="10"/>
  <c r="BD127" i="10"/>
  <c r="BC127" i="10"/>
  <c r="BB127" i="10"/>
  <c r="BA127" i="10"/>
  <c r="AK127" i="10"/>
  <c r="AH127" i="10"/>
  <c r="AG127" i="10"/>
  <c r="AF127" i="10"/>
  <c r="AI127" i="10" s="1"/>
  <c r="AJ127" i="10" s="1"/>
  <c r="CF126" i="10"/>
  <c r="CG126" i="10" s="1"/>
  <c r="CD126" i="10"/>
  <c r="CE126" i="10" s="1"/>
  <c r="CB126" i="10"/>
  <c r="CC126" i="10" s="1"/>
  <c r="BH126" i="10"/>
  <c r="BG126" i="10"/>
  <c r="BF126" i="10"/>
  <c r="BE126" i="10"/>
  <c r="BD126" i="10"/>
  <c r="BC126" i="10"/>
  <c r="BB126" i="10"/>
  <c r="BA126" i="10"/>
  <c r="AK126" i="10"/>
  <c r="AH126" i="10"/>
  <c r="AG126" i="10"/>
  <c r="AF126" i="10"/>
  <c r="AI126" i="10" s="1"/>
  <c r="CF125" i="10"/>
  <c r="CG125" i="10" s="1"/>
  <c r="CD125" i="10"/>
  <c r="CE125" i="10" s="1"/>
  <c r="CB125" i="10"/>
  <c r="CC125" i="10" s="1"/>
  <c r="BH125" i="10"/>
  <c r="BG125" i="10"/>
  <c r="BF125" i="10"/>
  <c r="BE125" i="10"/>
  <c r="BD125" i="10"/>
  <c r="BC125" i="10"/>
  <c r="BB125" i="10"/>
  <c r="BA125" i="10"/>
  <c r="AK125" i="10"/>
  <c r="AH125" i="10"/>
  <c r="AG125" i="10"/>
  <c r="AF125" i="10"/>
  <c r="AI125" i="10" s="1"/>
  <c r="AJ125" i="10" s="1"/>
  <c r="CF124" i="10"/>
  <c r="CG124" i="10" s="1"/>
  <c r="CD124" i="10"/>
  <c r="CE124" i="10" s="1"/>
  <c r="CB124" i="10"/>
  <c r="CC124" i="10" s="1"/>
  <c r="BH124" i="10"/>
  <c r="BG124" i="10"/>
  <c r="BF124" i="10"/>
  <c r="BE124" i="10"/>
  <c r="BD124" i="10"/>
  <c r="BC124" i="10"/>
  <c r="BB124" i="10"/>
  <c r="BA124" i="10"/>
  <c r="AK124" i="10"/>
  <c r="AH124" i="10"/>
  <c r="AG124" i="10"/>
  <c r="AF124" i="10"/>
  <c r="AI124" i="10" s="1"/>
  <c r="AJ124" i="10" s="1"/>
  <c r="CF123" i="10"/>
  <c r="CG123" i="10" s="1"/>
  <c r="CD123" i="10"/>
  <c r="CE123" i="10" s="1"/>
  <c r="CB123" i="10"/>
  <c r="CC123" i="10" s="1"/>
  <c r="BH123" i="10"/>
  <c r="BG123" i="10"/>
  <c r="BF123" i="10"/>
  <c r="BE123" i="10"/>
  <c r="BD123" i="10"/>
  <c r="BC123" i="10"/>
  <c r="BB123" i="10"/>
  <c r="BA123" i="10"/>
  <c r="AK123" i="10"/>
  <c r="AH123" i="10"/>
  <c r="AG123" i="10"/>
  <c r="AF123" i="10"/>
  <c r="AI123" i="10" s="1"/>
  <c r="AJ123" i="10" s="1"/>
  <c r="CF122" i="10"/>
  <c r="CG122" i="10" s="1"/>
  <c r="CD122" i="10"/>
  <c r="CE122" i="10" s="1"/>
  <c r="CB122" i="10"/>
  <c r="CC122" i="10" s="1"/>
  <c r="BH122" i="10"/>
  <c r="BG122" i="10"/>
  <c r="BF122" i="10"/>
  <c r="BE122" i="10"/>
  <c r="BD122" i="10"/>
  <c r="BC122" i="10"/>
  <c r="BB122" i="10"/>
  <c r="BA122" i="10"/>
  <c r="AK122" i="10"/>
  <c r="AH122" i="10"/>
  <c r="AG122" i="10"/>
  <c r="AF122" i="10"/>
  <c r="AI122" i="10" s="1"/>
  <c r="AJ122" i="10" s="1"/>
  <c r="CF121" i="10"/>
  <c r="CG121" i="10" s="1"/>
  <c r="CD121" i="10"/>
  <c r="CE121" i="10" s="1"/>
  <c r="CB121" i="10"/>
  <c r="CC121" i="10" s="1"/>
  <c r="BH121" i="10"/>
  <c r="BG121" i="10"/>
  <c r="BF121" i="10"/>
  <c r="BE121" i="10"/>
  <c r="BD121" i="10"/>
  <c r="BC121" i="10"/>
  <c r="BB121" i="10"/>
  <c r="BA121" i="10"/>
  <c r="AK121" i="10"/>
  <c r="AH121" i="10"/>
  <c r="AG121" i="10"/>
  <c r="AF121" i="10"/>
  <c r="AI121" i="10" s="1"/>
  <c r="CF120" i="10"/>
  <c r="CG120" i="10" s="1"/>
  <c r="CD120" i="10"/>
  <c r="CE120" i="10" s="1"/>
  <c r="CB120" i="10"/>
  <c r="CC120" i="10" s="1"/>
  <c r="BH120" i="10"/>
  <c r="BG120" i="10"/>
  <c r="BF120" i="10"/>
  <c r="BE120" i="10"/>
  <c r="BD120" i="10"/>
  <c r="BC120" i="10"/>
  <c r="BB120" i="10"/>
  <c r="BA120" i="10"/>
  <c r="AK120" i="10"/>
  <c r="AH120" i="10"/>
  <c r="AG120" i="10"/>
  <c r="AF120" i="10"/>
  <c r="AI120" i="10" s="1"/>
  <c r="AJ120" i="10" s="1"/>
  <c r="CF119" i="10"/>
  <c r="CG119" i="10" s="1"/>
  <c r="CD119" i="10"/>
  <c r="CE119" i="10" s="1"/>
  <c r="CB119" i="10"/>
  <c r="CC119" i="10" s="1"/>
  <c r="BH119" i="10"/>
  <c r="BG119" i="10"/>
  <c r="BF119" i="10"/>
  <c r="BE119" i="10"/>
  <c r="BD119" i="10"/>
  <c r="BC119" i="10"/>
  <c r="BB119" i="10"/>
  <c r="BA119" i="10"/>
  <c r="AK119" i="10"/>
  <c r="AH119" i="10"/>
  <c r="AG119" i="10"/>
  <c r="AF119" i="10"/>
  <c r="AI119" i="10" s="1"/>
  <c r="CF118" i="10"/>
  <c r="CG118" i="10" s="1"/>
  <c r="CD118" i="10"/>
  <c r="CE118" i="10" s="1"/>
  <c r="CB118" i="10"/>
  <c r="CC118" i="10" s="1"/>
  <c r="BH118" i="10"/>
  <c r="BG118" i="10"/>
  <c r="BF118" i="10"/>
  <c r="BE118" i="10"/>
  <c r="BD118" i="10"/>
  <c r="BC118" i="10"/>
  <c r="BB118" i="10"/>
  <c r="BA118" i="10"/>
  <c r="AK118" i="10"/>
  <c r="AH118" i="10"/>
  <c r="AG118" i="10"/>
  <c r="AF118" i="10"/>
  <c r="AI118" i="10" s="1"/>
  <c r="CF117" i="10"/>
  <c r="CG117" i="10" s="1"/>
  <c r="CD117" i="10"/>
  <c r="CE117" i="10" s="1"/>
  <c r="CB117" i="10"/>
  <c r="CC117" i="10" s="1"/>
  <c r="BH117" i="10"/>
  <c r="BG117" i="10"/>
  <c r="BF117" i="10"/>
  <c r="BE117" i="10"/>
  <c r="BD117" i="10"/>
  <c r="BC117" i="10"/>
  <c r="BB117" i="10"/>
  <c r="BA117" i="10"/>
  <c r="AK117" i="10"/>
  <c r="AH117" i="10"/>
  <c r="AG117" i="10"/>
  <c r="AF117" i="10"/>
  <c r="AI117" i="10" s="1"/>
  <c r="AJ117" i="10" s="1"/>
  <c r="CF116" i="10"/>
  <c r="CG116" i="10" s="1"/>
  <c r="CD116" i="10"/>
  <c r="CE116" i="10" s="1"/>
  <c r="CB116" i="10"/>
  <c r="CC116" i="10" s="1"/>
  <c r="BH116" i="10"/>
  <c r="BG116" i="10"/>
  <c r="BF116" i="10"/>
  <c r="BE116" i="10"/>
  <c r="BD116" i="10"/>
  <c r="BC116" i="10"/>
  <c r="BB116" i="10"/>
  <c r="BA116" i="10"/>
  <c r="AK116" i="10"/>
  <c r="AH116" i="10"/>
  <c r="AG116" i="10"/>
  <c r="AF116" i="10"/>
  <c r="AI116" i="10" s="1"/>
  <c r="AJ116" i="10" s="1"/>
  <c r="CF115" i="10"/>
  <c r="CG115" i="10" s="1"/>
  <c r="CD115" i="10"/>
  <c r="CE115" i="10" s="1"/>
  <c r="CB115" i="10"/>
  <c r="CC115" i="10" s="1"/>
  <c r="BH115" i="10"/>
  <c r="BG115" i="10"/>
  <c r="BF115" i="10"/>
  <c r="BE115" i="10"/>
  <c r="BD115" i="10"/>
  <c r="BC115" i="10"/>
  <c r="BB115" i="10"/>
  <c r="BA115" i="10"/>
  <c r="AK115" i="10"/>
  <c r="AH115" i="10"/>
  <c r="AG115" i="10"/>
  <c r="AF115" i="10"/>
  <c r="AI115" i="10" s="1"/>
  <c r="AJ115" i="10" s="1"/>
  <c r="CF114" i="10"/>
  <c r="CG114" i="10" s="1"/>
  <c r="CD114" i="10"/>
  <c r="CE114" i="10" s="1"/>
  <c r="CB114" i="10"/>
  <c r="CC114" i="10" s="1"/>
  <c r="BH114" i="10"/>
  <c r="BG114" i="10"/>
  <c r="BF114" i="10"/>
  <c r="BE114" i="10"/>
  <c r="BD114" i="10"/>
  <c r="BC114" i="10"/>
  <c r="BB114" i="10"/>
  <c r="BA114" i="10"/>
  <c r="AK114" i="10"/>
  <c r="AH114" i="10"/>
  <c r="AG114" i="10"/>
  <c r="AF114" i="10"/>
  <c r="AI114" i="10" s="1"/>
  <c r="AJ114" i="10" s="1"/>
  <c r="CF113" i="10"/>
  <c r="CG113" i="10" s="1"/>
  <c r="CD113" i="10"/>
  <c r="CE113" i="10" s="1"/>
  <c r="CB113" i="10"/>
  <c r="CC113" i="10" s="1"/>
  <c r="BH113" i="10"/>
  <c r="BG113" i="10"/>
  <c r="BF113" i="10"/>
  <c r="BE113" i="10"/>
  <c r="BD113" i="10"/>
  <c r="BC113" i="10"/>
  <c r="BB113" i="10"/>
  <c r="BA113" i="10"/>
  <c r="AK113" i="10"/>
  <c r="AH113" i="10"/>
  <c r="AG113" i="10"/>
  <c r="AF113" i="10"/>
  <c r="AI113" i="10" s="1"/>
  <c r="CF112" i="10"/>
  <c r="CG112" i="10" s="1"/>
  <c r="CD112" i="10"/>
  <c r="CE112" i="10" s="1"/>
  <c r="CB112" i="10"/>
  <c r="CC112" i="10" s="1"/>
  <c r="BH112" i="10"/>
  <c r="BG112" i="10"/>
  <c r="BF112" i="10"/>
  <c r="BE112" i="10"/>
  <c r="BD112" i="10"/>
  <c r="BC112" i="10"/>
  <c r="BB112" i="10"/>
  <c r="BA112" i="10"/>
  <c r="AK112" i="10"/>
  <c r="AH112" i="10"/>
  <c r="AG112" i="10"/>
  <c r="AF112" i="10"/>
  <c r="AI112" i="10" s="1"/>
  <c r="AJ112" i="10" s="1"/>
  <c r="CF111" i="10"/>
  <c r="CG111" i="10" s="1"/>
  <c r="CD111" i="10"/>
  <c r="CE111" i="10" s="1"/>
  <c r="CB111" i="10"/>
  <c r="CC111" i="10" s="1"/>
  <c r="BH111" i="10"/>
  <c r="BG111" i="10"/>
  <c r="BF111" i="10"/>
  <c r="BE111" i="10"/>
  <c r="BD111" i="10"/>
  <c r="BC111" i="10"/>
  <c r="BB111" i="10"/>
  <c r="BA111" i="10"/>
  <c r="AK111" i="10"/>
  <c r="AH111" i="10"/>
  <c r="AG111" i="10"/>
  <c r="AF111" i="10"/>
  <c r="AI111" i="10" s="1"/>
  <c r="AJ111" i="10" s="1"/>
  <c r="CF110" i="10"/>
  <c r="CG110" i="10" s="1"/>
  <c r="CD110" i="10"/>
  <c r="CE110" i="10" s="1"/>
  <c r="CB110" i="10"/>
  <c r="CC110" i="10" s="1"/>
  <c r="BH110" i="10"/>
  <c r="BG110" i="10"/>
  <c r="BF110" i="10"/>
  <c r="BE110" i="10"/>
  <c r="BD110" i="10"/>
  <c r="BC110" i="10"/>
  <c r="BB110" i="10"/>
  <c r="BA110" i="10"/>
  <c r="AK110" i="10"/>
  <c r="AH110" i="10"/>
  <c r="AG110" i="10"/>
  <c r="AF110" i="10"/>
  <c r="AI110" i="10" s="1"/>
  <c r="CF109" i="10"/>
  <c r="CG109" i="10" s="1"/>
  <c r="CD109" i="10"/>
  <c r="CE109" i="10" s="1"/>
  <c r="CB109" i="10"/>
  <c r="CC109" i="10" s="1"/>
  <c r="BH109" i="10"/>
  <c r="BG109" i="10"/>
  <c r="BF109" i="10"/>
  <c r="BE109" i="10"/>
  <c r="BD109" i="10"/>
  <c r="BC109" i="10"/>
  <c r="BB109" i="10"/>
  <c r="BA109" i="10"/>
  <c r="AK109" i="10"/>
  <c r="AH109" i="10"/>
  <c r="AG109" i="10"/>
  <c r="AF109" i="10"/>
  <c r="AI109" i="10" s="1"/>
  <c r="AJ109" i="10" s="1"/>
  <c r="CF108" i="10"/>
  <c r="CG108" i="10" s="1"/>
  <c r="CD108" i="10"/>
  <c r="CE108" i="10" s="1"/>
  <c r="CB108" i="10"/>
  <c r="CC108" i="10" s="1"/>
  <c r="BT108" i="10"/>
  <c r="BY108" i="10" s="1"/>
  <c r="BH108" i="10"/>
  <c r="BG108" i="10"/>
  <c r="BF108" i="10"/>
  <c r="BE108" i="10"/>
  <c r="BD108" i="10"/>
  <c r="BC108" i="10"/>
  <c r="BB108" i="10"/>
  <c r="BA108" i="10"/>
  <c r="AK108" i="10"/>
  <c r="AH108" i="10"/>
  <c r="AG108" i="10"/>
  <c r="AF108" i="10"/>
  <c r="AI108" i="10" s="1"/>
  <c r="AE108" i="10"/>
  <c r="AD108" i="10"/>
  <c r="AC108" i="10"/>
  <c r="AB108" i="10"/>
  <c r="Y108" i="10"/>
  <c r="X108" i="10"/>
  <c r="W108" i="10"/>
  <c r="Z108" i="10" s="1"/>
  <c r="AA108" i="10" s="1"/>
  <c r="CF107" i="10"/>
  <c r="CG107" i="10" s="1"/>
  <c r="CD107" i="10"/>
  <c r="CE107" i="10" s="1"/>
  <c r="CB107" i="10"/>
  <c r="CC107" i="10" s="1"/>
  <c r="BT107" i="10"/>
  <c r="BH107" i="10"/>
  <c r="BG107" i="10"/>
  <c r="BF107" i="10"/>
  <c r="BE107" i="10"/>
  <c r="BD107" i="10"/>
  <c r="BC107" i="10"/>
  <c r="BB107" i="10"/>
  <c r="BA107" i="10"/>
  <c r="AK107" i="10"/>
  <c r="AH107" i="10"/>
  <c r="AG107" i="10"/>
  <c r="AF107" i="10"/>
  <c r="AI107" i="10" s="1"/>
  <c r="AE107" i="10"/>
  <c r="AD107" i="10"/>
  <c r="AC107" i="10"/>
  <c r="AB107" i="10"/>
  <c r="Y107" i="10"/>
  <c r="X107" i="10"/>
  <c r="W107" i="10"/>
  <c r="Z107" i="10" s="1"/>
  <c r="AA107" i="10" s="1"/>
  <c r="CF106" i="10"/>
  <c r="CG106" i="10" s="1"/>
  <c r="CD106" i="10"/>
  <c r="CE106" i="10" s="1"/>
  <c r="CB106" i="10"/>
  <c r="CC106" i="10" s="1"/>
  <c r="BT106" i="10"/>
  <c r="BY106" i="10" s="1"/>
  <c r="BH106" i="10"/>
  <c r="BG106" i="10"/>
  <c r="BF106" i="10"/>
  <c r="BE106" i="10"/>
  <c r="BD106" i="10"/>
  <c r="BC106" i="10"/>
  <c r="BB106" i="10"/>
  <c r="BA106" i="10"/>
  <c r="AY106" i="10"/>
  <c r="AS106" i="10"/>
  <c r="AR106" i="10"/>
  <c r="AQ106" i="10"/>
  <c r="AP106" i="10"/>
  <c r="AK106" i="10"/>
  <c r="AH106" i="10"/>
  <c r="AG106" i="10"/>
  <c r="AF106" i="10"/>
  <c r="AI106" i="10" s="1"/>
  <c r="AJ106" i="10" s="1"/>
  <c r="AC106" i="10"/>
  <c r="AB106" i="10"/>
  <c r="Z106" i="10"/>
  <c r="AA106" i="10" s="1"/>
  <c r="CF105" i="10"/>
  <c r="CG105" i="10" s="1"/>
  <c r="CD105" i="10"/>
  <c r="CE105" i="10" s="1"/>
  <c r="CB105" i="10"/>
  <c r="CC105" i="10" s="1"/>
  <c r="BT105" i="10"/>
  <c r="BU105" i="10" s="1"/>
  <c r="BH105" i="10"/>
  <c r="BG105" i="10"/>
  <c r="BF105" i="10"/>
  <c r="BE105" i="10"/>
  <c r="BD105" i="10"/>
  <c r="BC105" i="10"/>
  <c r="BB105" i="10"/>
  <c r="BA105" i="10"/>
  <c r="AY105" i="10"/>
  <c r="AS105" i="10"/>
  <c r="AR105" i="10"/>
  <c r="AQ105" i="10"/>
  <c r="AP105" i="10"/>
  <c r="AK105" i="10"/>
  <c r="AH105" i="10"/>
  <c r="AG105" i="10"/>
  <c r="AF105" i="10"/>
  <c r="AI105" i="10" s="1"/>
  <c r="AJ105" i="10" s="1"/>
  <c r="AC105" i="10"/>
  <c r="AB105" i="10"/>
  <c r="CF104" i="10"/>
  <c r="CG104" i="10" s="1"/>
  <c r="CD104" i="10"/>
  <c r="CE104" i="10" s="1"/>
  <c r="CB104" i="10"/>
  <c r="CC104" i="10" s="1"/>
  <c r="BT104" i="10"/>
  <c r="BU104" i="10" s="1"/>
  <c r="BH104" i="10"/>
  <c r="BG104" i="10"/>
  <c r="BF104" i="10"/>
  <c r="BE104" i="10"/>
  <c r="BD104" i="10"/>
  <c r="BC104" i="10"/>
  <c r="BB104" i="10"/>
  <c r="BA104" i="10"/>
  <c r="AY104" i="10"/>
  <c r="AS104" i="10"/>
  <c r="AR104" i="10"/>
  <c r="AQ104" i="10"/>
  <c r="AP104" i="10"/>
  <c r="AK104" i="10"/>
  <c r="AH104" i="10"/>
  <c r="AG104" i="10"/>
  <c r="AF104" i="10"/>
  <c r="AI104" i="10" s="1"/>
  <c r="AJ104" i="10" s="1"/>
  <c r="AC104" i="10"/>
  <c r="AB104" i="10"/>
  <c r="Z104" i="10"/>
  <c r="AA104" i="10" s="1"/>
  <c r="CF103" i="10"/>
  <c r="CG103" i="10" s="1"/>
  <c r="CD103" i="10"/>
  <c r="CE103" i="10" s="1"/>
  <c r="CB103" i="10"/>
  <c r="CC103" i="10" s="1"/>
  <c r="BT103" i="10"/>
  <c r="BY103" i="10" s="1"/>
  <c r="BH103" i="10"/>
  <c r="BG103" i="10"/>
  <c r="BF103" i="10"/>
  <c r="BE103" i="10"/>
  <c r="BD103" i="10"/>
  <c r="BC103" i="10"/>
  <c r="BB103" i="10"/>
  <c r="BA103" i="10"/>
  <c r="AY103" i="10"/>
  <c r="AS103" i="10"/>
  <c r="AR103" i="10"/>
  <c r="AQ103" i="10"/>
  <c r="AP103" i="10"/>
  <c r="AK103" i="10"/>
  <c r="AH103" i="10"/>
  <c r="AG103" i="10"/>
  <c r="AF103" i="10"/>
  <c r="AI103" i="10" s="1"/>
  <c r="AJ103" i="10" s="1"/>
  <c r="AC103" i="10"/>
  <c r="AB103" i="10"/>
  <c r="Z103" i="10"/>
  <c r="AA103" i="10" s="1"/>
  <c r="CF102" i="10"/>
  <c r="CG102" i="10" s="1"/>
  <c r="CD102" i="10"/>
  <c r="CE102" i="10" s="1"/>
  <c r="CB102" i="10"/>
  <c r="CC102" i="10" s="1"/>
  <c r="BT102" i="10"/>
  <c r="BY102" i="10" s="1"/>
  <c r="BH102" i="10"/>
  <c r="BG102" i="10"/>
  <c r="BF102" i="10"/>
  <c r="BE102" i="10"/>
  <c r="BD102" i="10"/>
  <c r="BC102" i="10"/>
  <c r="BB102" i="10"/>
  <c r="BA102" i="10"/>
  <c r="AY102" i="10"/>
  <c r="AS102" i="10"/>
  <c r="AR102" i="10"/>
  <c r="AQ102" i="10"/>
  <c r="AP102" i="10"/>
  <c r="AK102" i="10"/>
  <c r="AH102" i="10"/>
  <c r="AG102" i="10"/>
  <c r="AF102" i="10"/>
  <c r="AI102" i="10" s="1"/>
  <c r="AJ102" i="10" s="1"/>
  <c r="AC102" i="10"/>
  <c r="AB102" i="10"/>
  <c r="Z102" i="10"/>
  <c r="AA102" i="10" s="1"/>
  <c r="CF101" i="10"/>
  <c r="CG101" i="10" s="1"/>
  <c r="CD101" i="10"/>
  <c r="CE101" i="10" s="1"/>
  <c r="CB101" i="10"/>
  <c r="CC101" i="10" s="1"/>
  <c r="BT101" i="10"/>
  <c r="BY101" i="10" s="1"/>
  <c r="BH101" i="10"/>
  <c r="BG101" i="10"/>
  <c r="BF101" i="10"/>
  <c r="BE101" i="10"/>
  <c r="BD101" i="10"/>
  <c r="BC101" i="10"/>
  <c r="BB101" i="10"/>
  <c r="BA101" i="10"/>
  <c r="AY101" i="10"/>
  <c r="AS101" i="10"/>
  <c r="AR101" i="10"/>
  <c r="AQ101" i="10"/>
  <c r="AP101" i="10"/>
  <c r="AK101" i="10"/>
  <c r="AH101" i="10"/>
  <c r="AG101" i="10"/>
  <c r="AF101" i="10"/>
  <c r="AI101" i="10" s="1"/>
  <c r="AJ101" i="10" s="1"/>
  <c r="AC101" i="10"/>
  <c r="AB101" i="10"/>
  <c r="Z101" i="10"/>
  <c r="AA101" i="10" s="1"/>
  <c r="CF100" i="10"/>
  <c r="CG100" i="10" s="1"/>
  <c r="CD100" i="10"/>
  <c r="CE100" i="10" s="1"/>
  <c r="CB100" i="10"/>
  <c r="CC100" i="10" s="1"/>
  <c r="BT100" i="10"/>
  <c r="BY100" i="10" s="1"/>
  <c r="BH100" i="10"/>
  <c r="BG100" i="10"/>
  <c r="BF100" i="10"/>
  <c r="BE100" i="10"/>
  <c r="BD100" i="10"/>
  <c r="BC100" i="10"/>
  <c r="BB100" i="10"/>
  <c r="BA100" i="10"/>
  <c r="AY100" i="10"/>
  <c r="AS100" i="10"/>
  <c r="AR100" i="10"/>
  <c r="AQ100" i="10"/>
  <c r="AP100" i="10"/>
  <c r="AK100" i="10"/>
  <c r="AH100" i="10"/>
  <c r="AG100" i="10"/>
  <c r="AF100" i="10"/>
  <c r="AI100" i="10" s="1"/>
  <c r="AJ100" i="10" s="1"/>
  <c r="AC100" i="10"/>
  <c r="AB100" i="10"/>
  <c r="Z100" i="10"/>
  <c r="AA100" i="10" s="1"/>
  <c r="CF99" i="10"/>
  <c r="CG99" i="10" s="1"/>
  <c r="CD99" i="10"/>
  <c r="CE99" i="10" s="1"/>
  <c r="CB99" i="10"/>
  <c r="CC99" i="10" s="1"/>
  <c r="BT99" i="10"/>
  <c r="BY99" i="10" s="1"/>
  <c r="BH99" i="10"/>
  <c r="BG99" i="10"/>
  <c r="BF99" i="10"/>
  <c r="BE99" i="10"/>
  <c r="BD99" i="10"/>
  <c r="BC99" i="10"/>
  <c r="BB99" i="10"/>
  <c r="BA99" i="10"/>
  <c r="AY99" i="10"/>
  <c r="AS99" i="10"/>
  <c r="AR99" i="10"/>
  <c r="AQ99" i="10"/>
  <c r="AP99" i="10"/>
  <c r="AK99" i="10"/>
  <c r="AH99" i="10"/>
  <c r="AG99" i="10"/>
  <c r="AF99" i="10"/>
  <c r="AI99" i="10" s="1"/>
  <c r="AJ99" i="10" s="1"/>
  <c r="AC99" i="10"/>
  <c r="AB99" i="10"/>
  <c r="Z99" i="10"/>
  <c r="AA99" i="10" s="1"/>
  <c r="CF98" i="10"/>
  <c r="CG98" i="10" s="1"/>
  <c r="CD98" i="10"/>
  <c r="CE98" i="10" s="1"/>
  <c r="CB98" i="10"/>
  <c r="CC98" i="10" s="1"/>
  <c r="BT98" i="10"/>
  <c r="BY98" i="10" s="1"/>
  <c r="BH98" i="10"/>
  <c r="BG98" i="10"/>
  <c r="BF98" i="10"/>
  <c r="BE98" i="10"/>
  <c r="BD98" i="10"/>
  <c r="BC98" i="10"/>
  <c r="BB98" i="10"/>
  <c r="BA98" i="10"/>
  <c r="AY98" i="10"/>
  <c r="AS98" i="10"/>
  <c r="AR98" i="10"/>
  <c r="AQ98" i="10"/>
  <c r="AP98" i="10"/>
  <c r="AK98" i="10"/>
  <c r="AH98" i="10"/>
  <c r="AG98" i="10"/>
  <c r="AF98" i="10"/>
  <c r="AI98" i="10" s="1"/>
  <c r="AJ98" i="10" s="1"/>
  <c r="AC98" i="10"/>
  <c r="AB98" i="10"/>
  <c r="Z98" i="10"/>
  <c r="AA98" i="10" s="1"/>
  <c r="CF97" i="10"/>
  <c r="CG97" i="10" s="1"/>
  <c r="CD97" i="10"/>
  <c r="CE97" i="10" s="1"/>
  <c r="CB97" i="10"/>
  <c r="CC97" i="10" s="1"/>
  <c r="BT97" i="10"/>
  <c r="BY97" i="10" s="1"/>
  <c r="BH97" i="10"/>
  <c r="BG97" i="10"/>
  <c r="BF97" i="10"/>
  <c r="BE97" i="10"/>
  <c r="BD97" i="10"/>
  <c r="BC97" i="10"/>
  <c r="BB97" i="10"/>
  <c r="BA97" i="10"/>
  <c r="AY97" i="10"/>
  <c r="AS97" i="10"/>
  <c r="AR97" i="10"/>
  <c r="AQ97" i="10"/>
  <c r="AP97" i="10"/>
  <c r="AK97" i="10"/>
  <c r="AH97" i="10"/>
  <c r="AG97" i="10"/>
  <c r="AF97" i="10"/>
  <c r="AI97" i="10" s="1"/>
  <c r="AJ97" i="10" s="1"/>
  <c r="AC97" i="10"/>
  <c r="AB97" i="10"/>
  <c r="Z97" i="10"/>
  <c r="AA97" i="10" s="1"/>
  <c r="CF96" i="10"/>
  <c r="CG96" i="10" s="1"/>
  <c r="CD96" i="10"/>
  <c r="CE96" i="10" s="1"/>
  <c r="CB96" i="10"/>
  <c r="CC96" i="10" s="1"/>
  <c r="BT96" i="10"/>
  <c r="BH96" i="10"/>
  <c r="BG96" i="10"/>
  <c r="BF96" i="10"/>
  <c r="BE96" i="10"/>
  <c r="BD96" i="10"/>
  <c r="BC96" i="10"/>
  <c r="BB96" i="10"/>
  <c r="BA96" i="10"/>
  <c r="AY96" i="10"/>
  <c r="AS96" i="10"/>
  <c r="AR96" i="10"/>
  <c r="AQ96" i="10"/>
  <c r="AP96" i="10"/>
  <c r="AK96" i="10"/>
  <c r="AH96" i="10"/>
  <c r="AG96" i="10"/>
  <c r="AF96" i="10"/>
  <c r="AI96" i="10" s="1"/>
  <c r="AJ96" i="10" s="1"/>
  <c r="AC96" i="10"/>
  <c r="AB96" i="10"/>
  <c r="Z96" i="10"/>
  <c r="AA96" i="10" s="1"/>
  <c r="CF95" i="10"/>
  <c r="CG95" i="10" s="1"/>
  <c r="CD95" i="10"/>
  <c r="CE95" i="10" s="1"/>
  <c r="CB95" i="10"/>
  <c r="CC95" i="10" s="1"/>
  <c r="BT95" i="10"/>
  <c r="BY95" i="10" s="1"/>
  <c r="BH95" i="10"/>
  <c r="BG95" i="10"/>
  <c r="BF95" i="10"/>
  <c r="BE95" i="10"/>
  <c r="BD95" i="10"/>
  <c r="BC95" i="10"/>
  <c r="BB95" i="10"/>
  <c r="BA95" i="10"/>
  <c r="AY95" i="10"/>
  <c r="AS95" i="10"/>
  <c r="AR95" i="10"/>
  <c r="AQ95" i="10"/>
  <c r="AP95" i="10"/>
  <c r="AK95" i="10"/>
  <c r="AH95" i="10"/>
  <c r="AG95" i="10"/>
  <c r="AF95" i="10"/>
  <c r="AI95" i="10" s="1"/>
  <c r="AJ95" i="10" s="1"/>
  <c r="AC95" i="10"/>
  <c r="AB95" i="10"/>
  <c r="Z95" i="10"/>
  <c r="AA95" i="10" s="1"/>
  <c r="CF94" i="10"/>
  <c r="CG94" i="10" s="1"/>
  <c r="CD94" i="10"/>
  <c r="CE94" i="10" s="1"/>
  <c r="CB94" i="10"/>
  <c r="CC94" i="10" s="1"/>
  <c r="BT94" i="10"/>
  <c r="BY94" i="10" s="1"/>
  <c r="BH94" i="10"/>
  <c r="BG94" i="10"/>
  <c r="BF94" i="10"/>
  <c r="BE94" i="10"/>
  <c r="BD94" i="10"/>
  <c r="BC94" i="10"/>
  <c r="BB94" i="10"/>
  <c r="BA94" i="10"/>
  <c r="AY94" i="10"/>
  <c r="AS94" i="10"/>
  <c r="AR94" i="10"/>
  <c r="AQ94" i="10"/>
  <c r="AP94" i="10"/>
  <c r="AK94" i="10"/>
  <c r="AH94" i="10"/>
  <c r="AG94" i="10"/>
  <c r="AF94" i="10"/>
  <c r="AI94" i="10" s="1"/>
  <c r="AC94" i="10"/>
  <c r="AB94" i="10"/>
  <c r="Z94" i="10"/>
  <c r="AA94" i="10" s="1"/>
  <c r="CF93" i="10"/>
  <c r="CG93" i="10" s="1"/>
  <c r="CD93" i="10"/>
  <c r="CE93" i="10" s="1"/>
  <c r="CB93" i="10"/>
  <c r="CC93" i="10" s="1"/>
  <c r="BT93" i="10"/>
  <c r="BU93" i="10" s="1"/>
  <c r="BH93" i="10"/>
  <c r="BG93" i="10"/>
  <c r="BF93" i="10"/>
  <c r="BE93" i="10"/>
  <c r="BD93" i="10"/>
  <c r="BC93" i="10"/>
  <c r="BB93" i="10"/>
  <c r="BA93" i="10"/>
  <c r="AY93" i="10"/>
  <c r="AS93" i="10"/>
  <c r="AR93" i="10"/>
  <c r="AQ93" i="10"/>
  <c r="AP93" i="10"/>
  <c r="AK93" i="10"/>
  <c r="AH93" i="10"/>
  <c r="AG93" i="10"/>
  <c r="AF93" i="10"/>
  <c r="AI93" i="10" s="1"/>
  <c r="AJ93" i="10" s="1"/>
  <c r="AC93" i="10"/>
  <c r="AB93" i="10"/>
  <c r="Z93" i="10"/>
  <c r="AA93" i="10" s="1"/>
  <c r="CF92" i="10"/>
  <c r="CG92" i="10" s="1"/>
  <c r="CD92" i="10"/>
  <c r="CE92" i="10" s="1"/>
  <c r="CB92" i="10"/>
  <c r="CC92" i="10" s="1"/>
  <c r="BT92" i="10"/>
  <c r="BY92" i="10" s="1"/>
  <c r="BH92" i="10"/>
  <c r="BG92" i="10"/>
  <c r="BF92" i="10"/>
  <c r="BE92" i="10"/>
  <c r="BD92" i="10"/>
  <c r="BC92" i="10"/>
  <c r="BB92" i="10"/>
  <c r="BA92" i="10"/>
  <c r="AY92" i="10"/>
  <c r="AS92" i="10"/>
  <c r="AR92" i="10"/>
  <c r="AQ92" i="10"/>
  <c r="AP92" i="10"/>
  <c r="AK92" i="10"/>
  <c r="AH92" i="10"/>
  <c r="AG92" i="10"/>
  <c r="AF92" i="10"/>
  <c r="AI92" i="10" s="1"/>
  <c r="AC92" i="10"/>
  <c r="AB92" i="10"/>
  <c r="Z92" i="10"/>
  <c r="AA92" i="10" s="1"/>
  <c r="CF91" i="10"/>
  <c r="CG91" i="10" s="1"/>
  <c r="CD91" i="10"/>
  <c r="CE91" i="10" s="1"/>
  <c r="CB91" i="10"/>
  <c r="CC91" i="10" s="1"/>
  <c r="BT91" i="10"/>
  <c r="BY91" i="10" s="1"/>
  <c r="BH91" i="10"/>
  <c r="BG91" i="10"/>
  <c r="BF91" i="10"/>
  <c r="BE91" i="10"/>
  <c r="BD91" i="10"/>
  <c r="BC91" i="10"/>
  <c r="BB91" i="10"/>
  <c r="BA91" i="10"/>
  <c r="AY91" i="10"/>
  <c r="AS91" i="10"/>
  <c r="AR91" i="10"/>
  <c r="AQ91" i="10"/>
  <c r="AP91" i="10"/>
  <c r="AK91" i="10"/>
  <c r="AH91" i="10"/>
  <c r="AG91" i="10"/>
  <c r="AF91" i="10"/>
  <c r="AI91" i="10" s="1"/>
  <c r="AJ91" i="10" s="1"/>
  <c r="AC91" i="10"/>
  <c r="AB91" i="10"/>
  <c r="Z91" i="10"/>
  <c r="AA91" i="10" s="1"/>
  <c r="CF90" i="10"/>
  <c r="CG90" i="10" s="1"/>
  <c r="CD90" i="10"/>
  <c r="CE90" i="10" s="1"/>
  <c r="CB90" i="10"/>
  <c r="CC90" i="10" s="1"/>
  <c r="BT90" i="10"/>
  <c r="BU90" i="10" s="1"/>
  <c r="BH90" i="10"/>
  <c r="BG90" i="10"/>
  <c r="BF90" i="10"/>
  <c r="BE90" i="10"/>
  <c r="BD90" i="10"/>
  <c r="BC90" i="10"/>
  <c r="BB90" i="10"/>
  <c r="BA90" i="10"/>
  <c r="AY90" i="10"/>
  <c r="AS90" i="10"/>
  <c r="AR90" i="10"/>
  <c r="AQ90" i="10"/>
  <c r="AP90" i="10"/>
  <c r="AK90" i="10"/>
  <c r="AH90" i="10"/>
  <c r="AG90" i="10"/>
  <c r="AF90" i="10"/>
  <c r="AI90" i="10" s="1"/>
  <c r="AJ90" i="10" s="1"/>
  <c r="AC90" i="10"/>
  <c r="AB90" i="10"/>
  <c r="Z90" i="10"/>
  <c r="AA90" i="10" s="1"/>
  <c r="CF89" i="10"/>
  <c r="CG89" i="10" s="1"/>
  <c r="CD89" i="10"/>
  <c r="CE89" i="10" s="1"/>
  <c r="CB89" i="10"/>
  <c r="CC89" i="10" s="1"/>
  <c r="BT89" i="10"/>
  <c r="BY89" i="10" s="1"/>
  <c r="BH89" i="10"/>
  <c r="BG89" i="10"/>
  <c r="BF89" i="10"/>
  <c r="BE89" i="10"/>
  <c r="BD89" i="10"/>
  <c r="BC89" i="10"/>
  <c r="BB89" i="10"/>
  <c r="BA89" i="10"/>
  <c r="AY89" i="10"/>
  <c r="AS89" i="10"/>
  <c r="AR89" i="10"/>
  <c r="AQ89" i="10"/>
  <c r="AP89" i="10"/>
  <c r="AK89" i="10"/>
  <c r="AH89" i="10"/>
  <c r="AG89" i="10"/>
  <c r="AF89" i="10"/>
  <c r="AI89" i="10" s="1"/>
  <c r="AJ89" i="10" s="1"/>
  <c r="AC89" i="10"/>
  <c r="AB89" i="10"/>
  <c r="Z89" i="10"/>
  <c r="AA89" i="10" s="1"/>
  <c r="CF88" i="10"/>
  <c r="CG88" i="10" s="1"/>
  <c r="CD88" i="10"/>
  <c r="CE88" i="10" s="1"/>
  <c r="CB88" i="10"/>
  <c r="CC88" i="10" s="1"/>
  <c r="BT88" i="10"/>
  <c r="BY88" i="10" s="1"/>
  <c r="BH88" i="10"/>
  <c r="BG88" i="10"/>
  <c r="BF88" i="10"/>
  <c r="BE88" i="10"/>
  <c r="BD88" i="10"/>
  <c r="BC88" i="10"/>
  <c r="BB88" i="10"/>
  <c r="BA88" i="10"/>
  <c r="AY88" i="10"/>
  <c r="AS88" i="10"/>
  <c r="AR88" i="10"/>
  <c r="AQ88" i="10"/>
  <c r="AP88" i="10"/>
  <c r="AK88" i="10"/>
  <c r="AH88" i="10"/>
  <c r="AG88" i="10"/>
  <c r="AF88" i="10"/>
  <c r="AI88" i="10" s="1"/>
  <c r="AC88" i="10"/>
  <c r="AB88" i="10"/>
  <c r="Z88" i="10"/>
  <c r="AA88" i="10" s="1"/>
  <c r="CF87" i="10"/>
  <c r="CG87" i="10" s="1"/>
  <c r="CD87" i="10"/>
  <c r="CE87" i="10" s="1"/>
  <c r="CB87" i="10"/>
  <c r="CC87" i="10" s="1"/>
  <c r="BT87" i="10"/>
  <c r="BH87" i="10"/>
  <c r="BG87" i="10"/>
  <c r="BF87" i="10"/>
  <c r="BE87" i="10"/>
  <c r="BD87" i="10"/>
  <c r="BC87" i="10"/>
  <c r="BB87" i="10"/>
  <c r="BA87" i="10"/>
  <c r="AY87" i="10"/>
  <c r="AS87" i="10"/>
  <c r="AR87" i="10"/>
  <c r="AQ87" i="10"/>
  <c r="AP87" i="10"/>
  <c r="AK87" i="10"/>
  <c r="AH87" i="10"/>
  <c r="AG87" i="10"/>
  <c r="AF87" i="10"/>
  <c r="AI87" i="10" s="1"/>
  <c r="AJ87" i="10" s="1"/>
  <c r="AC87" i="10"/>
  <c r="AB87" i="10"/>
  <c r="Z87" i="10"/>
  <c r="AA87" i="10" s="1"/>
  <c r="CF86" i="10"/>
  <c r="CG86" i="10" s="1"/>
  <c r="CD86" i="10"/>
  <c r="CE86" i="10" s="1"/>
  <c r="CB86" i="10"/>
  <c r="CC86" i="10" s="1"/>
  <c r="BT86" i="10"/>
  <c r="BU86" i="10" s="1"/>
  <c r="BH86" i="10"/>
  <c r="BG86" i="10"/>
  <c r="BF86" i="10"/>
  <c r="BE86" i="10"/>
  <c r="BD86" i="10"/>
  <c r="BC86" i="10"/>
  <c r="BB86" i="10"/>
  <c r="BA86" i="10"/>
  <c r="AY86" i="10"/>
  <c r="AS86" i="10"/>
  <c r="AR86" i="10"/>
  <c r="AQ86" i="10"/>
  <c r="AP86" i="10"/>
  <c r="AK86" i="10"/>
  <c r="AH86" i="10"/>
  <c r="AG86" i="10"/>
  <c r="AF86" i="10"/>
  <c r="AI86" i="10" s="1"/>
  <c r="AJ86" i="10" s="1"/>
  <c r="AC86" i="10"/>
  <c r="AB86" i="10"/>
  <c r="Z86" i="10"/>
  <c r="AA86" i="10" s="1"/>
  <c r="CF85" i="10"/>
  <c r="CG85" i="10" s="1"/>
  <c r="CD85" i="10"/>
  <c r="CE85" i="10" s="1"/>
  <c r="CB85" i="10"/>
  <c r="CC85" i="10" s="1"/>
  <c r="BT85" i="10"/>
  <c r="BU85" i="10" s="1"/>
  <c r="BH85" i="10"/>
  <c r="BG85" i="10"/>
  <c r="BF85" i="10"/>
  <c r="BE85" i="10"/>
  <c r="BD85" i="10"/>
  <c r="BC85" i="10"/>
  <c r="BB85" i="10"/>
  <c r="BA85" i="10"/>
  <c r="AY85" i="10"/>
  <c r="AS85" i="10"/>
  <c r="AR85" i="10"/>
  <c r="AQ85" i="10"/>
  <c r="AP85" i="10"/>
  <c r="AK85" i="10"/>
  <c r="AH85" i="10"/>
  <c r="AG85" i="10"/>
  <c r="AF85" i="10"/>
  <c r="AI85" i="10" s="1"/>
  <c r="AJ85" i="10" s="1"/>
  <c r="AC85" i="10"/>
  <c r="AB85" i="10"/>
  <c r="Z85" i="10"/>
  <c r="AA85" i="10" s="1"/>
  <c r="CF84" i="10"/>
  <c r="CG84" i="10" s="1"/>
  <c r="CD84" i="10"/>
  <c r="CE84" i="10" s="1"/>
  <c r="CB84" i="10"/>
  <c r="CC84" i="10" s="1"/>
  <c r="BT84" i="10"/>
  <c r="BH84" i="10"/>
  <c r="BG84" i="10"/>
  <c r="BF84" i="10"/>
  <c r="BE84" i="10"/>
  <c r="BD84" i="10"/>
  <c r="BC84" i="10"/>
  <c r="BB84" i="10"/>
  <c r="BA84" i="10"/>
  <c r="AY84" i="10"/>
  <c r="AS84" i="10"/>
  <c r="AR84" i="10"/>
  <c r="AQ84" i="10"/>
  <c r="AP84" i="10"/>
  <c r="AK84" i="10"/>
  <c r="AH84" i="10"/>
  <c r="AG84" i="10"/>
  <c r="AF84" i="10"/>
  <c r="AI84" i="10" s="1"/>
  <c r="AJ84" i="10" s="1"/>
  <c r="AC84" i="10"/>
  <c r="AB84" i="10"/>
  <c r="Z84" i="10"/>
  <c r="AA84" i="10" s="1"/>
  <c r="CF83" i="10"/>
  <c r="CG83" i="10" s="1"/>
  <c r="CD83" i="10"/>
  <c r="CE83" i="10" s="1"/>
  <c r="CB83" i="10"/>
  <c r="CC83" i="10" s="1"/>
  <c r="BT83" i="10"/>
  <c r="BY83" i="10" s="1"/>
  <c r="BH83" i="10"/>
  <c r="BG83" i="10"/>
  <c r="BF83" i="10"/>
  <c r="BE83" i="10"/>
  <c r="BD83" i="10"/>
  <c r="BC83" i="10"/>
  <c r="BB83" i="10"/>
  <c r="BA83" i="10"/>
  <c r="AY83" i="10"/>
  <c r="AS83" i="10"/>
  <c r="AR83" i="10"/>
  <c r="AQ83" i="10"/>
  <c r="AP83" i="10"/>
  <c r="AK83" i="10"/>
  <c r="AH83" i="10"/>
  <c r="AG83" i="10"/>
  <c r="AF83" i="10"/>
  <c r="AI83" i="10" s="1"/>
  <c r="AJ83" i="10" s="1"/>
  <c r="AC83" i="10"/>
  <c r="AB83" i="10"/>
  <c r="Z83" i="10"/>
  <c r="AA83" i="10" s="1"/>
  <c r="CF82" i="10"/>
  <c r="CG82" i="10" s="1"/>
  <c r="CD82" i="10"/>
  <c r="CE82" i="10" s="1"/>
  <c r="CB82" i="10"/>
  <c r="CC82" i="10" s="1"/>
  <c r="BT82" i="10"/>
  <c r="BH82" i="10"/>
  <c r="BG82" i="10"/>
  <c r="BF82" i="10"/>
  <c r="BE82" i="10"/>
  <c r="BD82" i="10"/>
  <c r="BC82" i="10"/>
  <c r="BB82" i="10"/>
  <c r="BA82" i="10"/>
  <c r="AY82" i="10"/>
  <c r="AS82" i="10"/>
  <c r="AR82" i="10"/>
  <c r="AQ82" i="10"/>
  <c r="AP82" i="10"/>
  <c r="AK82" i="10"/>
  <c r="AH82" i="10"/>
  <c r="AG82" i="10"/>
  <c r="AF82" i="10"/>
  <c r="AI82" i="10" s="1"/>
  <c r="AJ82" i="10" s="1"/>
  <c r="AC82" i="10"/>
  <c r="AB82" i="10"/>
  <c r="Z82" i="10"/>
  <c r="AA82" i="10" s="1"/>
  <c r="CF81" i="10"/>
  <c r="CG81" i="10" s="1"/>
  <c r="CD81" i="10"/>
  <c r="CE81" i="10" s="1"/>
  <c r="CB81" i="10"/>
  <c r="CC81" i="10" s="1"/>
  <c r="BT81" i="10"/>
  <c r="BY81" i="10" s="1"/>
  <c r="BH81" i="10"/>
  <c r="BG81" i="10"/>
  <c r="BF81" i="10"/>
  <c r="BE81" i="10"/>
  <c r="BD81" i="10"/>
  <c r="BC81" i="10"/>
  <c r="BB81" i="10"/>
  <c r="BA81" i="10"/>
  <c r="AY81" i="10"/>
  <c r="AS81" i="10"/>
  <c r="AR81" i="10"/>
  <c r="AQ81" i="10"/>
  <c r="AP81" i="10"/>
  <c r="AK81" i="10"/>
  <c r="AH81" i="10"/>
  <c r="AG81" i="10"/>
  <c r="AF81" i="10"/>
  <c r="AI81" i="10" s="1"/>
  <c r="AC81" i="10"/>
  <c r="AB81" i="10"/>
  <c r="Z81" i="10"/>
  <c r="AA81" i="10" s="1"/>
  <c r="CF80" i="10"/>
  <c r="CG80" i="10" s="1"/>
  <c r="CD80" i="10"/>
  <c r="CE80" i="10" s="1"/>
  <c r="CB80" i="10"/>
  <c r="CC80" i="10" s="1"/>
  <c r="BT80" i="10"/>
  <c r="BY80" i="10" s="1"/>
  <c r="BH80" i="10"/>
  <c r="BG80" i="10"/>
  <c r="BF80" i="10"/>
  <c r="BE80" i="10"/>
  <c r="BD80" i="10"/>
  <c r="BC80" i="10"/>
  <c r="BB80" i="10"/>
  <c r="BA80" i="10"/>
  <c r="AY80" i="10"/>
  <c r="AS80" i="10"/>
  <c r="AR80" i="10"/>
  <c r="AQ80" i="10"/>
  <c r="AP80" i="10"/>
  <c r="AK80" i="10"/>
  <c r="AH80" i="10"/>
  <c r="AG80" i="10"/>
  <c r="AF80" i="10"/>
  <c r="AI80" i="10" s="1"/>
  <c r="AJ80" i="10" s="1"/>
  <c r="AC80" i="10"/>
  <c r="AB80" i="10"/>
  <c r="Z80" i="10"/>
  <c r="AA80" i="10" s="1"/>
  <c r="CF79" i="10"/>
  <c r="CG79" i="10" s="1"/>
  <c r="CD79" i="10"/>
  <c r="CE79" i="10" s="1"/>
  <c r="CB79" i="10"/>
  <c r="CC79" i="10" s="1"/>
  <c r="BT79" i="10"/>
  <c r="BY79" i="10" s="1"/>
  <c r="BH79" i="10"/>
  <c r="BG79" i="10"/>
  <c r="BF79" i="10"/>
  <c r="BE79" i="10"/>
  <c r="BD79" i="10"/>
  <c r="BC79" i="10"/>
  <c r="BB79" i="10"/>
  <c r="BA79" i="10"/>
  <c r="AY79" i="10"/>
  <c r="AS79" i="10"/>
  <c r="AR79" i="10"/>
  <c r="AQ79" i="10"/>
  <c r="AP79" i="10"/>
  <c r="AK79" i="10"/>
  <c r="AH79" i="10"/>
  <c r="AG79" i="10"/>
  <c r="AF79" i="10"/>
  <c r="AI79" i="10" s="1"/>
  <c r="AC79" i="10"/>
  <c r="AB79" i="10"/>
  <c r="Z79" i="10"/>
  <c r="AA79" i="10" s="1"/>
  <c r="CF78" i="10"/>
  <c r="CG78" i="10" s="1"/>
  <c r="CD78" i="10"/>
  <c r="CE78" i="10" s="1"/>
  <c r="CB78" i="10"/>
  <c r="CC78" i="10" s="1"/>
  <c r="BT78" i="10"/>
  <c r="BU78" i="10" s="1"/>
  <c r="BH78" i="10"/>
  <c r="BG78" i="10"/>
  <c r="BF78" i="10"/>
  <c r="BE78" i="10"/>
  <c r="BD78" i="10"/>
  <c r="BC78" i="10"/>
  <c r="BB78" i="10"/>
  <c r="BA78" i="10"/>
  <c r="AY78" i="10"/>
  <c r="AS78" i="10"/>
  <c r="AR78" i="10"/>
  <c r="AQ78" i="10"/>
  <c r="AP78" i="10"/>
  <c r="AK78" i="10"/>
  <c r="AH78" i="10"/>
  <c r="AG78" i="10"/>
  <c r="AF78" i="10"/>
  <c r="AI78" i="10" s="1"/>
  <c r="AJ78" i="10" s="1"/>
  <c r="AC78" i="10"/>
  <c r="AB78" i="10"/>
  <c r="Z78" i="10"/>
  <c r="AA78" i="10" s="1"/>
  <c r="CF77" i="10"/>
  <c r="CG77" i="10" s="1"/>
  <c r="CD77" i="10"/>
  <c r="CE77" i="10" s="1"/>
  <c r="CB77" i="10"/>
  <c r="CC77" i="10" s="1"/>
  <c r="BT77" i="10"/>
  <c r="BU77" i="10" s="1"/>
  <c r="BH77" i="10"/>
  <c r="BG77" i="10"/>
  <c r="BF77" i="10"/>
  <c r="BE77" i="10"/>
  <c r="BD77" i="10"/>
  <c r="BC77" i="10"/>
  <c r="BB77" i="10"/>
  <c r="BA77" i="10"/>
  <c r="AY77" i="10"/>
  <c r="AS77" i="10"/>
  <c r="AR77" i="10"/>
  <c r="AQ77" i="10"/>
  <c r="AP77" i="10"/>
  <c r="AK77" i="10"/>
  <c r="AH77" i="10"/>
  <c r="AG77" i="10"/>
  <c r="AF77" i="10"/>
  <c r="AI77" i="10" s="1"/>
  <c r="AJ77" i="10" s="1"/>
  <c r="AC77" i="10"/>
  <c r="AB77" i="10"/>
  <c r="Z77" i="10"/>
  <c r="AA77" i="10" s="1"/>
  <c r="CF76" i="10"/>
  <c r="CG76" i="10" s="1"/>
  <c r="CD76" i="10"/>
  <c r="CE76" i="10" s="1"/>
  <c r="CB76" i="10"/>
  <c r="CC76" i="10" s="1"/>
  <c r="BT76" i="10"/>
  <c r="BY76" i="10" s="1"/>
  <c r="BH76" i="10"/>
  <c r="BG76" i="10"/>
  <c r="BF76" i="10"/>
  <c r="BE76" i="10"/>
  <c r="BD76" i="10"/>
  <c r="BC76" i="10"/>
  <c r="BB76" i="10"/>
  <c r="BA76" i="10"/>
  <c r="AY76" i="10"/>
  <c r="AS76" i="10"/>
  <c r="AR76" i="10"/>
  <c r="AQ76" i="10"/>
  <c r="AP76" i="10"/>
  <c r="AK76" i="10"/>
  <c r="AH76" i="10"/>
  <c r="AG76" i="10"/>
  <c r="AF76" i="10"/>
  <c r="AI76" i="10" s="1"/>
  <c r="AC76" i="10"/>
  <c r="AB76" i="10"/>
  <c r="Z76" i="10"/>
  <c r="AA76" i="10" s="1"/>
  <c r="CF75" i="10"/>
  <c r="CG75" i="10" s="1"/>
  <c r="CD75" i="10"/>
  <c r="CE75" i="10" s="1"/>
  <c r="CB75" i="10"/>
  <c r="CC75" i="10" s="1"/>
  <c r="BT75" i="10"/>
  <c r="BU75" i="10" s="1"/>
  <c r="BH75" i="10"/>
  <c r="BG75" i="10"/>
  <c r="BF75" i="10"/>
  <c r="BE75" i="10"/>
  <c r="BD75" i="10"/>
  <c r="BC75" i="10"/>
  <c r="BB75" i="10"/>
  <c r="BA75" i="10"/>
  <c r="AY75" i="10"/>
  <c r="AS75" i="10"/>
  <c r="AR75" i="10"/>
  <c r="AQ75" i="10"/>
  <c r="AP75" i="10"/>
  <c r="AK75" i="10"/>
  <c r="AH75" i="10"/>
  <c r="AG75" i="10"/>
  <c r="AF75" i="10"/>
  <c r="AI75" i="10" s="1"/>
  <c r="AJ75" i="10" s="1"/>
  <c r="AC75" i="10"/>
  <c r="AB75" i="10"/>
  <c r="Z75" i="10"/>
  <c r="AA75" i="10" s="1"/>
  <c r="CF74" i="10"/>
  <c r="CG74" i="10" s="1"/>
  <c r="CD74" i="10"/>
  <c r="CE74" i="10" s="1"/>
  <c r="CB74" i="10"/>
  <c r="CC74" i="10" s="1"/>
  <c r="BT74" i="10"/>
  <c r="BY74" i="10" s="1"/>
  <c r="BH74" i="10"/>
  <c r="BG74" i="10"/>
  <c r="BF74" i="10"/>
  <c r="BE74" i="10"/>
  <c r="BD74" i="10"/>
  <c r="BC74" i="10"/>
  <c r="BB74" i="10"/>
  <c r="BA74" i="10"/>
  <c r="AY74" i="10"/>
  <c r="AS74" i="10"/>
  <c r="AR74" i="10"/>
  <c r="AQ74" i="10"/>
  <c r="AP74" i="10"/>
  <c r="AK74" i="10"/>
  <c r="AH74" i="10"/>
  <c r="AG74" i="10"/>
  <c r="AF74" i="10"/>
  <c r="AI74" i="10" s="1"/>
  <c r="AJ74" i="10" s="1"/>
  <c r="AC74" i="10"/>
  <c r="AB74" i="10"/>
  <c r="Z74" i="10"/>
  <c r="AA74" i="10" s="1"/>
  <c r="CF73" i="10"/>
  <c r="CG73" i="10" s="1"/>
  <c r="CD73" i="10"/>
  <c r="CE73" i="10" s="1"/>
  <c r="CB73" i="10"/>
  <c r="CC73" i="10" s="1"/>
  <c r="BT73" i="10"/>
  <c r="BY73" i="10" s="1"/>
  <c r="BH73" i="10"/>
  <c r="BG73" i="10"/>
  <c r="BF73" i="10"/>
  <c r="BE73" i="10"/>
  <c r="BD73" i="10"/>
  <c r="BC73" i="10"/>
  <c r="BB73" i="10"/>
  <c r="BA73" i="10"/>
  <c r="AY73" i="10"/>
  <c r="AS73" i="10"/>
  <c r="AR73" i="10"/>
  <c r="AQ73" i="10"/>
  <c r="AP73" i="10"/>
  <c r="AK73" i="10"/>
  <c r="AH73" i="10"/>
  <c r="AG73" i="10"/>
  <c r="AF73" i="10"/>
  <c r="AI73" i="10" s="1"/>
  <c r="AC73" i="10"/>
  <c r="AB73" i="10"/>
  <c r="Z73" i="10"/>
  <c r="AA73" i="10" s="1"/>
  <c r="CF72" i="10"/>
  <c r="CG72" i="10" s="1"/>
  <c r="CD72" i="10"/>
  <c r="CE72" i="10" s="1"/>
  <c r="CB72" i="10"/>
  <c r="CC72" i="10" s="1"/>
  <c r="BT72" i="10"/>
  <c r="BU72" i="10" s="1"/>
  <c r="BH72" i="10"/>
  <c r="BG72" i="10"/>
  <c r="BF72" i="10"/>
  <c r="BE72" i="10"/>
  <c r="BD72" i="10"/>
  <c r="BC72" i="10"/>
  <c r="BB72" i="10"/>
  <c r="BA72" i="10"/>
  <c r="AY72" i="10"/>
  <c r="AS72" i="10"/>
  <c r="AR72" i="10"/>
  <c r="AQ72" i="10"/>
  <c r="AP72" i="10"/>
  <c r="AK72" i="10"/>
  <c r="AH72" i="10"/>
  <c r="AG72" i="10"/>
  <c r="AF72" i="10"/>
  <c r="AI72" i="10" s="1"/>
  <c r="AJ72" i="10" s="1"/>
  <c r="AC72" i="10"/>
  <c r="AB72" i="10"/>
  <c r="Z72" i="10"/>
  <c r="AA72" i="10" s="1"/>
  <c r="CF71" i="10"/>
  <c r="CG71" i="10" s="1"/>
  <c r="CD71" i="10"/>
  <c r="CE71" i="10" s="1"/>
  <c r="CB71" i="10"/>
  <c r="CC71" i="10" s="1"/>
  <c r="BT71" i="10"/>
  <c r="BY71" i="10" s="1"/>
  <c r="BH71" i="10"/>
  <c r="BG71" i="10"/>
  <c r="BF71" i="10"/>
  <c r="BE71" i="10"/>
  <c r="BD71" i="10"/>
  <c r="BC71" i="10"/>
  <c r="BB71" i="10"/>
  <c r="BA71" i="10"/>
  <c r="AY71" i="10"/>
  <c r="AS71" i="10"/>
  <c r="AR71" i="10"/>
  <c r="AQ71" i="10"/>
  <c r="AP71" i="10"/>
  <c r="AK71" i="10"/>
  <c r="AH71" i="10"/>
  <c r="AG71" i="10"/>
  <c r="AF71" i="10"/>
  <c r="AI71" i="10" s="1"/>
  <c r="AJ71" i="10" s="1"/>
  <c r="AC71" i="10"/>
  <c r="AB71" i="10"/>
  <c r="Z71" i="10"/>
  <c r="AA71" i="10" s="1"/>
  <c r="CF70" i="10"/>
  <c r="CG70" i="10" s="1"/>
  <c r="CD70" i="10"/>
  <c r="CE70" i="10" s="1"/>
  <c r="CB70" i="10"/>
  <c r="CC70" i="10" s="1"/>
  <c r="BT70" i="10"/>
  <c r="BU70" i="10" s="1"/>
  <c r="BH70" i="10"/>
  <c r="BG70" i="10"/>
  <c r="BF70" i="10"/>
  <c r="BE70" i="10"/>
  <c r="BD70" i="10"/>
  <c r="BC70" i="10"/>
  <c r="BB70" i="10"/>
  <c r="BA70" i="10"/>
  <c r="AY70" i="10"/>
  <c r="AS70" i="10"/>
  <c r="AR70" i="10"/>
  <c r="AQ70" i="10"/>
  <c r="AP70" i="10"/>
  <c r="AK70" i="10"/>
  <c r="AH70" i="10"/>
  <c r="AG70" i="10"/>
  <c r="AF70" i="10"/>
  <c r="AI70" i="10" s="1"/>
  <c r="AC70" i="10"/>
  <c r="AB70" i="10"/>
  <c r="CF69" i="10"/>
  <c r="CG69" i="10" s="1"/>
  <c r="CD69" i="10"/>
  <c r="CE69" i="10" s="1"/>
  <c r="CB69" i="10"/>
  <c r="CC69" i="10" s="1"/>
  <c r="BT69" i="10"/>
  <c r="BY69" i="10" s="1"/>
  <c r="BH69" i="10"/>
  <c r="BG69" i="10"/>
  <c r="BF69" i="10"/>
  <c r="BE69" i="10"/>
  <c r="BD69" i="10"/>
  <c r="BC69" i="10"/>
  <c r="BB69" i="10"/>
  <c r="BA69" i="10"/>
  <c r="AY69" i="10"/>
  <c r="AS69" i="10"/>
  <c r="AR69" i="10"/>
  <c r="AQ69" i="10"/>
  <c r="AP69" i="10"/>
  <c r="AK69" i="10"/>
  <c r="AH69" i="10"/>
  <c r="AG69" i="10"/>
  <c r="AF69" i="10"/>
  <c r="AI69" i="10" s="1"/>
  <c r="AJ69" i="10" s="1"/>
  <c r="AC69" i="10"/>
  <c r="AB69" i="10"/>
  <c r="Z69" i="10"/>
  <c r="AA69" i="10" s="1"/>
  <c r="CF68" i="10"/>
  <c r="CG68" i="10" s="1"/>
  <c r="CD68" i="10"/>
  <c r="CE68" i="10" s="1"/>
  <c r="CB68" i="10"/>
  <c r="CC68" i="10" s="1"/>
  <c r="BT68" i="10"/>
  <c r="BY68" i="10" s="1"/>
  <c r="BH68" i="10"/>
  <c r="BG68" i="10"/>
  <c r="BF68" i="10"/>
  <c r="BE68" i="10"/>
  <c r="BD68" i="10"/>
  <c r="BC68" i="10"/>
  <c r="BB68" i="10"/>
  <c r="BA68" i="10"/>
  <c r="AY68" i="10"/>
  <c r="AS68" i="10"/>
  <c r="AR68" i="10"/>
  <c r="AQ68" i="10"/>
  <c r="AP68" i="10"/>
  <c r="AK68" i="10"/>
  <c r="AH68" i="10"/>
  <c r="AG68" i="10"/>
  <c r="AF68" i="10"/>
  <c r="AI68" i="10" s="1"/>
  <c r="AJ68" i="10" s="1"/>
  <c r="AC68" i="10"/>
  <c r="AB68" i="10"/>
  <c r="Z68" i="10"/>
  <c r="AA68" i="10" s="1"/>
  <c r="CF67" i="10"/>
  <c r="CG67" i="10" s="1"/>
  <c r="CD67" i="10"/>
  <c r="CE67" i="10" s="1"/>
  <c r="CB67" i="10"/>
  <c r="CC67" i="10" s="1"/>
  <c r="BT67" i="10"/>
  <c r="BY67" i="10" s="1"/>
  <c r="BH67" i="10"/>
  <c r="BG67" i="10"/>
  <c r="BF67" i="10"/>
  <c r="BE67" i="10"/>
  <c r="BD67" i="10"/>
  <c r="BC67" i="10"/>
  <c r="BB67" i="10"/>
  <c r="BA67" i="10"/>
  <c r="AY67" i="10"/>
  <c r="AS67" i="10"/>
  <c r="AR67" i="10"/>
  <c r="AQ67" i="10"/>
  <c r="AP67" i="10"/>
  <c r="AK67" i="10"/>
  <c r="AH67" i="10"/>
  <c r="AG67" i="10"/>
  <c r="AF67" i="10"/>
  <c r="AI67" i="10" s="1"/>
  <c r="AJ67" i="10" s="1"/>
  <c r="AC67" i="10"/>
  <c r="AB67" i="10"/>
  <c r="Z67" i="10"/>
  <c r="AA67" i="10" s="1"/>
  <c r="CF66" i="10"/>
  <c r="CG66" i="10" s="1"/>
  <c r="CD66" i="10"/>
  <c r="CE66" i="10" s="1"/>
  <c r="CB66" i="10"/>
  <c r="CC66" i="10" s="1"/>
  <c r="BT66" i="10"/>
  <c r="BH66" i="10"/>
  <c r="BG66" i="10"/>
  <c r="BF66" i="10"/>
  <c r="BE66" i="10"/>
  <c r="BD66" i="10"/>
  <c r="BC66" i="10"/>
  <c r="BB66" i="10"/>
  <c r="BA66" i="10"/>
  <c r="AY66" i="10"/>
  <c r="AS66" i="10"/>
  <c r="AR66" i="10"/>
  <c r="AQ66" i="10"/>
  <c r="AP66" i="10"/>
  <c r="AK66" i="10"/>
  <c r="AH66" i="10"/>
  <c r="AG66" i="10"/>
  <c r="AF66" i="10"/>
  <c r="AI66" i="10" s="1"/>
  <c r="AJ66" i="10" s="1"/>
  <c r="AC66" i="10"/>
  <c r="AB66" i="10"/>
  <c r="Z66" i="10"/>
  <c r="AA66" i="10" s="1"/>
  <c r="CF65" i="10"/>
  <c r="CG65" i="10" s="1"/>
  <c r="CD65" i="10"/>
  <c r="CE65" i="10" s="1"/>
  <c r="CB65" i="10"/>
  <c r="CC65" i="10" s="1"/>
  <c r="BT65" i="10"/>
  <c r="BH65" i="10"/>
  <c r="BG65" i="10"/>
  <c r="BF65" i="10"/>
  <c r="BE65" i="10"/>
  <c r="BD65" i="10"/>
  <c r="BC65" i="10"/>
  <c r="BB65" i="10"/>
  <c r="BA65" i="10"/>
  <c r="AY65" i="10"/>
  <c r="AS65" i="10"/>
  <c r="AR65" i="10"/>
  <c r="AQ65" i="10"/>
  <c r="AP65" i="10"/>
  <c r="AK65" i="10"/>
  <c r="AH65" i="10"/>
  <c r="AG65" i="10"/>
  <c r="AF65" i="10"/>
  <c r="AI65" i="10" s="1"/>
  <c r="AJ65" i="10" s="1"/>
  <c r="AC65" i="10"/>
  <c r="AB65" i="10"/>
  <c r="Z65" i="10"/>
  <c r="AA65" i="10" s="1"/>
  <c r="CF64" i="10"/>
  <c r="CG64" i="10" s="1"/>
  <c r="CD64" i="10"/>
  <c r="CE64" i="10" s="1"/>
  <c r="CB64" i="10"/>
  <c r="CC64" i="10" s="1"/>
  <c r="BT64" i="10"/>
  <c r="BY64" i="10" s="1"/>
  <c r="BH64" i="10"/>
  <c r="BG64" i="10"/>
  <c r="BF64" i="10"/>
  <c r="BE64" i="10"/>
  <c r="BD64" i="10"/>
  <c r="BC64" i="10"/>
  <c r="BB64" i="10"/>
  <c r="BA64" i="10"/>
  <c r="AY64" i="10"/>
  <c r="AS64" i="10"/>
  <c r="AR64" i="10"/>
  <c r="AQ64" i="10"/>
  <c r="AP64" i="10"/>
  <c r="AK64" i="10"/>
  <c r="AH64" i="10"/>
  <c r="AG64" i="10"/>
  <c r="AF64" i="10"/>
  <c r="AI64" i="10" s="1"/>
  <c r="AJ64" i="10" s="1"/>
  <c r="AC64" i="10"/>
  <c r="AB64" i="10"/>
  <c r="Z64" i="10"/>
  <c r="AA64" i="10" s="1"/>
  <c r="CF63" i="10"/>
  <c r="CG63" i="10" s="1"/>
  <c r="CD63" i="10"/>
  <c r="CE63" i="10" s="1"/>
  <c r="CB63" i="10"/>
  <c r="CC63" i="10" s="1"/>
  <c r="BT63" i="10"/>
  <c r="BU63" i="10" s="1"/>
  <c r="BH63" i="10"/>
  <c r="BG63" i="10"/>
  <c r="BF63" i="10"/>
  <c r="BE63" i="10"/>
  <c r="BD63" i="10"/>
  <c r="BC63" i="10"/>
  <c r="BB63" i="10"/>
  <c r="BA63" i="10"/>
  <c r="AY63" i="10"/>
  <c r="AS63" i="10"/>
  <c r="AR63" i="10"/>
  <c r="AQ63" i="10"/>
  <c r="AP63" i="10"/>
  <c r="AK63" i="10"/>
  <c r="AH63" i="10"/>
  <c r="AG63" i="10"/>
  <c r="AF63" i="10"/>
  <c r="AI63" i="10" s="1"/>
  <c r="AJ63" i="10" s="1"/>
  <c r="AC63" i="10"/>
  <c r="AB63" i="10"/>
  <c r="Z63" i="10"/>
  <c r="AA63" i="10" s="1"/>
  <c r="CF62" i="10"/>
  <c r="CG62" i="10" s="1"/>
  <c r="CD62" i="10"/>
  <c r="CE62" i="10" s="1"/>
  <c r="CB62" i="10"/>
  <c r="CC62" i="10" s="1"/>
  <c r="BT62" i="10"/>
  <c r="BH62" i="10"/>
  <c r="BG62" i="10"/>
  <c r="BF62" i="10"/>
  <c r="BE62" i="10"/>
  <c r="BD62" i="10"/>
  <c r="BC62" i="10"/>
  <c r="BB62" i="10"/>
  <c r="BA62" i="10"/>
  <c r="AY62" i="10"/>
  <c r="AS62" i="10"/>
  <c r="AR62" i="10"/>
  <c r="AQ62" i="10"/>
  <c r="AP62" i="10"/>
  <c r="AK62" i="10"/>
  <c r="AH62" i="10"/>
  <c r="AG62" i="10"/>
  <c r="AF62" i="10"/>
  <c r="AI62" i="10" s="1"/>
  <c r="AC62" i="10"/>
  <c r="AB62" i="10"/>
  <c r="Z62" i="10"/>
  <c r="AA62" i="10" s="1"/>
  <c r="CF61" i="10"/>
  <c r="CG61" i="10" s="1"/>
  <c r="CD61" i="10"/>
  <c r="CE61" i="10" s="1"/>
  <c r="CB61" i="10"/>
  <c r="CC61" i="10" s="1"/>
  <c r="BT61" i="10"/>
  <c r="BY61" i="10" s="1"/>
  <c r="BH61" i="10"/>
  <c r="BG61" i="10"/>
  <c r="BF61" i="10"/>
  <c r="BE61" i="10"/>
  <c r="BD61" i="10"/>
  <c r="BC61" i="10"/>
  <c r="BB61" i="10"/>
  <c r="BA61" i="10"/>
  <c r="AY61" i="10"/>
  <c r="AS61" i="10"/>
  <c r="AR61" i="10"/>
  <c r="AQ61" i="10"/>
  <c r="AP61" i="10"/>
  <c r="AK61" i="10"/>
  <c r="AH61" i="10"/>
  <c r="AG61" i="10"/>
  <c r="AF61" i="10"/>
  <c r="AI61" i="10" s="1"/>
  <c r="AJ61" i="10" s="1"/>
  <c r="AC61" i="10"/>
  <c r="AB61" i="10"/>
  <c r="Z61" i="10"/>
  <c r="AA61" i="10" s="1"/>
  <c r="CF60" i="10"/>
  <c r="CG60" i="10" s="1"/>
  <c r="CD60" i="10"/>
  <c r="CE60" i="10" s="1"/>
  <c r="CB60" i="10"/>
  <c r="CC60" i="10" s="1"/>
  <c r="BT60" i="10"/>
  <c r="BU60" i="10" s="1"/>
  <c r="BH60" i="10"/>
  <c r="BG60" i="10"/>
  <c r="BF60" i="10"/>
  <c r="BE60" i="10"/>
  <c r="BD60" i="10"/>
  <c r="BC60" i="10"/>
  <c r="BB60" i="10"/>
  <c r="BA60" i="10"/>
  <c r="AY60" i="10"/>
  <c r="AS60" i="10"/>
  <c r="AR60" i="10"/>
  <c r="AQ60" i="10"/>
  <c r="AP60" i="10"/>
  <c r="AK60" i="10"/>
  <c r="AH60" i="10"/>
  <c r="AG60" i="10"/>
  <c r="AF60" i="10"/>
  <c r="AI60" i="10" s="1"/>
  <c r="AJ60" i="10" s="1"/>
  <c r="AC60" i="10"/>
  <c r="AB60" i="10"/>
  <c r="Z60" i="10"/>
  <c r="AA60" i="10" s="1"/>
  <c r="CF59" i="10"/>
  <c r="CG59" i="10" s="1"/>
  <c r="CD59" i="10"/>
  <c r="CE59" i="10" s="1"/>
  <c r="CB59" i="10"/>
  <c r="CC59" i="10" s="1"/>
  <c r="BT59" i="10"/>
  <c r="BU59" i="10" s="1"/>
  <c r="BH59" i="10"/>
  <c r="BG59" i="10"/>
  <c r="BF59" i="10"/>
  <c r="BE59" i="10"/>
  <c r="BD59" i="10"/>
  <c r="BC59" i="10"/>
  <c r="BB59" i="10"/>
  <c r="BA59" i="10"/>
  <c r="AY59" i="10"/>
  <c r="AS59" i="10"/>
  <c r="AR59" i="10"/>
  <c r="AQ59" i="10"/>
  <c r="AP59" i="10"/>
  <c r="AK59" i="10"/>
  <c r="AH59" i="10"/>
  <c r="AG59" i="10"/>
  <c r="AF59" i="10"/>
  <c r="AI59" i="10" s="1"/>
  <c r="AC59" i="10"/>
  <c r="AB59" i="10"/>
  <c r="Z59" i="10"/>
  <c r="AA59" i="10" s="1"/>
  <c r="CF58" i="10"/>
  <c r="CG58" i="10" s="1"/>
  <c r="CD58" i="10"/>
  <c r="CE58" i="10" s="1"/>
  <c r="CB58" i="10"/>
  <c r="CC58" i="10" s="1"/>
  <c r="BT58" i="10"/>
  <c r="BH58" i="10"/>
  <c r="BG58" i="10"/>
  <c r="BF58" i="10"/>
  <c r="BE58" i="10"/>
  <c r="BD58" i="10"/>
  <c r="BC58" i="10"/>
  <c r="BB58" i="10"/>
  <c r="BA58" i="10"/>
  <c r="AY58" i="10"/>
  <c r="AS58" i="10"/>
  <c r="AR58" i="10"/>
  <c r="AQ58" i="10"/>
  <c r="AP58" i="10"/>
  <c r="AK58" i="10"/>
  <c r="AH58" i="10"/>
  <c r="AG58" i="10"/>
  <c r="AF58" i="10"/>
  <c r="AI58" i="10" s="1"/>
  <c r="AJ58" i="10" s="1"/>
  <c r="AC58" i="10"/>
  <c r="AB58" i="10"/>
  <c r="Z58" i="10"/>
  <c r="AA58" i="10" s="1"/>
  <c r="CF57" i="10"/>
  <c r="CG57" i="10" s="1"/>
  <c r="CD57" i="10"/>
  <c r="CE57" i="10" s="1"/>
  <c r="CB57" i="10"/>
  <c r="CC57" i="10" s="1"/>
  <c r="BT57" i="10"/>
  <c r="BY57" i="10" s="1"/>
  <c r="BH57" i="10"/>
  <c r="BG57" i="10"/>
  <c r="BF57" i="10"/>
  <c r="BE57" i="10"/>
  <c r="BD57" i="10"/>
  <c r="BC57" i="10"/>
  <c r="BB57" i="10"/>
  <c r="BA57" i="10"/>
  <c r="AY57" i="10"/>
  <c r="AS57" i="10"/>
  <c r="AR57" i="10"/>
  <c r="AQ57" i="10"/>
  <c r="AP57" i="10"/>
  <c r="AK57" i="10"/>
  <c r="AH57" i="10"/>
  <c r="AG57" i="10"/>
  <c r="AF57" i="10"/>
  <c r="AI57" i="10" s="1"/>
  <c r="AJ57" i="10" s="1"/>
  <c r="AC57" i="10"/>
  <c r="AB57" i="10"/>
  <c r="Z57" i="10"/>
  <c r="AA57" i="10" s="1"/>
  <c r="CF56" i="10"/>
  <c r="CG56" i="10" s="1"/>
  <c r="CD56" i="10"/>
  <c r="CE56" i="10" s="1"/>
  <c r="CB56" i="10"/>
  <c r="CC56" i="10" s="1"/>
  <c r="BT56" i="10"/>
  <c r="BY56" i="10" s="1"/>
  <c r="BH56" i="10"/>
  <c r="BG56" i="10"/>
  <c r="BF56" i="10"/>
  <c r="BE56" i="10"/>
  <c r="BD56" i="10"/>
  <c r="BC56" i="10"/>
  <c r="BB56" i="10"/>
  <c r="BA56" i="10"/>
  <c r="AY56" i="10"/>
  <c r="AS56" i="10"/>
  <c r="AR56" i="10"/>
  <c r="AQ56" i="10"/>
  <c r="AP56" i="10"/>
  <c r="AK56" i="10"/>
  <c r="AH56" i="10"/>
  <c r="AG56" i="10"/>
  <c r="AF56" i="10"/>
  <c r="AI56" i="10" s="1"/>
  <c r="AC56" i="10"/>
  <c r="AB56" i="10"/>
  <c r="Z56" i="10"/>
  <c r="AA56" i="10" s="1"/>
  <c r="CF55" i="10"/>
  <c r="CG55" i="10" s="1"/>
  <c r="CD55" i="10"/>
  <c r="CE55" i="10" s="1"/>
  <c r="CB55" i="10"/>
  <c r="CC55" i="10" s="1"/>
  <c r="BT55" i="10"/>
  <c r="BY55" i="10" s="1"/>
  <c r="BH55" i="10"/>
  <c r="BG55" i="10"/>
  <c r="BF55" i="10"/>
  <c r="BE55" i="10"/>
  <c r="BD55" i="10"/>
  <c r="BC55" i="10"/>
  <c r="BB55" i="10"/>
  <c r="BA55" i="10"/>
  <c r="AY55" i="10"/>
  <c r="AS55" i="10"/>
  <c r="AR55" i="10"/>
  <c r="AQ55" i="10"/>
  <c r="AP55" i="10"/>
  <c r="AK55" i="10"/>
  <c r="AH55" i="10"/>
  <c r="AG55" i="10"/>
  <c r="AF55" i="10"/>
  <c r="AI55" i="10" s="1"/>
  <c r="AJ55" i="10" s="1"/>
  <c r="AC55" i="10"/>
  <c r="AB55" i="10"/>
  <c r="Z55" i="10"/>
  <c r="AA55" i="10" s="1"/>
  <c r="CF54" i="10"/>
  <c r="CG54" i="10" s="1"/>
  <c r="CD54" i="10"/>
  <c r="CE54" i="10" s="1"/>
  <c r="CB54" i="10"/>
  <c r="CC54" i="10" s="1"/>
  <c r="BT54" i="10"/>
  <c r="BH54" i="10"/>
  <c r="BG54" i="10"/>
  <c r="BF54" i="10"/>
  <c r="BE54" i="10"/>
  <c r="BD54" i="10"/>
  <c r="BC54" i="10"/>
  <c r="BB54" i="10"/>
  <c r="BA54" i="10"/>
  <c r="AY54" i="10"/>
  <c r="AS54" i="10"/>
  <c r="AR54" i="10"/>
  <c r="AQ54" i="10"/>
  <c r="AP54" i="10"/>
  <c r="AK54" i="10"/>
  <c r="AH54" i="10"/>
  <c r="AG54" i="10"/>
  <c r="AF54" i="10"/>
  <c r="AI54" i="10" s="1"/>
  <c r="AJ54" i="10" s="1"/>
  <c r="AC54" i="10"/>
  <c r="AB54" i="10"/>
  <c r="Z54" i="10"/>
  <c r="AA54" i="10" s="1"/>
  <c r="CF53" i="10"/>
  <c r="CG53" i="10" s="1"/>
  <c r="CD53" i="10"/>
  <c r="CE53" i="10" s="1"/>
  <c r="CB53" i="10"/>
  <c r="CC53" i="10" s="1"/>
  <c r="BT53" i="10"/>
  <c r="BH53" i="10"/>
  <c r="BG53" i="10"/>
  <c r="BF53" i="10"/>
  <c r="BE53" i="10"/>
  <c r="BD53" i="10"/>
  <c r="BC53" i="10"/>
  <c r="BB53" i="10"/>
  <c r="BA53" i="10"/>
  <c r="AY53" i="10"/>
  <c r="AS53" i="10"/>
  <c r="AR53" i="10"/>
  <c r="AQ53" i="10"/>
  <c r="AP53" i="10"/>
  <c r="AK53" i="10"/>
  <c r="AH53" i="10"/>
  <c r="AG53" i="10"/>
  <c r="AF53" i="10"/>
  <c r="AI53" i="10" s="1"/>
  <c r="AJ53" i="10" s="1"/>
  <c r="AC53" i="10"/>
  <c r="AB53" i="10"/>
  <c r="Z53" i="10"/>
  <c r="AA53" i="10" s="1"/>
  <c r="CF52" i="10"/>
  <c r="CG52" i="10" s="1"/>
  <c r="CD52" i="10"/>
  <c r="CE52" i="10" s="1"/>
  <c r="CB52" i="10"/>
  <c r="CC52" i="10" s="1"/>
  <c r="BT52" i="10"/>
  <c r="BU52" i="10" s="1"/>
  <c r="BH52" i="10"/>
  <c r="BG52" i="10"/>
  <c r="BF52" i="10"/>
  <c r="BE52" i="10"/>
  <c r="BD52" i="10"/>
  <c r="BC52" i="10"/>
  <c r="BB52" i="10"/>
  <c r="BA52" i="10"/>
  <c r="AY52" i="10"/>
  <c r="AS52" i="10"/>
  <c r="AR52" i="10"/>
  <c r="AQ52" i="10"/>
  <c r="AP52" i="10"/>
  <c r="AK52" i="10"/>
  <c r="AH52" i="10"/>
  <c r="AG52" i="10"/>
  <c r="AF52" i="10"/>
  <c r="AI52" i="10" s="1"/>
  <c r="AJ52" i="10" s="1"/>
  <c r="AC52" i="10"/>
  <c r="AB52" i="10"/>
  <c r="Z52" i="10"/>
  <c r="AA52" i="10" s="1"/>
  <c r="CF51" i="10"/>
  <c r="CG51" i="10" s="1"/>
  <c r="CD51" i="10"/>
  <c r="CE51" i="10" s="1"/>
  <c r="CB51" i="10"/>
  <c r="CC51" i="10" s="1"/>
  <c r="BT51" i="10"/>
  <c r="BH51" i="10"/>
  <c r="BG51" i="10"/>
  <c r="BF51" i="10"/>
  <c r="BE51" i="10"/>
  <c r="BD51" i="10"/>
  <c r="BC51" i="10"/>
  <c r="BB51" i="10"/>
  <c r="BA51" i="10"/>
  <c r="AY51" i="10"/>
  <c r="AS51" i="10"/>
  <c r="AR51" i="10"/>
  <c r="AQ51" i="10"/>
  <c r="AP51" i="10"/>
  <c r="AK51" i="10"/>
  <c r="AH51" i="10"/>
  <c r="AG51" i="10"/>
  <c r="AF51" i="10"/>
  <c r="AI51" i="10" s="1"/>
  <c r="AJ51" i="10" s="1"/>
  <c r="AC51" i="10"/>
  <c r="AB51" i="10"/>
  <c r="Z51" i="10"/>
  <c r="AA51" i="10" s="1"/>
  <c r="CF50" i="10"/>
  <c r="CG50" i="10" s="1"/>
  <c r="CD50" i="10"/>
  <c r="CE50" i="10" s="1"/>
  <c r="CB50" i="10"/>
  <c r="CC50" i="10" s="1"/>
  <c r="BT50" i="10"/>
  <c r="BU50" i="10" s="1"/>
  <c r="BH50" i="10"/>
  <c r="BG50" i="10"/>
  <c r="BF50" i="10"/>
  <c r="BE50" i="10"/>
  <c r="BD50" i="10"/>
  <c r="BC50" i="10"/>
  <c r="BB50" i="10"/>
  <c r="BA50" i="10"/>
  <c r="AY50" i="10"/>
  <c r="AS50" i="10"/>
  <c r="AR50" i="10"/>
  <c r="AQ50" i="10"/>
  <c r="AP50" i="10"/>
  <c r="AK50" i="10"/>
  <c r="AH50" i="10"/>
  <c r="AG50" i="10"/>
  <c r="AF50" i="10"/>
  <c r="AI50" i="10" s="1"/>
  <c r="AC50" i="10"/>
  <c r="AB50" i="10"/>
  <c r="Z50" i="10"/>
  <c r="AA50" i="10" s="1"/>
  <c r="CF49" i="10"/>
  <c r="CG49" i="10" s="1"/>
  <c r="CD49" i="10"/>
  <c r="CE49" i="10" s="1"/>
  <c r="CB49" i="10"/>
  <c r="CC49" i="10" s="1"/>
  <c r="BT49" i="10"/>
  <c r="BU49" i="10" s="1"/>
  <c r="BH49" i="10"/>
  <c r="BG49" i="10"/>
  <c r="BF49" i="10"/>
  <c r="BE49" i="10"/>
  <c r="BD49" i="10"/>
  <c r="BC49" i="10"/>
  <c r="BB49" i="10"/>
  <c r="BA49" i="10"/>
  <c r="AY49" i="10"/>
  <c r="AS49" i="10"/>
  <c r="AR49" i="10"/>
  <c r="AQ49" i="10"/>
  <c r="AP49" i="10"/>
  <c r="AK49" i="10"/>
  <c r="AH49" i="10"/>
  <c r="AG49" i="10"/>
  <c r="AF49" i="10"/>
  <c r="AI49" i="10" s="1"/>
  <c r="AJ49" i="10" s="1"/>
  <c r="AC49" i="10"/>
  <c r="AB49" i="10"/>
  <c r="Z49" i="10"/>
  <c r="AA49" i="10" s="1"/>
  <c r="CF48" i="10"/>
  <c r="CG48" i="10" s="1"/>
  <c r="CD48" i="10"/>
  <c r="CE48" i="10" s="1"/>
  <c r="CB48" i="10"/>
  <c r="CC48" i="10" s="1"/>
  <c r="BT48" i="10"/>
  <c r="BH48" i="10"/>
  <c r="BG48" i="10"/>
  <c r="BF48" i="10"/>
  <c r="BE48" i="10"/>
  <c r="BD48" i="10"/>
  <c r="BC48" i="10"/>
  <c r="BB48" i="10"/>
  <c r="BA48" i="10"/>
  <c r="AY48" i="10"/>
  <c r="AS48" i="10"/>
  <c r="AR48" i="10"/>
  <c r="AQ48" i="10"/>
  <c r="AP48" i="10"/>
  <c r="AK48" i="10"/>
  <c r="AH48" i="10"/>
  <c r="AG48" i="10"/>
  <c r="AF48" i="10"/>
  <c r="AI48" i="10" s="1"/>
  <c r="AJ48" i="10" s="1"/>
  <c r="AC48" i="10"/>
  <c r="AB48" i="10"/>
  <c r="Z48" i="10"/>
  <c r="AA48" i="10" s="1"/>
  <c r="CF47" i="10"/>
  <c r="CG47" i="10" s="1"/>
  <c r="CD47" i="10"/>
  <c r="CE47" i="10" s="1"/>
  <c r="CB47" i="10"/>
  <c r="CC47" i="10" s="1"/>
  <c r="BT47" i="10"/>
  <c r="BH47" i="10"/>
  <c r="BG47" i="10"/>
  <c r="BF47" i="10"/>
  <c r="BE47" i="10"/>
  <c r="BD47" i="10"/>
  <c r="BC47" i="10"/>
  <c r="BB47" i="10"/>
  <c r="BA47" i="10"/>
  <c r="AY47" i="10"/>
  <c r="AS47" i="10"/>
  <c r="AR47" i="10"/>
  <c r="AQ47" i="10"/>
  <c r="AP47" i="10"/>
  <c r="AK47" i="10"/>
  <c r="AH47" i="10"/>
  <c r="AG47" i="10"/>
  <c r="AF47" i="10"/>
  <c r="AI47" i="10" s="1"/>
  <c r="AJ47" i="10" s="1"/>
  <c r="AC47" i="10"/>
  <c r="AB47" i="10"/>
  <c r="Z47" i="10"/>
  <c r="AA47" i="10" s="1"/>
  <c r="CF46" i="10"/>
  <c r="CG46" i="10" s="1"/>
  <c r="CD46" i="10"/>
  <c r="CE46" i="10" s="1"/>
  <c r="CB46" i="10"/>
  <c r="CC46" i="10" s="1"/>
  <c r="BT46" i="10"/>
  <c r="BH46" i="10"/>
  <c r="BG46" i="10"/>
  <c r="BF46" i="10"/>
  <c r="BE46" i="10"/>
  <c r="BD46" i="10"/>
  <c r="BC46" i="10"/>
  <c r="BB46" i="10"/>
  <c r="BA46" i="10"/>
  <c r="AY46" i="10"/>
  <c r="AS46" i="10"/>
  <c r="AR46" i="10"/>
  <c r="AQ46" i="10"/>
  <c r="AP46" i="10"/>
  <c r="AK46" i="10"/>
  <c r="AH46" i="10"/>
  <c r="AG46" i="10"/>
  <c r="AF46" i="10"/>
  <c r="AI46" i="10" s="1"/>
  <c r="AJ46" i="10" s="1"/>
  <c r="AC46" i="10"/>
  <c r="AB46" i="10"/>
  <c r="Z46" i="10"/>
  <c r="AA46" i="10" s="1"/>
  <c r="CF45" i="10"/>
  <c r="CG45" i="10" s="1"/>
  <c r="CD45" i="10"/>
  <c r="CE45" i="10" s="1"/>
  <c r="CB45" i="10"/>
  <c r="CC45" i="10" s="1"/>
  <c r="BT45" i="10"/>
  <c r="BH45" i="10"/>
  <c r="BG45" i="10"/>
  <c r="BF45" i="10"/>
  <c r="BE45" i="10"/>
  <c r="BD45" i="10"/>
  <c r="BC45" i="10"/>
  <c r="BB45" i="10"/>
  <c r="BA45" i="10"/>
  <c r="AY45" i="10"/>
  <c r="AS45" i="10"/>
  <c r="AR45" i="10"/>
  <c r="AQ45" i="10"/>
  <c r="AP45" i="10"/>
  <c r="AK45" i="10"/>
  <c r="AH45" i="10"/>
  <c r="AG45" i="10"/>
  <c r="AF45" i="10"/>
  <c r="AI45" i="10" s="1"/>
  <c r="AJ45" i="10" s="1"/>
  <c r="AC45" i="10"/>
  <c r="AB45" i="10"/>
  <c r="Z45" i="10"/>
  <c r="AA45" i="10" s="1"/>
  <c r="CF44" i="10"/>
  <c r="CG44" i="10" s="1"/>
  <c r="CD44" i="10"/>
  <c r="CE44" i="10" s="1"/>
  <c r="CB44" i="10"/>
  <c r="CC44" i="10" s="1"/>
  <c r="BT44" i="10"/>
  <c r="BH44" i="10"/>
  <c r="BG44" i="10"/>
  <c r="BF44" i="10"/>
  <c r="BE44" i="10"/>
  <c r="BD44" i="10"/>
  <c r="BC44" i="10"/>
  <c r="BB44" i="10"/>
  <c r="BA44" i="10"/>
  <c r="AY44" i="10"/>
  <c r="AS44" i="10"/>
  <c r="AR44" i="10"/>
  <c r="AQ44" i="10"/>
  <c r="AP44" i="10"/>
  <c r="AK44" i="10"/>
  <c r="AH44" i="10"/>
  <c r="AG44" i="10"/>
  <c r="AF44" i="10"/>
  <c r="AI44" i="10" s="1"/>
  <c r="AC44" i="10"/>
  <c r="AB44" i="10"/>
  <c r="Z44" i="10"/>
  <c r="AA44" i="10" s="1"/>
  <c r="CF43" i="10"/>
  <c r="CG43" i="10" s="1"/>
  <c r="CD43" i="10"/>
  <c r="CE43" i="10" s="1"/>
  <c r="CB43" i="10"/>
  <c r="CC43" i="10" s="1"/>
  <c r="BT43" i="10"/>
  <c r="BH43" i="10"/>
  <c r="BG43" i="10"/>
  <c r="BF43" i="10"/>
  <c r="BE43" i="10"/>
  <c r="BD43" i="10"/>
  <c r="BC43" i="10"/>
  <c r="BB43" i="10"/>
  <c r="BA43" i="10"/>
  <c r="AY43" i="10"/>
  <c r="AS43" i="10"/>
  <c r="AR43" i="10"/>
  <c r="AQ43" i="10"/>
  <c r="AP43" i="10"/>
  <c r="AK43" i="10"/>
  <c r="AH43" i="10"/>
  <c r="AG43" i="10"/>
  <c r="AF43" i="10"/>
  <c r="AI43" i="10" s="1"/>
  <c r="AJ43" i="10" s="1"/>
  <c r="AC43" i="10"/>
  <c r="AB43" i="10"/>
  <c r="Z43" i="10"/>
  <c r="AA43" i="10" s="1"/>
  <c r="CF42" i="10"/>
  <c r="CG42" i="10" s="1"/>
  <c r="CD42" i="10"/>
  <c r="CE42" i="10" s="1"/>
  <c r="CB42" i="10"/>
  <c r="CC42" i="10" s="1"/>
  <c r="BT42" i="10"/>
  <c r="BU42" i="10" s="1"/>
  <c r="BH42" i="10"/>
  <c r="BG42" i="10"/>
  <c r="BF42" i="10"/>
  <c r="BE42" i="10"/>
  <c r="BD42" i="10"/>
  <c r="BC42" i="10"/>
  <c r="BB42" i="10"/>
  <c r="BA42" i="10"/>
  <c r="AY42" i="10"/>
  <c r="AS42" i="10"/>
  <c r="AR42" i="10"/>
  <c r="AQ42" i="10"/>
  <c r="AP42" i="10"/>
  <c r="AK42" i="10"/>
  <c r="AH42" i="10"/>
  <c r="AG42" i="10"/>
  <c r="AF42" i="10"/>
  <c r="AI42" i="10" s="1"/>
  <c r="AJ42" i="10" s="1"/>
  <c r="AC42" i="10"/>
  <c r="AB42" i="10"/>
  <c r="Z42" i="10"/>
  <c r="AA42" i="10" s="1"/>
  <c r="CF41" i="10"/>
  <c r="CG41" i="10" s="1"/>
  <c r="CD41" i="10"/>
  <c r="CE41" i="10" s="1"/>
  <c r="CB41" i="10"/>
  <c r="CC41" i="10" s="1"/>
  <c r="BT41" i="10"/>
  <c r="BY41" i="10" s="1"/>
  <c r="BH41" i="10"/>
  <c r="BG41" i="10"/>
  <c r="BF41" i="10"/>
  <c r="BE41" i="10"/>
  <c r="BD41" i="10"/>
  <c r="BC41" i="10"/>
  <c r="BB41" i="10"/>
  <c r="BA41" i="10"/>
  <c r="AY41" i="10"/>
  <c r="AS41" i="10"/>
  <c r="AR41" i="10"/>
  <c r="AQ41" i="10"/>
  <c r="AP41" i="10"/>
  <c r="AK41" i="10"/>
  <c r="AH41" i="10"/>
  <c r="AG41" i="10"/>
  <c r="AF41" i="10"/>
  <c r="AI41" i="10" s="1"/>
  <c r="AJ41" i="10" s="1"/>
  <c r="AC41" i="10"/>
  <c r="AB41" i="10"/>
  <c r="Z41" i="10"/>
  <c r="AA41" i="10" s="1"/>
  <c r="CF40" i="10"/>
  <c r="CG40" i="10" s="1"/>
  <c r="CD40" i="10"/>
  <c r="CE40" i="10" s="1"/>
  <c r="CB40" i="10"/>
  <c r="CC40" i="10" s="1"/>
  <c r="BT40" i="10"/>
  <c r="BY40" i="10" s="1"/>
  <c r="BH40" i="10"/>
  <c r="BG40" i="10"/>
  <c r="BF40" i="10"/>
  <c r="BE40" i="10"/>
  <c r="BD40" i="10"/>
  <c r="BC40" i="10"/>
  <c r="BB40" i="10"/>
  <c r="BA40" i="10"/>
  <c r="AY40" i="10"/>
  <c r="AS40" i="10"/>
  <c r="AR40" i="10"/>
  <c r="AQ40" i="10"/>
  <c r="AP40" i="10"/>
  <c r="AK40" i="10"/>
  <c r="AH40" i="10"/>
  <c r="AG40" i="10"/>
  <c r="AF40" i="10"/>
  <c r="AI40" i="10" s="1"/>
  <c r="AJ40" i="10" s="1"/>
  <c r="AC40" i="10"/>
  <c r="AB40" i="10"/>
  <c r="Z40" i="10"/>
  <c r="AA40" i="10" s="1"/>
  <c r="CF39" i="10"/>
  <c r="CG39" i="10" s="1"/>
  <c r="CD39" i="10"/>
  <c r="CE39" i="10" s="1"/>
  <c r="CB39" i="10"/>
  <c r="CC39" i="10" s="1"/>
  <c r="BT39" i="10"/>
  <c r="BY39" i="10" s="1"/>
  <c r="BH39" i="10"/>
  <c r="BG39" i="10"/>
  <c r="BF39" i="10"/>
  <c r="BE39" i="10"/>
  <c r="BD39" i="10"/>
  <c r="BC39" i="10"/>
  <c r="BB39" i="10"/>
  <c r="BA39" i="10"/>
  <c r="AY39" i="10"/>
  <c r="AS39" i="10"/>
  <c r="AR39" i="10"/>
  <c r="AQ39" i="10"/>
  <c r="AP39" i="10"/>
  <c r="AK39" i="10"/>
  <c r="AH39" i="10"/>
  <c r="AG39" i="10"/>
  <c r="AF39" i="10"/>
  <c r="AC39" i="10"/>
  <c r="AB39" i="10"/>
  <c r="Z39" i="10"/>
  <c r="AA39" i="10" s="1"/>
  <c r="CF38" i="10"/>
  <c r="CG38" i="10" s="1"/>
  <c r="CD38" i="10"/>
  <c r="CE38" i="10" s="1"/>
  <c r="CB38" i="10"/>
  <c r="CC38" i="10" s="1"/>
  <c r="BT38" i="10"/>
  <c r="BY38" i="10" s="1"/>
  <c r="BH38" i="10"/>
  <c r="BG38" i="10"/>
  <c r="BF38" i="10"/>
  <c r="BE38" i="10"/>
  <c r="BD38" i="10"/>
  <c r="BC38" i="10"/>
  <c r="BB38" i="10"/>
  <c r="BA38" i="10"/>
  <c r="AY38" i="10"/>
  <c r="AS38" i="10"/>
  <c r="AR38" i="10"/>
  <c r="AQ38" i="10"/>
  <c r="AP38" i="10"/>
  <c r="AK38" i="10"/>
  <c r="AH38" i="10"/>
  <c r="AG38" i="10"/>
  <c r="AF38" i="10"/>
  <c r="AC38" i="10"/>
  <c r="AB38" i="10"/>
  <c r="Z38" i="10"/>
  <c r="AA38" i="10" s="1"/>
  <c r="CF37" i="10"/>
  <c r="CG37" i="10" s="1"/>
  <c r="CD37" i="10"/>
  <c r="CE37" i="10" s="1"/>
  <c r="CB37" i="10"/>
  <c r="CC37" i="10" s="1"/>
  <c r="BT37" i="10"/>
  <c r="BH37" i="10"/>
  <c r="BG37" i="10"/>
  <c r="BF37" i="10"/>
  <c r="BE37" i="10"/>
  <c r="BD37" i="10"/>
  <c r="BC37" i="10"/>
  <c r="BB37" i="10"/>
  <c r="BA37" i="10"/>
  <c r="AY37" i="10"/>
  <c r="AS37" i="10"/>
  <c r="AR37" i="10"/>
  <c r="AQ37" i="10"/>
  <c r="AP37" i="10"/>
  <c r="AK37" i="10"/>
  <c r="AH37" i="10"/>
  <c r="AG37" i="10"/>
  <c r="AF37" i="10"/>
  <c r="AC37" i="10"/>
  <c r="AB37" i="10"/>
  <c r="Z37" i="10"/>
  <c r="AA37" i="10" s="1"/>
  <c r="CF36" i="10"/>
  <c r="CG36" i="10" s="1"/>
  <c r="CD36" i="10"/>
  <c r="CE36" i="10" s="1"/>
  <c r="CB36" i="10"/>
  <c r="CC36" i="10" s="1"/>
  <c r="BT36" i="10"/>
  <c r="BU36" i="10" s="1"/>
  <c r="BH36" i="10"/>
  <c r="BG36" i="10"/>
  <c r="BF36" i="10"/>
  <c r="BE36" i="10"/>
  <c r="BD36" i="10"/>
  <c r="BC36" i="10"/>
  <c r="BB36" i="10"/>
  <c r="BA36" i="10"/>
  <c r="AY36" i="10"/>
  <c r="AS36" i="10"/>
  <c r="AR36" i="10"/>
  <c r="AQ36" i="10"/>
  <c r="AP36" i="10"/>
  <c r="AK36" i="10"/>
  <c r="AH36" i="10"/>
  <c r="AG36" i="10"/>
  <c r="AF36" i="10"/>
  <c r="AC36" i="10"/>
  <c r="AB36" i="10"/>
  <c r="Z36" i="10"/>
  <c r="AA36" i="10" s="1"/>
  <c r="CF35" i="10"/>
  <c r="CG35" i="10" s="1"/>
  <c r="CD35" i="10"/>
  <c r="CE35" i="10" s="1"/>
  <c r="CB35" i="10"/>
  <c r="CC35" i="10" s="1"/>
  <c r="BT35" i="10"/>
  <c r="BY35" i="10" s="1"/>
  <c r="BH35" i="10"/>
  <c r="BG35" i="10"/>
  <c r="BF35" i="10"/>
  <c r="BE35" i="10"/>
  <c r="BD35" i="10"/>
  <c r="BC35" i="10"/>
  <c r="BB35" i="10"/>
  <c r="BA35" i="10"/>
  <c r="AY35" i="10"/>
  <c r="AS35" i="10"/>
  <c r="AR35" i="10"/>
  <c r="AQ35" i="10"/>
  <c r="AP35" i="10"/>
  <c r="AK35" i="10"/>
  <c r="AH35" i="10"/>
  <c r="AG35" i="10"/>
  <c r="AF35" i="10"/>
  <c r="AC35" i="10"/>
  <c r="AB35" i="10"/>
  <c r="Z35" i="10"/>
  <c r="AA35" i="10" s="1"/>
  <c r="CF34" i="10"/>
  <c r="CG34" i="10" s="1"/>
  <c r="CD34" i="10"/>
  <c r="CE34" i="10" s="1"/>
  <c r="CB34" i="10"/>
  <c r="CC34" i="10" s="1"/>
  <c r="BT34" i="10"/>
  <c r="BY34" i="10" s="1"/>
  <c r="BH34" i="10"/>
  <c r="BG34" i="10"/>
  <c r="BF34" i="10"/>
  <c r="BE34" i="10"/>
  <c r="BD34" i="10"/>
  <c r="BC34" i="10"/>
  <c r="BB34" i="10"/>
  <c r="BA34" i="10"/>
  <c r="AY34" i="10"/>
  <c r="AS34" i="10"/>
  <c r="AR34" i="10"/>
  <c r="AQ34" i="10"/>
  <c r="AP34" i="10"/>
  <c r="AK34" i="10"/>
  <c r="AH34" i="10"/>
  <c r="AG34" i="10"/>
  <c r="AF34" i="10"/>
  <c r="AC34" i="10"/>
  <c r="AB34" i="10"/>
  <c r="Z34" i="10"/>
  <c r="AA34" i="10" s="1"/>
  <c r="CF33" i="10"/>
  <c r="CG33" i="10" s="1"/>
  <c r="CD33" i="10"/>
  <c r="CE33" i="10" s="1"/>
  <c r="CB33" i="10"/>
  <c r="CC33" i="10" s="1"/>
  <c r="BT33" i="10"/>
  <c r="BY33" i="10" s="1"/>
  <c r="BH33" i="10"/>
  <c r="BG33" i="10"/>
  <c r="BF33" i="10"/>
  <c r="BE33" i="10"/>
  <c r="BD33" i="10"/>
  <c r="BC33" i="10"/>
  <c r="BB33" i="10"/>
  <c r="BA33" i="10"/>
  <c r="AY33" i="10"/>
  <c r="AS33" i="10"/>
  <c r="AR33" i="10"/>
  <c r="AQ33" i="10"/>
  <c r="AP33" i="10"/>
  <c r="AK33" i="10"/>
  <c r="AH33" i="10"/>
  <c r="AG33" i="10"/>
  <c r="AF33" i="10"/>
  <c r="AC33" i="10"/>
  <c r="AB33" i="10"/>
  <c r="Z33" i="10"/>
  <c r="AA33" i="10" s="1"/>
  <c r="CF32" i="10"/>
  <c r="CG32" i="10" s="1"/>
  <c r="CD32" i="10"/>
  <c r="CE32" i="10" s="1"/>
  <c r="CB32" i="10"/>
  <c r="CC32" i="10" s="1"/>
  <c r="BT32" i="10"/>
  <c r="BH32" i="10"/>
  <c r="BG32" i="10"/>
  <c r="BF32" i="10"/>
  <c r="BE32" i="10"/>
  <c r="BD32" i="10"/>
  <c r="BC32" i="10"/>
  <c r="BB32" i="10"/>
  <c r="BA32" i="10"/>
  <c r="AY32" i="10"/>
  <c r="AS32" i="10"/>
  <c r="AR32" i="10"/>
  <c r="AQ32" i="10"/>
  <c r="AP32" i="10"/>
  <c r="AK32" i="10"/>
  <c r="AH32" i="10"/>
  <c r="AG32" i="10"/>
  <c r="AF32" i="10"/>
  <c r="AC32" i="10"/>
  <c r="AB32" i="10"/>
  <c r="Z32" i="10"/>
  <c r="AA32" i="10" s="1"/>
  <c r="CF31" i="10"/>
  <c r="CG31" i="10" s="1"/>
  <c r="CD31" i="10"/>
  <c r="CE31" i="10" s="1"/>
  <c r="CB31" i="10"/>
  <c r="CC31" i="10" s="1"/>
  <c r="BT31" i="10"/>
  <c r="BY31" i="10" s="1"/>
  <c r="BH31" i="10"/>
  <c r="BG31" i="10"/>
  <c r="BF31" i="10"/>
  <c r="BE31" i="10"/>
  <c r="BD31" i="10"/>
  <c r="BC31" i="10"/>
  <c r="BB31" i="10"/>
  <c r="BA31" i="10"/>
  <c r="AY31" i="10"/>
  <c r="AS31" i="10"/>
  <c r="AR31" i="10"/>
  <c r="AQ31" i="10"/>
  <c r="AP31" i="10"/>
  <c r="AK31" i="10"/>
  <c r="AH31" i="10"/>
  <c r="AG31" i="10"/>
  <c r="AF31" i="10"/>
  <c r="AC31" i="10"/>
  <c r="AB31" i="10"/>
  <c r="Z31" i="10"/>
  <c r="AA31" i="10" s="1"/>
  <c r="CF30" i="10"/>
  <c r="CG30" i="10" s="1"/>
  <c r="CD30" i="10"/>
  <c r="CE30" i="10" s="1"/>
  <c r="CB30" i="10"/>
  <c r="CC30" i="10" s="1"/>
  <c r="BT30" i="10"/>
  <c r="BY30" i="10" s="1"/>
  <c r="BH30" i="10"/>
  <c r="BG30" i="10"/>
  <c r="BF30" i="10"/>
  <c r="BE30" i="10"/>
  <c r="BD30" i="10"/>
  <c r="BC30" i="10"/>
  <c r="BB30" i="10"/>
  <c r="BA30" i="10"/>
  <c r="AY30" i="10"/>
  <c r="AS30" i="10"/>
  <c r="AR30" i="10"/>
  <c r="AQ30" i="10"/>
  <c r="AP30" i="10"/>
  <c r="AK30" i="10"/>
  <c r="AH30" i="10"/>
  <c r="AG30" i="10"/>
  <c r="AF30" i="10"/>
  <c r="AC30" i="10"/>
  <c r="AB30" i="10"/>
  <c r="Z30" i="10"/>
  <c r="AA30" i="10" s="1"/>
  <c r="CF29" i="10"/>
  <c r="CG29" i="10" s="1"/>
  <c r="CD29" i="10"/>
  <c r="CE29" i="10" s="1"/>
  <c r="CB29" i="10"/>
  <c r="CC29" i="10" s="1"/>
  <c r="BT29" i="10"/>
  <c r="BU29" i="10" s="1"/>
  <c r="BH29" i="10"/>
  <c r="BG29" i="10"/>
  <c r="BF29" i="10"/>
  <c r="BE29" i="10"/>
  <c r="BD29" i="10"/>
  <c r="BC29" i="10"/>
  <c r="BB29" i="10"/>
  <c r="BA29" i="10"/>
  <c r="AY29" i="10"/>
  <c r="AS29" i="10"/>
  <c r="AR29" i="10"/>
  <c r="AQ29" i="10"/>
  <c r="AP29" i="10"/>
  <c r="AK29" i="10"/>
  <c r="AH29" i="10"/>
  <c r="AG29" i="10"/>
  <c r="AF29" i="10"/>
  <c r="AC29" i="10"/>
  <c r="AB29" i="10"/>
  <c r="Z29" i="10"/>
  <c r="AA29" i="10" s="1"/>
  <c r="CF28" i="10"/>
  <c r="CG28" i="10" s="1"/>
  <c r="CD28" i="10"/>
  <c r="CE28" i="10" s="1"/>
  <c r="CB28" i="10"/>
  <c r="CC28" i="10" s="1"/>
  <c r="BT28" i="10"/>
  <c r="BU28" i="10" s="1"/>
  <c r="BH28" i="10"/>
  <c r="BG28" i="10"/>
  <c r="BF28" i="10"/>
  <c r="BE28" i="10"/>
  <c r="BD28" i="10"/>
  <c r="BC28" i="10"/>
  <c r="BB28" i="10"/>
  <c r="BA28" i="10"/>
  <c r="AY28" i="10"/>
  <c r="AS28" i="10"/>
  <c r="AR28" i="10"/>
  <c r="AQ28" i="10"/>
  <c r="AP28" i="10"/>
  <c r="AK28" i="10"/>
  <c r="AH28" i="10"/>
  <c r="AG28" i="10"/>
  <c r="AF28" i="10"/>
  <c r="AC28" i="10"/>
  <c r="AB28" i="10"/>
  <c r="Z28" i="10"/>
  <c r="AA28" i="10" s="1"/>
  <c r="CF27" i="10"/>
  <c r="CG27" i="10" s="1"/>
  <c r="CD27" i="10"/>
  <c r="CE27" i="10" s="1"/>
  <c r="CB27" i="10"/>
  <c r="CC27" i="10" s="1"/>
  <c r="BT27" i="10"/>
  <c r="BY27" i="10" s="1"/>
  <c r="BH27" i="10"/>
  <c r="BG27" i="10"/>
  <c r="BF27" i="10"/>
  <c r="BE27" i="10"/>
  <c r="BD27" i="10"/>
  <c r="BC27" i="10"/>
  <c r="BB27" i="10"/>
  <c r="BA27" i="10"/>
  <c r="AY27" i="10"/>
  <c r="AS27" i="10"/>
  <c r="AR27" i="10"/>
  <c r="AQ27" i="10"/>
  <c r="AP27" i="10"/>
  <c r="AK27" i="10"/>
  <c r="AH27" i="10"/>
  <c r="AG27" i="10"/>
  <c r="AF27" i="10"/>
  <c r="AC27" i="10"/>
  <c r="AB27" i="10"/>
  <c r="Z27" i="10"/>
  <c r="AA27" i="10" s="1"/>
  <c r="CF26" i="10"/>
  <c r="CG26" i="10" s="1"/>
  <c r="CD26" i="10"/>
  <c r="CE26" i="10" s="1"/>
  <c r="CB26" i="10"/>
  <c r="CC26" i="10" s="1"/>
  <c r="BT26" i="10"/>
  <c r="BU26" i="10" s="1"/>
  <c r="BH26" i="10"/>
  <c r="BG26" i="10"/>
  <c r="BF26" i="10"/>
  <c r="BE26" i="10"/>
  <c r="BD26" i="10"/>
  <c r="BC26" i="10"/>
  <c r="BB26" i="10"/>
  <c r="BA26" i="10"/>
  <c r="AY26" i="10"/>
  <c r="AS26" i="10"/>
  <c r="AR26" i="10"/>
  <c r="AQ26" i="10"/>
  <c r="AP26" i="10"/>
  <c r="AK26" i="10"/>
  <c r="AH26" i="10"/>
  <c r="AG26" i="10"/>
  <c r="AF26" i="10"/>
  <c r="AC26" i="10"/>
  <c r="AB26" i="10"/>
  <c r="Z26" i="10"/>
  <c r="AA26" i="10" s="1"/>
  <c r="CF25" i="10"/>
  <c r="CG25" i="10" s="1"/>
  <c r="CD25" i="10"/>
  <c r="CE25" i="10" s="1"/>
  <c r="CB25" i="10"/>
  <c r="CC25" i="10" s="1"/>
  <c r="BT25" i="10"/>
  <c r="BY25" i="10" s="1"/>
  <c r="BH25" i="10"/>
  <c r="BG25" i="10"/>
  <c r="BF25" i="10"/>
  <c r="BE25" i="10"/>
  <c r="BD25" i="10"/>
  <c r="BC25" i="10"/>
  <c r="BB25" i="10"/>
  <c r="BA25" i="10"/>
  <c r="AY25" i="10"/>
  <c r="AS25" i="10"/>
  <c r="AR25" i="10"/>
  <c r="AQ25" i="10"/>
  <c r="AP25" i="10"/>
  <c r="AK25" i="10"/>
  <c r="AH25" i="10"/>
  <c r="AG25" i="10"/>
  <c r="AF25" i="10"/>
  <c r="AC25" i="10"/>
  <c r="AB25" i="10"/>
  <c r="Z25" i="10"/>
  <c r="AA25" i="10" s="1"/>
  <c r="CF24" i="10"/>
  <c r="CG24" i="10" s="1"/>
  <c r="CD24" i="10"/>
  <c r="CE24" i="10" s="1"/>
  <c r="CB24" i="10"/>
  <c r="CC24" i="10" s="1"/>
  <c r="BT24" i="10"/>
  <c r="BY24" i="10" s="1"/>
  <c r="BH24" i="10"/>
  <c r="BG24" i="10"/>
  <c r="BF24" i="10"/>
  <c r="BE24" i="10"/>
  <c r="BD24" i="10"/>
  <c r="BC24" i="10"/>
  <c r="BB24" i="10"/>
  <c r="BA24" i="10"/>
  <c r="AY24" i="10"/>
  <c r="AS24" i="10"/>
  <c r="AR24" i="10"/>
  <c r="AQ24" i="10"/>
  <c r="AP24" i="10"/>
  <c r="AK24" i="10"/>
  <c r="AH24" i="10"/>
  <c r="AG24" i="10"/>
  <c r="AF24" i="10"/>
  <c r="AC24" i="10"/>
  <c r="AB24" i="10"/>
  <c r="Z24" i="10"/>
  <c r="AA24" i="10" s="1"/>
  <c r="CF23" i="10"/>
  <c r="CG23" i="10" s="1"/>
  <c r="CD23" i="10"/>
  <c r="CE23" i="10" s="1"/>
  <c r="CB23" i="10"/>
  <c r="CC23" i="10" s="1"/>
  <c r="BT23" i="10"/>
  <c r="BY23" i="10" s="1"/>
  <c r="BH23" i="10"/>
  <c r="BG23" i="10"/>
  <c r="BF23" i="10"/>
  <c r="BE23" i="10"/>
  <c r="BD23" i="10"/>
  <c r="BC23" i="10"/>
  <c r="BB23" i="10"/>
  <c r="BA23" i="10"/>
  <c r="AY23" i="10"/>
  <c r="AS23" i="10"/>
  <c r="AR23" i="10"/>
  <c r="AQ23" i="10"/>
  <c r="AP23" i="10"/>
  <c r="AK23" i="10"/>
  <c r="AH23" i="10"/>
  <c r="AG23" i="10"/>
  <c r="AF23" i="10"/>
  <c r="AC23" i="10"/>
  <c r="AB23" i="10"/>
  <c r="Z23" i="10"/>
  <c r="AA23" i="10" s="1"/>
  <c r="CF22" i="10"/>
  <c r="CG22" i="10" s="1"/>
  <c r="CD22" i="10"/>
  <c r="CE22" i="10" s="1"/>
  <c r="CB22" i="10"/>
  <c r="CC22" i="10" s="1"/>
  <c r="BT22" i="10"/>
  <c r="BU22" i="10" s="1"/>
  <c r="BH22" i="10"/>
  <c r="BG22" i="10"/>
  <c r="BF22" i="10"/>
  <c r="BE22" i="10"/>
  <c r="BD22" i="10"/>
  <c r="BC22" i="10"/>
  <c r="BB22" i="10"/>
  <c r="BA22" i="10"/>
  <c r="AY22" i="10"/>
  <c r="AS22" i="10"/>
  <c r="AR22" i="10"/>
  <c r="AQ22" i="10"/>
  <c r="AP22" i="10"/>
  <c r="AK22" i="10"/>
  <c r="AH22" i="10"/>
  <c r="AG22" i="10"/>
  <c r="AF22" i="10"/>
  <c r="AC22" i="10"/>
  <c r="AB22" i="10"/>
  <c r="Z22" i="10"/>
  <c r="AA22" i="10" s="1"/>
  <c r="CF21" i="10"/>
  <c r="CG21" i="10" s="1"/>
  <c r="CD21" i="10"/>
  <c r="CE21" i="10" s="1"/>
  <c r="CB21" i="10"/>
  <c r="CC21" i="10" s="1"/>
  <c r="BT21" i="10"/>
  <c r="BU21" i="10" s="1"/>
  <c r="BH21" i="10"/>
  <c r="BG21" i="10"/>
  <c r="BF21" i="10"/>
  <c r="BE21" i="10"/>
  <c r="BD21" i="10"/>
  <c r="BC21" i="10"/>
  <c r="BA21" i="10"/>
  <c r="AY21" i="10"/>
  <c r="AS21" i="10"/>
  <c r="AR21" i="10"/>
  <c r="AQ21" i="10"/>
  <c r="AP21" i="10"/>
  <c r="AK21" i="10"/>
  <c r="AH21" i="10"/>
  <c r="AG21" i="10"/>
  <c r="AF21" i="10"/>
  <c r="AC21" i="10"/>
  <c r="AB21" i="10"/>
  <c r="Z21" i="10"/>
  <c r="AA21" i="10" s="1"/>
  <c r="CF20" i="10"/>
  <c r="CG20" i="10" s="1"/>
  <c r="CD20" i="10"/>
  <c r="CE20" i="10" s="1"/>
  <c r="CB20" i="10"/>
  <c r="CC20" i="10" s="1"/>
  <c r="BT20" i="10"/>
  <c r="BU20" i="10" s="1"/>
  <c r="BH20" i="10"/>
  <c r="BG20" i="10"/>
  <c r="BF20" i="10"/>
  <c r="BE20" i="10"/>
  <c r="BD20" i="10"/>
  <c r="BC20" i="10"/>
  <c r="BA20" i="10"/>
  <c r="AY20" i="10"/>
  <c r="AS20" i="10"/>
  <c r="AR20" i="10"/>
  <c r="AQ20" i="10"/>
  <c r="AP20" i="10"/>
  <c r="AK20" i="10"/>
  <c r="AH20" i="10"/>
  <c r="AG20" i="10"/>
  <c r="AF20" i="10"/>
  <c r="AC20" i="10"/>
  <c r="AB20" i="10"/>
  <c r="Z20" i="10"/>
  <c r="AA20" i="10" s="1"/>
  <c r="CF19" i="10"/>
  <c r="CG19" i="10" s="1"/>
  <c r="CD19" i="10"/>
  <c r="CE19" i="10" s="1"/>
  <c r="CB19" i="10"/>
  <c r="CC19" i="10" s="1"/>
  <c r="BT19" i="10"/>
  <c r="BU19" i="10" s="1"/>
  <c r="BH19" i="10"/>
  <c r="BG19" i="10"/>
  <c r="BF19" i="10"/>
  <c r="BE19" i="10"/>
  <c r="BD19" i="10"/>
  <c r="BC19" i="10"/>
  <c r="BA19" i="10"/>
  <c r="AY19" i="10"/>
  <c r="AS19" i="10"/>
  <c r="AR19" i="10"/>
  <c r="AQ19" i="10"/>
  <c r="AP19" i="10"/>
  <c r="AK19" i="10"/>
  <c r="AH19" i="10"/>
  <c r="AG19" i="10"/>
  <c r="AF19" i="10"/>
  <c r="AC19" i="10"/>
  <c r="AB19" i="10"/>
  <c r="Z19" i="10"/>
  <c r="AA19" i="10" s="1"/>
  <c r="CF18" i="10"/>
  <c r="CG18" i="10" s="1"/>
  <c r="CD18" i="10"/>
  <c r="CE18" i="10" s="1"/>
  <c r="CB18" i="10"/>
  <c r="CC18" i="10" s="1"/>
  <c r="BT18" i="10"/>
  <c r="BH18" i="10"/>
  <c r="BG18" i="10"/>
  <c r="BF18" i="10"/>
  <c r="BE18" i="10"/>
  <c r="BD18" i="10"/>
  <c r="BC18" i="10"/>
  <c r="BA18" i="10"/>
  <c r="AY18" i="10"/>
  <c r="AS18" i="10"/>
  <c r="AR18" i="10"/>
  <c r="AQ18" i="10"/>
  <c r="AP18" i="10"/>
  <c r="AK18" i="10"/>
  <c r="AH18" i="10"/>
  <c r="AG18" i="10"/>
  <c r="AF18" i="10"/>
  <c r="AC18" i="10"/>
  <c r="AB18" i="10"/>
  <c r="CF17" i="10"/>
  <c r="CG17" i="10" s="1"/>
  <c r="CD17" i="10"/>
  <c r="CE17" i="10" s="1"/>
  <c r="CB17" i="10"/>
  <c r="CC17" i="10" s="1"/>
  <c r="BT17" i="10"/>
  <c r="BY17" i="10" s="1"/>
  <c r="BH17" i="10"/>
  <c r="BG17" i="10"/>
  <c r="BF17" i="10"/>
  <c r="BE17" i="10"/>
  <c r="BD17" i="10"/>
  <c r="BC17" i="10"/>
  <c r="BA17" i="10"/>
  <c r="AY17" i="10"/>
  <c r="AS17" i="10"/>
  <c r="AR17" i="10"/>
  <c r="AQ17" i="10"/>
  <c r="AP17" i="10"/>
  <c r="AK17" i="10"/>
  <c r="AH17" i="10"/>
  <c r="AG17" i="10"/>
  <c r="AF17" i="10"/>
  <c r="AC17" i="10"/>
  <c r="AB17" i="10"/>
  <c r="Z17" i="10"/>
  <c r="AA17" i="10" s="1"/>
  <c r="CF16" i="10"/>
  <c r="CG16" i="10" s="1"/>
  <c r="CD16" i="10"/>
  <c r="CE16" i="10" s="1"/>
  <c r="CB16" i="10"/>
  <c r="BT16" i="10"/>
  <c r="BY16" i="10" s="1"/>
  <c r="BH16" i="10"/>
  <c r="BG16" i="10"/>
  <c r="BF16" i="10"/>
  <c r="BE16" i="10"/>
  <c r="BD16" i="10"/>
  <c r="BC16" i="10"/>
  <c r="BA16" i="10"/>
  <c r="AY16" i="10"/>
  <c r="AS16" i="10"/>
  <c r="AR16" i="10"/>
  <c r="AQ16" i="10"/>
  <c r="AP16" i="10"/>
  <c r="AK16" i="10"/>
  <c r="AH16" i="10"/>
  <c r="AG16" i="10"/>
  <c r="AF16" i="10"/>
  <c r="AC16" i="10"/>
  <c r="AB16" i="10"/>
  <c r="CF15" i="10"/>
  <c r="CG15" i="10" s="1"/>
  <c r="CD15" i="10"/>
  <c r="CE15" i="10" s="1"/>
  <c r="CB15" i="10"/>
  <c r="BT15" i="10"/>
  <c r="BH15" i="10"/>
  <c r="BG15" i="10"/>
  <c r="BF15" i="10"/>
  <c r="BE15" i="10"/>
  <c r="BD15" i="10"/>
  <c r="BC15" i="10"/>
  <c r="BA15" i="10"/>
  <c r="AY15" i="10"/>
  <c r="AS15" i="10"/>
  <c r="AR15" i="10"/>
  <c r="AQ15" i="10"/>
  <c r="AP15" i="10"/>
  <c r="AK15" i="10"/>
  <c r="AH15" i="10"/>
  <c r="AG15" i="10"/>
  <c r="AF15" i="10"/>
  <c r="AC15" i="10"/>
  <c r="AB15" i="10"/>
  <c r="Z15" i="10"/>
  <c r="AA15" i="10" s="1"/>
  <c r="CF14" i="10"/>
  <c r="CG14" i="10" s="1"/>
  <c r="CD14" i="10"/>
  <c r="CE14" i="10" s="1"/>
  <c r="CB14" i="10"/>
  <c r="BT14" i="10"/>
  <c r="BU14" i="10" s="1"/>
  <c r="BH14" i="10"/>
  <c r="BG14" i="10"/>
  <c r="BF14" i="10"/>
  <c r="BE14" i="10"/>
  <c r="BD14" i="10"/>
  <c r="BC14" i="10"/>
  <c r="BA14" i="10"/>
  <c r="AY14" i="10"/>
  <c r="AS14" i="10"/>
  <c r="AR14" i="10"/>
  <c r="AQ14" i="10"/>
  <c r="AP14" i="10"/>
  <c r="AK14" i="10"/>
  <c r="AH14" i="10"/>
  <c r="AG14" i="10"/>
  <c r="AF14" i="10"/>
  <c r="AC14" i="10"/>
  <c r="AB14" i="10"/>
  <c r="CF13" i="10"/>
  <c r="CG13" i="10" s="1"/>
  <c r="CD13" i="10"/>
  <c r="CE13" i="10" s="1"/>
  <c r="CB13" i="10"/>
  <c r="BT13" i="10"/>
  <c r="BU13" i="10" s="1"/>
  <c r="BH13" i="10"/>
  <c r="BG13" i="10"/>
  <c r="BF13" i="10"/>
  <c r="BE13" i="10"/>
  <c r="BD13" i="10"/>
  <c r="BC13" i="10"/>
  <c r="BA13" i="10"/>
  <c r="AY13" i="10"/>
  <c r="AS13" i="10"/>
  <c r="AR13" i="10"/>
  <c r="AQ13" i="10"/>
  <c r="AP13" i="10"/>
  <c r="AK13" i="10"/>
  <c r="AH13" i="10"/>
  <c r="AG13" i="10"/>
  <c r="AF13" i="10"/>
  <c r="AC13" i="10"/>
  <c r="AB13" i="10"/>
  <c r="Z13" i="10"/>
  <c r="AA13" i="10" s="1"/>
  <c r="CF12" i="10"/>
  <c r="CG12" i="10" s="1"/>
  <c r="CD12" i="10"/>
  <c r="CE12" i="10" s="1"/>
  <c r="CB12" i="10"/>
  <c r="BT12" i="10"/>
  <c r="BH12" i="10"/>
  <c r="BG12" i="10"/>
  <c r="BF12" i="10"/>
  <c r="BE12" i="10"/>
  <c r="BD12" i="10"/>
  <c r="BC12" i="10"/>
  <c r="BA12" i="10"/>
  <c r="AY12" i="10"/>
  <c r="AS12" i="10"/>
  <c r="AR12" i="10"/>
  <c r="AQ12" i="10"/>
  <c r="AP12" i="10"/>
  <c r="AK12" i="10"/>
  <c r="AH12" i="10"/>
  <c r="AG12" i="10"/>
  <c r="AF12" i="10"/>
  <c r="AC12" i="10"/>
  <c r="AB12" i="10"/>
  <c r="Z12" i="10"/>
  <c r="AA12" i="10" s="1"/>
  <c r="CF11" i="10"/>
  <c r="CG11" i="10" s="1"/>
  <c r="CD11" i="10"/>
  <c r="CE11" i="10" s="1"/>
  <c r="CB11" i="10"/>
  <c r="BT11" i="10"/>
  <c r="BU11" i="10" s="1"/>
  <c r="BH11" i="10"/>
  <c r="BG11" i="10"/>
  <c r="BF11" i="10"/>
  <c r="BE11" i="10"/>
  <c r="BD11" i="10"/>
  <c r="BC11" i="10"/>
  <c r="BA11" i="10"/>
  <c r="AY11" i="10"/>
  <c r="AS11" i="10"/>
  <c r="AR11" i="10"/>
  <c r="AQ11" i="10"/>
  <c r="AP11" i="10"/>
  <c r="AK11" i="10"/>
  <c r="AH11" i="10"/>
  <c r="AG11" i="10"/>
  <c r="AF11" i="10"/>
  <c r="AC11" i="10"/>
  <c r="AB11" i="10"/>
  <c r="Z11" i="10"/>
  <c r="AA11" i="10" s="1"/>
  <c r="CF10" i="10"/>
  <c r="CG10" i="10" s="1"/>
  <c r="CD10" i="10"/>
  <c r="CE10" i="10" s="1"/>
  <c r="CB10" i="10"/>
  <c r="BT10" i="10"/>
  <c r="BY10" i="10" s="1"/>
  <c r="BH10" i="10"/>
  <c r="BG10" i="10"/>
  <c r="BF10" i="10"/>
  <c r="BE10" i="10"/>
  <c r="BD10" i="10"/>
  <c r="BC10" i="10"/>
  <c r="BA10" i="10"/>
  <c r="AY10" i="10"/>
  <c r="AS10" i="10"/>
  <c r="AR10" i="10"/>
  <c r="AQ10" i="10"/>
  <c r="AP10" i="10"/>
  <c r="AK10" i="10"/>
  <c r="AH10" i="10"/>
  <c r="AG10" i="10"/>
  <c r="AF10" i="10"/>
  <c r="AC10" i="10"/>
  <c r="AB10" i="10"/>
  <c r="Z10" i="10"/>
  <c r="AA10" i="10" s="1"/>
  <c r="CF9" i="10"/>
  <c r="CG9" i="10" s="1"/>
  <c r="CD9" i="10"/>
  <c r="CE9" i="10" s="1"/>
  <c r="CB9" i="10"/>
  <c r="BT9" i="10"/>
  <c r="BY9" i="10" s="1"/>
  <c r="BH9" i="10"/>
  <c r="BG9" i="10"/>
  <c r="BF9" i="10"/>
  <c r="BE9" i="10"/>
  <c r="BD9" i="10"/>
  <c r="BC9" i="10"/>
  <c r="BA9" i="10"/>
  <c r="AY9" i="10"/>
  <c r="AS9" i="10"/>
  <c r="AR9" i="10"/>
  <c r="AQ9" i="10"/>
  <c r="AP9" i="10"/>
  <c r="AK9" i="10"/>
  <c r="AH9" i="10"/>
  <c r="AG9" i="10"/>
  <c r="AF9" i="10"/>
  <c r="AC9" i="10"/>
  <c r="AB9" i="10"/>
  <c r="Z9" i="10"/>
  <c r="AA9" i="10" s="1"/>
  <c r="CF8" i="10"/>
  <c r="CG8" i="10" s="1"/>
  <c r="CD8" i="10"/>
  <c r="CE8" i="10" s="1"/>
  <c r="CB8" i="10"/>
  <c r="BT8" i="10"/>
  <c r="BU8" i="10" s="1"/>
  <c r="BH8" i="10"/>
  <c r="BG8" i="10"/>
  <c r="BF8" i="10"/>
  <c r="BE8" i="10"/>
  <c r="BD8" i="10"/>
  <c r="BC8" i="10"/>
  <c r="BA8" i="10"/>
  <c r="AY8" i="10"/>
  <c r="AS8" i="10"/>
  <c r="AR8" i="10"/>
  <c r="AQ8" i="10"/>
  <c r="AP8" i="10"/>
  <c r="AK8" i="10"/>
  <c r="AH8" i="10"/>
  <c r="AG8" i="10"/>
  <c r="AF8" i="10"/>
  <c r="AC8" i="10"/>
  <c r="AB8" i="10"/>
  <c r="CF7" i="10"/>
  <c r="CG7" i="10" s="1"/>
  <c r="CD7" i="10"/>
  <c r="CE7" i="10" s="1"/>
  <c r="CB7" i="10"/>
  <c r="BT7" i="10"/>
  <c r="BY7" i="10" s="1"/>
  <c r="BH7" i="10"/>
  <c r="BG7" i="10"/>
  <c r="BF7" i="10"/>
  <c r="BE7" i="10"/>
  <c r="BD7" i="10"/>
  <c r="BC7" i="10"/>
  <c r="BA7" i="10"/>
  <c r="AY7" i="10"/>
  <c r="AS7" i="10"/>
  <c r="AR7" i="10"/>
  <c r="AQ7" i="10"/>
  <c r="AP7" i="10"/>
  <c r="AK7" i="10"/>
  <c r="AH7" i="10"/>
  <c r="AG7" i="10"/>
  <c r="AF7" i="10"/>
  <c r="AC7" i="10"/>
  <c r="AB7" i="10"/>
  <c r="Z7" i="10"/>
  <c r="AA7" i="10" s="1"/>
  <c r="CF6" i="10"/>
  <c r="CG6" i="10" s="1"/>
  <c r="CD6" i="10"/>
  <c r="CE6" i="10" s="1"/>
  <c r="CB6" i="10"/>
  <c r="BT6" i="10"/>
  <c r="BY6" i="10" s="1"/>
  <c r="BH6" i="10"/>
  <c r="BG6" i="10"/>
  <c r="BF6" i="10"/>
  <c r="BE6" i="10"/>
  <c r="BD6" i="10"/>
  <c r="BC6" i="10"/>
  <c r="BA6" i="10"/>
  <c r="AY6" i="10"/>
  <c r="AS6" i="10"/>
  <c r="AR6" i="10"/>
  <c r="AQ6" i="10"/>
  <c r="AP6" i="10"/>
  <c r="AK6" i="10"/>
  <c r="AH6" i="10"/>
  <c r="AG6" i="10"/>
  <c r="AF6" i="10"/>
  <c r="AC6" i="10"/>
  <c r="AB6" i="10"/>
  <c r="CF5" i="10"/>
  <c r="CG5" i="10" s="1"/>
  <c r="CD5" i="10"/>
  <c r="CB5" i="10"/>
  <c r="BT5" i="10"/>
  <c r="BU5" i="10" s="1"/>
  <c r="BH5" i="10"/>
  <c r="BG5" i="10"/>
  <c r="BF5" i="10"/>
  <c r="BE5" i="10"/>
  <c r="BD5" i="10"/>
  <c r="BC5" i="10"/>
  <c r="BA5" i="10"/>
  <c r="AY5" i="10"/>
  <c r="AS5" i="10"/>
  <c r="AR5" i="10"/>
  <c r="AQ5" i="10"/>
  <c r="AP5" i="10"/>
  <c r="AK5" i="10"/>
  <c r="AH5" i="10"/>
  <c r="AG5" i="10"/>
  <c r="AF5" i="10"/>
  <c r="AC5" i="10"/>
  <c r="AB5" i="10"/>
  <c r="Z5" i="10"/>
  <c r="AA5" i="10" s="1"/>
  <c r="CF4" i="10"/>
  <c r="CG4" i="10" s="1"/>
  <c r="CD4" i="10"/>
  <c r="CE4" i="10" s="1"/>
  <c r="F119" i="4" s="1"/>
  <c r="CB4" i="10"/>
  <c r="BT4" i="10"/>
  <c r="BY4" i="10" s="1"/>
  <c r="BH4" i="10"/>
  <c r="BG4" i="10"/>
  <c r="BF4" i="10"/>
  <c r="BE4" i="10"/>
  <c r="BD4" i="10"/>
  <c r="BC4" i="10"/>
  <c r="BA4" i="10"/>
  <c r="AY4" i="10"/>
  <c r="AS4" i="10"/>
  <c r="AR4" i="10"/>
  <c r="AQ4" i="10"/>
  <c r="AP4" i="10"/>
  <c r="AK4" i="10"/>
  <c r="AH4" i="10"/>
  <c r="AG4" i="10"/>
  <c r="AF4" i="10"/>
  <c r="AC4" i="10"/>
  <c r="AB4" i="10"/>
  <c r="Z4" i="10"/>
  <c r="AA4" i="10" s="1"/>
  <c r="B204" i="7"/>
  <c r="B203" i="7"/>
  <c r="B202" i="7"/>
  <c r="B201" i="7"/>
  <c r="B200" i="7"/>
  <c r="B199" i="7"/>
  <c r="B198" i="7"/>
  <c r="B197" i="7"/>
  <c r="B196" i="7"/>
  <c r="B195" i="7"/>
  <c r="B194" i="7"/>
  <c r="B193" i="7"/>
  <c r="B192" i="7"/>
  <c r="B191" i="7"/>
  <c r="B190" i="7"/>
  <c r="B189" i="7"/>
  <c r="B188" i="7"/>
  <c r="B187" i="7"/>
  <c r="B186" i="7"/>
  <c r="B185" i="7"/>
  <c r="B184" i="7"/>
  <c r="B183" i="7"/>
  <c r="B182" i="7"/>
  <c r="B181" i="7"/>
  <c r="B180" i="7"/>
  <c r="B179" i="7"/>
  <c r="B178" i="7"/>
  <c r="B177" i="7"/>
  <c r="B176" i="7"/>
  <c r="B175" i="7"/>
  <c r="B174" i="7"/>
  <c r="B173" i="7"/>
  <c r="B172" i="7"/>
  <c r="B171" i="7"/>
  <c r="B170" i="7"/>
  <c r="B169" i="7"/>
  <c r="B168" i="7"/>
  <c r="B167" i="7"/>
  <c r="B166" i="7"/>
  <c r="B165" i="7"/>
  <c r="B164" i="7"/>
  <c r="B163" i="7"/>
  <c r="B162" i="7"/>
  <c r="B161" i="7"/>
  <c r="B160" i="7"/>
  <c r="B159" i="7"/>
  <c r="B158" i="7"/>
  <c r="B157" i="7"/>
  <c r="B156" i="7"/>
  <c r="B155" i="7"/>
  <c r="B154" i="7"/>
  <c r="B153" i="7"/>
  <c r="B152" i="7"/>
  <c r="B151" i="7"/>
  <c r="B150" i="7"/>
  <c r="B149" i="7"/>
  <c r="B148" i="7"/>
  <c r="B147" i="7"/>
  <c r="B146" i="7"/>
  <c r="B145" i="7"/>
  <c r="B144" i="7"/>
  <c r="B143" i="7"/>
  <c r="B142" i="7"/>
  <c r="B141" i="7"/>
  <c r="B140" i="7"/>
  <c r="B139" i="7"/>
  <c r="B138" i="7"/>
  <c r="B137" i="7"/>
  <c r="B136" i="7"/>
  <c r="B135" i="7"/>
  <c r="B134" i="7"/>
  <c r="B133" i="7"/>
  <c r="B132" i="7"/>
  <c r="B131" i="7"/>
  <c r="B130" i="7"/>
  <c r="B129" i="7"/>
  <c r="B128" i="7"/>
  <c r="B127" i="7"/>
  <c r="B126" i="7"/>
  <c r="B125" i="7"/>
  <c r="B124" i="7"/>
  <c r="B123" i="7"/>
  <c r="B122" i="7"/>
  <c r="B121" i="7"/>
  <c r="B120" i="7"/>
  <c r="B119" i="7"/>
  <c r="B118" i="7"/>
  <c r="B117" i="7"/>
  <c r="B116" i="7"/>
  <c r="B115" i="7"/>
  <c r="B114" i="7"/>
  <c r="B113" i="7"/>
  <c r="B112" i="7"/>
  <c r="B111" i="7"/>
  <c r="B110" i="7"/>
  <c r="B109" i="7"/>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3"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32" i="7"/>
  <c r="B31" i="7"/>
  <c r="B30" i="7"/>
  <c r="B29" i="7"/>
  <c r="B28" i="7"/>
  <c r="B27" i="7"/>
  <c r="B26" i="7"/>
  <c r="B25" i="7"/>
  <c r="B24" i="7"/>
  <c r="B23" i="7"/>
  <c r="B22" i="7"/>
  <c r="BB21" i="10" s="1"/>
  <c r="B21" i="7"/>
  <c r="BB20" i="10" s="1"/>
  <c r="B20" i="7"/>
  <c r="BB19" i="10" s="1"/>
  <c r="B19" i="7"/>
  <c r="BB18" i="10" s="1"/>
  <c r="B18" i="7"/>
  <c r="BB17" i="10" s="1"/>
  <c r="B17" i="7"/>
  <c r="BB16" i="10" s="1"/>
  <c r="B16" i="7"/>
  <c r="BB15" i="10" s="1"/>
  <c r="B15" i="7"/>
  <c r="BB14" i="10" s="1"/>
  <c r="B14" i="7"/>
  <c r="BB13" i="10" s="1"/>
  <c r="B13" i="7"/>
  <c r="BB12" i="10" s="1"/>
  <c r="B12" i="7"/>
  <c r="BB11" i="10" s="1"/>
  <c r="B11" i="7"/>
  <c r="BB10" i="10" s="1"/>
  <c r="B10" i="7"/>
  <c r="BB9" i="10" s="1"/>
  <c r="B9" i="7"/>
  <c r="BB8" i="10" s="1"/>
  <c r="B8" i="7"/>
  <c r="BB7" i="10" s="1"/>
  <c r="B7" i="7"/>
  <c r="BB6" i="10" s="1"/>
  <c r="B6" i="7"/>
  <c r="BB5" i="10" s="1"/>
  <c r="B5" i="7"/>
  <c r="BB4" i="10" s="1"/>
  <c r="DI205" i="6"/>
  <c r="DH205" i="6"/>
  <c r="DG205" i="6"/>
  <c r="DF205" i="6"/>
  <c r="DE205" i="6"/>
  <c r="DD205" i="6"/>
  <c r="DC205" i="6"/>
  <c r="DB205" i="6"/>
  <c r="DA205" i="6"/>
  <c r="CZ205" i="6"/>
  <c r="CY205" i="6"/>
  <c r="CX205" i="6"/>
  <c r="CW205" i="6"/>
  <c r="CV205" i="6"/>
  <c r="CU205" i="6"/>
  <c r="CT205" i="6"/>
  <c r="CS205" i="6"/>
  <c r="CR205" i="6"/>
  <c r="CQ205" i="6"/>
  <c r="CP205" i="6"/>
  <c r="CO205" i="6"/>
  <c r="CN205" i="6"/>
  <c r="CM205" i="6"/>
  <c r="CL205" i="6"/>
  <c r="CK205" i="6"/>
  <c r="CJ205" i="6"/>
  <c r="CI205" i="6"/>
  <c r="CH205" i="6"/>
  <c r="CG205" i="6"/>
  <c r="CF205" i="6"/>
  <c r="CE205" i="6"/>
  <c r="CD205" i="6"/>
  <c r="CC205" i="6"/>
  <c r="CB205" i="6"/>
  <c r="CA205" i="6"/>
  <c r="BZ205" i="6"/>
  <c r="BY205" i="6"/>
  <c r="BX205" i="6"/>
  <c r="BW205" i="6"/>
  <c r="BV205" i="6"/>
  <c r="BU205" i="6"/>
  <c r="BT205" i="6"/>
  <c r="BS205" i="6"/>
  <c r="BR205" i="6"/>
  <c r="BQ205" i="6"/>
  <c r="BP205" i="6"/>
  <c r="BO205" i="6"/>
  <c r="BN205" i="6"/>
  <c r="BM205" i="6"/>
  <c r="BL205" i="6"/>
  <c r="BK205" i="6"/>
  <c r="BJ205" i="6"/>
  <c r="BI205" i="6"/>
  <c r="BH205" i="6"/>
  <c r="BG205" i="6"/>
  <c r="BF205" i="6"/>
  <c r="BE205" i="6"/>
  <c r="BD205" i="6"/>
  <c r="BC205" i="6"/>
  <c r="BB205" i="6"/>
  <c r="BA205" i="6"/>
  <c r="AZ205" i="6"/>
  <c r="AY205" i="6"/>
  <c r="AX205" i="6"/>
  <c r="AW205" i="6"/>
  <c r="AV205" i="6"/>
  <c r="AU205" i="6"/>
  <c r="AT205" i="6"/>
  <c r="AS205" i="6"/>
  <c r="AR205" i="6"/>
  <c r="AQ205" i="6"/>
  <c r="AP205" i="6"/>
  <c r="AO205" i="6"/>
  <c r="AN205" i="6"/>
  <c r="AM205" i="6"/>
  <c r="AL205" i="6"/>
  <c r="AK205" i="6"/>
  <c r="AJ205" i="6"/>
  <c r="AI205" i="6"/>
  <c r="AH205" i="6"/>
  <c r="AG205" i="6"/>
  <c r="AF205" i="6"/>
  <c r="AE205" i="6"/>
  <c r="AD205" i="6"/>
  <c r="AC205" i="6"/>
  <c r="AB205" i="6"/>
  <c r="AA205" i="6"/>
  <c r="Z205" i="6"/>
  <c r="Y205" i="6"/>
  <c r="X205" i="6"/>
  <c r="W205" i="6"/>
  <c r="V205" i="6"/>
  <c r="U205" i="6"/>
  <c r="T205" i="6"/>
  <c r="S205" i="6"/>
  <c r="R205" i="6"/>
  <c r="Q205" i="6"/>
  <c r="P205" i="6"/>
  <c r="O205" i="6"/>
  <c r="N205" i="6"/>
  <c r="M205" i="6"/>
  <c r="L205" i="6"/>
  <c r="K205" i="6"/>
  <c r="J205" i="6"/>
  <c r="I205" i="6"/>
  <c r="H205" i="6"/>
  <c r="G205" i="6"/>
  <c r="DI204" i="6"/>
  <c r="DH204" i="6"/>
  <c r="DG204" i="6"/>
  <c r="DF204" i="6"/>
  <c r="DE204" i="6"/>
  <c r="DD204" i="6"/>
  <c r="DC204" i="6"/>
  <c r="DB204" i="6"/>
  <c r="DA204" i="6"/>
  <c r="CZ204" i="6"/>
  <c r="CY204" i="6"/>
  <c r="CX204" i="6"/>
  <c r="CW204" i="6"/>
  <c r="CV204" i="6"/>
  <c r="CU204" i="6"/>
  <c r="CT204" i="6"/>
  <c r="CS204" i="6"/>
  <c r="CR204" i="6"/>
  <c r="CQ204" i="6"/>
  <c r="CP204" i="6"/>
  <c r="CO204" i="6"/>
  <c r="CN204" i="6"/>
  <c r="CM204" i="6"/>
  <c r="CL204" i="6"/>
  <c r="CK204" i="6"/>
  <c r="CJ204" i="6"/>
  <c r="CI204" i="6"/>
  <c r="CH204" i="6"/>
  <c r="CG204" i="6"/>
  <c r="CF204" i="6"/>
  <c r="CE204" i="6"/>
  <c r="CD204" i="6"/>
  <c r="CC204" i="6"/>
  <c r="CB204" i="6"/>
  <c r="CA204" i="6"/>
  <c r="BZ204" i="6"/>
  <c r="BY204" i="6"/>
  <c r="BX204" i="6"/>
  <c r="BW204" i="6"/>
  <c r="BV204" i="6"/>
  <c r="BU204" i="6"/>
  <c r="BT204" i="6"/>
  <c r="BS204" i="6"/>
  <c r="BR204" i="6"/>
  <c r="BQ204" i="6"/>
  <c r="BP204" i="6"/>
  <c r="BO204" i="6"/>
  <c r="BN204" i="6"/>
  <c r="BM204" i="6"/>
  <c r="BL204" i="6"/>
  <c r="BK204" i="6"/>
  <c r="BJ204" i="6"/>
  <c r="BI204" i="6"/>
  <c r="BH204" i="6"/>
  <c r="BG204" i="6"/>
  <c r="BF204" i="6"/>
  <c r="BE204" i="6"/>
  <c r="BD204" i="6"/>
  <c r="BC204" i="6"/>
  <c r="BB204" i="6"/>
  <c r="BA204" i="6"/>
  <c r="AZ204" i="6"/>
  <c r="AY204" i="6"/>
  <c r="AX204" i="6"/>
  <c r="AW204" i="6"/>
  <c r="AV204" i="6"/>
  <c r="AU204" i="6"/>
  <c r="AT204" i="6"/>
  <c r="AS204" i="6"/>
  <c r="AR204" i="6"/>
  <c r="AQ204" i="6"/>
  <c r="AP204" i="6"/>
  <c r="AO204" i="6"/>
  <c r="AN204" i="6"/>
  <c r="AM204" i="6"/>
  <c r="AL204" i="6"/>
  <c r="AK204" i="6"/>
  <c r="AJ204" i="6"/>
  <c r="AI204" i="6"/>
  <c r="AH204" i="6"/>
  <c r="AG204" i="6"/>
  <c r="AF204" i="6"/>
  <c r="AE204" i="6"/>
  <c r="AD204" i="6"/>
  <c r="AC204" i="6"/>
  <c r="AB204" i="6"/>
  <c r="AA204" i="6"/>
  <c r="Z204" i="6"/>
  <c r="Y204" i="6"/>
  <c r="X204" i="6"/>
  <c r="W204" i="6"/>
  <c r="V204" i="6"/>
  <c r="U204" i="6"/>
  <c r="T204" i="6"/>
  <c r="S204" i="6"/>
  <c r="R204" i="6"/>
  <c r="Q204" i="6"/>
  <c r="P204" i="6"/>
  <c r="O204" i="6"/>
  <c r="N204" i="6"/>
  <c r="M204" i="6"/>
  <c r="L204" i="6"/>
  <c r="K204" i="6"/>
  <c r="J204" i="6"/>
  <c r="I204" i="6"/>
  <c r="H204" i="6"/>
  <c r="G204" i="6"/>
  <c r="DI203" i="6"/>
  <c r="DH203" i="6"/>
  <c r="DG203" i="6"/>
  <c r="DF203" i="6"/>
  <c r="DE203" i="6"/>
  <c r="DD203" i="6"/>
  <c r="DC203" i="6"/>
  <c r="DB203" i="6"/>
  <c r="DA203" i="6"/>
  <c r="CZ203" i="6"/>
  <c r="CY203" i="6"/>
  <c r="CX203" i="6"/>
  <c r="CW203" i="6"/>
  <c r="CV203" i="6"/>
  <c r="CU203" i="6"/>
  <c r="CT203" i="6"/>
  <c r="CS203" i="6"/>
  <c r="CR203" i="6"/>
  <c r="CQ203" i="6"/>
  <c r="CP203" i="6"/>
  <c r="CO203" i="6"/>
  <c r="CN203" i="6"/>
  <c r="CM203" i="6"/>
  <c r="CL203" i="6"/>
  <c r="CK203" i="6"/>
  <c r="CJ203" i="6"/>
  <c r="CI203" i="6"/>
  <c r="CH203" i="6"/>
  <c r="CG203" i="6"/>
  <c r="CF203" i="6"/>
  <c r="CE203" i="6"/>
  <c r="CD203" i="6"/>
  <c r="CC203" i="6"/>
  <c r="CB203" i="6"/>
  <c r="CA203" i="6"/>
  <c r="BZ203" i="6"/>
  <c r="BY203" i="6"/>
  <c r="BX203" i="6"/>
  <c r="BW203" i="6"/>
  <c r="BV203" i="6"/>
  <c r="BU203" i="6"/>
  <c r="BT203" i="6"/>
  <c r="BS203" i="6"/>
  <c r="BR203" i="6"/>
  <c r="BQ203" i="6"/>
  <c r="BP203" i="6"/>
  <c r="BO203" i="6"/>
  <c r="BN203" i="6"/>
  <c r="BM203" i="6"/>
  <c r="BL203" i="6"/>
  <c r="BK203" i="6"/>
  <c r="BJ203" i="6"/>
  <c r="BI203" i="6"/>
  <c r="BH203" i="6"/>
  <c r="BG203" i="6"/>
  <c r="BF203" i="6"/>
  <c r="BE203" i="6"/>
  <c r="BD203" i="6"/>
  <c r="BC203" i="6"/>
  <c r="BB203" i="6"/>
  <c r="BA203" i="6"/>
  <c r="AZ203" i="6"/>
  <c r="AY203" i="6"/>
  <c r="AX203" i="6"/>
  <c r="AW203" i="6"/>
  <c r="AV203" i="6"/>
  <c r="AU203" i="6"/>
  <c r="AT203" i="6"/>
  <c r="AS203" i="6"/>
  <c r="AR203" i="6"/>
  <c r="AQ203" i="6"/>
  <c r="AP203" i="6"/>
  <c r="AO203" i="6"/>
  <c r="AN203" i="6"/>
  <c r="AM203" i="6"/>
  <c r="AL203" i="6"/>
  <c r="AK203" i="6"/>
  <c r="AJ203" i="6"/>
  <c r="AI203" i="6"/>
  <c r="AH203" i="6"/>
  <c r="AG203" i="6"/>
  <c r="AF203" i="6"/>
  <c r="AE203" i="6"/>
  <c r="AD203" i="6"/>
  <c r="AC203" i="6"/>
  <c r="AB203" i="6"/>
  <c r="AA203" i="6"/>
  <c r="Z203" i="6"/>
  <c r="Y203" i="6"/>
  <c r="X203" i="6"/>
  <c r="W203" i="6"/>
  <c r="V203" i="6"/>
  <c r="U203" i="6"/>
  <c r="T203" i="6"/>
  <c r="S203" i="6"/>
  <c r="R203" i="6"/>
  <c r="Q203" i="6"/>
  <c r="P203" i="6"/>
  <c r="O203" i="6"/>
  <c r="N203" i="6"/>
  <c r="M203" i="6"/>
  <c r="L203" i="6"/>
  <c r="K203" i="6"/>
  <c r="J203" i="6"/>
  <c r="I203" i="6"/>
  <c r="H203" i="6"/>
  <c r="G203" i="6"/>
  <c r="DI202" i="6"/>
  <c r="DH202" i="6"/>
  <c r="DG202" i="6"/>
  <c r="DF202" i="6"/>
  <c r="DE202" i="6"/>
  <c r="DD202" i="6"/>
  <c r="DC202" i="6"/>
  <c r="DB202" i="6"/>
  <c r="DA202" i="6"/>
  <c r="CZ202" i="6"/>
  <c r="CY202" i="6"/>
  <c r="CX202" i="6"/>
  <c r="CW202" i="6"/>
  <c r="CV202" i="6"/>
  <c r="CU202" i="6"/>
  <c r="CT202" i="6"/>
  <c r="CS202" i="6"/>
  <c r="CR202" i="6"/>
  <c r="CQ202" i="6"/>
  <c r="CP202" i="6"/>
  <c r="CO202" i="6"/>
  <c r="CN202" i="6"/>
  <c r="CM202" i="6"/>
  <c r="CL202" i="6"/>
  <c r="CK202" i="6"/>
  <c r="CJ202" i="6"/>
  <c r="CI202" i="6"/>
  <c r="CH202" i="6"/>
  <c r="CG202" i="6"/>
  <c r="CF202" i="6"/>
  <c r="CE202" i="6"/>
  <c r="CD202" i="6"/>
  <c r="CC202" i="6"/>
  <c r="CB202" i="6"/>
  <c r="CA202" i="6"/>
  <c r="BZ202" i="6"/>
  <c r="BY202" i="6"/>
  <c r="BX202" i="6"/>
  <c r="BW202" i="6"/>
  <c r="BV202" i="6"/>
  <c r="BU202" i="6"/>
  <c r="BT202" i="6"/>
  <c r="BS202" i="6"/>
  <c r="BR202" i="6"/>
  <c r="BQ202" i="6"/>
  <c r="BP202" i="6"/>
  <c r="BO202" i="6"/>
  <c r="BN202" i="6"/>
  <c r="BM202" i="6"/>
  <c r="BL202" i="6"/>
  <c r="BK202" i="6"/>
  <c r="BJ202" i="6"/>
  <c r="BI202" i="6"/>
  <c r="BH202" i="6"/>
  <c r="BG202" i="6"/>
  <c r="BF202" i="6"/>
  <c r="BE202" i="6"/>
  <c r="BD202" i="6"/>
  <c r="BC202" i="6"/>
  <c r="BB202" i="6"/>
  <c r="BA202" i="6"/>
  <c r="AZ202" i="6"/>
  <c r="AY202" i="6"/>
  <c r="AX202" i="6"/>
  <c r="AW202" i="6"/>
  <c r="AV202" i="6"/>
  <c r="AU202" i="6"/>
  <c r="AT202" i="6"/>
  <c r="AS202" i="6"/>
  <c r="AR202" i="6"/>
  <c r="AQ202" i="6"/>
  <c r="AP202" i="6"/>
  <c r="AO202" i="6"/>
  <c r="AN202" i="6"/>
  <c r="AM202" i="6"/>
  <c r="AL202" i="6"/>
  <c r="AK202" i="6"/>
  <c r="AJ202" i="6"/>
  <c r="AI202" i="6"/>
  <c r="AH202" i="6"/>
  <c r="AG202" i="6"/>
  <c r="AF202" i="6"/>
  <c r="AE202" i="6"/>
  <c r="AD202" i="6"/>
  <c r="AC202" i="6"/>
  <c r="AB202" i="6"/>
  <c r="AA202" i="6"/>
  <c r="Z202" i="6"/>
  <c r="Y202" i="6"/>
  <c r="X202" i="6"/>
  <c r="W202" i="6"/>
  <c r="V202" i="6"/>
  <c r="U202" i="6"/>
  <c r="T202" i="6"/>
  <c r="S202" i="6"/>
  <c r="R202" i="6"/>
  <c r="Q202" i="6"/>
  <c r="P202" i="6"/>
  <c r="O202" i="6"/>
  <c r="N202" i="6"/>
  <c r="M202" i="6"/>
  <c r="L202" i="6"/>
  <c r="K202" i="6"/>
  <c r="J202" i="6"/>
  <c r="I202" i="6"/>
  <c r="H202" i="6"/>
  <c r="G202" i="6"/>
  <c r="DI201" i="6"/>
  <c r="DH201" i="6"/>
  <c r="DG201" i="6"/>
  <c r="DF201" i="6"/>
  <c r="DE201" i="6"/>
  <c r="DD201" i="6"/>
  <c r="DC201" i="6"/>
  <c r="DB201" i="6"/>
  <c r="DA201" i="6"/>
  <c r="CZ201" i="6"/>
  <c r="CY201" i="6"/>
  <c r="CX201" i="6"/>
  <c r="CW201" i="6"/>
  <c r="CV201" i="6"/>
  <c r="CU201" i="6"/>
  <c r="CT201" i="6"/>
  <c r="CS201" i="6"/>
  <c r="CR201" i="6"/>
  <c r="CQ201" i="6"/>
  <c r="CP201" i="6"/>
  <c r="CO201" i="6"/>
  <c r="CN201" i="6"/>
  <c r="CM201" i="6"/>
  <c r="CL201" i="6"/>
  <c r="CK201" i="6"/>
  <c r="CJ201" i="6"/>
  <c r="CI201" i="6"/>
  <c r="CH201" i="6"/>
  <c r="CG201" i="6"/>
  <c r="CF201" i="6"/>
  <c r="CE201" i="6"/>
  <c r="CD201" i="6"/>
  <c r="CC201" i="6"/>
  <c r="CB201" i="6"/>
  <c r="CA201" i="6"/>
  <c r="BZ201" i="6"/>
  <c r="BY201" i="6"/>
  <c r="BX201" i="6"/>
  <c r="BW201" i="6"/>
  <c r="BV201" i="6"/>
  <c r="BU201" i="6"/>
  <c r="BT201" i="6"/>
  <c r="BS201" i="6"/>
  <c r="BR201" i="6"/>
  <c r="BQ201" i="6"/>
  <c r="BP201" i="6"/>
  <c r="BO201" i="6"/>
  <c r="BN201" i="6"/>
  <c r="BM201" i="6"/>
  <c r="BL201" i="6"/>
  <c r="BK201" i="6"/>
  <c r="BJ201" i="6"/>
  <c r="BI201" i="6"/>
  <c r="BH201" i="6"/>
  <c r="BG201" i="6"/>
  <c r="BF201" i="6"/>
  <c r="BE201" i="6"/>
  <c r="BD201" i="6"/>
  <c r="BC201" i="6"/>
  <c r="BB201" i="6"/>
  <c r="BA201" i="6"/>
  <c r="AZ201" i="6"/>
  <c r="AY201" i="6"/>
  <c r="AX201" i="6"/>
  <c r="AW201" i="6"/>
  <c r="AV201" i="6"/>
  <c r="AU201" i="6"/>
  <c r="AT201" i="6"/>
  <c r="AS201" i="6"/>
  <c r="AR201" i="6"/>
  <c r="AQ201" i="6"/>
  <c r="AP201" i="6"/>
  <c r="AO201" i="6"/>
  <c r="AN201" i="6"/>
  <c r="AM201" i="6"/>
  <c r="AL201" i="6"/>
  <c r="AK201" i="6"/>
  <c r="AJ201" i="6"/>
  <c r="AI201" i="6"/>
  <c r="AH201" i="6"/>
  <c r="AG201" i="6"/>
  <c r="AF201" i="6"/>
  <c r="AE201" i="6"/>
  <c r="AD201" i="6"/>
  <c r="AC201" i="6"/>
  <c r="AB201" i="6"/>
  <c r="AA201" i="6"/>
  <c r="Z201" i="6"/>
  <c r="Y201" i="6"/>
  <c r="X201" i="6"/>
  <c r="W201" i="6"/>
  <c r="V201" i="6"/>
  <c r="U201" i="6"/>
  <c r="T201" i="6"/>
  <c r="S201" i="6"/>
  <c r="R201" i="6"/>
  <c r="Q201" i="6"/>
  <c r="P201" i="6"/>
  <c r="O201" i="6"/>
  <c r="N201" i="6"/>
  <c r="M201" i="6"/>
  <c r="L201" i="6"/>
  <c r="K201" i="6"/>
  <c r="J201" i="6"/>
  <c r="I201" i="6"/>
  <c r="H201" i="6"/>
  <c r="G201" i="6"/>
  <c r="DI200" i="6"/>
  <c r="DH200" i="6"/>
  <c r="DG200" i="6"/>
  <c r="DF200" i="6"/>
  <c r="DE200" i="6"/>
  <c r="DD200" i="6"/>
  <c r="DC200" i="6"/>
  <c r="DB200" i="6"/>
  <c r="DA200" i="6"/>
  <c r="CZ200" i="6"/>
  <c r="CY200" i="6"/>
  <c r="CX200" i="6"/>
  <c r="CW200" i="6"/>
  <c r="CV200" i="6"/>
  <c r="CU200" i="6"/>
  <c r="CT200" i="6"/>
  <c r="CS200" i="6"/>
  <c r="CR200" i="6"/>
  <c r="CQ200" i="6"/>
  <c r="CP200" i="6"/>
  <c r="CO200" i="6"/>
  <c r="CN200" i="6"/>
  <c r="CM200" i="6"/>
  <c r="CL200" i="6"/>
  <c r="CK200" i="6"/>
  <c r="CJ200" i="6"/>
  <c r="CI200" i="6"/>
  <c r="CH200" i="6"/>
  <c r="CG200" i="6"/>
  <c r="CF200" i="6"/>
  <c r="CE200" i="6"/>
  <c r="CD200" i="6"/>
  <c r="CC200" i="6"/>
  <c r="CB200" i="6"/>
  <c r="CA200" i="6"/>
  <c r="BZ200" i="6"/>
  <c r="BY200" i="6"/>
  <c r="BX200" i="6"/>
  <c r="BW200" i="6"/>
  <c r="BV200" i="6"/>
  <c r="BU200" i="6"/>
  <c r="BT200" i="6"/>
  <c r="BS200" i="6"/>
  <c r="BR200" i="6"/>
  <c r="BQ200" i="6"/>
  <c r="BP200" i="6"/>
  <c r="BO200" i="6"/>
  <c r="BN200" i="6"/>
  <c r="BM200" i="6"/>
  <c r="BL200" i="6"/>
  <c r="BK200" i="6"/>
  <c r="BJ200" i="6"/>
  <c r="BI200" i="6"/>
  <c r="BH200" i="6"/>
  <c r="BG200" i="6"/>
  <c r="BF200" i="6"/>
  <c r="BE200" i="6"/>
  <c r="BD200" i="6"/>
  <c r="BC200" i="6"/>
  <c r="BB200" i="6"/>
  <c r="BA200" i="6"/>
  <c r="AZ200" i="6"/>
  <c r="AY200" i="6"/>
  <c r="AX200" i="6"/>
  <c r="AW200" i="6"/>
  <c r="AV200" i="6"/>
  <c r="AU200" i="6"/>
  <c r="AT200" i="6"/>
  <c r="AS200" i="6"/>
  <c r="AR200" i="6"/>
  <c r="AQ200" i="6"/>
  <c r="AP200" i="6"/>
  <c r="AO200" i="6"/>
  <c r="AN200" i="6"/>
  <c r="AM200" i="6"/>
  <c r="AL200" i="6"/>
  <c r="AK200" i="6"/>
  <c r="AJ200" i="6"/>
  <c r="AI200" i="6"/>
  <c r="AH200" i="6"/>
  <c r="AG200" i="6"/>
  <c r="AF200" i="6"/>
  <c r="AE200" i="6"/>
  <c r="AD200" i="6"/>
  <c r="AC200" i="6"/>
  <c r="AB200" i="6"/>
  <c r="AA200" i="6"/>
  <c r="Z200" i="6"/>
  <c r="Y200" i="6"/>
  <c r="X200" i="6"/>
  <c r="W200" i="6"/>
  <c r="V200" i="6"/>
  <c r="U200" i="6"/>
  <c r="T200" i="6"/>
  <c r="S200" i="6"/>
  <c r="R200" i="6"/>
  <c r="Q200" i="6"/>
  <c r="P200" i="6"/>
  <c r="O200" i="6"/>
  <c r="N200" i="6"/>
  <c r="M200" i="6"/>
  <c r="L200" i="6"/>
  <c r="K200" i="6"/>
  <c r="J200" i="6"/>
  <c r="I200" i="6"/>
  <c r="H200" i="6"/>
  <c r="G200" i="6"/>
  <c r="DI199" i="6"/>
  <c r="DH199" i="6"/>
  <c r="DG199" i="6"/>
  <c r="DF199" i="6"/>
  <c r="DE199" i="6"/>
  <c r="DD199" i="6"/>
  <c r="DC199" i="6"/>
  <c r="DB199" i="6"/>
  <c r="DA199" i="6"/>
  <c r="CZ199" i="6"/>
  <c r="CY199" i="6"/>
  <c r="CX199" i="6"/>
  <c r="CW199" i="6"/>
  <c r="CV199" i="6"/>
  <c r="CU199" i="6"/>
  <c r="CT199" i="6"/>
  <c r="CS199" i="6"/>
  <c r="CR199" i="6"/>
  <c r="CQ199" i="6"/>
  <c r="CP199" i="6"/>
  <c r="CO199" i="6"/>
  <c r="CN199" i="6"/>
  <c r="CM199" i="6"/>
  <c r="CL199" i="6"/>
  <c r="CK199" i="6"/>
  <c r="CJ199" i="6"/>
  <c r="CI199" i="6"/>
  <c r="CH199" i="6"/>
  <c r="CG199" i="6"/>
  <c r="CF199" i="6"/>
  <c r="CE199" i="6"/>
  <c r="CD199" i="6"/>
  <c r="CC199" i="6"/>
  <c r="CB199" i="6"/>
  <c r="CA199" i="6"/>
  <c r="BZ199" i="6"/>
  <c r="BY199" i="6"/>
  <c r="BX199" i="6"/>
  <c r="BW199" i="6"/>
  <c r="BV199" i="6"/>
  <c r="BU199" i="6"/>
  <c r="BT199" i="6"/>
  <c r="BS199" i="6"/>
  <c r="BR199" i="6"/>
  <c r="BQ199" i="6"/>
  <c r="BP199" i="6"/>
  <c r="BO199" i="6"/>
  <c r="BN199" i="6"/>
  <c r="BM199" i="6"/>
  <c r="BL199" i="6"/>
  <c r="BK199" i="6"/>
  <c r="BJ199" i="6"/>
  <c r="BI199" i="6"/>
  <c r="BH199" i="6"/>
  <c r="BG199" i="6"/>
  <c r="BF199" i="6"/>
  <c r="BE199" i="6"/>
  <c r="BD199" i="6"/>
  <c r="BC199" i="6"/>
  <c r="BB199" i="6"/>
  <c r="BA199" i="6"/>
  <c r="AZ199" i="6"/>
  <c r="AY199" i="6"/>
  <c r="AX199" i="6"/>
  <c r="AW199" i="6"/>
  <c r="AV199" i="6"/>
  <c r="AU199" i="6"/>
  <c r="AT199" i="6"/>
  <c r="AS199" i="6"/>
  <c r="AR199" i="6"/>
  <c r="AQ199" i="6"/>
  <c r="AP199" i="6"/>
  <c r="AO199" i="6"/>
  <c r="AN199" i="6"/>
  <c r="AM199" i="6"/>
  <c r="AL199" i="6"/>
  <c r="AK199" i="6"/>
  <c r="AJ199" i="6"/>
  <c r="AI199" i="6"/>
  <c r="AH199" i="6"/>
  <c r="AG199" i="6"/>
  <c r="AF199" i="6"/>
  <c r="AE199" i="6"/>
  <c r="AD199" i="6"/>
  <c r="AC199" i="6"/>
  <c r="AB199" i="6"/>
  <c r="AA199" i="6"/>
  <c r="Z199" i="6"/>
  <c r="Y199" i="6"/>
  <c r="X199" i="6"/>
  <c r="W199" i="6"/>
  <c r="V199" i="6"/>
  <c r="U199" i="6"/>
  <c r="T199" i="6"/>
  <c r="S199" i="6"/>
  <c r="R199" i="6"/>
  <c r="Q199" i="6"/>
  <c r="P199" i="6"/>
  <c r="O199" i="6"/>
  <c r="N199" i="6"/>
  <c r="M199" i="6"/>
  <c r="L199" i="6"/>
  <c r="K199" i="6"/>
  <c r="J199" i="6"/>
  <c r="I199" i="6"/>
  <c r="H199" i="6"/>
  <c r="G199" i="6"/>
  <c r="DI198" i="6"/>
  <c r="DH198" i="6"/>
  <c r="DG198" i="6"/>
  <c r="DF198" i="6"/>
  <c r="DE198" i="6"/>
  <c r="DD198" i="6"/>
  <c r="DC198" i="6"/>
  <c r="DB198" i="6"/>
  <c r="DA198" i="6"/>
  <c r="CZ198" i="6"/>
  <c r="CY198" i="6"/>
  <c r="CX198" i="6"/>
  <c r="CW198" i="6"/>
  <c r="CV198" i="6"/>
  <c r="CU198" i="6"/>
  <c r="CT198" i="6"/>
  <c r="CS198" i="6"/>
  <c r="CR198" i="6"/>
  <c r="CQ198" i="6"/>
  <c r="CP198" i="6"/>
  <c r="CO198" i="6"/>
  <c r="CN198" i="6"/>
  <c r="CM198" i="6"/>
  <c r="CL198" i="6"/>
  <c r="CK198" i="6"/>
  <c r="CJ198" i="6"/>
  <c r="CI198" i="6"/>
  <c r="CH198" i="6"/>
  <c r="CG198" i="6"/>
  <c r="CF198" i="6"/>
  <c r="CE198" i="6"/>
  <c r="CD198" i="6"/>
  <c r="CC198" i="6"/>
  <c r="CB198" i="6"/>
  <c r="CA198" i="6"/>
  <c r="BZ198" i="6"/>
  <c r="BY198" i="6"/>
  <c r="BX198" i="6"/>
  <c r="BW198" i="6"/>
  <c r="BV198" i="6"/>
  <c r="BU198" i="6"/>
  <c r="BT198" i="6"/>
  <c r="BS198" i="6"/>
  <c r="BR198" i="6"/>
  <c r="BQ198" i="6"/>
  <c r="BP198" i="6"/>
  <c r="BO198" i="6"/>
  <c r="BN198" i="6"/>
  <c r="BM198" i="6"/>
  <c r="BL198" i="6"/>
  <c r="BK198" i="6"/>
  <c r="BJ198" i="6"/>
  <c r="BI198" i="6"/>
  <c r="BH198" i="6"/>
  <c r="BG198" i="6"/>
  <c r="BF198" i="6"/>
  <c r="BE198" i="6"/>
  <c r="BD198" i="6"/>
  <c r="BC198" i="6"/>
  <c r="BB198" i="6"/>
  <c r="BA198" i="6"/>
  <c r="AZ198" i="6"/>
  <c r="AY198" i="6"/>
  <c r="AX198" i="6"/>
  <c r="AW198" i="6"/>
  <c r="AV198" i="6"/>
  <c r="AU198" i="6"/>
  <c r="AT198" i="6"/>
  <c r="AS198" i="6"/>
  <c r="AR198" i="6"/>
  <c r="AQ198" i="6"/>
  <c r="AP198" i="6"/>
  <c r="AO198" i="6"/>
  <c r="AN198" i="6"/>
  <c r="AM198" i="6"/>
  <c r="AL198" i="6"/>
  <c r="AK198" i="6"/>
  <c r="AJ198" i="6"/>
  <c r="AI198" i="6"/>
  <c r="AH198" i="6"/>
  <c r="AG198" i="6"/>
  <c r="AF198" i="6"/>
  <c r="AE198" i="6"/>
  <c r="AD198" i="6"/>
  <c r="AC198" i="6"/>
  <c r="AB198" i="6"/>
  <c r="AA198" i="6"/>
  <c r="Z198" i="6"/>
  <c r="Y198" i="6"/>
  <c r="X198" i="6"/>
  <c r="W198" i="6"/>
  <c r="V198" i="6"/>
  <c r="U198" i="6"/>
  <c r="T198" i="6"/>
  <c r="S198" i="6"/>
  <c r="R198" i="6"/>
  <c r="Q198" i="6"/>
  <c r="P198" i="6"/>
  <c r="O198" i="6"/>
  <c r="N198" i="6"/>
  <c r="M198" i="6"/>
  <c r="L198" i="6"/>
  <c r="K198" i="6"/>
  <c r="J198" i="6"/>
  <c r="I198" i="6"/>
  <c r="H198" i="6"/>
  <c r="G198" i="6"/>
  <c r="DI197" i="6"/>
  <c r="DH197" i="6"/>
  <c r="DG197" i="6"/>
  <c r="DF197" i="6"/>
  <c r="DE197" i="6"/>
  <c r="DD197" i="6"/>
  <c r="DC197" i="6"/>
  <c r="DB197" i="6"/>
  <c r="DA197" i="6"/>
  <c r="CZ197" i="6"/>
  <c r="CY197" i="6"/>
  <c r="CX197" i="6"/>
  <c r="CW197" i="6"/>
  <c r="CV197" i="6"/>
  <c r="CU197" i="6"/>
  <c r="CT197" i="6"/>
  <c r="CS197" i="6"/>
  <c r="CR197" i="6"/>
  <c r="CQ197" i="6"/>
  <c r="CP197" i="6"/>
  <c r="CO197" i="6"/>
  <c r="CN197" i="6"/>
  <c r="CM197" i="6"/>
  <c r="CL197" i="6"/>
  <c r="CK197" i="6"/>
  <c r="CJ197" i="6"/>
  <c r="CI197" i="6"/>
  <c r="CH197" i="6"/>
  <c r="CG197" i="6"/>
  <c r="CF197" i="6"/>
  <c r="CE197" i="6"/>
  <c r="CD197" i="6"/>
  <c r="CC197" i="6"/>
  <c r="CB197" i="6"/>
  <c r="CA197" i="6"/>
  <c r="BZ197" i="6"/>
  <c r="BY197" i="6"/>
  <c r="BX197" i="6"/>
  <c r="BW197" i="6"/>
  <c r="BV197" i="6"/>
  <c r="BU197" i="6"/>
  <c r="BT197" i="6"/>
  <c r="BS197" i="6"/>
  <c r="BR197" i="6"/>
  <c r="BQ197" i="6"/>
  <c r="BP197" i="6"/>
  <c r="BO197" i="6"/>
  <c r="BN197" i="6"/>
  <c r="BM197" i="6"/>
  <c r="BL197" i="6"/>
  <c r="BK197" i="6"/>
  <c r="BJ197" i="6"/>
  <c r="BI197" i="6"/>
  <c r="BH197" i="6"/>
  <c r="BG197" i="6"/>
  <c r="BF197" i="6"/>
  <c r="BE197" i="6"/>
  <c r="BD197" i="6"/>
  <c r="BC197" i="6"/>
  <c r="BB197" i="6"/>
  <c r="BA197" i="6"/>
  <c r="AZ197" i="6"/>
  <c r="AY197" i="6"/>
  <c r="AX197" i="6"/>
  <c r="AW197" i="6"/>
  <c r="AV197" i="6"/>
  <c r="AU197" i="6"/>
  <c r="AT197" i="6"/>
  <c r="AS197" i="6"/>
  <c r="AR197" i="6"/>
  <c r="AQ197" i="6"/>
  <c r="AP197" i="6"/>
  <c r="AO197" i="6"/>
  <c r="AN197" i="6"/>
  <c r="AM197" i="6"/>
  <c r="AL197" i="6"/>
  <c r="AK197" i="6"/>
  <c r="AJ197" i="6"/>
  <c r="AI197" i="6"/>
  <c r="AH197" i="6"/>
  <c r="AG197" i="6"/>
  <c r="AF197" i="6"/>
  <c r="AE197" i="6"/>
  <c r="AD197" i="6"/>
  <c r="AC197" i="6"/>
  <c r="AB197" i="6"/>
  <c r="AA197" i="6"/>
  <c r="Z197" i="6"/>
  <c r="Y197" i="6"/>
  <c r="X197" i="6"/>
  <c r="W197" i="6"/>
  <c r="V197" i="6"/>
  <c r="U197" i="6"/>
  <c r="T197" i="6"/>
  <c r="S197" i="6"/>
  <c r="R197" i="6"/>
  <c r="Q197" i="6"/>
  <c r="P197" i="6"/>
  <c r="O197" i="6"/>
  <c r="N197" i="6"/>
  <c r="M197" i="6"/>
  <c r="L197" i="6"/>
  <c r="K197" i="6"/>
  <c r="J197" i="6"/>
  <c r="I197" i="6"/>
  <c r="H197" i="6"/>
  <c r="G197" i="6"/>
  <c r="DI196" i="6"/>
  <c r="DH196" i="6"/>
  <c r="DG196" i="6"/>
  <c r="DF196" i="6"/>
  <c r="DE196" i="6"/>
  <c r="DD196" i="6"/>
  <c r="DC196" i="6"/>
  <c r="DB196" i="6"/>
  <c r="DA196" i="6"/>
  <c r="CZ196" i="6"/>
  <c r="CY196" i="6"/>
  <c r="CX196" i="6"/>
  <c r="CW196" i="6"/>
  <c r="CV196" i="6"/>
  <c r="CU196" i="6"/>
  <c r="CT196" i="6"/>
  <c r="CS196" i="6"/>
  <c r="CR196" i="6"/>
  <c r="CQ196" i="6"/>
  <c r="CP196" i="6"/>
  <c r="CO196" i="6"/>
  <c r="CN196" i="6"/>
  <c r="CM196" i="6"/>
  <c r="CL196" i="6"/>
  <c r="CK196" i="6"/>
  <c r="CJ196" i="6"/>
  <c r="CI196" i="6"/>
  <c r="CH196" i="6"/>
  <c r="CG196" i="6"/>
  <c r="CF196" i="6"/>
  <c r="CE196" i="6"/>
  <c r="CD196" i="6"/>
  <c r="CC196" i="6"/>
  <c r="CB196" i="6"/>
  <c r="CA196" i="6"/>
  <c r="BZ196" i="6"/>
  <c r="BY196" i="6"/>
  <c r="BX196" i="6"/>
  <c r="BW196" i="6"/>
  <c r="BV196" i="6"/>
  <c r="BU196" i="6"/>
  <c r="BT196" i="6"/>
  <c r="BS196" i="6"/>
  <c r="BR196" i="6"/>
  <c r="BQ196" i="6"/>
  <c r="BP196" i="6"/>
  <c r="BO196" i="6"/>
  <c r="BN196" i="6"/>
  <c r="BM196" i="6"/>
  <c r="BL196" i="6"/>
  <c r="BK196" i="6"/>
  <c r="BJ196" i="6"/>
  <c r="BI196" i="6"/>
  <c r="BH196" i="6"/>
  <c r="BG196" i="6"/>
  <c r="BF196" i="6"/>
  <c r="BE196" i="6"/>
  <c r="BD196" i="6"/>
  <c r="BC196" i="6"/>
  <c r="BB196" i="6"/>
  <c r="BA196" i="6"/>
  <c r="AZ196" i="6"/>
  <c r="AY196" i="6"/>
  <c r="AX196" i="6"/>
  <c r="AW196" i="6"/>
  <c r="AV196" i="6"/>
  <c r="AU196" i="6"/>
  <c r="AT196" i="6"/>
  <c r="AS196" i="6"/>
  <c r="AR196" i="6"/>
  <c r="AQ196" i="6"/>
  <c r="AP196" i="6"/>
  <c r="AO196" i="6"/>
  <c r="AN196" i="6"/>
  <c r="AM196" i="6"/>
  <c r="AL196" i="6"/>
  <c r="AK196" i="6"/>
  <c r="AJ196" i="6"/>
  <c r="AI196" i="6"/>
  <c r="AH196" i="6"/>
  <c r="AG196" i="6"/>
  <c r="AF196" i="6"/>
  <c r="AE196" i="6"/>
  <c r="AD196" i="6"/>
  <c r="AC196" i="6"/>
  <c r="AB196" i="6"/>
  <c r="AA196" i="6"/>
  <c r="Z196" i="6"/>
  <c r="Y196" i="6"/>
  <c r="X196" i="6"/>
  <c r="W196" i="6"/>
  <c r="V196" i="6"/>
  <c r="U196" i="6"/>
  <c r="T196" i="6"/>
  <c r="S196" i="6"/>
  <c r="R196" i="6"/>
  <c r="Q196" i="6"/>
  <c r="P196" i="6"/>
  <c r="O196" i="6"/>
  <c r="N196" i="6"/>
  <c r="M196" i="6"/>
  <c r="L196" i="6"/>
  <c r="K196" i="6"/>
  <c r="J196" i="6"/>
  <c r="I196" i="6"/>
  <c r="H196" i="6"/>
  <c r="G196" i="6"/>
  <c r="DI195" i="6"/>
  <c r="DH195" i="6"/>
  <c r="DG195" i="6"/>
  <c r="DF195" i="6"/>
  <c r="DE195" i="6"/>
  <c r="DD195" i="6"/>
  <c r="DC195" i="6"/>
  <c r="DB195" i="6"/>
  <c r="DA195" i="6"/>
  <c r="CZ195" i="6"/>
  <c r="CY195" i="6"/>
  <c r="CX195" i="6"/>
  <c r="CW195" i="6"/>
  <c r="CV195" i="6"/>
  <c r="CU195" i="6"/>
  <c r="CT195" i="6"/>
  <c r="CS195" i="6"/>
  <c r="CR195" i="6"/>
  <c r="CQ195" i="6"/>
  <c r="CP195" i="6"/>
  <c r="CO195" i="6"/>
  <c r="CN195" i="6"/>
  <c r="CM195" i="6"/>
  <c r="CL195" i="6"/>
  <c r="CK195" i="6"/>
  <c r="CJ195" i="6"/>
  <c r="CI195" i="6"/>
  <c r="CH195" i="6"/>
  <c r="CG195" i="6"/>
  <c r="CF195" i="6"/>
  <c r="CE195" i="6"/>
  <c r="CD195" i="6"/>
  <c r="CC195" i="6"/>
  <c r="CB195" i="6"/>
  <c r="CA195" i="6"/>
  <c r="BZ195" i="6"/>
  <c r="BY195" i="6"/>
  <c r="BX195" i="6"/>
  <c r="BW195" i="6"/>
  <c r="BV195" i="6"/>
  <c r="BU195" i="6"/>
  <c r="BT195" i="6"/>
  <c r="BS195" i="6"/>
  <c r="BR195" i="6"/>
  <c r="BQ195" i="6"/>
  <c r="BP195" i="6"/>
  <c r="BO195" i="6"/>
  <c r="BN195" i="6"/>
  <c r="BM195" i="6"/>
  <c r="BL195" i="6"/>
  <c r="BK195" i="6"/>
  <c r="BJ195" i="6"/>
  <c r="BI195" i="6"/>
  <c r="BH195" i="6"/>
  <c r="BG195" i="6"/>
  <c r="BF195" i="6"/>
  <c r="BE195" i="6"/>
  <c r="BD195" i="6"/>
  <c r="BC195" i="6"/>
  <c r="BB195" i="6"/>
  <c r="BA195" i="6"/>
  <c r="AZ195" i="6"/>
  <c r="AY195" i="6"/>
  <c r="AX195" i="6"/>
  <c r="AW195" i="6"/>
  <c r="AV195" i="6"/>
  <c r="AU195" i="6"/>
  <c r="AT195" i="6"/>
  <c r="AS195" i="6"/>
  <c r="AR195" i="6"/>
  <c r="AQ195" i="6"/>
  <c r="AP195" i="6"/>
  <c r="AO195" i="6"/>
  <c r="AN195" i="6"/>
  <c r="AM195" i="6"/>
  <c r="AL195" i="6"/>
  <c r="AK195" i="6"/>
  <c r="AJ195" i="6"/>
  <c r="AI195" i="6"/>
  <c r="AH195" i="6"/>
  <c r="AG195" i="6"/>
  <c r="AF195" i="6"/>
  <c r="AE195" i="6"/>
  <c r="AD195" i="6"/>
  <c r="AC195" i="6"/>
  <c r="AB195" i="6"/>
  <c r="AA195" i="6"/>
  <c r="Z195" i="6"/>
  <c r="Y195" i="6"/>
  <c r="X195" i="6"/>
  <c r="W195" i="6"/>
  <c r="V195" i="6"/>
  <c r="U195" i="6"/>
  <c r="T195" i="6"/>
  <c r="S195" i="6"/>
  <c r="R195" i="6"/>
  <c r="Q195" i="6"/>
  <c r="P195" i="6"/>
  <c r="O195" i="6"/>
  <c r="N195" i="6"/>
  <c r="M195" i="6"/>
  <c r="L195" i="6"/>
  <c r="K195" i="6"/>
  <c r="J195" i="6"/>
  <c r="I195" i="6"/>
  <c r="H195" i="6"/>
  <c r="G195" i="6"/>
  <c r="DI194" i="6"/>
  <c r="DH194" i="6"/>
  <c r="DG194" i="6"/>
  <c r="DF194" i="6"/>
  <c r="DE194" i="6"/>
  <c r="DD194" i="6"/>
  <c r="DC194" i="6"/>
  <c r="DB194" i="6"/>
  <c r="DA194" i="6"/>
  <c r="CZ194" i="6"/>
  <c r="CY194" i="6"/>
  <c r="CX194" i="6"/>
  <c r="CW194" i="6"/>
  <c r="CV194" i="6"/>
  <c r="CU194" i="6"/>
  <c r="CT194" i="6"/>
  <c r="CS194" i="6"/>
  <c r="CR194" i="6"/>
  <c r="CQ194" i="6"/>
  <c r="CP194" i="6"/>
  <c r="CO194" i="6"/>
  <c r="CN194" i="6"/>
  <c r="CM194" i="6"/>
  <c r="CL194" i="6"/>
  <c r="CK194" i="6"/>
  <c r="CJ194" i="6"/>
  <c r="CI194" i="6"/>
  <c r="CH194" i="6"/>
  <c r="CG194" i="6"/>
  <c r="CF194" i="6"/>
  <c r="CE194" i="6"/>
  <c r="CD194" i="6"/>
  <c r="CC194" i="6"/>
  <c r="CB194" i="6"/>
  <c r="CA194" i="6"/>
  <c r="BZ194" i="6"/>
  <c r="BY194" i="6"/>
  <c r="BX194" i="6"/>
  <c r="BW194" i="6"/>
  <c r="BV194" i="6"/>
  <c r="BU194" i="6"/>
  <c r="BT194" i="6"/>
  <c r="BS194" i="6"/>
  <c r="BR194" i="6"/>
  <c r="BQ194" i="6"/>
  <c r="BP194" i="6"/>
  <c r="BO194" i="6"/>
  <c r="BN194" i="6"/>
  <c r="BM194" i="6"/>
  <c r="BL194" i="6"/>
  <c r="BK194" i="6"/>
  <c r="BJ194" i="6"/>
  <c r="BI194" i="6"/>
  <c r="BH194" i="6"/>
  <c r="BG194" i="6"/>
  <c r="BF194" i="6"/>
  <c r="BE194" i="6"/>
  <c r="BD194" i="6"/>
  <c r="BC194" i="6"/>
  <c r="BB194" i="6"/>
  <c r="BA194" i="6"/>
  <c r="AZ194" i="6"/>
  <c r="AY194" i="6"/>
  <c r="AX194" i="6"/>
  <c r="AW194" i="6"/>
  <c r="AV194" i="6"/>
  <c r="AU194" i="6"/>
  <c r="AT194" i="6"/>
  <c r="AS194" i="6"/>
  <c r="AR194" i="6"/>
  <c r="AQ194" i="6"/>
  <c r="AP194" i="6"/>
  <c r="AO194" i="6"/>
  <c r="AN194" i="6"/>
  <c r="AM194" i="6"/>
  <c r="AL194" i="6"/>
  <c r="AK194" i="6"/>
  <c r="AJ194" i="6"/>
  <c r="AI194" i="6"/>
  <c r="AH194" i="6"/>
  <c r="AG194" i="6"/>
  <c r="AF194" i="6"/>
  <c r="AE194" i="6"/>
  <c r="AD194" i="6"/>
  <c r="AC194" i="6"/>
  <c r="AB194" i="6"/>
  <c r="AA194" i="6"/>
  <c r="Z194" i="6"/>
  <c r="Y194" i="6"/>
  <c r="X194" i="6"/>
  <c r="W194" i="6"/>
  <c r="V194" i="6"/>
  <c r="U194" i="6"/>
  <c r="T194" i="6"/>
  <c r="S194" i="6"/>
  <c r="R194" i="6"/>
  <c r="Q194" i="6"/>
  <c r="P194" i="6"/>
  <c r="O194" i="6"/>
  <c r="N194" i="6"/>
  <c r="M194" i="6"/>
  <c r="L194" i="6"/>
  <c r="K194" i="6"/>
  <c r="J194" i="6"/>
  <c r="I194" i="6"/>
  <c r="H194" i="6"/>
  <c r="G194" i="6"/>
  <c r="DI193" i="6"/>
  <c r="DH193" i="6"/>
  <c r="DG193" i="6"/>
  <c r="DF193" i="6"/>
  <c r="DE193" i="6"/>
  <c r="DD193" i="6"/>
  <c r="DC193" i="6"/>
  <c r="DB193" i="6"/>
  <c r="DA193" i="6"/>
  <c r="CZ193" i="6"/>
  <c r="CY193" i="6"/>
  <c r="CX193" i="6"/>
  <c r="CW193" i="6"/>
  <c r="CV193" i="6"/>
  <c r="CU193" i="6"/>
  <c r="CT193" i="6"/>
  <c r="CS193" i="6"/>
  <c r="CR193" i="6"/>
  <c r="CQ193" i="6"/>
  <c r="CP193" i="6"/>
  <c r="CO193" i="6"/>
  <c r="CN193" i="6"/>
  <c r="CM193" i="6"/>
  <c r="CL193" i="6"/>
  <c r="CK193" i="6"/>
  <c r="CJ193" i="6"/>
  <c r="CI193" i="6"/>
  <c r="CH193" i="6"/>
  <c r="CG193" i="6"/>
  <c r="CF193" i="6"/>
  <c r="CE193" i="6"/>
  <c r="CD193" i="6"/>
  <c r="CC193" i="6"/>
  <c r="CB193" i="6"/>
  <c r="CA193" i="6"/>
  <c r="BZ193" i="6"/>
  <c r="BY193" i="6"/>
  <c r="BX193" i="6"/>
  <c r="BW193" i="6"/>
  <c r="BV193" i="6"/>
  <c r="BU193" i="6"/>
  <c r="BT193" i="6"/>
  <c r="BS193" i="6"/>
  <c r="BR193" i="6"/>
  <c r="BQ193" i="6"/>
  <c r="BP193" i="6"/>
  <c r="BO193" i="6"/>
  <c r="BN193" i="6"/>
  <c r="BM193" i="6"/>
  <c r="BL193" i="6"/>
  <c r="BK193" i="6"/>
  <c r="BJ193" i="6"/>
  <c r="BI193" i="6"/>
  <c r="BH193" i="6"/>
  <c r="BG193" i="6"/>
  <c r="BF193" i="6"/>
  <c r="BE193" i="6"/>
  <c r="BD193" i="6"/>
  <c r="BC193" i="6"/>
  <c r="BB193" i="6"/>
  <c r="BA193" i="6"/>
  <c r="AZ193" i="6"/>
  <c r="AY193" i="6"/>
  <c r="AX193" i="6"/>
  <c r="AW193" i="6"/>
  <c r="AV193" i="6"/>
  <c r="AU193" i="6"/>
  <c r="AT193" i="6"/>
  <c r="AS193" i="6"/>
  <c r="AR193" i="6"/>
  <c r="AQ193" i="6"/>
  <c r="AP193" i="6"/>
  <c r="AO193" i="6"/>
  <c r="AN193" i="6"/>
  <c r="AM193" i="6"/>
  <c r="AL193" i="6"/>
  <c r="AK193" i="6"/>
  <c r="AJ193" i="6"/>
  <c r="AI193" i="6"/>
  <c r="AH193" i="6"/>
  <c r="AG193" i="6"/>
  <c r="AF193" i="6"/>
  <c r="AE193" i="6"/>
  <c r="AD193" i="6"/>
  <c r="AC193" i="6"/>
  <c r="AB193" i="6"/>
  <c r="AA193" i="6"/>
  <c r="Z193" i="6"/>
  <c r="Y193" i="6"/>
  <c r="X193" i="6"/>
  <c r="W193" i="6"/>
  <c r="V193" i="6"/>
  <c r="U193" i="6"/>
  <c r="T193" i="6"/>
  <c r="S193" i="6"/>
  <c r="R193" i="6"/>
  <c r="Q193" i="6"/>
  <c r="P193" i="6"/>
  <c r="O193" i="6"/>
  <c r="N193" i="6"/>
  <c r="M193" i="6"/>
  <c r="L193" i="6"/>
  <c r="K193" i="6"/>
  <c r="J193" i="6"/>
  <c r="I193" i="6"/>
  <c r="H193" i="6"/>
  <c r="G193" i="6"/>
  <c r="DI192" i="6"/>
  <c r="DH192" i="6"/>
  <c r="DG192" i="6"/>
  <c r="DF192" i="6"/>
  <c r="DE192" i="6"/>
  <c r="DD192" i="6"/>
  <c r="DC192" i="6"/>
  <c r="DB192" i="6"/>
  <c r="DA192" i="6"/>
  <c r="CZ192" i="6"/>
  <c r="CY192" i="6"/>
  <c r="CX192" i="6"/>
  <c r="CW192" i="6"/>
  <c r="CV192" i="6"/>
  <c r="CU192" i="6"/>
  <c r="CT192" i="6"/>
  <c r="CS192" i="6"/>
  <c r="CR192" i="6"/>
  <c r="CQ192" i="6"/>
  <c r="CP192" i="6"/>
  <c r="CO192" i="6"/>
  <c r="CN192" i="6"/>
  <c r="CM192" i="6"/>
  <c r="CL192" i="6"/>
  <c r="CK192" i="6"/>
  <c r="CJ192" i="6"/>
  <c r="CI192" i="6"/>
  <c r="CH192" i="6"/>
  <c r="CG192" i="6"/>
  <c r="CF192" i="6"/>
  <c r="CE192" i="6"/>
  <c r="CD192" i="6"/>
  <c r="CC192" i="6"/>
  <c r="CB192" i="6"/>
  <c r="CA192" i="6"/>
  <c r="BZ192" i="6"/>
  <c r="BY192" i="6"/>
  <c r="BX192" i="6"/>
  <c r="BW192" i="6"/>
  <c r="BV192" i="6"/>
  <c r="BU192" i="6"/>
  <c r="BT192" i="6"/>
  <c r="BS192" i="6"/>
  <c r="BR192" i="6"/>
  <c r="BQ192" i="6"/>
  <c r="BP192" i="6"/>
  <c r="BO192" i="6"/>
  <c r="BN192" i="6"/>
  <c r="BM192" i="6"/>
  <c r="BL192" i="6"/>
  <c r="BK192" i="6"/>
  <c r="BJ192" i="6"/>
  <c r="BI192" i="6"/>
  <c r="BH192" i="6"/>
  <c r="BG192" i="6"/>
  <c r="BF192" i="6"/>
  <c r="BE192" i="6"/>
  <c r="BD192" i="6"/>
  <c r="BC192" i="6"/>
  <c r="BB192" i="6"/>
  <c r="BA192" i="6"/>
  <c r="AZ192" i="6"/>
  <c r="AY192" i="6"/>
  <c r="AX192" i="6"/>
  <c r="AW192" i="6"/>
  <c r="AV192" i="6"/>
  <c r="AU192" i="6"/>
  <c r="AT192" i="6"/>
  <c r="AS192" i="6"/>
  <c r="AR192" i="6"/>
  <c r="AQ192" i="6"/>
  <c r="AP192" i="6"/>
  <c r="AO192" i="6"/>
  <c r="AN192" i="6"/>
  <c r="AM192" i="6"/>
  <c r="AL192" i="6"/>
  <c r="AK192" i="6"/>
  <c r="AJ192" i="6"/>
  <c r="AI192" i="6"/>
  <c r="AH192" i="6"/>
  <c r="AG192" i="6"/>
  <c r="AF192" i="6"/>
  <c r="AE192" i="6"/>
  <c r="AD192" i="6"/>
  <c r="AC192" i="6"/>
  <c r="AB192" i="6"/>
  <c r="AA192" i="6"/>
  <c r="Z192" i="6"/>
  <c r="Y192" i="6"/>
  <c r="X192" i="6"/>
  <c r="W192" i="6"/>
  <c r="V192" i="6"/>
  <c r="U192" i="6"/>
  <c r="T192" i="6"/>
  <c r="S192" i="6"/>
  <c r="R192" i="6"/>
  <c r="Q192" i="6"/>
  <c r="P192" i="6"/>
  <c r="O192" i="6"/>
  <c r="N192" i="6"/>
  <c r="M192" i="6"/>
  <c r="L192" i="6"/>
  <c r="K192" i="6"/>
  <c r="J192" i="6"/>
  <c r="I192" i="6"/>
  <c r="H192" i="6"/>
  <c r="G192" i="6"/>
  <c r="DI191" i="6"/>
  <c r="DH191" i="6"/>
  <c r="DG191" i="6"/>
  <c r="DF191" i="6"/>
  <c r="DE191" i="6"/>
  <c r="DD191" i="6"/>
  <c r="DC191" i="6"/>
  <c r="DB191" i="6"/>
  <c r="DA191" i="6"/>
  <c r="CZ191" i="6"/>
  <c r="CY191" i="6"/>
  <c r="CX191" i="6"/>
  <c r="CW191" i="6"/>
  <c r="CV191" i="6"/>
  <c r="CU191" i="6"/>
  <c r="CT191" i="6"/>
  <c r="CS191" i="6"/>
  <c r="CR191" i="6"/>
  <c r="CQ191" i="6"/>
  <c r="CP191" i="6"/>
  <c r="CO191" i="6"/>
  <c r="CN191" i="6"/>
  <c r="CM191" i="6"/>
  <c r="CL191" i="6"/>
  <c r="CK191" i="6"/>
  <c r="CJ191" i="6"/>
  <c r="CI191" i="6"/>
  <c r="CH191" i="6"/>
  <c r="CG191" i="6"/>
  <c r="CF191" i="6"/>
  <c r="CE191" i="6"/>
  <c r="CD191" i="6"/>
  <c r="CC191" i="6"/>
  <c r="CB191" i="6"/>
  <c r="CA191" i="6"/>
  <c r="BZ191" i="6"/>
  <c r="BY191" i="6"/>
  <c r="BX191" i="6"/>
  <c r="BW191" i="6"/>
  <c r="BV191" i="6"/>
  <c r="BU191" i="6"/>
  <c r="BT191" i="6"/>
  <c r="BS191" i="6"/>
  <c r="BR191" i="6"/>
  <c r="BQ191" i="6"/>
  <c r="BP191" i="6"/>
  <c r="BO191" i="6"/>
  <c r="BN191" i="6"/>
  <c r="BM191" i="6"/>
  <c r="BL191" i="6"/>
  <c r="BK191" i="6"/>
  <c r="BJ191" i="6"/>
  <c r="BI191" i="6"/>
  <c r="BH191" i="6"/>
  <c r="BG191" i="6"/>
  <c r="BF191" i="6"/>
  <c r="BE191" i="6"/>
  <c r="BD191" i="6"/>
  <c r="BC191" i="6"/>
  <c r="BB191" i="6"/>
  <c r="BA191" i="6"/>
  <c r="AZ191" i="6"/>
  <c r="AY191" i="6"/>
  <c r="AX191" i="6"/>
  <c r="AW191" i="6"/>
  <c r="AV191" i="6"/>
  <c r="AU191" i="6"/>
  <c r="AT191" i="6"/>
  <c r="AS191" i="6"/>
  <c r="AR191" i="6"/>
  <c r="AQ191" i="6"/>
  <c r="AP191" i="6"/>
  <c r="AO191" i="6"/>
  <c r="AN191" i="6"/>
  <c r="AM191" i="6"/>
  <c r="AL191" i="6"/>
  <c r="AK191" i="6"/>
  <c r="AJ191" i="6"/>
  <c r="AI191" i="6"/>
  <c r="AH191" i="6"/>
  <c r="AG191" i="6"/>
  <c r="AF191" i="6"/>
  <c r="AE191" i="6"/>
  <c r="AD191" i="6"/>
  <c r="AC191" i="6"/>
  <c r="AB191" i="6"/>
  <c r="AA191" i="6"/>
  <c r="Z191" i="6"/>
  <c r="Y191" i="6"/>
  <c r="X191" i="6"/>
  <c r="W191" i="6"/>
  <c r="V191" i="6"/>
  <c r="U191" i="6"/>
  <c r="T191" i="6"/>
  <c r="S191" i="6"/>
  <c r="R191" i="6"/>
  <c r="Q191" i="6"/>
  <c r="P191" i="6"/>
  <c r="O191" i="6"/>
  <c r="N191" i="6"/>
  <c r="M191" i="6"/>
  <c r="L191" i="6"/>
  <c r="K191" i="6"/>
  <c r="J191" i="6"/>
  <c r="I191" i="6"/>
  <c r="H191" i="6"/>
  <c r="G191" i="6"/>
  <c r="DI190" i="6"/>
  <c r="DH190" i="6"/>
  <c r="DG190" i="6"/>
  <c r="DF190" i="6"/>
  <c r="DE190" i="6"/>
  <c r="DD190" i="6"/>
  <c r="DC190" i="6"/>
  <c r="DB190" i="6"/>
  <c r="DA190" i="6"/>
  <c r="CZ190" i="6"/>
  <c r="CY190" i="6"/>
  <c r="CX190" i="6"/>
  <c r="CW190" i="6"/>
  <c r="CV190" i="6"/>
  <c r="CU190" i="6"/>
  <c r="CT190" i="6"/>
  <c r="CS190" i="6"/>
  <c r="CR190" i="6"/>
  <c r="CQ190" i="6"/>
  <c r="CP190" i="6"/>
  <c r="CO190" i="6"/>
  <c r="CN190" i="6"/>
  <c r="CM190" i="6"/>
  <c r="CL190" i="6"/>
  <c r="CK190" i="6"/>
  <c r="CJ190" i="6"/>
  <c r="CI190" i="6"/>
  <c r="CH190" i="6"/>
  <c r="CG190" i="6"/>
  <c r="CF190" i="6"/>
  <c r="CE190" i="6"/>
  <c r="CD190" i="6"/>
  <c r="CC190" i="6"/>
  <c r="CB190" i="6"/>
  <c r="CA190" i="6"/>
  <c r="BZ190" i="6"/>
  <c r="BY190" i="6"/>
  <c r="BX190" i="6"/>
  <c r="BW190" i="6"/>
  <c r="BV190" i="6"/>
  <c r="BU190" i="6"/>
  <c r="BT190" i="6"/>
  <c r="BS190" i="6"/>
  <c r="BR190" i="6"/>
  <c r="BQ190" i="6"/>
  <c r="BP190" i="6"/>
  <c r="BO190" i="6"/>
  <c r="BN190" i="6"/>
  <c r="BM190" i="6"/>
  <c r="BL190" i="6"/>
  <c r="BK190" i="6"/>
  <c r="BJ190" i="6"/>
  <c r="BI190" i="6"/>
  <c r="BH190" i="6"/>
  <c r="BG190" i="6"/>
  <c r="BF190" i="6"/>
  <c r="BE190" i="6"/>
  <c r="BD190" i="6"/>
  <c r="BC190" i="6"/>
  <c r="BB190" i="6"/>
  <c r="BA190" i="6"/>
  <c r="AZ190" i="6"/>
  <c r="AY190" i="6"/>
  <c r="AX190" i="6"/>
  <c r="AW190" i="6"/>
  <c r="AV190" i="6"/>
  <c r="AU190" i="6"/>
  <c r="AT190" i="6"/>
  <c r="AS190" i="6"/>
  <c r="AR190" i="6"/>
  <c r="AQ190" i="6"/>
  <c r="AP190" i="6"/>
  <c r="AO190" i="6"/>
  <c r="AN190" i="6"/>
  <c r="AM190" i="6"/>
  <c r="AL190" i="6"/>
  <c r="AK190" i="6"/>
  <c r="AJ190" i="6"/>
  <c r="AI190" i="6"/>
  <c r="AH190" i="6"/>
  <c r="AG190" i="6"/>
  <c r="AF190" i="6"/>
  <c r="AE190" i="6"/>
  <c r="AD190" i="6"/>
  <c r="AC190" i="6"/>
  <c r="AB190" i="6"/>
  <c r="AA190" i="6"/>
  <c r="Z190" i="6"/>
  <c r="Y190" i="6"/>
  <c r="X190" i="6"/>
  <c r="W190" i="6"/>
  <c r="V190" i="6"/>
  <c r="U190" i="6"/>
  <c r="T190" i="6"/>
  <c r="S190" i="6"/>
  <c r="R190" i="6"/>
  <c r="Q190" i="6"/>
  <c r="P190" i="6"/>
  <c r="O190" i="6"/>
  <c r="N190" i="6"/>
  <c r="M190" i="6"/>
  <c r="L190" i="6"/>
  <c r="K190" i="6"/>
  <c r="J190" i="6"/>
  <c r="I190" i="6"/>
  <c r="H190" i="6"/>
  <c r="G190" i="6"/>
  <c r="DI189" i="6"/>
  <c r="DH189" i="6"/>
  <c r="DG189" i="6"/>
  <c r="DF189" i="6"/>
  <c r="DE189" i="6"/>
  <c r="DD189" i="6"/>
  <c r="DC189" i="6"/>
  <c r="DB189" i="6"/>
  <c r="DA189" i="6"/>
  <c r="CZ189" i="6"/>
  <c r="CY189" i="6"/>
  <c r="CX189" i="6"/>
  <c r="CW189" i="6"/>
  <c r="CV189" i="6"/>
  <c r="CU189" i="6"/>
  <c r="CT189" i="6"/>
  <c r="CS189" i="6"/>
  <c r="CR189" i="6"/>
  <c r="CQ189" i="6"/>
  <c r="CP189" i="6"/>
  <c r="CO189" i="6"/>
  <c r="CN189" i="6"/>
  <c r="CM189" i="6"/>
  <c r="CL189" i="6"/>
  <c r="CK189" i="6"/>
  <c r="CJ189" i="6"/>
  <c r="CI189" i="6"/>
  <c r="CH189" i="6"/>
  <c r="CG189" i="6"/>
  <c r="CF189" i="6"/>
  <c r="CE189" i="6"/>
  <c r="CD189" i="6"/>
  <c r="CC189" i="6"/>
  <c r="CB189" i="6"/>
  <c r="CA189" i="6"/>
  <c r="BZ189" i="6"/>
  <c r="BY189" i="6"/>
  <c r="BX189" i="6"/>
  <c r="BW189" i="6"/>
  <c r="BV189" i="6"/>
  <c r="BU189" i="6"/>
  <c r="BT189" i="6"/>
  <c r="BS189" i="6"/>
  <c r="BR189" i="6"/>
  <c r="BQ189" i="6"/>
  <c r="BP189" i="6"/>
  <c r="BO189" i="6"/>
  <c r="BN189" i="6"/>
  <c r="BM189" i="6"/>
  <c r="BL189" i="6"/>
  <c r="BK189" i="6"/>
  <c r="BJ189" i="6"/>
  <c r="BI189" i="6"/>
  <c r="BH189" i="6"/>
  <c r="BG189" i="6"/>
  <c r="BF189" i="6"/>
  <c r="BE189" i="6"/>
  <c r="BD189" i="6"/>
  <c r="BC189" i="6"/>
  <c r="BB189" i="6"/>
  <c r="BA189" i="6"/>
  <c r="AZ189" i="6"/>
  <c r="AY189" i="6"/>
  <c r="AX189" i="6"/>
  <c r="AW189" i="6"/>
  <c r="AV189" i="6"/>
  <c r="AU189" i="6"/>
  <c r="AT189" i="6"/>
  <c r="AS189" i="6"/>
  <c r="AR189" i="6"/>
  <c r="AQ189" i="6"/>
  <c r="AP189" i="6"/>
  <c r="AO189" i="6"/>
  <c r="AN189" i="6"/>
  <c r="AM189" i="6"/>
  <c r="AL189" i="6"/>
  <c r="AK189" i="6"/>
  <c r="AJ189" i="6"/>
  <c r="AI189" i="6"/>
  <c r="AH189" i="6"/>
  <c r="AG189" i="6"/>
  <c r="AF189" i="6"/>
  <c r="AE189" i="6"/>
  <c r="AD189" i="6"/>
  <c r="AC189" i="6"/>
  <c r="AB189" i="6"/>
  <c r="AA189" i="6"/>
  <c r="Z189" i="6"/>
  <c r="Y189" i="6"/>
  <c r="X189" i="6"/>
  <c r="W189" i="6"/>
  <c r="V189" i="6"/>
  <c r="U189" i="6"/>
  <c r="T189" i="6"/>
  <c r="S189" i="6"/>
  <c r="R189" i="6"/>
  <c r="Q189" i="6"/>
  <c r="P189" i="6"/>
  <c r="O189" i="6"/>
  <c r="N189" i="6"/>
  <c r="M189" i="6"/>
  <c r="L189" i="6"/>
  <c r="K189" i="6"/>
  <c r="J189" i="6"/>
  <c r="I189" i="6"/>
  <c r="H189" i="6"/>
  <c r="G189" i="6"/>
  <c r="DI188" i="6"/>
  <c r="DH188" i="6"/>
  <c r="DG188" i="6"/>
  <c r="DF188" i="6"/>
  <c r="DE188" i="6"/>
  <c r="DD188" i="6"/>
  <c r="DC188" i="6"/>
  <c r="DB188" i="6"/>
  <c r="DA188" i="6"/>
  <c r="CZ188" i="6"/>
  <c r="CY188" i="6"/>
  <c r="CX188" i="6"/>
  <c r="CW188" i="6"/>
  <c r="CV188" i="6"/>
  <c r="CU188" i="6"/>
  <c r="CT188" i="6"/>
  <c r="CS188" i="6"/>
  <c r="CR188" i="6"/>
  <c r="CQ188" i="6"/>
  <c r="CP188" i="6"/>
  <c r="CO188" i="6"/>
  <c r="CN188" i="6"/>
  <c r="CM188" i="6"/>
  <c r="CL188" i="6"/>
  <c r="CK188" i="6"/>
  <c r="CJ188" i="6"/>
  <c r="CI188" i="6"/>
  <c r="CH188" i="6"/>
  <c r="CG188" i="6"/>
  <c r="CF188" i="6"/>
  <c r="CE188" i="6"/>
  <c r="CD188" i="6"/>
  <c r="CC188" i="6"/>
  <c r="CB188" i="6"/>
  <c r="CA188" i="6"/>
  <c r="BZ188" i="6"/>
  <c r="BY188" i="6"/>
  <c r="BX188" i="6"/>
  <c r="BW188" i="6"/>
  <c r="BV188" i="6"/>
  <c r="BU188" i="6"/>
  <c r="BT188" i="6"/>
  <c r="BS188" i="6"/>
  <c r="BR188" i="6"/>
  <c r="BQ188" i="6"/>
  <c r="BP188" i="6"/>
  <c r="BO188" i="6"/>
  <c r="BN188" i="6"/>
  <c r="BM188" i="6"/>
  <c r="BL188" i="6"/>
  <c r="BK188" i="6"/>
  <c r="BJ188" i="6"/>
  <c r="BI188" i="6"/>
  <c r="BH188" i="6"/>
  <c r="BG188" i="6"/>
  <c r="BF188" i="6"/>
  <c r="BE188" i="6"/>
  <c r="BD188" i="6"/>
  <c r="BC188" i="6"/>
  <c r="BB188" i="6"/>
  <c r="BA188" i="6"/>
  <c r="AZ188" i="6"/>
  <c r="AY188" i="6"/>
  <c r="AX188" i="6"/>
  <c r="AW188" i="6"/>
  <c r="AV188" i="6"/>
  <c r="AU188" i="6"/>
  <c r="AT188" i="6"/>
  <c r="AS188" i="6"/>
  <c r="AR188" i="6"/>
  <c r="AQ188" i="6"/>
  <c r="AP188" i="6"/>
  <c r="AO188" i="6"/>
  <c r="AN188" i="6"/>
  <c r="AM188" i="6"/>
  <c r="AL188" i="6"/>
  <c r="AK188" i="6"/>
  <c r="AJ188" i="6"/>
  <c r="AI188" i="6"/>
  <c r="AH188" i="6"/>
  <c r="AG188" i="6"/>
  <c r="AF188" i="6"/>
  <c r="AE188" i="6"/>
  <c r="AD188" i="6"/>
  <c r="AC188" i="6"/>
  <c r="AB188" i="6"/>
  <c r="AA188" i="6"/>
  <c r="Z188" i="6"/>
  <c r="Y188" i="6"/>
  <c r="X188" i="6"/>
  <c r="W188" i="6"/>
  <c r="V188" i="6"/>
  <c r="U188" i="6"/>
  <c r="T188" i="6"/>
  <c r="S188" i="6"/>
  <c r="R188" i="6"/>
  <c r="Q188" i="6"/>
  <c r="P188" i="6"/>
  <c r="O188" i="6"/>
  <c r="N188" i="6"/>
  <c r="M188" i="6"/>
  <c r="L188" i="6"/>
  <c r="K188" i="6"/>
  <c r="J188" i="6"/>
  <c r="I188" i="6"/>
  <c r="H188" i="6"/>
  <c r="G188" i="6"/>
  <c r="DI187" i="6"/>
  <c r="DH187" i="6"/>
  <c r="DG187" i="6"/>
  <c r="DF187" i="6"/>
  <c r="DE187" i="6"/>
  <c r="DD187" i="6"/>
  <c r="DC187" i="6"/>
  <c r="DB187" i="6"/>
  <c r="DA187" i="6"/>
  <c r="CZ187" i="6"/>
  <c r="CY187" i="6"/>
  <c r="CX187" i="6"/>
  <c r="CW187" i="6"/>
  <c r="CV187" i="6"/>
  <c r="CU187" i="6"/>
  <c r="CT187" i="6"/>
  <c r="CS187" i="6"/>
  <c r="CR187" i="6"/>
  <c r="CQ187" i="6"/>
  <c r="CP187" i="6"/>
  <c r="CO187" i="6"/>
  <c r="CN187" i="6"/>
  <c r="CM187" i="6"/>
  <c r="CL187" i="6"/>
  <c r="CK187" i="6"/>
  <c r="CJ187" i="6"/>
  <c r="CI187" i="6"/>
  <c r="CH187" i="6"/>
  <c r="CG187" i="6"/>
  <c r="CF187" i="6"/>
  <c r="CE187" i="6"/>
  <c r="CD187" i="6"/>
  <c r="CC187" i="6"/>
  <c r="CB187" i="6"/>
  <c r="CA187" i="6"/>
  <c r="BZ187" i="6"/>
  <c r="BY187" i="6"/>
  <c r="BX187" i="6"/>
  <c r="BW187" i="6"/>
  <c r="BV187" i="6"/>
  <c r="BU187" i="6"/>
  <c r="BT187" i="6"/>
  <c r="BS187" i="6"/>
  <c r="BR187" i="6"/>
  <c r="BQ187" i="6"/>
  <c r="BP187" i="6"/>
  <c r="BO187" i="6"/>
  <c r="BN187" i="6"/>
  <c r="BM187" i="6"/>
  <c r="BL187" i="6"/>
  <c r="BK187" i="6"/>
  <c r="BJ187" i="6"/>
  <c r="BI187" i="6"/>
  <c r="BH187" i="6"/>
  <c r="BG187" i="6"/>
  <c r="BF187" i="6"/>
  <c r="BE187" i="6"/>
  <c r="BD187" i="6"/>
  <c r="BC187" i="6"/>
  <c r="BB187" i="6"/>
  <c r="BA187" i="6"/>
  <c r="AZ187" i="6"/>
  <c r="AY187" i="6"/>
  <c r="AX187" i="6"/>
  <c r="AW187" i="6"/>
  <c r="AV187" i="6"/>
  <c r="AU187" i="6"/>
  <c r="AT187" i="6"/>
  <c r="AS187" i="6"/>
  <c r="AR187" i="6"/>
  <c r="AQ187" i="6"/>
  <c r="AP187" i="6"/>
  <c r="AO187" i="6"/>
  <c r="AN187" i="6"/>
  <c r="AM187" i="6"/>
  <c r="AL187" i="6"/>
  <c r="AK187" i="6"/>
  <c r="AJ187" i="6"/>
  <c r="AI187" i="6"/>
  <c r="AH187" i="6"/>
  <c r="AG187" i="6"/>
  <c r="AF187" i="6"/>
  <c r="AE187" i="6"/>
  <c r="AD187" i="6"/>
  <c r="AC187" i="6"/>
  <c r="AB187" i="6"/>
  <c r="AA187" i="6"/>
  <c r="Z187" i="6"/>
  <c r="Y187" i="6"/>
  <c r="X187" i="6"/>
  <c r="W187" i="6"/>
  <c r="V187" i="6"/>
  <c r="U187" i="6"/>
  <c r="T187" i="6"/>
  <c r="S187" i="6"/>
  <c r="R187" i="6"/>
  <c r="Q187" i="6"/>
  <c r="P187" i="6"/>
  <c r="O187" i="6"/>
  <c r="N187" i="6"/>
  <c r="M187" i="6"/>
  <c r="L187" i="6"/>
  <c r="K187" i="6"/>
  <c r="J187" i="6"/>
  <c r="I187" i="6"/>
  <c r="H187" i="6"/>
  <c r="G187" i="6"/>
  <c r="DI186" i="6"/>
  <c r="DH186" i="6"/>
  <c r="DG186" i="6"/>
  <c r="DF186" i="6"/>
  <c r="DE186" i="6"/>
  <c r="DD186" i="6"/>
  <c r="DC186" i="6"/>
  <c r="DB186" i="6"/>
  <c r="DA186" i="6"/>
  <c r="CZ186" i="6"/>
  <c r="CY186" i="6"/>
  <c r="CX186" i="6"/>
  <c r="CW186" i="6"/>
  <c r="CV186" i="6"/>
  <c r="CU186" i="6"/>
  <c r="CT186" i="6"/>
  <c r="CS186" i="6"/>
  <c r="CR186" i="6"/>
  <c r="CQ186" i="6"/>
  <c r="CP186" i="6"/>
  <c r="CO186" i="6"/>
  <c r="CN186" i="6"/>
  <c r="CM186" i="6"/>
  <c r="CL186" i="6"/>
  <c r="CK186" i="6"/>
  <c r="CJ186" i="6"/>
  <c r="CI186" i="6"/>
  <c r="CH186" i="6"/>
  <c r="CG186" i="6"/>
  <c r="CF186" i="6"/>
  <c r="CE186" i="6"/>
  <c r="CD186" i="6"/>
  <c r="CC186" i="6"/>
  <c r="CB186" i="6"/>
  <c r="CA186" i="6"/>
  <c r="BZ186" i="6"/>
  <c r="BY186" i="6"/>
  <c r="BX186" i="6"/>
  <c r="BW186" i="6"/>
  <c r="BV186" i="6"/>
  <c r="BU186" i="6"/>
  <c r="BT186" i="6"/>
  <c r="BS186" i="6"/>
  <c r="BR186" i="6"/>
  <c r="BQ186" i="6"/>
  <c r="BP186" i="6"/>
  <c r="BO186" i="6"/>
  <c r="BN186" i="6"/>
  <c r="BM186" i="6"/>
  <c r="BL186" i="6"/>
  <c r="BK186" i="6"/>
  <c r="BJ186" i="6"/>
  <c r="BI186" i="6"/>
  <c r="BH186" i="6"/>
  <c r="BG186" i="6"/>
  <c r="BF186" i="6"/>
  <c r="BE186" i="6"/>
  <c r="BD186" i="6"/>
  <c r="BC186" i="6"/>
  <c r="BB186" i="6"/>
  <c r="BA186" i="6"/>
  <c r="AZ186" i="6"/>
  <c r="AY186" i="6"/>
  <c r="AX186" i="6"/>
  <c r="AW186" i="6"/>
  <c r="AV186" i="6"/>
  <c r="AU186" i="6"/>
  <c r="AT186" i="6"/>
  <c r="AS186" i="6"/>
  <c r="AR186" i="6"/>
  <c r="AQ186" i="6"/>
  <c r="AP186" i="6"/>
  <c r="AO186" i="6"/>
  <c r="AN186" i="6"/>
  <c r="AM186" i="6"/>
  <c r="AL186" i="6"/>
  <c r="AK186" i="6"/>
  <c r="AJ186" i="6"/>
  <c r="AI186" i="6"/>
  <c r="AH186" i="6"/>
  <c r="AG186" i="6"/>
  <c r="AF186" i="6"/>
  <c r="AE186" i="6"/>
  <c r="AD186" i="6"/>
  <c r="AC186" i="6"/>
  <c r="AB186" i="6"/>
  <c r="AA186" i="6"/>
  <c r="Z186" i="6"/>
  <c r="Y186" i="6"/>
  <c r="X186" i="6"/>
  <c r="W186" i="6"/>
  <c r="V186" i="6"/>
  <c r="U186" i="6"/>
  <c r="T186" i="6"/>
  <c r="S186" i="6"/>
  <c r="R186" i="6"/>
  <c r="Q186" i="6"/>
  <c r="P186" i="6"/>
  <c r="O186" i="6"/>
  <c r="N186" i="6"/>
  <c r="M186" i="6"/>
  <c r="L186" i="6"/>
  <c r="K186" i="6"/>
  <c r="J186" i="6"/>
  <c r="I186" i="6"/>
  <c r="H186" i="6"/>
  <c r="G186" i="6"/>
  <c r="DI185" i="6"/>
  <c r="DH185" i="6"/>
  <c r="DG185" i="6"/>
  <c r="DF185" i="6"/>
  <c r="DE185" i="6"/>
  <c r="DD185" i="6"/>
  <c r="DC185" i="6"/>
  <c r="DB185" i="6"/>
  <c r="DA185" i="6"/>
  <c r="CZ185" i="6"/>
  <c r="CY185" i="6"/>
  <c r="CX185" i="6"/>
  <c r="CW185" i="6"/>
  <c r="CV185" i="6"/>
  <c r="CU185" i="6"/>
  <c r="CT185" i="6"/>
  <c r="CS185" i="6"/>
  <c r="CR185" i="6"/>
  <c r="CQ185" i="6"/>
  <c r="CP185" i="6"/>
  <c r="CO185" i="6"/>
  <c r="CN185" i="6"/>
  <c r="CM185" i="6"/>
  <c r="CL185" i="6"/>
  <c r="CK185" i="6"/>
  <c r="CJ185" i="6"/>
  <c r="CI185" i="6"/>
  <c r="CH185" i="6"/>
  <c r="CG185" i="6"/>
  <c r="CF185" i="6"/>
  <c r="CE185" i="6"/>
  <c r="CD185" i="6"/>
  <c r="CC185" i="6"/>
  <c r="CB185" i="6"/>
  <c r="CA185" i="6"/>
  <c r="BZ185" i="6"/>
  <c r="BY185" i="6"/>
  <c r="BX185" i="6"/>
  <c r="BW185" i="6"/>
  <c r="BV185" i="6"/>
  <c r="BU185" i="6"/>
  <c r="BT185" i="6"/>
  <c r="BS185" i="6"/>
  <c r="BR185" i="6"/>
  <c r="BQ185" i="6"/>
  <c r="BP185" i="6"/>
  <c r="BO185" i="6"/>
  <c r="BN185" i="6"/>
  <c r="BM185" i="6"/>
  <c r="BL185" i="6"/>
  <c r="BK185" i="6"/>
  <c r="BJ185" i="6"/>
  <c r="BI185" i="6"/>
  <c r="BH185" i="6"/>
  <c r="BG185" i="6"/>
  <c r="BF185" i="6"/>
  <c r="BE185" i="6"/>
  <c r="BD185" i="6"/>
  <c r="BC185" i="6"/>
  <c r="BB185" i="6"/>
  <c r="BA185" i="6"/>
  <c r="AZ185" i="6"/>
  <c r="AY185" i="6"/>
  <c r="AX185" i="6"/>
  <c r="AW185" i="6"/>
  <c r="AV185" i="6"/>
  <c r="AU185" i="6"/>
  <c r="AT185" i="6"/>
  <c r="AS185" i="6"/>
  <c r="AR185" i="6"/>
  <c r="AQ185" i="6"/>
  <c r="AP185" i="6"/>
  <c r="AO185" i="6"/>
  <c r="AN185" i="6"/>
  <c r="AM185" i="6"/>
  <c r="AL185" i="6"/>
  <c r="AK185" i="6"/>
  <c r="AJ185" i="6"/>
  <c r="AI185" i="6"/>
  <c r="AH185" i="6"/>
  <c r="AG185" i="6"/>
  <c r="AF185" i="6"/>
  <c r="AE185" i="6"/>
  <c r="AD185" i="6"/>
  <c r="AC185" i="6"/>
  <c r="AB185" i="6"/>
  <c r="AA185" i="6"/>
  <c r="Z185" i="6"/>
  <c r="Y185" i="6"/>
  <c r="X185" i="6"/>
  <c r="W185" i="6"/>
  <c r="V185" i="6"/>
  <c r="U185" i="6"/>
  <c r="T185" i="6"/>
  <c r="S185" i="6"/>
  <c r="R185" i="6"/>
  <c r="Q185" i="6"/>
  <c r="P185" i="6"/>
  <c r="O185" i="6"/>
  <c r="N185" i="6"/>
  <c r="M185" i="6"/>
  <c r="L185" i="6"/>
  <c r="K185" i="6"/>
  <c r="J185" i="6"/>
  <c r="I185" i="6"/>
  <c r="H185" i="6"/>
  <c r="G185" i="6"/>
  <c r="DI184" i="6"/>
  <c r="DH184" i="6"/>
  <c r="DG184" i="6"/>
  <c r="DF184" i="6"/>
  <c r="DE184" i="6"/>
  <c r="DD184" i="6"/>
  <c r="DC184" i="6"/>
  <c r="DB184" i="6"/>
  <c r="DA184" i="6"/>
  <c r="CZ184" i="6"/>
  <c r="CY184" i="6"/>
  <c r="CX184" i="6"/>
  <c r="CW184" i="6"/>
  <c r="CV184" i="6"/>
  <c r="CU184" i="6"/>
  <c r="CT184" i="6"/>
  <c r="CS184" i="6"/>
  <c r="CR184" i="6"/>
  <c r="CQ184" i="6"/>
  <c r="CP184" i="6"/>
  <c r="CO184" i="6"/>
  <c r="CN184" i="6"/>
  <c r="CM184" i="6"/>
  <c r="CL184" i="6"/>
  <c r="CK184" i="6"/>
  <c r="CJ184" i="6"/>
  <c r="CI184" i="6"/>
  <c r="CH184" i="6"/>
  <c r="CG184" i="6"/>
  <c r="CF184" i="6"/>
  <c r="CE184" i="6"/>
  <c r="CD184" i="6"/>
  <c r="CC184" i="6"/>
  <c r="CB184" i="6"/>
  <c r="CA184" i="6"/>
  <c r="BZ184" i="6"/>
  <c r="BY184" i="6"/>
  <c r="BX184" i="6"/>
  <c r="BW184" i="6"/>
  <c r="BV184" i="6"/>
  <c r="BU184" i="6"/>
  <c r="BT184" i="6"/>
  <c r="BS184" i="6"/>
  <c r="BR184" i="6"/>
  <c r="BQ184" i="6"/>
  <c r="BP184" i="6"/>
  <c r="BO184" i="6"/>
  <c r="BN184" i="6"/>
  <c r="BM184" i="6"/>
  <c r="BL184" i="6"/>
  <c r="BK184" i="6"/>
  <c r="BJ184" i="6"/>
  <c r="BI184" i="6"/>
  <c r="BH184" i="6"/>
  <c r="BG184" i="6"/>
  <c r="BF184" i="6"/>
  <c r="BE184" i="6"/>
  <c r="BD184" i="6"/>
  <c r="BC184" i="6"/>
  <c r="BB184" i="6"/>
  <c r="BA184" i="6"/>
  <c r="AZ184" i="6"/>
  <c r="AY184" i="6"/>
  <c r="AX184" i="6"/>
  <c r="AW184" i="6"/>
  <c r="AV184" i="6"/>
  <c r="AU184" i="6"/>
  <c r="AT184" i="6"/>
  <c r="AS184" i="6"/>
  <c r="AR184" i="6"/>
  <c r="AQ184" i="6"/>
  <c r="AP184" i="6"/>
  <c r="AO184" i="6"/>
  <c r="AN184" i="6"/>
  <c r="AM184" i="6"/>
  <c r="AL184" i="6"/>
  <c r="AK184" i="6"/>
  <c r="AJ184" i="6"/>
  <c r="AI184" i="6"/>
  <c r="AH184" i="6"/>
  <c r="AG184" i="6"/>
  <c r="AF184" i="6"/>
  <c r="AE184" i="6"/>
  <c r="AD184" i="6"/>
  <c r="AC184" i="6"/>
  <c r="AB184" i="6"/>
  <c r="AA184" i="6"/>
  <c r="Z184" i="6"/>
  <c r="Y184" i="6"/>
  <c r="X184" i="6"/>
  <c r="W184" i="6"/>
  <c r="V184" i="6"/>
  <c r="U184" i="6"/>
  <c r="T184" i="6"/>
  <c r="S184" i="6"/>
  <c r="R184" i="6"/>
  <c r="Q184" i="6"/>
  <c r="P184" i="6"/>
  <c r="O184" i="6"/>
  <c r="N184" i="6"/>
  <c r="M184" i="6"/>
  <c r="L184" i="6"/>
  <c r="K184" i="6"/>
  <c r="J184" i="6"/>
  <c r="I184" i="6"/>
  <c r="H184" i="6"/>
  <c r="G184" i="6"/>
  <c r="DI183" i="6"/>
  <c r="DH183" i="6"/>
  <c r="DG183" i="6"/>
  <c r="DF183" i="6"/>
  <c r="DE183" i="6"/>
  <c r="DD183" i="6"/>
  <c r="DC183" i="6"/>
  <c r="DB183" i="6"/>
  <c r="DA183" i="6"/>
  <c r="CZ183" i="6"/>
  <c r="CY183" i="6"/>
  <c r="CX183" i="6"/>
  <c r="CW183" i="6"/>
  <c r="CV183" i="6"/>
  <c r="CU183" i="6"/>
  <c r="CT183" i="6"/>
  <c r="CS183" i="6"/>
  <c r="CR183" i="6"/>
  <c r="CQ183" i="6"/>
  <c r="CP183" i="6"/>
  <c r="CO183" i="6"/>
  <c r="CN183" i="6"/>
  <c r="CM183" i="6"/>
  <c r="CL183" i="6"/>
  <c r="CK183" i="6"/>
  <c r="CJ183" i="6"/>
  <c r="CI183" i="6"/>
  <c r="CH183" i="6"/>
  <c r="CG183" i="6"/>
  <c r="CF183" i="6"/>
  <c r="CE183" i="6"/>
  <c r="CD183" i="6"/>
  <c r="CC183" i="6"/>
  <c r="CB183" i="6"/>
  <c r="CA183" i="6"/>
  <c r="BZ183" i="6"/>
  <c r="BY183" i="6"/>
  <c r="BX183" i="6"/>
  <c r="BW183" i="6"/>
  <c r="BV183" i="6"/>
  <c r="BU183" i="6"/>
  <c r="BT183" i="6"/>
  <c r="BS183" i="6"/>
  <c r="BR183" i="6"/>
  <c r="BQ183" i="6"/>
  <c r="BP183" i="6"/>
  <c r="BO183" i="6"/>
  <c r="BN183" i="6"/>
  <c r="BM183" i="6"/>
  <c r="BL183" i="6"/>
  <c r="BK183" i="6"/>
  <c r="BJ183" i="6"/>
  <c r="BI183" i="6"/>
  <c r="BH183" i="6"/>
  <c r="BG183" i="6"/>
  <c r="BF183" i="6"/>
  <c r="BE183" i="6"/>
  <c r="BD183" i="6"/>
  <c r="BC183" i="6"/>
  <c r="BB183" i="6"/>
  <c r="BA183" i="6"/>
  <c r="AZ183" i="6"/>
  <c r="AY183" i="6"/>
  <c r="AX183" i="6"/>
  <c r="AW183" i="6"/>
  <c r="AV183" i="6"/>
  <c r="AU183" i="6"/>
  <c r="AT183" i="6"/>
  <c r="AS183" i="6"/>
  <c r="AR183" i="6"/>
  <c r="AQ183" i="6"/>
  <c r="AP183" i="6"/>
  <c r="AO183" i="6"/>
  <c r="AN183" i="6"/>
  <c r="AM183" i="6"/>
  <c r="AL183" i="6"/>
  <c r="AK183" i="6"/>
  <c r="AJ183" i="6"/>
  <c r="AI183" i="6"/>
  <c r="AH183" i="6"/>
  <c r="AG183" i="6"/>
  <c r="AF183" i="6"/>
  <c r="AE183" i="6"/>
  <c r="AD183" i="6"/>
  <c r="AC183" i="6"/>
  <c r="AB183" i="6"/>
  <c r="AA183" i="6"/>
  <c r="Z183" i="6"/>
  <c r="Y183" i="6"/>
  <c r="X183" i="6"/>
  <c r="W183" i="6"/>
  <c r="V183" i="6"/>
  <c r="U183" i="6"/>
  <c r="T183" i="6"/>
  <c r="S183" i="6"/>
  <c r="R183" i="6"/>
  <c r="Q183" i="6"/>
  <c r="P183" i="6"/>
  <c r="O183" i="6"/>
  <c r="N183" i="6"/>
  <c r="M183" i="6"/>
  <c r="L183" i="6"/>
  <c r="K183" i="6"/>
  <c r="J183" i="6"/>
  <c r="I183" i="6"/>
  <c r="H183" i="6"/>
  <c r="G183" i="6"/>
  <c r="DI182" i="6"/>
  <c r="DH182" i="6"/>
  <c r="DG182" i="6"/>
  <c r="DF182" i="6"/>
  <c r="DE182" i="6"/>
  <c r="DD182" i="6"/>
  <c r="DC182" i="6"/>
  <c r="DB182" i="6"/>
  <c r="DA182" i="6"/>
  <c r="CZ182" i="6"/>
  <c r="CY182" i="6"/>
  <c r="CX182" i="6"/>
  <c r="CW182" i="6"/>
  <c r="CV182" i="6"/>
  <c r="CU182" i="6"/>
  <c r="CT182" i="6"/>
  <c r="CS182" i="6"/>
  <c r="CR182" i="6"/>
  <c r="CQ182" i="6"/>
  <c r="CP182" i="6"/>
  <c r="CO182" i="6"/>
  <c r="CN182" i="6"/>
  <c r="CM182" i="6"/>
  <c r="CL182" i="6"/>
  <c r="CK182" i="6"/>
  <c r="CJ182" i="6"/>
  <c r="CI182" i="6"/>
  <c r="CH182" i="6"/>
  <c r="CG182" i="6"/>
  <c r="CF182" i="6"/>
  <c r="CE182" i="6"/>
  <c r="CD182" i="6"/>
  <c r="CC182" i="6"/>
  <c r="CB182" i="6"/>
  <c r="CA182" i="6"/>
  <c r="BZ182" i="6"/>
  <c r="BY182" i="6"/>
  <c r="BX182" i="6"/>
  <c r="BW182" i="6"/>
  <c r="BV182" i="6"/>
  <c r="BU182" i="6"/>
  <c r="BT182" i="6"/>
  <c r="BS182" i="6"/>
  <c r="BR182" i="6"/>
  <c r="BQ182" i="6"/>
  <c r="BP182" i="6"/>
  <c r="BO182" i="6"/>
  <c r="BN182" i="6"/>
  <c r="BM182" i="6"/>
  <c r="BL182" i="6"/>
  <c r="BK182" i="6"/>
  <c r="BJ182" i="6"/>
  <c r="BI182" i="6"/>
  <c r="BH182" i="6"/>
  <c r="BG182" i="6"/>
  <c r="BF182" i="6"/>
  <c r="BE182" i="6"/>
  <c r="BD182" i="6"/>
  <c r="BC182" i="6"/>
  <c r="BB182" i="6"/>
  <c r="BA182" i="6"/>
  <c r="AZ182" i="6"/>
  <c r="AY182" i="6"/>
  <c r="AX182" i="6"/>
  <c r="AW182" i="6"/>
  <c r="AV182" i="6"/>
  <c r="AU182" i="6"/>
  <c r="AT182" i="6"/>
  <c r="AS182" i="6"/>
  <c r="AR182" i="6"/>
  <c r="AQ182" i="6"/>
  <c r="AP182" i="6"/>
  <c r="AO182" i="6"/>
  <c r="AN182" i="6"/>
  <c r="AM182" i="6"/>
  <c r="AL182" i="6"/>
  <c r="AK182" i="6"/>
  <c r="AJ182" i="6"/>
  <c r="AI182" i="6"/>
  <c r="AH182" i="6"/>
  <c r="AG182" i="6"/>
  <c r="AF182" i="6"/>
  <c r="AE182" i="6"/>
  <c r="AD182" i="6"/>
  <c r="AC182" i="6"/>
  <c r="AB182" i="6"/>
  <c r="AA182" i="6"/>
  <c r="Z182" i="6"/>
  <c r="Y182" i="6"/>
  <c r="X182" i="6"/>
  <c r="W182" i="6"/>
  <c r="V182" i="6"/>
  <c r="U182" i="6"/>
  <c r="T182" i="6"/>
  <c r="S182" i="6"/>
  <c r="R182" i="6"/>
  <c r="Q182" i="6"/>
  <c r="P182" i="6"/>
  <c r="O182" i="6"/>
  <c r="N182" i="6"/>
  <c r="M182" i="6"/>
  <c r="L182" i="6"/>
  <c r="K182" i="6"/>
  <c r="J182" i="6"/>
  <c r="I182" i="6"/>
  <c r="H182" i="6"/>
  <c r="G182" i="6"/>
  <c r="DI181" i="6"/>
  <c r="DH181" i="6"/>
  <c r="DG181" i="6"/>
  <c r="DF181" i="6"/>
  <c r="DE181" i="6"/>
  <c r="DD181" i="6"/>
  <c r="DC181" i="6"/>
  <c r="DB181" i="6"/>
  <c r="DA181" i="6"/>
  <c r="CZ181" i="6"/>
  <c r="CY181" i="6"/>
  <c r="CX181" i="6"/>
  <c r="CW181" i="6"/>
  <c r="CV181" i="6"/>
  <c r="CU181" i="6"/>
  <c r="CT181" i="6"/>
  <c r="CS181" i="6"/>
  <c r="CR181" i="6"/>
  <c r="CQ181" i="6"/>
  <c r="CP181" i="6"/>
  <c r="CO181" i="6"/>
  <c r="CN181" i="6"/>
  <c r="CM181" i="6"/>
  <c r="CL181" i="6"/>
  <c r="CK181" i="6"/>
  <c r="CJ181" i="6"/>
  <c r="CI181" i="6"/>
  <c r="CH181" i="6"/>
  <c r="CG181" i="6"/>
  <c r="CF181" i="6"/>
  <c r="CE181" i="6"/>
  <c r="CD181" i="6"/>
  <c r="CC181" i="6"/>
  <c r="CB181" i="6"/>
  <c r="CA181" i="6"/>
  <c r="BZ181" i="6"/>
  <c r="BY181" i="6"/>
  <c r="BX181" i="6"/>
  <c r="BW181" i="6"/>
  <c r="BV181" i="6"/>
  <c r="BU181" i="6"/>
  <c r="BT181" i="6"/>
  <c r="BS181" i="6"/>
  <c r="BR181" i="6"/>
  <c r="BQ181" i="6"/>
  <c r="BP181" i="6"/>
  <c r="BO181" i="6"/>
  <c r="BN181" i="6"/>
  <c r="BM181" i="6"/>
  <c r="BL181" i="6"/>
  <c r="BK181" i="6"/>
  <c r="BJ181" i="6"/>
  <c r="BI181" i="6"/>
  <c r="BH181" i="6"/>
  <c r="BG181" i="6"/>
  <c r="BF181" i="6"/>
  <c r="BE181" i="6"/>
  <c r="BD181" i="6"/>
  <c r="BC181" i="6"/>
  <c r="BB181" i="6"/>
  <c r="BA181" i="6"/>
  <c r="AZ181" i="6"/>
  <c r="AY181" i="6"/>
  <c r="AX181" i="6"/>
  <c r="AW181" i="6"/>
  <c r="AV181" i="6"/>
  <c r="AU181" i="6"/>
  <c r="AT181" i="6"/>
  <c r="AS181" i="6"/>
  <c r="AR181" i="6"/>
  <c r="AQ181" i="6"/>
  <c r="AP181" i="6"/>
  <c r="AO181" i="6"/>
  <c r="AN181" i="6"/>
  <c r="AM181" i="6"/>
  <c r="AL181" i="6"/>
  <c r="AK181" i="6"/>
  <c r="AJ181" i="6"/>
  <c r="AI181" i="6"/>
  <c r="AH181" i="6"/>
  <c r="AG181" i="6"/>
  <c r="AF181" i="6"/>
  <c r="AE181" i="6"/>
  <c r="AD181" i="6"/>
  <c r="AC181" i="6"/>
  <c r="AB181" i="6"/>
  <c r="AA181" i="6"/>
  <c r="Z181" i="6"/>
  <c r="Y181" i="6"/>
  <c r="X181" i="6"/>
  <c r="W181" i="6"/>
  <c r="V181" i="6"/>
  <c r="U181" i="6"/>
  <c r="T181" i="6"/>
  <c r="S181" i="6"/>
  <c r="R181" i="6"/>
  <c r="Q181" i="6"/>
  <c r="P181" i="6"/>
  <c r="O181" i="6"/>
  <c r="N181" i="6"/>
  <c r="M181" i="6"/>
  <c r="L181" i="6"/>
  <c r="K181" i="6"/>
  <c r="J181" i="6"/>
  <c r="I181" i="6"/>
  <c r="H181" i="6"/>
  <c r="G181" i="6"/>
  <c r="DI180" i="6"/>
  <c r="DH180" i="6"/>
  <c r="DG180" i="6"/>
  <c r="DF180" i="6"/>
  <c r="DE180" i="6"/>
  <c r="DD180" i="6"/>
  <c r="DC180" i="6"/>
  <c r="DB180" i="6"/>
  <c r="DA180" i="6"/>
  <c r="CZ180" i="6"/>
  <c r="CY180" i="6"/>
  <c r="CX180" i="6"/>
  <c r="CW180" i="6"/>
  <c r="CV180" i="6"/>
  <c r="CU180" i="6"/>
  <c r="CT180" i="6"/>
  <c r="CS180" i="6"/>
  <c r="CR180" i="6"/>
  <c r="CQ180" i="6"/>
  <c r="CP180" i="6"/>
  <c r="CO180" i="6"/>
  <c r="CN180" i="6"/>
  <c r="CM180" i="6"/>
  <c r="CL180" i="6"/>
  <c r="CK180" i="6"/>
  <c r="CJ180" i="6"/>
  <c r="CI180" i="6"/>
  <c r="CH180" i="6"/>
  <c r="CG180" i="6"/>
  <c r="CF180" i="6"/>
  <c r="CE180" i="6"/>
  <c r="CD180" i="6"/>
  <c r="CC180" i="6"/>
  <c r="CB180" i="6"/>
  <c r="CA180" i="6"/>
  <c r="BZ180" i="6"/>
  <c r="BY180" i="6"/>
  <c r="BX180" i="6"/>
  <c r="BW180" i="6"/>
  <c r="BV180" i="6"/>
  <c r="BU180" i="6"/>
  <c r="BT180" i="6"/>
  <c r="BS180" i="6"/>
  <c r="BR180" i="6"/>
  <c r="BQ180" i="6"/>
  <c r="BP180" i="6"/>
  <c r="BO180" i="6"/>
  <c r="BN180" i="6"/>
  <c r="BM180" i="6"/>
  <c r="BL180" i="6"/>
  <c r="BK180" i="6"/>
  <c r="BJ180" i="6"/>
  <c r="BI180" i="6"/>
  <c r="BH180" i="6"/>
  <c r="BG180" i="6"/>
  <c r="BF180" i="6"/>
  <c r="BE180" i="6"/>
  <c r="BD180" i="6"/>
  <c r="BC180" i="6"/>
  <c r="BB180" i="6"/>
  <c r="BA180" i="6"/>
  <c r="AZ180" i="6"/>
  <c r="AY180" i="6"/>
  <c r="AX180" i="6"/>
  <c r="AW180" i="6"/>
  <c r="AV180" i="6"/>
  <c r="AU180" i="6"/>
  <c r="AT180" i="6"/>
  <c r="AS180" i="6"/>
  <c r="AR180" i="6"/>
  <c r="AQ180" i="6"/>
  <c r="AP180" i="6"/>
  <c r="AO180" i="6"/>
  <c r="AN180" i="6"/>
  <c r="AM180" i="6"/>
  <c r="AL180" i="6"/>
  <c r="AK180" i="6"/>
  <c r="AJ180" i="6"/>
  <c r="AI180" i="6"/>
  <c r="AH180" i="6"/>
  <c r="AG180" i="6"/>
  <c r="AF180" i="6"/>
  <c r="AE180" i="6"/>
  <c r="AD180" i="6"/>
  <c r="AC180" i="6"/>
  <c r="AB180" i="6"/>
  <c r="AA180" i="6"/>
  <c r="Z180" i="6"/>
  <c r="Y180" i="6"/>
  <c r="X180" i="6"/>
  <c r="W180" i="6"/>
  <c r="V180" i="6"/>
  <c r="U180" i="6"/>
  <c r="T180" i="6"/>
  <c r="S180" i="6"/>
  <c r="R180" i="6"/>
  <c r="Q180" i="6"/>
  <c r="P180" i="6"/>
  <c r="O180" i="6"/>
  <c r="N180" i="6"/>
  <c r="M180" i="6"/>
  <c r="L180" i="6"/>
  <c r="K180" i="6"/>
  <c r="J180" i="6"/>
  <c r="I180" i="6"/>
  <c r="H180" i="6"/>
  <c r="G180" i="6"/>
  <c r="DI179" i="6"/>
  <c r="DH179" i="6"/>
  <c r="DG179" i="6"/>
  <c r="DF179" i="6"/>
  <c r="DE179" i="6"/>
  <c r="DD179" i="6"/>
  <c r="DC179" i="6"/>
  <c r="DB179" i="6"/>
  <c r="DA179" i="6"/>
  <c r="CZ179" i="6"/>
  <c r="CY179" i="6"/>
  <c r="CX179" i="6"/>
  <c r="CW179" i="6"/>
  <c r="CV179" i="6"/>
  <c r="CU179" i="6"/>
  <c r="CT179" i="6"/>
  <c r="CS179" i="6"/>
  <c r="CR179" i="6"/>
  <c r="CQ179" i="6"/>
  <c r="CP179" i="6"/>
  <c r="CO179" i="6"/>
  <c r="CN179" i="6"/>
  <c r="CM179" i="6"/>
  <c r="CL179" i="6"/>
  <c r="CK179" i="6"/>
  <c r="CJ179" i="6"/>
  <c r="CI179" i="6"/>
  <c r="CH179" i="6"/>
  <c r="CG179" i="6"/>
  <c r="CF179" i="6"/>
  <c r="CE179" i="6"/>
  <c r="CD179" i="6"/>
  <c r="CC179" i="6"/>
  <c r="CB179" i="6"/>
  <c r="CA179" i="6"/>
  <c r="BZ179" i="6"/>
  <c r="BY179" i="6"/>
  <c r="BX179" i="6"/>
  <c r="BW179" i="6"/>
  <c r="BV179" i="6"/>
  <c r="BU179" i="6"/>
  <c r="BT179" i="6"/>
  <c r="BS179" i="6"/>
  <c r="BR179" i="6"/>
  <c r="BQ179" i="6"/>
  <c r="BP179" i="6"/>
  <c r="BO179" i="6"/>
  <c r="BN179" i="6"/>
  <c r="BM179" i="6"/>
  <c r="BL179" i="6"/>
  <c r="BK179" i="6"/>
  <c r="BJ179" i="6"/>
  <c r="BI179" i="6"/>
  <c r="BH179" i="6"/>
  <c r="BG179" i="6"/>
  <c r="BF179" i="6"/>
  <c r="BE179" i="6"/>
  <c r="BD179" i="6"/>
  <c r="BC179" i="6"/>
  <c r="BB179" i="6"/>
  <c r="BA179" i="6"/>
  <c r="AZ179" i="6"/>
  <c r="AY179" i="6"/>
  <c r="AX179" i="6"/>
  <c r="AW179" i="6"/>
  <c r="AV179" i="6"/>
  <c r="AU179" i="6"/>
  <c r="AT179" i="6"/>
  <c r="AS179" i="6"/>
  <c r="AR179" i="6"/>
  <c r="AQ179" i="6"/>
  <c r="AP179" i="6"/>
  <c r="AO179" i="6"/>
  <c r="AN179" i="6"/>
  <c r="AM179" i="6"/>
  <c r="AL179" i="6"/>
  <c r="AK179" i="6"/>
  <c r="AJ179" i="6"/>
  <c r="AI179" i="6"/>
  <c r="AH179" i="6"/>
  <c r="AG179" i="6"/>
  <c r="AF179" i="6"/>
  <c r="AE179" i="6"/>
  <c r="AD179" i="6"/>
  <c r="AC179" i="6"/>
  <c r="AB179" i="6"/>
  <c r="AA179" i="6"/>
  <c r="Z179" i="6"/>
  <c r="Y179" i="6"/>
  <c r="X179" i="6"/>
  <c r="W179" i="6"/>
  <c r="V179" i="6"/>
  <c r="U179" i="6"/>
  <c r="T179" i="6"/>
  <c r="S179" i="6"/>
  <c r="R179" i="6"/>
  <c r="Q179" i="6"/>
  <c r="P179" i="6"/>
  <c r="O179" i="6"/>
  <c r="N179" i="6"/>
  <c r="M179" i="6"/>
  <c r="L179" i="6"/>
  <c r="K179" i="6"/>
  <c r="J179" i="6"/>
  <c r="I179" i="6"/>
  <c r="H179" i="6"/>
  <c r="G179" i="6"/>
  <c r="DI178" i="6"/>
  <c r="DH178" i="6"/>
  <c r="DG178" i="6"/>
  <c r="DF178" i="6"/>
  <c r="DE178" i="6"/>
  <c r="DD178" i="6"/>
  <c r="DC178" i="6"/>
  <c r="DB178" i="6"/>
  <c r="DA178" i="6"/>
  <c r="CZ178" i="6"/>
  <c r="CY178" i="6"/>
  <c r="CX178" i="6"/>
  <c r="CW178" i="6"/>
  <c r="CV178" i="6"/>
  <c r="CU178" i="6"/>
  <c r="CT178" i="6"/>
  <c r="CS178" i="6"/>
  <c r="CR178" i="6"/>
  <c r="CQ178" i="6"/>
  <c r="CP178" i="6"/>
  <c r="CO178" i="6"/>
  <c r="CN178" i="6"/>
  <c r="CM178" i="6"/>
  <c r="CL178" i="6"/>
  <c r="CK178" i="6"/>
  <c r="CJ178" i="6"/>
  <c r="CI178" i="6"/>
  <c r="CH178" i="6"/>
  <c r="CG178" i="6"/>
  <c r="CF178" i="6"/>
  <c r="CE178" i="6"/>
  <c r="CD178" i="6"/>
  <c r="CC178" i="6"/>
  <c r="CB178" i="6"/>
  <c r="CA178" i="6"/>
  <c r="BZ178" i="6"/>
  <c r="BY178" i="6"/>
  <c r="BX178" i="6"/>
  <c r="BW178" i="6"/>
  <c r="BV178" i="6"/>
  <c r="BU178" i="6"/>
  <c r="BT178" i="6"/>
  <c r="BS178" i="6"/>
  <c r="BR178" i="6"/>
  <c r="BQ178" i="6"/>
  <c r="BP178" i="6"/>
  <c r="BO178" i="6"/>
  <c r="BN178" i="6"/>
  <c r="BM178" i="6"/>
  <c r="BL178" i="6"/>
  <c r="BK178" i="6"/>
  <c r="BJ178" i="6"/>
  <c r="BI178" i="6"/>
  <c r="BH178" i="6"/>
  <c r="BG178" i="6"/>
  <c r="BF178" i="6"/>
  <c r="BE178" i="6"/>
  <c r="BD178" i="6"/>
  <c r="BC178" i="6"/>
  <c r="BB178" i="6"/>
  <c r="BA178" i="6"/>
  <c r="AZ178" i="6"/>
  <c r="AY178" i="6"/>
  <c r="AX178" i="6"/>
  <c r="AW178" i="6"/>
  <c r="AV178" i="6"/>
  <c r="AU178" i="6"/>
  <c r="AT178" i="6"/>
  <c r="AS178" i="6"/>
  <c r="AR178" i="6"/>
  <c r="AQ178" i="6"/>
  <c r="AP178" i="6"/>
  <c r="AO178" i="6"/>
  <c r="AN178" i="6"/>
  <c r="AM178" i="6"/>
  <c r="AL178" i="6"/>
  <c r="AK178" i="6"/>
  <c r="AJ178" i="6"/>
  <c r="AI178" i="6"/>
  <c r="AH178" i="6"/>
  <c r="AG178" i="6"/>
  <c r="AF178" i="6"/>
  <c r="AE178" i="6"/>
  <c r="AD178" i="6"/>
  <c r="AC178" i="6"/>
  <c r="AB178" i="6"/>
  <c r="AA178" i="6"/>
  <c r="Z178" i="6"/>
  <c r="Y178" i="6"/>
  <c r="X178" i="6"/>
  <c r="W178" i="6"/>
  <c r="V178" i="6"/>
  <c r="U178" i="6"/>
  <c r="T178" i="6"/>
  <c r="S178" i="6"/>
  <c r="R178" i="6"/>
  <c r="Q178" i="6"/>
  <c r="P178" i="6"/>
  <c r="O178" i="6"/>
  <c r="N178" i="6"/>
  <c r="M178" i="6"/>
  <c r="L178" i="6"/>
  <c r="K178" i="6"/>
  <c r="J178" i="6"/>
  <c r="I178" i="6"/>
  <c r="H178" i="6"/>
  <c r="G178" i="6"/>
  <c r="DI177" i="6"/>
  <c r="DH177" i="6"/>
  <c r="DG177" i="6"/>
  <c r="DF177" i="6"/>
  <c r="DE177" i="6"/>
  <c r="DD177" i="6"/>
  <c r="DC177" i="6"/>
  <c r="DB177" i="6"/>
  <c r="DA177" i="6"/>
  <c r="CZ177" i="6"/>
  <c r="CY177" i="6"/>
  <c r="CX177" i="6"/>
  <c r="CW177" i="6"/>
  <c r="CV177" i="6"/>
  <c r="CU177" i="6"/>
  <c r="CT177" i="6"/>
  <c r="CS177" i="6"/>
  <c r="CR177" i="6"/>
  <c r="CQ177" i="6"/>
  <c r="CP177" i="6"/>
  <c r="CO177" i="6"/>
  <c r="CN177" i="6"/>
  <c r="CM177" i="6"/>
  <c r="CL177" i="6"/>
  <c r="CK177" i="6"/>
  <c r="CJ177" i="6"/>
  <c r="CI177" i="6"/>
  <c r="CH177" i="6"/>
  <c r="CG177" i="6"/>
  <c r="CF177" i="6"/>
  <c r="CE177" i="6"/>
  <c r="CD177" i="6"/>
  <c r="CC177" i="6"/>
  <c r="CB177" i="6"/>
  <c r="CA177" i="6"/>
  <c r="BZ177" i="6"/>
  <c r="BY177" i="6"/>
  <c r="BX177" i="6"/>
  <c r="BW177" i="6"/>
  <c r="BV177" i="6"/>
  <c r="BU177" i="6"/>
  <c r="BT177" i="6"/>
  <c r="BS177" i="6"/>
  <c r="BR177" i="6"/>
  <c r="BQ177" i="6"/>
  <c r="BP177" i="6"/>
  <c r="BO177" i="6"/>
  <c r="BN177" i="6"/>
  <c r="BM177" i="6"/>
  <c r="BL177" i="6"/>
  <c r="BK177" i="6"/>
  <c r="BJ177" i="6"/>
  <c r="BI177" i="6"/>
  <c r="BH177" i="6"/>
  <c r="BG177" i="6"/>
  <c r="BF177" i="6"/>
  <c r="BE177" i="6"/>
  <c r="BD177" i="6"/>
  <c r="BC177" i="6"/>
  <c r="BB177" i="6"/>
  <c r="BA177" i="6"/>
  <c r="AZ177" i="6"/>
  <c r="AY177" i="6"/>
  <c r="AX177" i="6"/>
  <c r="AW177" i="6"/>
  <c r="AV177" i="6"/>
  <c r="AU177" i="6"/>
  <c r="AT177" i="6"/>
  <c r="AS177" i="6"/>
  <c r="AR177" i="6"/>
  <c r="AQ177" i="6"/>
  <c r="AP177" i="6"/>
  <c r="AO177" i="6"/>
  <c r="AN177" i="6"/>
  <c r="AM177" i="6"/>
  <c r="AL177" i="6"/>
  <c r="AK177" i="6"/>
  <c r="AJ177" i="6"/>
  <c r="AI177" i="6"/>
  <c r="AH177" i="6"/>
  <c r="AG177" i="6"/>
  <c r="AF177" i="6"/>
  <c r="AE177" i="6"/>
  <c r="AD177" i="6"/>
  <c r="AC177" i="6"/>
  <c r="AB177" i="6"/>
  <c r="AA177" i="6"/>
  <c r="Z177" i="6"/>
  <c r="Y177" i="6"/>
  <c r="X177" i="6"/>
  <c r="W177" i="6"/>
  <c r="V177" i="6"/>
  <c r="U177" i="6"/>
  <c r="T177" i="6"/>
  <c r="S177" i="6"/>
  <c r="R177" i="6"/>
  <c r="Q177" i="6"/>
  <c r="P177" i="6"/>
  <c r="O177" i="6"/>
  <c r="N177" i="6"/>
  <c r="M177" i="6"/>
  <c r="L177" i="6"/>
  <c r="K177" i="6"/>
  <c r="J177" i="6"/>
  <c r="I177" i="6"/>
  <c r="H177" i="6"/>
  <c r="G177" i="6"/>
  <c r="DI176" i="6"/>
  <c r="DH176" i="6"/>
  <c r="DG176" i="6"/>
  <c r="DF176" i="6"/>
  <c r="DE176" i="6"/>
  <c r="DD176" i="6"/>
  <c r="DC176" i="6"/>
  <c r="DB176" i="6"/>
  <c r="DA176" i="6"/>
  <c r="CZ176" i="6"/>
  <c r="CY176" i="6"/>
  <c r="CX176" i="6"/>
  <c r="CW176" i="6"/>
  <c r="CV176" i="6"/>
  <c r="CU176" i="6"/>
  <c r="CT176" i="6"/>
  <c r="CS176" i="6"/>
  <c r="CR176" i="6"/>
  <c r="CQ176" i="6"/>
  <c r="CP176" i="6"/>
  <c r="CO176" i="6"/>
  <c r="CN176" i="6"/>
  <c r="CM176" i="6"/>
  <c r="CL176" i="6"/>
  <c r="CK176" i="6"/>
  <c r="CJ176" i="6"/>
  <c r="CI176" i="6"/>
  <c r="CH176" i="6"/>
  <c r="CG176" i="6"/>
  <c r="CF176" i="6"/>
  <c r="CE176" i="6"/>
  <c r="CD176" i="6"/>
  <c r="CC176" i="6"/>
  <c r="CB176" i="6"/>
  <c r="CA176" i="6"/>
  <c r="BZ176" i="6"/>
  <c r="BY176" i="6"/>
  <c r="BX176" i="6"/>
  <c r="BW176" i="6"/>
  <c r="BV176" i="6"/>
  <c r="BU176" i="6"/>
  <c r="BT176" i="6"/>
  <c r="BS176" i="6"/>
  <c r="BR176" i="6"/>
  <c r="BQ176" i="6"/>
  <c r="BP176" i="6"/>
  <c r="BO176" i="6"/>
  <c r="BN176" i="6"/>
  <c r="BM176" i="6"/>
  <c r="BL176" i="6"/>
  <c r="BK176" i="6"/>
  <c r="BJ176" i="6"/>
  <c r="BI176" i="6"/>
  <c r="BH176" i="6"/>
  <c r="BG176" i="6"/>
  <c r="BF176" i="6"/>
  <c r="BE176" i="6"/>
  <c r="BD176" i="6"/>
  <c r="BC176" i="6"/>
  <c r="BB176" i="6"/>
  <c r="BA176" i="6"/>
  <c r="AZ176" i="6"/>
  <c r="AY176" i="6"/>
  <c r="AX176" i="6"/>
  <c r="AW176" i="6"/>
  <c r="AV176" i="6"/>
  <c r="AU176" i="6"/>
  <c r="AT176" i="6"/>
  <c r="AS176" i="6"/>
  <c r="AR176" i="6"/>
  <c r="AQ176" i="6"/>
  <c r="AP176" i="6"/>
  <c r="AO176" i="6"/>
  <c r="AN176" i="6"/>
  <c r="AM176" i="6"/>
  <c r="AL176" i="6"/>
  <c r="AK176" i="6"/>
  <c r="AJ176" i="6"/>
  <c r="AI176" i="6"/>
  <c r="AH176" i="6"/>
  <c r="AG176" i="6"/>
  <c r="AF176" i="6"/>
  <c r="AE176" i="6"/>
  <c r="AD176" i="6"/>
  <c r="AC176" i="6"/>
  <c r="AB176" i="6"/>
  <c r="AA176" i="6"/>
  <c r="Z176" i="6"/>
  <c r="Y176" i="6"/>
  <c r="X176" i="6"/>
  <c r="W176" i="6"/>
  <c r="V176" i="6"/>
  <c r="U176" i="6"/>
  <c r="T176" i="6"/>
  <c r="S176" i="6"/>
  <c r="R176" i="6"/>
  <c r="Q176" i="6"/>
  <c r="P176" i="6"/>
  <c r="O176" i="6"/>
  <c r="N176" i="6"/>
  <c r="M176" i="6"/>
  <c r="L176" i="6"/>
  <c r="K176" i="6"/>
  <c r="J176" i="6"/>
  <c r="I176" i="6"/>
  <c r="H176" i="6"/>
  <c r="G176" i="6"/>
  <c r="DI175" i="6"/>
  <c r="DH175" i="6"/>
  <c r="DG175" i="6"/>
  <c r="DF175" i="6"/>
  <c r="DE175" i="6"/>
  <c r="DD175" i="6"/>
  <c r="DC175" i="6"/>
  <c r="DB175" i="6"/>
  <c r="DA175" i="6"/>
  <c r="CZ175" i="6"/>
  <c r="CY175" i="6"/>
  <c r="CX175" i="6"/>
  <c r="CW175" i="6"/>
  <c r="CV175" i="6"/>
  <c r="CU175" i="6"/>
  <c r="CT175" i="6"/>
  <c r="CS175" i="6"/>
  <c r="CR175" i="6"/>
  <c r="CQ175" i="6"/>
  <c r="CP175" i="6"/>
  <c r="CO175" i="6"/>
  <c r="CN175" i="6"/>
  <c r="CM175" i="6"/>
  <c r="CL175" i="6"/>
  <c r="CK175" i="6"/>
  <c r="CJ175" i="6"/>
  <c r="CI175" i="6"/>
  <c r="CH175" i="6"/>
  <c r="CG175" i="6"/>
  <c r="CF175" i="6"/>
  <c r="CE175" i="6"/>
  <c r="CD175" i="6"/>
  <c r="CC175" i="6"/>
  <c r="CB175" i="6"/>
  <c r="CA175" i="6"/>
  <c r="BZ175" i="6"/>
  <c r="BY175" i="6"/>
  <c r="BX175" i="6"/>
  <c r="BW175" i="6"/>
  <c r="BV175" i="6"/>
  <c r="BU175" i="6"/>
  <c r="BT175" i="6"/>
  <c r="BS175" i="6"/>
  <c r="BR175" i="6"/>
  <c r="BQ175" i="6"/>
  <c r="BP175" i="6"/>
  <c r="BO175" i="6"/>
  <c r="BN175" i="6"/>
  <c r="BM175" i="6"/>
  <c r="BL175" i="6"/>
  <c r="BK175" i="6"/>
  <c r="BJ175" i="6"/>
  <c r="BI175" i="6"/>
  <c r="BH175" i="6"/>
  <c r="BG175" i="6"/>
  <c r="BF175" i="6"/>
  <c r="BE175" i="6"/>
  <c r="BD175" i="6"/>
  <c r="BC175" i="6"/>
  <c r="BB175" i="6"/>
  <c r="BA175" i="6"/>
  <c r="AZ175" i="6"/>
  <c r="AY175" i="6"/>
  <c r="AX175" i="6"/>
  <c r="AW175" i="6"/>
  <c r="AV175" i="6"/>
  <c r="AU175" i="6"/>
  <c r="AT175" i="6"/>
  <c r="AS175" i="6"/>
  <c r="AR175" i="6"/>
  <c r="AQ175" i="6"/>
  <c r="AP175" i="6"/>
  <c r="AO175" i="6"/>
  <c r="AN175" i="6"/>
  <c r="AM175" i="6"/>
  <c r="AL175" i="6"/>
  <c r="AK175" i="6"/>
  <c r="AJ175" i="6"/>
  <c r="AI175" i="6"/>
  <c r="AH175" i="6"/>
  <c r="AG175" i="6"/>
  <c r="AF175" i="6"/>
  <c r="AE175" i="6"/>
  <c r="AD175" i="6"/>
  <c r="AC175" i="6"/>
  <c r="AB175" i="6"/>
  <c r="AA175" i="6"/>
  <c r="Z175" i="6"/>
  <c r="Y175" i="6"/>
  <c r="X175" i="6"/>
  <c r="W175" i="6"/>
  <c r="V175" i="6"/>
  <c r="U175" i="6"/>
  <c r="T175" i="6"/>
  <c r="S175" i="6"/>
  <c r="R175" i="6"/>
  <c r="Q175" i="6"/>
  <c r="P175" i="6"/>
  <c r="O175" i="6"/>
  <c r="N175" i="6"/>
  <c r="M175" i="6"/>
  <c r="L175" i="6"/>
  <c r="K175" i="6"/>
  <c r="J175" i="6"/>
  <c r="I175" i="6"/>
  <c r="H175" i="6"/>
  <c r="G175" i="6"/>
  <c r="DI174" i="6"/>
  <c r="DH174" i="6"/>
  <c r="DG174" i="6"/>
  <c r="DF174" i="6"/>
  <c r="DE174" i="6"/>
  <c r="DD174" i="6"/>
  <c r="DC174" i="6"/>
  <c r="DB174" i="6"/>
  <c r="DA174" i="6"/>
  <c r="CZ174" i="6"/>
  <c r="CY174" i="6"/>
  <c r="CX174" i="6"/>
  <c r="CW174" i="6"/>
  <c r="CV174" i="6"/>
  <c r="CU174" i="6"/>
  <c r="CT174" i="6"/>
  <c r="CS174" i="6"/>
  <c r="CR174" i="6"/>
  <c r="CQ174" i="6"/>
  <c r="CP174" i="6"/>
  <c r="CO174" i="6"/>
  <c r="CN174" i="6"/>
  <c r="CM174" i="6"/>
  <c r="CL174" i="6"/>
  <c r="CK174" i="6"/>
  <c r="CJ174" i="6"/>
  <c r="CI174" i="6"/>
  <c r="CH174" i="6"/>
  <c r="CG174" i="6"/>
  <c r="CF174" i="6"/>
  <c r="CE174" i="6"/>
  <c r="CD174" i="6"/>
  <c r="CC174" i="6"/>
  <c r="CB174" i="6"/>
  <c r="CA174" i="6"/>
  <c r="BZ174" i="6"/>
  <c r="BY174" i="6"/>
  <c r="BX174" i="6"/>
  <c r="BW174" i="6"/>
  <c r="BV174" i="6"/>
  <c r="BU174" i="6"/>
  <c r="BT174" i="6"/>
  <c r="BS174" i="6"/>
  <c r="BR174" i="6"/>
  <c r="BQ174" i="6"/>
  <c r="BP174" i="6"/>
  <c r="BO174" i="6"/>
  <c r="BN174" i="6"/>
  <c r="BM174" i="6"/>
  <c r="BL174" i="6"/>
  <c r="BK174" i="6"/>
  <c r="BJ174" i="6"/>
  <c r="BI174" i="6"/>
  <c r="BH174" i="6"/>
  <c r="BG174" i="6"/>
  <c r="BF174" i="6"/>
  <c r="BE174" i="6"/>
  <c r="BD174" i="6"/>
  <c r="BC174" i="6"/>
  <c r="BB174" i="6"/>
  <c r="BA174" i="6"/>
  <c r="AZ174" i="6"/>
  <c r="AY174" i="6"/>
  <c r="AX174" i="6"/>
  <c r="AW174" i="6"/>
  <c r="AV174" i="6"/>
  <c r="AU174" i="6"/>
  <c r="AT174" i="6"/>
  <c r="AS174" i="6"/>
  <c r="AR174" i="6"/>
  <c r="AQ174" i="6"/>
  <c r="AP174" i="6"/>
  <c r="AO174" i="6"/>
  <c r="AN174" i="6"/>
  <c r="AM174" i="6"/>
  <c r="AL174" i="6"/>
  <c r="AK174" i="6"/>
  <c r="AJ174" i="6"/>
  <c r="AI174" i="6"/>
  <c r="AH174" i="6"/>
  <c r="AG174" i="6"/>
  <c r="AF174" i="6"/>
  <c r="AE174" i="6"/>
  <c r="AD174" i="6"/>
  <c r="AC174" i="6"/>
  <c r="AB174" i="6"/>
  <c r="AA174" i="6"/>
  <c r="Z174" i="6"/>
  <c r="Y174" i="6"/>
  <c r="X174" i="6"/>
  <c r="W174" i="6"/>
  <c r="V174" i="6"/>
  <c r="U174" i="6"/>
  <c r="T174" i="6"/>
  <c r="S174" i="6"/>
  <c r="R174" i="6"/>
  <c r="Q174" i="6"/>
  <c r="P174" i="6"/>
  <c r="O174" i="6"/>
  <c r="N174" i="6"/>
  <c r="M174" i="6"/>
  <c r="L174" i="6"/>
  <c r="K174" i="6"/>
  <c r="J174" i="6"/>
  <c r="I174" i="6"/>
  <c r="H174" i="6"/>
  <c r="G174" i="6"/>
  <c r="DI173" i="6"/>
  <c r="DH173" i="6"/>
  <c r="DG173" i="6"/>
  <c r="DF173" i="6"/>
  <c r="DE173" i="6"/>
  <c r="DD173" i="6"/>
  <c r="DC173" i="6"/>
  <c r="DB173" i="6"/>
  <c r="DA173" i="6"/>
  <c r="CZ173" i="6"/>
  <c r="CY173" i="6"/>
  <c r="CX173" i="6"/>
  <c r="CW173" i="6"/>
  <c r="CV173" i="6"/>
  <c r="CU173" i="6"/>
  <c r="CT173" i="6"/>
  <c r="CS173" i="6"/>
  <c r="CR173" i="6"/>
  <c r="CQ173" i="6"/>
  <c r="CP173" i="6"/>
  <c r="CO173" i="6"/>
  <c r="CN173" i="6"/>
  <c r="CM173" i="6"/>
  <c r="CL173" i="6"/>
  <c r="CK173" i="6"/>
  <c r="CJ173" i="6"/>
  <c r="CI173" i="6"/>
  <c r="CH173" i="6"/>
  <c r="CG173" i="6"/>
  <c r="CF173" i="6"/>
  <c r="CE173" i="6"/>
  <c r="CD173" i="6"/>
  <c r="CC173" i="6"/>
  <c r="CB173" i="6"/>
  <c r="CA173" i="6"/>
  <c r="BZ173" i="6"/>
  <c r="BY173" i="6"/>
  <c r="BX173" i="6"/>
  <c r="BW173" i="6"/>
  <c r="BV173" i="6"/>
  <c r="BU173" i="6"/>
  <c r="BT173" i="6"/>
  <c r="BS173" i="6"/>
  <c r="BR173" i="6"/>
  <c r="BQ173" i="6"/>
  <c r="BP173" i="6"/>
  <c r="BO173" i="6"/>
  <c r="BN173" i="6"/>
  <c r="BM173" i="6"/>
  <c r="BL173" i="6"/>
  <c r="BK173" i="6"/>
  <c r="BJ173" i="6"/>
  <c r="BI173" i="6"/>
  <c r="BH173" i="6"/>
  <c r="BG173" i="6"/>
  <c r="BF173" i="6"/>
  <c r="BE173" i="6"/>
  <c r="BD173" i="6"/>
  <c r="BC173" i="6"/>
  <c r="BB173" i="6"/>
  <c r="BA173" i="6"/>
  <c r="AZ173" i="6"/>
  <c r="AY173" i="6"/>
  <c r="AX173" i="6"/>
  <c r="AW173" i="6"/>
  <c r="AV173" i="6"/>
  <c r="AU173" i="6"/>
  <c r="AT173" i="6"/>
  <c r="AS173" i="6"/>
  <c r="AR173" i="6"/>
  <c r="AQ173" i="6"/>
  <c r="AP173" i="6"/>
  <c r="AO173" i="6"/>
  <c r="AN173" i="6"/>
  <c r="AM173" i="6"/>
  <c r="AL173" i="6"/>
  <c r="AK173" i="6"/>
  <c r="AJ173" i="6"/>
  <c r="AI173" i="6"/>
  <c r="AH173" i="6"/>
  <c r="AG173" i="6"/>
  <c r="AF173" i="6"/>
  <c r="AE173" i="6"/>
  <c r="AD173" i="6"/>
  <c r="AC173" i="6"/>
  <c r="AB173" i="6"/>
  <c r="AA173" i="6"/>
  <c r="Z173" i="6"/>
  <c r="Y173" i="6"/>
  <c r="X173" i="6"/>
  <c r="W173" i="6"/>
  <c r="V173" i="6"/>
  <c r="U173" i="6"/>
  <c r="T173" i="6"/>
  <c r="S173" i="6"/>
  <c r="R173" i="6"/>
  <c r="Q173" i="6"/>
  <c r="P173" i="6"/>
  <c r="O173" i="6"/>
  <c r="N173" i="6"/>
  <c r="M173" i="6"/>
  <c r="L173" i="6"/>
  <c r="K173" i="6"/>
  <c r="J173" i="6"/>
  <c r="I173" i="6"/>
  <c r="H173" i="6"/>
  <c r="G173" i="6"/>
  <c r="DI172" i="6"/>
  <c r="DH172" i="6"/>
  <c r="DG172" i="6"/>
  <c r="DF172" i="6"/>
  <c r="DE172" i="6"/>
  <c r="DD172" i="6"/>
  <c r="DC172" i="6"/>
  <c r="DB172" i="6"/>
  <c r="DA172" i="6"/>
  <c r="CZ172" i="6"/>
  <c r="CY172" i="6"/>
  <c r="CX172" i="6"/>
  <c r="CW172" i="6"/>
  <c r="CV172" i="6"/>
  <c r="CU172" i="6"/>
  <c r="CT172" i="6"/>
  <c r="CS172" i="6"/>
  <c r="CR172" i="6"/>
  <c r="CQ172" i="6"/>
  <c r="CP172" i="6"/>
  <c r="CO172" i="6"/>
  <c r="CN172" i="6"/>
  <c r="CM172" i="6"/>
  <c r="CL172" i="6"/>
  <c r="CK172" i="6"/>
  <c r="CJ172" i="6"/>
  <c r="CI172" i="6"/>
  <c r="CH172" i="6"/>
  <c r="CG172" i="6"/>
  <c r="CF172" i="6"/>
  <c r="CE172" i="6"/>
  <c r="CD172" i="6"/>
  <c r="CC172" i="6"/>
  <c r="CB172" i="6"/>
  <c r="CA172" i="6"/>
  <c r="BZ172" i="6"/>
  <c r="BY172" i="6"/>
  <c r="BX172" i="6"/>
  <c r="BW172" i="6"/>
  <c r="BV172" i="6"/>
  <c r="BU172" i="6"/>
  <c r="BT172" i="6"/>
  <c r="BS172" i="6"/>
  <c r="BR172" i="6"/>
  <c r="BQ172" i="6"/>
  <c r="BP172" i="6"/>
  <c r="BO172" i="6"/>
  <c r="BN172" i="6"/>
  <c r="BM172" i="6"/>
  <c r="BL172" i="6"/>
  <c r="BK172" i="6"/>
  <c r="BJ172" i="6"/>
  <c r="BI172" i="6"/>
  <c r="BH172" i="6"/>
  <c r="BG172" i="6"/>
  <c r="BF172" i="6"/>
  <c r="BE172" i="6"/>
  <c r="BD172" i="6"/>
  <c r="BC172" i="6"/>
  <c r="BB172" i="6"/>
  <c r="BA172" i="6"/>
  <c r="AZ172" i="6"/>
  <c r="AY172" i="6"/>
  <c r="AX172" i="6"/>
  <c r="AW172" i="6"/>
  <c r="AV172" i="6"/>
  <c r="AU172" i="6"/>
  <c r="AT172" i="6"/>
  <c r="AS172" i="6"/>
  <c r="AR172" i="6"/>
  <c r="AQ172" i="6"/>
  <c r="AP172" i="6"/>
  <c r="AO172" i="6"/>
  <c r="AN172" i="6"/>
  <c r="AM172" i="6"/>
  <c r="AL172" i="6"/>
  <c r="AK172" i="6"/>
  <c r="AJ172" i="6"/>
  <c r="AI172" i="6"/>
  <c r="AH172" i="6"/>
  <c r="AG172" i="6"/>
  <c r="AF172" i="6"/>
  <c r="AE172" i="6"/>
  <c r="AD172" i="6"/>
  <c r="AC172" i="6"/>
  <c r="AB172" i="6"/>
  <c r="AA172" i="6"/>
  <c r="Z172" i="6"/>
  <c r="Y172" i="6"/>
  <c r="X172" i="6"/>
  <c r="W172" i="6"/>
  <c r="V172" i="6"/>
  <c r="U172" i="6"/>
  <c r="T172" i="6"/>
  <c r="S172" i="6"/>
  <c r="R172" i="6"/>
  <c r="Q172" i="6"/>
  <c r="P172" i="6"/>
  <c r="O172" i="6"/>
  <c r="N172" i="6"/>
  <c r="M172" i="6"/>
  <c r="L172" i="6"/>
  <c r="K172" i="6"/>
  <c r="J172" i="6"/>
  <c r="I172" i="6"/>
  <c r="H172" i="6"/>
  <c r="G172" i="6"/>
  <c r="DI171" i="6"/>
  <c r="DH171" i="6"/>
  <c r="DG171" i="6"/>
  <c r="DF171" i="6"/>
  <c r="DE171" i="6"/>
  <c r="DD171" i="6"/>
  <c r="DC171" i="6"/>
  <c r="DB171" i="6"/>
  <c r="DA171" i="6"/>
  <c r="CZ171" i="6"/>
  <c r="CY171" i="6"/>
  <c r="CX171" i="6"/>
  <c r="CW171" i="6"/>
  <c r="CV171" i="6"/>
  <c r="CU171" i="6"/>
  <c r="CT171" i="6"/>
  <c r="CS171" i="6"/>
  <c r="CR171" i="6"/>
  <c r="CQ171" i="6"/>
  <c r="CP171" i="6"/>
  <c r="CO171" i="6"/>
  <c r="CN171" i="6"/>
  <c r="CM171" i="6"/>
  <c r="CL171" i="6"/>
  <c r="CK171" i="6"/>
  <c r="CJ171" i="6"/>
  <c r="CI171" i="6"/>
  <c r="CH171" i="6"/>
  <c r="CG171" i="6"/>
  <c r="CF171" i="6"/>
  <c r="CE171" i="6"/>
  <c r="CD171" i="6"/>
  <c r="CC171" i="6"/>
  <c r="CB171" i="6"/>
  <c r="CA171" i="6"/>
  <c r="BZ171" i="6"/>
  <c r="BY171" i="6"/>
  <c r="BX171" i="6"/>
  <c r="BW171" i="6"/>
  <c r="BV171" i="6"/>
  <c r="BU171" i="6"/>
  <c r="BT171" i="6"/>
  <c r="BS171" i="6"/>
  <c r="BR171" i="6"/>
  <c r="BQ171" i="6"/>
  <c r="BP171" i="6"/>
  <c r="BO171" i="6"/>
  <c r="BN171" i="6"/>
  <c r="BM171" i="6"/>
  <c r="BL171" i="6"/>
  <c r="BK171" i="6"/>
  <c r="BJ171" i="6"/>
  <c r="BI171" i="6"/>
  <c r="BH171" i="6"/>
  <c r="BG171" i="6"/>
  <c r="BF171" i="6"/>
  <c r="BE171" i="6"/>
  <c r="BD171" i="6"/>
  <c r="BC171" i="6"/>
  <c r="BB171" i="6"/>
  <c r="BA171" i="6"/>
  <c r="AZ171" i="6"/>
  <c r="AY171" i="6"/>
  <c r="AX171" i="6"/>
  <c r="AW171" i="6"/>
  <c r="AV171" i="6"/>
  <c r="AU171" i="6"/>
  <c r="AT171" i="6"/>
  <c r="AS171" i="6"/>
  <c r="AR171" i="6"/>
  <c r="AQ171" i="6"/>
  <c r="AP171" i="6"/>
  <c r="AO171" i="6"/>
  <c r="AN171" i="6"/>
  <c r="AM171" i="6"/>
  <c r="AL171" i="6"/>
  <c r="AK171" i="6"/>
  <c r="AJ171" i="6"/>
  <c r="AI171" i="6"/>
  <c r="AH171" i="6"/>
  <c r="AG171" i="6"/>
  <c r="AF171" i="6"/>
  <c r="AE171" i="6"/>
  <c r="AD171" i="6"/>
  <c r="AC171" i="6"/>
  <c r="AB171" i="6"/>
  <c r="AA171" i="6"/>
  <c r="Z171" i="6"/>
  <c r="Y171" i="6"/>
  <c r="X171" i="6"/>
  <c r="W171" i="6"/>
  <c r="V171" i="6"/>
  <c r="U171" i="6"/>
  <c r="T171" i="6"/>
  <c r="S171" i="6"/>
  <c r="R171" i="6"/>
  <c r="Q171" i="6"/>
  <c r="P171" i="6"/>
  <c r="O171" i="6"/>
  <c r="N171" i="6"/>
  <c r="M171" i="6"/>
  <c r="L171" i="6"/>
  <c r="K171" i="6"/>
  <c r="J171" i="6"/>
  <c r="I171" i="6"/>
  <c r="H171" i="6"/>
  <c r="G171" i="6"/>
  <c r="DI170" i="6"/>
  <c r="DH170" i="6"/>
  <c r="DG170" i="6"/>
  <c r="DF170" i="6"/>
  <c r="DE170" i="6"/>
  <c r="DD170" i="6"/>
  <c r="DC170" i="6"/>
  <c r="DB170" i="6"/>
  <c r="DA170" i="6"/>
  <c r="CZ170" i="6"/>
  <c r="CY170" i="6"/>
  <c r="CX170" i="6"/>
  <c r="CW170" i="6"/>
  <c r="CV170" i="6"/>
  <c r="CU170" i="6"/>
  <c r="CT170" i="6"/>
  <c r="CS170" i="6"/>
  <c r="CR170" i="6"/>
  <c r="CQ170" i="6"/>
  <c r="CP170" i="6"/>
  <c r="CO170" i="6"/>
  <c r="CN170" i="6"/>
  <c r="CM170" i="6"/>
  <c r="CL170" i="6"/>
  <c r="CK170" i="6"/>
  <c r="CJ170" i="6"/>
  <c r="CI170" i="6"/>
  <c r="CH170" i="6"/>
  <c r="CG170" i="6"/>
  <c r="CF170" i="6"/>
  <c r="CE170" i="6"/>
  <c r="CD170" i="6"/>
  <c r="CC170" i="6"/>
  <c r="CB170" i="6"/>
  <c r="CA170" i="6"/>
  <c r="BZ170" i="6"/>
  <c r="BY170" i="6"/>
  <c r="BX170" i="6"/>
  <c r="BW170" i="6"/>
  <c r="BV170" i="6"/>
  <c r="BU170" i="6"/>
  <c r="BT170" i="6"/>
  <c r="BS170" i="6"/>
  <c r="BR170" i="6"/>
  <c r="BQ170" i="6"/>
  <c r="BP170" i="6"/>
  <c r="BO170" i="6"/>
  <c r="BN170" i="6"/>
  <c r="BM170" i="6"/>
  <c r="BL170" i="6"/>
  <c r="BK170" i="6"/>
  <c r="BJ170" i="6"/>
  <c r="BI170" i="6"/>
  <c r="BH170" i="6"/>
  <c r="BG170" i="6"/>
  <c r="BF170" i="6"/>
  <c r="BE170" i="6"/>
  <c r="BD170" i="6"/>
  <c r="BC170" i="6"/>
  <c r="BB170" i="6"/>
  <c r="BA170" i="6"/>
  <c r="AZ170" i="6"/>
  <c r="AY170" i="6"/>
  <c r="AX170" i="6"/>
  <c r="AW170" i="6"/>
  <c r="AV170" i="6"/>
  <c r="AU170" i="6"/>
  <c r="AT170" i="6"/>
  <c r="AS170" i="6"/>
  <c r="AR170" i="6"/>
  <c r="AQ170" i="6"/>
  <c r="AP170" i="6"/>
  <c r="AO170" i="6"/>
  <c r="AN170" i="6"/>
  <c r="AM170" i="6"/>
  <c r="AL170" i="6"/>
  <c r="AK170" i="6"/>
  <c r="AJ170" i="6"/>
  <c r="AI170" i="6"/>
  <c r="AH170" i="6"/>
  <c r="AG170" i="6"/>
  <c r="AF170" i="6"/>
  <c r="AE170" i="6"/>
  <c r="AD170" i="6"/>
  <c r="AC170" i="6"/>
  <c r="AB170" i="6"/>
  <c r="AA170" i="6"/>
  <c r="Z170" i="6"/>
  <c r="Y170" i="6"/>
  <c r="X170" i="6"/>
  <c r="W170" i="6"/>
  <c r="V170" i="6"/>
  <c r="U170" i="6"/>
  <c r="T170" i="6"/>
  <c r="S170" i="6"/>
  <c r="R170" i="6"/>
  <c r="Q170" i="6"/>
  <c r="P170" i="6"/>
  <c r="O170" i="6"/>
  <c r="N170" i="6"/>
  <c r="M170" i="6"/>
  <c r="L170" i="6"/>
  <c r="K170" i="6"/>
  <c r="J170" i="6"/>
  <c r="I170" i="6"/>
  <c r="H170" i="6"/>
  <c r="G170" i="6"/>
  <c r="DI169" i="6"/>
  <c r="DH169" i="6"/>
  <c r="DG169" i="6"/>
  <c r="DF169" i="6"/>
  <c r="DE169" i="6"/>
  <c r="DD169" i="6"/>
  <c r="DC169" i="6"/>
  <c r="DB169" i="6"/>
  <c r="DA169" i="6"/>
  <c r="CZ169" i="6"/>
  <c r="CY169" i="6"/>
  <c r="CX169" i="6"/>
  <c r="CW169" i="6"/>
  <c r="CV169" i="6"/>
  <c r="CU169" i="6"/>
  <c r="CT169" i="6"/>
  <c r="CS169" i="6"/>
  <c r="CR169" i="6"/>
  <c r="CQ169" i="6"/>
  <c r="CP169" i="6"/>
  <c r="CO169" i="6"/>
  <c r="CN169" i="6"/>
  <c r="CM169" i="6"/>
  <c r="CL169" i="6"/>
  <c r="CK169" i="6"/>
  <c r="CJ169" i="6"/>
  <c r="CI169" i="6"/>
  <c r="CH169" i="6"/>
  <c r="CG169" i="6"/>
  <c r="CF169" i="6"/>
  <c r="CE169" i="6"/>
  <c r="CD169" i="6"/>
  <c r="CC169" i="6"/>
  <c r="CB169" i="6"/>
  <c r="CA169" i="6"/>
  <c r="BZ169" i="6"/>
  <c r="BY169" i="6"/>
  <c r="BX169" i="6"/>
  <c r="BW169" i="6"/>
  <c r="BV169" i="6"/>
  <c r="BU169" i="6"/>
  <c r="BT169" i="6"/>
  <c r="BS169" i="6"/>
  <c r="BR169" i="6"/>
  <c r="BQ169" i="6"/>
  <c r="BP169" i="6"/>
  <c r="BO169" i="6"/>
  <c r="BN169" i="6"/>
  <c r="BM169" i="6"/>
  <c r="BL169" i="6"/>
  <c r="BK169" i="6"/>
  <c r="BJ169" i="6"/>
  <c r="BI169" i="6"/>
  <c r="BH169" i="6"/>
  <c r="BG169" i="6"/>
  <c r="BF169" i="6"/>
  <c r="BE169" i="6"/>
  <c r="BD169" i="6"/>
  <c r="BC169" i="6"/>
  <c r="BB169" i="6"/>
  <c r="BA169" i="6"/>
  <c r="AZ169" i="6"/>
  <c r="AY169" i="6"/>
  <c r="AX169" i="6"/>
  <c r="AW169" i="6"/>
  <c r="AV169" i="6"/>
  <c r="AU169" i="6"/>
  <c r="AT169" i="6"/>
  <c r="AS169" i="6"/>
  <c r="AR169" i="6"/>
  <c r="AQ169" i="6"/>
  <c r="AP169" i="6"/>
  <c r="AO169" i="6"/>
  <c r="AN169" i="6"/>
  <c r="AM169" i="6"/>
  <c r="AL169" i="6"/>
  <c r="AK169" i="6"/>
  <c r="AJ169" i="6"/>
  <c r="AI169" i="6"/>
  <c r="AH169" i="6"/>
  <c r="AG169" i="6"/>
  <c r="AF169" i="6"/>
  <c r="AE169" i="6"/>
  <c r="AD169" i="6"/>
  <c r="AC169" i="6"/>
  <c r="AB169" i="6"/>
  <c r="AA169" i="6"/>
  <c r="Z169" i="6"/>
  <c r="Y169" i="6"/>
  <c r="X169" i="6"/>
  <c r="W169" i="6"/>
  <c r="V169" i="6"/>
  <c r="U169" i="6"/>
  <c r="T169" i="6"/>
  <c r="S169" i="6"/>
  <c r="R169" i="6"/>
  <c r="Q169" i="6"/>
  <c r="P169" i="6"/>
  <c r="O169" i="6"/>
  <c r="N169" i="6"/>
  <c r="M169" i="6"/>
  <c r="L169" i="6"/>
  <c r="K169" i="6"/>
  <c r="J169" i="6"/>
  <c r="I169" i="6"/>
  <c r="H169" i="6"/>
  <c r="G169" i="6"/>
  <c r="DI168" i="6"/>
  <c r="DH168" i="6"/>
  <c r="DG168" i="6"/>
  <c r="DF168" i="6"/>
  <c r="DE168" i="6"/>
  <c r="DD168" i="6"/>
  <c r="DC168" i="6"/>
  <c r="DB168" i="6"/>
  <c r="DA168" i="6"/>
  <c r="CZ168" i="6"/>
  <c r="CY168" i="6"/>
  <c r="CX168" i="6"/>
  <c r="CW168" i="6"/>
  <c r="CV168" i="6"/>
  <c r="CU168" i="6"/>
  <c r="CT168" i="6"/>
  <c r="CS168" i="6"/>
  <c r="CR168" i="6"/>
  <c r="CQ168" i="6"/>
  <c r="CP168" i="6"/>
  <c r="CO168" i="6"/>
  <c r="CN168" i="6"/>
  <c r="CM168" i="6"/>
  <c r="CL168" i="6"/>
  <c r="CK168" i="6"/>
  <c r="CJ168" i="6"/>
  <c r="CI168" i="6"/>
  <c r="CH168" i="6"/>
  <c r="CG168" i="6"/>
  <c r="CF168" i="6"/>
  <c r="CE168" i="6"/>
  <c r="CD168" i="6"/>
  <c r="CC168" i="6"/>
  <c r="CB168" i="6"/>
  <c r="CA168" i="6"/>
  <c r="BZ168" i="6"/>
  <c r="BY168" i="6"/>
  <c r="BX168" i="6"/>
  <c r="BW168" i="6"/>
  <c r="BV168" i="6"/>
  <c r="BU168" i="6"/>
  <c r="BT168" i="6"/>
  <c r="BS168" i="6"/>
  <c r="BR168" i="6"/>
  <c r="BQ168" i="6"/>
  <c r="BP168" i="6"/>
  <c r="BO168" i="6"/>
  <c r="BN168" i="6"/>
  <c r="BM168" i="6"/>
  <c r="BL168" i="6"/>
  <c r="BK168" i="6"/>
  <c r="BJ168" i="6"/>
  <c r="BI168" i="6"/>
  <c r="BH168" i="6"/>
  <c r="BG168" i="6"/>
  <c r="BF168" i="6"/>
  <c r="BE168" i="6"/>
  <c r="BD168" i="6"/>
  <c r="BC168" i="6"/>
  <c r="BB168" i="6"/>
  <c r="BA168" i="6"/>
  <c r="AZ168" i="6"/>
  <c r="AY168" i="6"/>
  <c r="AX168" i="6"/>
  <c r="AW168" i="6"/>
  <c r="AV168" i="6"/>
  <c r="AU168" i="6"/>
  <c r="AT168" i="6"/>
  <c r="AS168" i="6"/>
  <c r="AR168" i="6"/>
  <c r="AQ168" i="6"/>
  <c r="AP168" i="6"/>
  <c r="AO168" i="6"/>
  <c r="AN168" i="6"/>
  <c r="AM168" i="6"/>
  <c r="AL168" i="6"/>
  <c r="AK168" i="6"/>
  <c r="AJ168" i="6"/>
  <c r="AI168" i="6"/>
  <c r="AH168" i="6"/>
  <c r="AG168" i="6"/>
  <c r="AF168" i="6"/>
  <c r="AE168" i="6"/>
  <c r="AD168" i="6"/>
  <c r="AC168" i="6"/>
  <c r="AB168" i="6"/>
  <c r="AA168" i="6"/>
  <c r="Z168" i="6"/>
  <c r="Y168" i="6"/>
  <c r="X168" i="6"/>
  <c r="W168" i="6"/>
  <c r="V168" i="6"/>
  <c r="U168" i="6"/>
  <c r="T168" i="6"/>
  <c r="S168" i="6"/>
  <c r="R168" i="6"/>
  <c r="Q168" i="6"/>
  <c r="P168" i="6"/>
  <c r="O168" i="6"/>
  <c r="N168" i="6"/>
  <c r="M168" i="6"/>
  <c r="L168" i="6"/>
  <c r="K168" i="6"/>
  <c r="J168" i="6"/>
  <c r="I168" i="6"/>
  <c r="H168" i="6"/>
  <c r="G168" i="6"/>
  <c r="DI167" i="6"/>
  <c r="DH167" i="6"/>
  <c r="DG167" i="6"/>
  <c r="DF167" i="6"/>
  <c r="DE167" i="6"/>
  <c r="DD167" i="6"/>
  <c r="DC167" i="6"/>
  <c r="DB167" i="6"/>
  <c r="DA167" i="6"/>
  <c r="CZ167" i="6"/>
  <c r="CY167" i="6"/>
  <c r="CX167" i="6"/>
  <c r="CW167" i="6"/>
  <c r="CV167" i="6"/>
  <c r="CU167" i="6"/>
  <c r="CT167" i="6"/>
  <c r="CS167" i="6"/>
  <c r="CR167" i="6"/>
  <c r="CQ167" i="6"/>
  <c r="CP167" i="6"/>
  <c r="CO167" i="6"/>
  <c r="CN167" i="6"/>
  <c r="CM167" i="6"/>
  <c r="CL167" i="6"/>
  <c r="CK167" i="6"/>
  <c r="CJ167" i="6"/>
  <c r="CI167" i="6"/>
  <c r="CH167" i="6"/>
  <c r="CG167" i="6"/>
  <c r="CF167" i="6"/>
  <c r="CE167" i="6"/>
  <c r="CD167" i="6"/>
  <c r="CC167" i="6"/>
  <c r="CB167" i="6"/>
  <c r="CA167" i="6"/>
  <c r="BZ167" i="6"/>
  <c r="BY167" i="6"/>
  <c r="BX167" i="6"/>
  <c r="BW167" i="6"/>
  <c r="BV167" i="6"/>
  <c r="BU167" i="6"/>
  <c r="BT167" i="6"/>
  <c r="BS167" i="6"/>
  <c r="BR167" i="6"/>
  <c r="BQ167" i="6"/>
  <c r="BP167" i="6"/>
  <c r="BO167" i="6"/>
  <c r="BN167" i="6"/>
  <c r="BM167" i="6"/>
  <c r="BL167" i="6"/>
  <c r="BK167" i="6"/>
  <c r="BJ167" i="6"/>
  <c r="BI167" i="6"/>
  <c r="BH167" i="6"/>
  <c r="BG167" i="6"/>
  <c r="BF167" i="6"/>
  <c r="BE167" i="6"/>
  <c r="BD167" i="6"/>
  <c r="BC167" i="6"/>
  <c r="BB167" i="6"/>
  <c r="BA167" i="6"/>
  <c r="AZ167" i="6"/>
  <c r="AY167" i="6"/>
  <c r="AX167" i="6"/>
  <c r="AW167" i="6"/>
  <c r="AV167" i="6"/>
  <c r="AU167" i="6"/>
  <c r="AT167" i="6"/>
  <c r="AS167" i="6"/>
  <c r="AR167" i="6"/>
  <c r="AQ167" i="6"/>
  <c r="AP167" i="6"/>
  <c r="AO167" i="6"/>
  <c r="AN167" i="6"/>
  <c r="AM167" i="6"/>
  <c r="AL167" i="6"/>
  <c r="AK167" i="6"/>
  <c r="AJ167" i="6"/>
  <c r="AI167" i="6"/>
  <c r="AH167" i="6"/>
  <c r="AG167" i="6"/>
  <c r="AF167" i="6"/>
  <c r="AE167" i="6"/>
  <c r="AD167" i="6"/>
  <c r="AC167" i="6"/>
  <c r="AB167" i="6"/>
  <c r="AA167" i="6"/>
  <c r="Z167" i="6"/>
  <c r="Y167" i="6"/>
  <c r="X167" i="6"/>
  <c r="W167" i="6"/>
  <c r="V167" i="6"/>
  <c r="U167" i="6"/>
  <c r="T167" i="6"/>
  <c r="S167" i="6"/>
  <c r="R167" i="6"/>
  <c r="Q167" i="6"/>
  <c r="P167" i="6"/>
  <c r="O167" i="6"/>
  <c r="N167" i="6"/>
  <c r="M167" i="6"/>
  <c r="L167" i="6"/>
  <c r="K167" i="6"/>
  <c r="J167" i="6"/>
  <c r="I167" i="6"/>
  <c r="H167" i="6"/>
  <c r="G167" i="6"/>
  <c r="DI166" i="6"/>
  <c r="DH166" i="6"/>
  <c r="DG166" i="6"/>
  <c r="DF166" i="6"/>
  <c r="DE166" i="6"/>
  <c r="DD166" i="6"/>
  <c r="DC166" i="6"/>
  <c r="DB166" i="6"/>
  <c r="DA166" i="6"/>
  <c r="CZ166" i="6"/>
  <c r="CY166" i="6"/>
  <c r="CX166" i="6"/>
  <c r="CW166" i="6"/>
  <c r="CV166" i="6"/>
  <c r="CU166" i="6"/>
  <c r="CT166" i="6"/>
  <c r="CS166" i="6"/>
  <c r="CR166" i="6"/>
  <c r="CQ166" i="6"/>
  <c r="CP166" i="6"/>
  <c r="CO166" i="6"/>
  <c r="CN166" i="6"/>
  <c r="CM166" i="6"/>
  <c r="CL166" i="6"/>
  <c r="CK166" i="6"/>
  <c r="CJ166" i="6"/>
  <c r="CI166" i="6"/>
  <c r="CH166" i="6"/>
  <c r="CG166" i="6"/>
  <c r="CF166" i="6"/>
  <c r="CE166" i="6"/>
  <c r="CD166" i="6"/>
  <c r="CC166" i="6"/>
  <c r="CB166" i="6"/>
  <c r="CA166" i="6"/>
  <c r="BZ166" i="6"/>
  <c r="BY166" i="6"/>
  <c r="BX166" i="6"/>
  <c r="BW166" i="6"/>
  <c r="BV166" i="6"/>
  <c r="BU166" i="6"/>
  <c r="BT166" i="6"/>
  <c r="BS166" i="6"/>
  <c r="BR166" i="6"/>
  <c r="BQ166" i="6"/>
  <c r="BP166" i="6"/>
  <c r="BO166" i="6"/>
  <c r="BN166" i="6"/>
  <c r="BM166" i="6"/>
  <c r="BL166" i="6"/>
  <c r="BK166" i="6"/>
  <c r="BJ166" i="6"/>
  <c r="BI166" i="6"/>
  <c r="BH166" i="6"/>
  <c r="BG166" i="6"/>
  <c r="BF166" i="6"/>
  <c r="BE166" i="6"/>
  <c r="BD166" i="6"/>
  <c r="BC166" i="6"/>
  <c r="BB166" i="6"/>
  <c r="BA166" i="6"/>
  <c r="AZ166" i="6"/>
  <c r="AY166" i="6"/>
  <c r="AX166" i="6"/>
  <c r="AW166" i="6"/>
  <c r="AV166" i="6"/>
  <c r="AU166" i="6"/>
  <c r="AT166" i="6"/>
  <c r="AS166" i="6"/>
  <c r="AR166" i="6"/>
  <c r="AQ166" i="6"/>
  <c r="AP166" i="6"/>
  <c r="AO166" i="6"/>
  <c r="AN166" i="6"/>
  <c r="AM166" i="6"/>
  <c r="AL166" i="6"/>
  <c r="AK166" i="6"/>
  <c r="AJ166" i="6"/>
  <c r="AI166" i="6"/>
  <c r="AH166" i="6"/>
  <c r="AG166" i="6"/>
  <c r="AF166" i="6"/>
  <c r="AE166" i="6"/>
  <c r="AD166" i="6"/>
  <c r="AC166" i="6"/>
  <c r="AB166" i="6"/>
  <c r="AA166" i="6"/>
  <c r="Z166" i="6"/>
  <c r="Y166" i="6"/>
  <c r="X166" i="6"/>
  <c r="W166" i="6"/>
  <c r="V166" i="6"/>
  <c r="U166" i="6"/>
  <c r="T166" i="6"/>
  <c r="S166" i="6"/>
  <c r="R166" i="6"/>
  <c r="Q166" i="6"/>
  <c r="P166" i="6"/>
  <c r="O166" i="6"/>
  <c r="N166" i="6"/>
  <c r="M166" i="6"/>
  <c r="L166" i="6"/>
  <c r="K166" i="6"/>
  <c r="J166" i="6"/>
  <c r="I166" i="6"/>
  <c r="H166" i="6"/>
  <c r="G166" i="6"/>
  <c r="DI165" i="6"/>
  <c r="DH165" i="6"/>
  <c r="DG165" i="6"/>
  <c r="DF165" i="6"/>
  <c r="DE165" i="6"/>
  <c r="DD165" i="6"/>
  <c r="DC165" i="6"/>
  <c r="DB165" i="6"/>
  <c r="DA165" i="6"/>
  <c r="CZ165" i="6"/>
  <c r="CY165" i="6"/>
  <c r="CX165" i="6"/>
  <c r="CW165" i="6"/>
  <c r="CV165" i="6"/>
  <c r="CU165" i="6"/>
  <c r="CT165" i="6"/>
  <c r="CS165" i="6"/>
  <c r="CR165" i="6"/>
  <c r="CQ165" i="6"/>
  <c r="CP165" i="6"/>
  <c r="CO165" i="6"/>
  <c r="CN165" i="6"/>
  <c r="CM165" i="6"/>
  <c r="CL165" i="6"/>
  <c r="CK165" i="6"/>
  <c r="CJ165" i="6"/>
  <c r="CI165" i="6"/>
  <c r="CH165" i="6"/>
  <c r="CG165" i="6"/>
  <c r="CF165" i="6"/>
  <c r="CE165" i="6"/>
  <c r="CD165" i="6"/>
  <c r="CC165" i="6"/>
  <c r="CB165" i="6"/>
  <c r="CA165" i="6"/>
  <c r="BZ165" i="6"/>
  <c r="BY165" i="6"/>
  <c r="BX165" i="6"/>
  <c r="BW165" i="6"/>
  <c r="BV165" i="6"/>
  <c r="BU165" i="6"/>
  <c r="BT165" i="6"/>
  <c r="BS165" i="6"/>
  <c r="BR165" i="6"/>
  <c r="BQ165" i="6"/>
  <c r="BP165" i="6"/>
  <c r="BO165" i="6"/>
  <c r="BN165" i="6"/>
  <c r="BM165" i="6"/>
  <c r="BL165" i="6"/>
  <c r="BK165" i="6"/>
  <c r="BJ165" i="6"/>
  <c r="BI165" i="6"/>
  <c r="BH165" i="6"/>
  <c r="BG165" i="6"/>
  <c r="BF165" i="6"/>
  <c r="BE165" i="6"/>
  <c r="BD165" i="6"/>
  <c r="BC165" i="6"/>
  <c r="BB165" i="6"/>
  <c r="BA165" i="6"/>
  <c r="AZ165" i="6"/>
  <c r="AY165" i="6"/>
  <c r="AX165" i="6"/>
  <c r="AW165" i="6"/>
  <c r="AV165" i="6"/>
  <c r="AU165" i="6"/>
  <c r="AT165" i="6"/>
  <c r="AS165" i="6"/>
  <c r="AR165" i="6"/>
  <c r="AQ165" i="6"/>
  <c r="AP165" i="6"/>
  <c r="AO165" i="6"/>
  <c r="AN165" i="6"/>
  <c r="AM165" i="6"/>
  <c r="AL165" i="6"/>
  <c r="AK165" i="6"/>
  <c r="AJ165" i="6"/>
  <c r="AI165" i="6"/>
  <c r="AH165" i="6"/>
  <c r="AG165" i="6"/>
  <c r="AF165" i="6"/>
  <c r="AE165" i="6"/>
  <c r="AD165" i="6"/>
  <c r="AC165" i="6"/>
  <c r="AB165" i="6"/>
  <c r="AA165" i="6"/>
  <c r="Z165" i="6"/>
  <c r="Y165" i="6"/>
  <c r="X165" i="6"/>
  <c r="W165" i="6"/>
  <c r="V165" i="6"/>
  <c r="U165" i="6"/>
  <c r="T165" i="6"/>
  <c r="S165" i="6"/>
  <c r="R165" i="6"/>
  <c r="Q165" i="6"/>
  <c r="P165" i="6"/>
  <c r="O165" i="6"/>
  <c r="N165" i="6"/>
  <c r="M165" i="6"/>
  <c r="L165" i="6"/>
  <c r="K165" i="6"/>
  <c r="J165" i="6"/>
  <c r="I165" i="6"/>
  <c r="H165" i="6"/>
  <c r="G165" i="6"/>
  <c r="DI164" i="6"/>
  <c r="DH164" i="6"/>
  <c r="DG164" i="6"/>
  <c r="DF164" i="6"/>
  <c r="DE164" i="6"/>
  <c r="DD164" i="6"/>
  <c r="DC164" i="6"/>
  <c r="DB164" i="6"/>
  <c r="DA164" i="6"/>
  <c r="CZ164" i="6"/>
  <c r="CY164" i="6"/>
  <c r="CX164" i="6"/>
  <c r="CW164" i="6"/>
  <c r="CV164" i="6"/>
  <c r="CU164" i="6"/>
  <c r="CT164" i="6"/>
  <c r="CS164" i="6"/>
  <c r="CR164" i="6"/>
  <c r="CQ164" i="6"/>
  <c r="CP164" i="6"/>
  <c r="CO164" i="6"/>
  <c r="CN164" i="6"/>
  <c r="CM164" i="6"/>
  <c r="CL164" i="6"/>
  <c r="CK164" i="6"/>
  <c r="CJ164" i="6"/>
  <c r="CI164" i="6"/>
  <c r="CH164" i="6"/>
  <c r="CG164" i="6"/>
  <c r="CF164" i="6"/>
  <c r="CE164" i="6"/>
  <c r="CD164" i="6"/>
  <c r="CC164" i="6"/>
  <c r="CB164" i="6"/>
  <c r="CA164" i="6"/>
  <c r="BZ164" i="6"/>
  <c r="BY164" i="6"/>
  <c r="BX164" i="6"/>
  <c r="BW164" i="6"/>
  <c r="BV164" i="6"/>
  <c r="BU164" i="6"/>
  <c r="BT164" i="6"/>
  <c r="BS164" i="6"/>
  <c r="BR164" i="6"/>
  <c r="BQ164" i="6"/>
  <c r="BP164" i="6"/>
  <c r="BO164" i="6"/>
  <c r="BN164" i="6"/>
  <c r="BM164" i="6"/>
  <c r="BL164" i="6"/>
  <c r="BK164" i="6"/>
  <c r="BJ164" i="6"/>
  <c r="BI164" i="6"/>
  <c r="BH164" i="6"/>
  <c r="BG164" i="6"/>
  <c r="BF164" i="6"/>
  <c r="BE164" i="6"/>
  <c r="BD164" i="6"/>
  <c r="BC164" i="6"/>
  <c r="BB164" i="6"/>
  <c r="BA164" i="6"/>
  <c r="AZ164" i="6"/>
  <c r="AY164" i="6"/>
  <c r="AX164" i="6"/>
  <c r="AW164" i="6"/>
  <c r="AV164" i="6"/>
  <c r="AU164" i="6"/>
  <c r="AT164" i="6"/>
  <c r="AS164" i="6"/>
  <c r="AR164" i="6"/>
  <c r="AQ164" i="6"/>
  <c r="AP164" i="6"/>
  <c r="AO164" i="6"/>
  <c r="AN164" i="6"/>
  <c r="AM164" i="6"/>
  <c r="AL164" i="6"/>
  <c r="AK164" i="6"/>
  <c r="AJ164" i="6"/>
  <c r="AI164" i="6"/>
  <c r="AH164" i="6"/>
  <c r="AG164" i="6"/>
  <c r="AF164" i="6"/>
  <c r="AE164" i="6"/>
  <c r="AD164" i="6"/>
  <c r="AC164" i="6"/>
  <c r="AB164" i="6"/>
  <c r="AA164" i="6"/>
  <c r="Z164" i="6"/>
  <c r="Y164" i="6"/>
  <c r="X164" i="6"/>
  <c r="W164" i="6"/>
  <c r="V164" i="6"/>
  <c r="U164" i="6"/>
  <c r="T164" i="6"/>
  <c r="S164" i="6"/>
  <c r="R164" i="6"/>
  <c r="Q164" i="6"/>
  <c r="P164" i="6"/>
  <c r="O164" i="6"/>
  <c r="N164" i="6"/>
  <c r="M164" i="6"/>
  <c r="L164" i="6"/>
  <c r="K164" i="6"/>
  <c r="J164" i="6"/>
  <c r="I164" i="6"/>
  <c r="H164" i="6"/>
  <c r="G164" i="6"/>
  <c r="DI163" i="6"/>
  <c r="DH163" i="6"/>
  <c r="DG163" i="6"/>
  <c r="DF163" i="6"/>
  <c r="DE163" i="6"/>
  <c r="DD163" i="6"/>
  <c r="DC163" i="6"/>
  <c r="DB163" i="6"/>
  <c r="DA163" i="6"/>
  <c r="CZ163" i="6"/>
  <c r="CY163" i="6"/>
  <c r="CX163" i="6"/>
  <c r="CW163" i="6"/>
  <c r="CV163" i="6"/>
  <c r="CU163" i="6"/>
  <c r="CT163" i="6"/>
  <c r="CS163" i="6"/>
  <c r="CR163" i="6"/>
  <c r="CQ163" i="6"/>
  <c r="CP163" i="6"/>
  <c r="CO163" i="6"/>
  <c r="CN163" i="6"/>
  <c r="CM163" i="6"/>
  <c r="CL163" i="6"/>
  <c r="CK163" i="6"/>
  <c r="CJ163" i="6"/>
  <c r="CI163" i="6"/>
  <c r="CH163" i="6"/>
  <c r="CG163" i="6"/>
  <c r="CF163" i="6"/>
  <c r="CE163" i="6"/>
  <c r="CD163" i="6"/>
  <c r="CC163" i="6"/>
  <c r="CB163" i="6"/>
  <c r="CA163" i="6"/>
  <c r="BZ163" i="6"/>
  <c r="BY163" i="6"/>
  <c r="BX163" i="6"/>
  <c r="BW163" i="6"/>
  <c r="BV163" i="6"/>
  <c r="BU163" i="6"/>
  <c r="BT163" i="6"/>
  <c r="BS163" i="6"/>
  <c r="BR163" i="6"/>
  <c r="BQ163" i="6"/>
  <c r="BP163" i="6"/>
  <c r="BO163" i="6"/>
  <c r="BN163" i="6"/>
  <c r="BM163" i="6"/>
  <c r="BL163" i="6"/>
  <c r="BK163" i="6"/>
  <c r="BJ163" i="6"/>
  <c r="BI163" i="6"/>
  <c r="BH163" i="6"/>
  <c r="BG163" i="6"/>
  <c r="BF163" i="6"/>
  <c r="BE163" i="6"/>
  <c r="BD163" i="6"/>
  <c r="BC163" i="6"/>
  <c r="BB163" i="6"/>
  <c r="BA163" i="6"/>
  <c r="AZ163" i="6"/>
  <c r="AY163" i="6"/>
  <c r="AX163" i="6"/>
  <c r="AW163" i="6"/>
  <c r="AV163" i="6"/>
  <c r="AU163" i="6"/>
  <c r="AT163" i="6"/>
  <c r="AS163" i="6"/>
  <c r="AR163" i="6"/>
  <c r="AQ163" i="6"/>
  <c r="AP163" i="6"/>
  <c r="AO163" i="6"/>
  <c r="AN163" i="6"/>
  <c r="AM163" i="6"/>
  <c r="AL163" i="6"/>
  <c r="AK163" i="6"/>
  <c r="AJ163" i="6"/>
  <c r="AI163" i="6"/>
  <c r="AH163" i="6"/>
  <c r="AG163" i="6"/>
  <c r="AF163" i="6"/>
  <c r="AE163" i="6"/>
  <c r="AD163" i="6"/>
  <c r="AC163" i="6"/>
  <c r="AB163" i="6"/>
  <c r="AA163" i="6"/>
  <c r="Z163" i="6"/>
  <c r="Y163" i="6"/>
  <c r="X163" i="6"/>
  <c r="W163" i="6"/>
  <c r="V163" i="6"/>
  <c r="U163" i="6"/>
  <c r="T163" i="6"/>
  <c r="S163" i="6"/>
  <c r="R163" i="6"/>
  <c r="Q163" i="6"/>
  <c r="P163" i="6"/>
  <c r="O163" i="6"/>
  <c r="N163" i="6"/>
  <c r="M163" i="6"/>
  <c r="L163" i="6"/>
  <c r="K163" i="6"/>
  <c r="J163" i="6"/>
  <c r="I163" i="6"/>
  <c r="H163" i="6"/>
  <c r="G163" i="6"/>
  <c r="DI162" i="6"/>
  <c r="DH162" i="6"/>
  <c r="DG162" i="6"/>
  <c r="DF162" i="6"/>
  <c r="DE162" i="6"/>
  <c r="DD162" i="6"/>
  <c r="DC162" i="6"/>
  <c r="DB162" i="6"/>
  <c r="DA162" i="6"/>
  <c r="CZ162" i="6"/>
  <c r="CY162" i="6"/>
  <c r="CX162" i="6"/>
  <c r="CW162" i="6"/>
  <c r="CV162" i="6"/>
  <c r="CU162" i="6"/>
  <c r="CT162" i="6"/>
  <c r="CS162" i="6"/>
  <c r="CR162" i="6"/>
  <c r="CQ162" i="6"/>
  <c r="CP162" i="6"/>
  <c r="CO162" i="6"/>
  <c r="CN162" i="6"/>
  <c r="CM162" i="6"/>
  <c r="CL162" i="6"/>
  <c r="CK162" i="6"/>
  <c r="CJ162" i="6"/>
  <c r="CI162" i="6"/>
  <c r="CH162" i="6"/>
  <c r="CG162" i="6"/>
  <c r="CF162" i="6"/>
  <c r="CE162" i="6"/>
  <c r="CD162" i="6"/>
  <c r="CC162" i="6"/>
  <c r="CB162" i="6"/>
  <c r="CA162" i="6"/>
  <c r="BZ162" i="6"/>
  <c r="BY162" i="6"/>
  <c r="BX162" i="6"/>
  <c r="BW162" i="6"/>
  <c r="BV162" i="6"/>
  <c r="BU162" i="6"/>
  <c r="BT162" i="6"/>
  <c r="BS162" i="6"/>
  <c r="BR162" i="6"/>
  <c r="BQ162" i="6"/>
  <c r="BP162" i="6"/>
  <c r="BO162" i="6"/>
  <c r="BN162" i="6"/>
  <c r="BM162" i="6"/>
  <c r="BL162" i="6"/>
  <c r="BK162" i="6"/>
  <c r="BJ162" i="6"/>
  <c r="BI162" i="6"/>
  <c r="BH162" i="6"/>
  <c r="BG162" i="6"/>
  <c r="BF162" i="6"/>
  <c r="BE162" i="6"/>
  <c r="BD162" i="6"/>
  <c r="BC162" i="6"/>
  <c r="BB162" i="6"/>
  <c r="BA162" i="6"/>
  <c r="AZ162" i="6"/>
  <c r="AY162" i="6"/>
  <c r="AX162" i="6"/>
  <c r="AW162" i="6"/>
  <c r="AV162" i="6"/>
  <c r="AU162" i="6"/>
  <c r="AT162" i="6"/>
  <c r="AS162" i="6"/>
  <c r="AR162" i="6"/>
  <c r="AQ162" i="6"/>
  <c r="AP162" i="6"/>
  <c r="AO162" i="6"/>
  <c r="AN162" i="6"/>
  <c r="AM162" i="6"/>
  <c r="AL162" i="6"/>
  <c r="AK162" i="6"/>
  <c r="AJ162" i="6"/>
  <c r="AI162" i="6"/>
  <c r="AH162" i="6"/>
  <c r="AG162" i="6"/>
  <c r="AF162" i="6"/>
  <c r="AE162" i="6"/>
  <c r="AD162" i="6"/>
  <c r="AC162" i="6"/>
  <c r="AB162" i="6"/>
  <c r="AA162" i="6"/>
  <c r="Z162" i="6"/>
  <c r="Y162" i="6"/>
  <c r="X162" i="6"/>
  <c r="W162" i="6"/>
  <c r="V162" i="6"/>
  <c r="U162" i="6"/>
  <c r="T162" i="6"/>
  <c r="S162" i="6"/>
  <c r="R162" i="6"/>
  <c r="Q162" i="6"/>
  <c r="P162" i="6"/>
  <c r="O162" i="6"/>
  <c r="N162" i="6"/>
  <c r="M162" i="6"/>
  <c r="L162" i="6"/>
  <c r="K162" i="6"/>
  <c r="J162" i="6"/>
  <c r="I162" i="6"/>
  <c r="H162" i="6"/>
  <c r="G162" i="6"/>
  <c r="DI161" i="6"/>
  <c r="DH161" i="6"/>
  <c r="DG161" i="6"/>
  <c r="DF161" i="6"/>
  <c r="DE161" i="6"/>
  <c r="DD161" i="6"/>
  <c r="DC161" i="6"/>
  <c r="DB161" i="6"/>
  <c r="DA161" i="6"/>
  <c r="CZ161" i="6"/>
  <c r="CY161" i="6"/>
  <c r="CX161" i="6"/>
  <c r="CW161" i="6"/>
  <c r="CV161" i="6"/>
  <c r="CU161" i="6"/>
  <c r="CT161" i="6"/>
  <c r="CS161" i="6"/>
  <c r="CR161" i="6"/>
  <c r="CQ161" i="6"/>
  <c r="CP161" i="6"/>
  <c r="CO161" i="6"/>
  <c r="CN161" i="6"/>
  <c r="CM161" i="6"/>
  <c r="CL161" i="6"/>
  <c r="CK161" i="6"/>
  <c r="CJ161" i="6"/>
  <c r="CI161" i="6"/>
  <c r="CH161" i="6"/>
  <c r="CG161" i="6"/>
  <c r="CF161" i="6"/>
  <c r="CE161" i="6"/>
  <c r="CD161" i="6"/>
  <c r="CC161" i="6"/>
  <c r="CB161" i="6"/>
  <c r="CA161" i="6"/>
  <c r="BZ161" i="6"/>
  <c r="BY161" i="6"/>
  <c r="BX161" i="6"/>
  <c r="BW161" i="6"/>
  <c r="BV161" i="6"/>
  <c r="BU161" i="6"/>
  <c r="BT161" i="6"/>
  <c r="BS161" i="6"/>
  <c r="BR161" i="6"/>
  <c r="BQ161" i="6"/>
  <c r="BP161" i="6"/>
  <c r="BO161" i="6"/>
  <c r="BN161" i="6"/>
  <c r="BM161" i="6"/>
  <c r="BL161" i="6"/>
  <c r="BK161" i="6"/>
  <c r="BJ161" i="6"/>
  <c r="BI161" i="6"/>
  <c r="BH161" i="6"/>
  <c r="BG161" i="6"/>
  <c r="BF161" i="6"/>
  <c r="BE161" i="6"/>
  <c r="BD161" i="6"/>
  <c r="BC161" i="6"/>
  <c r="BB161" i="6"/>
  <c r="BA161" i="6"/>
  <c r="AZ161" i="6"/>
  <c r="AY161" i="6"/>
  <c r="AX161" i="6"/>
  <c r="AW161" i="6"/>
  <c r="AV161" i="6"/>
  <c r="AU161" i="6"/>
  <c r="AT161" i="6"/>
  <c r="AS161" i="6"/>
  <c r="AR161" i="6"/>
  <c r="AQ161" i="6"/>
  <c r="AP161" i="6"/>
  <c r="AO161" i="6"/>
  <c r="AN161" i="6"/>
  <c r="AM161" i="6"/>
  <c r="AL161" i="6"/>
  <c r="AK161" i="6"/>
  <c r="AJ161" i="6"/>
  <c r="AI161" i="6"/>
  <c r="AH161" i="6"/>
  <c r="AG161" i="6"/>
  <c r="AF161" i="6"/>
  <c r="AE161" i="6"/>
  <c r="AD161" i="6"/>
  <c r="AC161" i="6"/>
  <c r="AB161" i="6"/>
  <c r="AA161" i="6"/>
  <c r="Z161" i="6"/>
  <c r="Y161" i="6"/>
  <c r="X161" i="6"/>
  <c r="W161" i="6"/>
  <c r="V161" i="6"/>
  <c r="U161" i="6"/>
  <c r="T161" i="6"/>
  <c r="S161" i="6"/>
  <c r="R161" i="6"/>
  <c r="Q161" i="6"/>
  <c r="P161" i="6"/>
  <c r="O161" i="6"/>
  <c r="N161" i="6"/>
  <c r="M161" i="6"/>
  <c r="L161" i="6"/>
  <c r="K161" i="6"/>
  <c r="J161" i="6"/>
  <c r="I161" i="6"/>
  <c r="H161" i="6"/>
  <c r="G161" i="6"/>
  <c r="DI160" i="6"/>
  <c r="DH160" i="6"/>
  <c r="DG160" i="6"/>
  <c r="DF160" i="6"/>
  <c r="DE160" i="6"/>
  <c r="DD160" i="6"/>
  <c r="DC160" i="6"/>
  <c r="DB160" i="6"/>
  <c r="DA160" i="6"/>
  <c r="CZ160" i="6"/>
  <c r="CY160" i="6"/>
  <c r="CX160" i="6"/>
  <c r="CW160" i="6"/>
  <c r="CV160" i="6"/>
  <c r="CU160" i="6"/>
  <c r="CT160" i="6"/>
  <c r="CS160" i="6"/>
  <c r="CR160" i="6"/>
  <c r="CQ160" i="6"/>
  <c r="CP160" i="6"/>
  <c r="CO160" i="6"/>
  <c r="CN160" i="6"/>
  <c r="CM160" i="6"/>
  <c r="CL160" i="6"/>
  <c r="CK160" i="6"/>
  <c r="CJ160" i="6"/>
  <c r="CI160" i="6"/>
  <c r="CH160" i="6"/>
  <c r="CG160" i="6"/>
  <c r="CF160" i="6"/>
  <c r="CE160" i="6"/>
  <c r="CD160" i="6"/>
  <c r="CC160" i="6"/>
  <c r="CB160" i="6"/>
  <c r="CA160" i="6"/>
  <c r="BZ160" i="6"/>
  <c r="BY160" i="6"/>
  <c r="BX160" i="6"/>
  <c r="BW160" i="6"/>
  <c r="BV160" i="6"/>
  <c r="BU160" i="6"/>
  <c r="BT160" i="6"/>
  <c r="BS160" i="6"/>
  <c r="BR160" i="6"/>
  <c r="BQ160" i="6"/>
  <c r="BP160" i="6"/>
  <c r="BO160" i="6"/>
  <c r="BN160" i="6"/>
  <c r="BM160" i="6"/>
  <c r="BL160" i="6"/>
  <c r="BK160" i="6"/>
  <c r="BJ160" i="6"/>
  <c r="BI160" i="6"/>
  <c r="BH160" i="6"/>
  <c r="BG160" i="6"/>
  <c r="BF160" i="6"/>
  <c r="BE160" i="6"/>
  <c r="BD160" i="6"/>
  <c r="BC160" i="6"/>
  <c r="BB160" i="6"/>
  <c r="BA160" i="6"/>
  <c r="AZ160" i="6"/>
  <c r="AY160" i="6"/>
  <c r="AX160" i="6"/>
  <c r="AW160" i="6"/>
  <c r="AV160" i="6"/>
  <c r="AU160" i="6"/>
  <c r="AT160" i="6"/>
  <c r="AS160" i="6"/>
  <c r="AR160" i="6"/>
  <c r="AQ160" i="6"/>
  <c r="AP160" i="6"/>
  <c r="AO160" i="6"/>
  <c r="AN160" i="6"/>
  <c r="AM160" i="6"/>
  <c r="AL160" i="6"/>
  <c r="AK160" i="6"/>
  <c r="AJ160" i="6"/>
  <c r="AI160" i="6"/>
  <c r="AH160" i="6"/>
  <c r="AG160" i="6"/>
  <c r="AF160" i="6"/>
  <c r="AE160" i="6"/>
  <c r="AD160" i="6"/>
  <c r="AC160" i="6"/>
  <c r="AB160" i="6"/>
  <c r="AA160" i="6"/>
  <c r="Z160" i="6"/>
  <c r="Y160" i="6"/>
  <c r="X160" i="6"/>
  <c r="W160" i="6"/>
  <c r="V160" i="6"/>
  <c r="U160" i="6"/>
  <c r="T160" i="6"/>
  <c r="S160" i="6"/>
  <c r="R160" i="6"/>
  <c r="Q160" i="6"/>
  <c r="P160" i="6"/>
  <c r="O160" i="6"/>
  <c r="N160" i="6"/>
  <c r="M160" i="6"/>
  <c r="L160" i="6"/>
  <c r="K160" i="6"/>
  <c r="J160" i="6"/>
  <c r="I160" i="6"/>
  <c r="H160" i="6"/>
  <c r="G160" i="6"/>
  <c r="DI159" i="6"/>
  <c r="DH159" i="6"/>
  <c r="DG159" i="6"/>
  <c r="DF159" i="6"/>
  <c r="DE159" i="6"/>
  <c r="DD159" i="6"/>
  <c r="DC159" i="6"/>
  <c r="DB159" i="6"/>
  <c r="DA159" i="6"/>
  <c r="CZ159" i="6"/>
  <c r="CY159" i="6"/>
  <c r="CX159" i="6"/>
  <c r="CW159" i="6"/>
  <c r="CV159" i="6"/>
  <c r="CU159" i="6"/>
  <c r="CT159" i="6"/>
  <c r="CS159" i="6"/>
  <c r="CR159" i="6"/>
  <c r="CQ159" i="6"/>
  <c r="CP159" i="6"/>
  <c r="CO159" i="6"/>
  <c r="CN159" i="6"/>
  <c r="CM159" i="6"/>
  <c r="CL159" i="6"/>
  <c r="CK159" i="6"/>
  <c r="CJ159" i="6"/>
  <c r="CI159" i="6"/>
  <c r="CH159" i="6"/>
  <c r="CG159" i="6"/>
  <c r="CF159" i="6"/>
  <c r="CE159" i="6"/>
  <c r="CD159" i="6"/>
  <c r="CC159" i="6"/>
  <c r="CB159" i="6"/>
  <c r="CA159" i="6"/>
  <c r="BZ159" i="6"/>
  <c r="BY159" i="6"/>
  <c r="BX159" i="6"/>
  <c r="BW159" i="6"/>
  <c r="BV159" i="6"/>
  <c r="BU159" i="6"/>
  <c r="BT159" i="6"/>
  <c r="BS159" i="6"/>
  <c r="BR159" i="6"/>
  <c r="BQ159" i="6"/>
  <c r="BP159" i="6"/>
  <c r="BO159" i="6"/>
  <c r="BN159" i="6"/>
  <c r="BM159" i="6"/>
  <c r="BL159" i="6"/>
  <c r="BK159" i="6"/>
  <c r="BJ159" i="6"/>
  <c r="BI159" i="6"/>
  <c r="BH159" i="6"/>
  <c r="BG159" i="6"/>
  <c r="BF159" i="6"/>
  <c r="BE159" i="6"/>
  <c r="BD159" i="6"/>
  <c r="BC159" i="6"/>
  <c r="BB159" i="6"/>
  <c r="BA159" i="6"/>
  <c r="AZ159" i="6"/>
  <c r="AY159" i="6"/>
  <c r="AX159" i="6"/>
  <c r="AW159" i="6"/>
  <c r="AV159" i="6"/>
  <c r="AU159" i="6"/>
  <c r="AT159" i="6"/>
  <c r="AS159" i="6"/>
  <c r="AR159" i="6"/>
  <c r="AQ159" i="6"/>
  <c r="AP159" i="6"/>
  <c r="AO159" i="6"/>
  <c r="AN159" i="6"/>
  <c r="AM159" i="6"/>
  <c r="AL159" i="6"/>
  <c r="AK159" i="6"/>
  <c r="AJ159" i="6"/>
  <c r="AI159" i="6"/>
  <c r="AH159" i="6"/>
  <c r="AG159" i="6"/>
  <c r="AF159" i="6"/>
  <c r="AE159" i="6"/>
  <c r="AD159" i="6"/>
  <c r="AC159" i="6"/>
  <c r="AB159" i="6"/>
  <c r="AA159" i="6"/>
  <c r="Z159" i="6"/>
  <c r="Y159" i="6"/>
  <c r="X159" i="6"/>
  <c r="W159" i="6"/>
  <c r="V159" i="6"/>
  <c r="U159" i="6"/>
  <c r="T159" i="6"/>
  <c r="S159" i="6"/>
  <c r="R159" i="6"/>
  <c r="Q159" i="6"/>
  <c r="P159" i="6"/>
  <c r="O159" i="6"/>
  <c r="N159" i="6"/>
  <c r="M159" i="6"/>
  <c r="L159" i="6"/>
  <c r="K159" i="6"/>
  <c r="J159" i="6"/>
  <c r="I159" i="6"/>
  <c r="H159" i="6"/>
  <c r="G159" i="6"/>
  <c r="DI158" i="6"/>
  <c r="DH158" i="6"/>
  <c r="DG158" i="6"/>
  <c r="DF158" i="6"/>
  <c r="DE158" i="6"/>
  <c r="DD158" i="6"/>
  <c r="DC158" i="6"/>
  <c r="DB158" i="6"/>
  <c r="DA158" i="6"/>
  <c r="CZ158" i="6"/>
  <c r="CY158" i="6"/>
  <c r="CX158" i="6"/>
  <c r="CW158" i="6"/>
  <c r="CV158" i="6"/>
  <c r="CU158" i="6"/>
  <c r="CT158" i="6"/>
  <c r="CS158" i="6"/>
  <c r="CR158" i="6"/>
  <c r="CQ158" i="6"/>
  <c r="CP158" i="6"/>
  <c r="CO158" i="6"/>
  <c r="CN158" i="6"/>
  <c r="CM158" i="6"/>
  <c r="CL158" i="6"/>
  <c r="CK158" i="6"/>
  <c r="CJ158" i="6"/>
  <c r="CI158" i="6"/>
  <c r="CH158" i="6"/>
  <c r="CG158" i="6"/>
  <c r="CF158" i="6"/>
  <c r="CE158" i="6"/>
  <c r="CD158" i="6"/>
  <c r="CC158" i="6"/>
  <c r="CB158" i="6"/>
  <c r="CA158" i="6"/>
  <c r="BZ158" i="6"/>
  <c r="BY158" i="6"/>
  <c r="BX158" i="6"/>
  <c r="BW158" i="6"/>
  <c r="BV158" i="6"/>
  <c r="BU158" i="6"/>
  <c r="BT158" i="6"/>
  <c r="BS158" i="6"/>
  <c r="BR158" i="6"/>
  <c r="BQ158" i="6"/>
  <c r="BP158" i="6"/>
  <c r="BO158" i="6"/>
  <c r="BN158" i="6"/>
  <c r="BM158" i="6"/>
  <c r="BL158" i="6"/>
  <c r="BK158" i="6"/>
  <c r="BJ158" i="6"/>
  <c r="BI158" i="6"/>
  <c r="BH158" i="6"/>
  <c r="BG158" i="6"/>
  <c r="BF158" i="6"/>
  <c r="BE158" i="6"/>
  <c r="BD158" i="6"/>
  <c r="BC158" i="6"/>
  <c r="BB158" i="6"/>
  <c r="BA158" i="6"/>
  <c r="AZ158" i="6"/>
  <c r="AY158" i="6"/>
  <c r="AX158" i="6"/>
  <c r="AW158" i="6"/>
  <c r="AV158" i="6"/>
  <c r="AU158" i="6"/>
  <c r="AT158" i="6"/>
  <c r="AS158" i="6"/>
  <c r="AR158" i="6"/>
  <c r="AQ158" i="6"/>
  <c r="AP158" i="6"/>
  <c r="AO158" i="6"/>
  <c r="AN158" i="6"/>
  <c r="AM158" i="6"/>
  <c r="AL158" i="6"/>
  <c r="AK158" i="6"/>
  <c r="AJ158" i="6"/>
  <c r="AI158" i="6"/>
  <c r="AH158" i="6"/>
  <c r="AG158" i="6"/>
  <c r="AF158" i="6"/>
  <c r="AE158" i="6"/>
  <c r="AD158" i="6"/>
  <c r="AC158" i="6"/>
  <c r="AB158" i="6"/>
  <c r="AA158" i="6"/>
  <c r="Z158" i="6"/>
  <c r="Y158" i="6"/>
  <c r="X158" i="6"/>
  <c r="W158" i="6"/>
  <c r="V158" i="6"/>
  <c r="U158" i="6"/>
  <c r="T158" i="6"/>
  <c r="S158" i="6"/>
  <c r="R158" i="6"/>
  <c r="Q158" i="6"/>
  <c r="P158" i="6"/>
  <c r="O158" i="6"/>
  <c r="N158" i="6"/>
  <c r="M158" i="6"/>
  <c r="L158" i="6"/>
  <c r="K158" i="6"/>
  <c r="J158" i="6"/>
  <c r="I158" i="6"/>
  <c r="H158" i="6"/>
  <c r="G158" i="6"/>
  <c r="DI157" i="6"/>
  <c r="DH157" i="6"/>
  <c r="DG157" i="6"/>
  <c r="DF157" i="6"/>
  <c r="DE157" i="6"/>
  <c r="DD157" i="6"/>
  <c r="DC157" i="6"/>
  <c r="DB157" i="6"/>
  <c r="DA157" i="6"/>
  <c r="CZ157" i="6"/>
  <c r="CY157" i="6"/>
  <c r="CX157" i="6"/>
  <c r="CW157" i="6"/>
  <c r="CV157" i="6"/>
  <c r="CU157" i="6"/>
  <c r="CT157" i="6"/>
  <c r="CS157" i="6"/>
  <c r="CR157" i="6"/>
  <c r="CQ157" i="6"/>
  <c r="CP157" i="6"/>
  <c r="CO157" i="6"/>
  <c r="CN157" i="6"/>
  <c r="CM157" i="6"/>
  <c r="CL157" i="6"/>
  <c r="CK157" i="6"/>
  <c r="CJ157" i="6"/>
  <c r="CI157" i="6"/>
  <c r="CH157" i="6"/>
  <c r="CG157" i="6"/>
  <c r="CF157" i="6"/>
  <c r="CE157" i="6"/>
  <c r="CD157" i="6"/>
  <c r="CC157" i="6"/>
  <c r="CB157" i="6"/>
  <c r="CA157" i="6"/>
  <c r="BZ157" i="6"/>
  <c r="BY157" i="6"/>
  <c r="BX157" i="6"/>
  <c r="BW157" i="6"/>
  <c r="BV157" i="6"/>
  <c r="BU157" i="6"/>
  <c r="BT157" i="6"/>
  <c r="BS157" i="6"/>
  <c r="BR157" i="6"/>
  <c r="BQ157" i="6"/>
  <c r="BP157" i="6"/>
  <c r="BO157" i="6"/>
  <c r="BN157" i="6"/>
  <c r="BM157" i="6"/>
  <c r="BL157" i="6"/>
  <c r="BK157" i="6"/>
  <c r="BJ157" i="6"/>
  <c r="BI157" i="6"/>
  <c r="BH157" i="6"/>
  <c r="BG157" i="6"/>
  <c r="BF157" i="6"/>
  <c r="BE157" i="6"/>
  <c r="BD157" i="6"/>
  <c r="BC157" i="6"/>
  <c r="BB157" i="6"/>
  <c r="BA157" i="6"/>
  <c r="AZ157" i="6"/>
  <c r="AY157" i="6"/>
  <c r="AX157" i="6"/>
  <c r="AW157" i="6"/>
  <c r="AV157" i="6"/>
  <c r="AU157" i="6"/>
  <c r="AT157" i="6"/>
  <c r="AS157" i="6"/>
  <c r="AR157" i="6"/>
  <c r="AQ157" i="6"/>
  <c r="AP157" i="6"/>
  <c r="AO157" i="6"/>
  <c r="AN157" i="6"/>
  <c r="AM157" i="6"/>
  <c r="AL157" i="6"/>
  <c r="AK157" i="6"/>
  <c r="AJ157" i="6"/>
  <c r="AI157" i="6"/>
  <c r="AH157" i="6"/>
  <c r="AG157" i="6"/>
  <c r="AF157" i="6"/>
  <c r="AE157" i="6"/>
  <c r="AD157" i="6"/>
  <c r="AC157" i="6"/>
  <c r="AB157" i="6"/>
  <c r="AA157" i="6"/>
  <c r="Z157" i="6"/>
  <c r="Y157" i="6"/>
  <c r="X157" i="6"/>
  <c r="W157" i="6"/>
  <c r="V157" i="6"/>
  <c r="U157" i="6"/>
  <c r="T157" i="6"/>
  <c r="S157" i="6"/>
  <c r="R157" i="6"/>
  <c r="Q157" i="6"/>
  <c r="P157" i="6"/>
  <c r="O157" i="6"/>
  <c r="N157" i="6"/>
  <c r="M157" i="6"/>
  <c r="L157" i="6"/>
  <c r="K157" i="6"/>
  <c r="J157" i="6"/>
  <c r="I157" i="6"/>
  <c r="H157" i="6"/>
  <c r="G157" i="6"/>
  <c r="DI156" i="6"/>
  <c r="DH156" i="6"/>
  <c r="DG156" i="6"/>
  <c r="DF156" i="6"/>
  <c r="DE156" i="6"/>
  <c r="DD156" i="6"/>
  <c r="DC156" i="6"/>
  <c r="DB156" i="6"/>
  <c r="DA156" i="6"/>
  <c r="CZ156" i="6"/>
  <c r="CY156" i="6"/>
  <c r="CX156" i="6"/>
  <c r="CW156" i="6"/>
  <c r="CV156" i="6"/>
  <c r="CU156" i="6"/>
  <c r="CT156" i="6"/>
  <c r="CS156" i="6"/>
  <c r="CR156" i="6"/>
  <c r="CQ156" i="6"/>
  <c r="CP156" i="6"/>
  <c r="CO156" i="6"/>
  <c r="CN156" i="6"/>
  <c r="CM156" i="6"/>
  <c r="CL156" i="6"/>
  <c r="CK156" i="6"/>
  <c r="CJ156" i="6"/>
  <c r="CI156" i="6"/>
  <c r="CH156" i="6"/>
  <c r="CG156" i="6"/>
  <c r="CF156" i="6"/>
  <c r="CE156" i="6"/>
  <c r="CD156" i="6"/>
  <c r="CC156" i="6"/>
  <c r="CB156" i="6"/>
  <c r="CA156" i="6"/>
  <c r="BZ156" i="6"/>
  <c r="BY156" i="6"/>
  <c r="BX156" i="6"/>
  <c r="BW156" i="6"/>
  <c r="BV156" i="6"/>
  <c r="BU156" i="6"/>
  <c r="BT156" i="6"/>
  <c r="BS156" i="6"/>
  <c r="BR156" i="6"/>
  <c r="BQ156" i="6"/>
  <c r="BP156" i="6"/>
  <c r="BO156" i="6"/>
  <c r="BN156" i="6"/>
  <c r="BM156" i="6"/>
  <c r="BL156" i="6"/>
  <c r="BK156" i="6"/>
  <c r="BJ156" i="6"/>
  <c r="BI156" i="6"/>
  <c r="BH156" i="6"/>
  <c r="BG156" i="6"/>
  <c r="BF156" i="6"/>
  <c r="BE156" i="6"/>
  <c r="BD156" i="6"/>
  <c r="BC156" i="6"/>
  <c r="BB156" i="6"/>
  <c r="BA156" i="6"/>
  <c r="AZ156" i="6"/>
  <c r="AY156" i="6"/>
  <c r="AX156" i="6"/>
  <c r="AW156" i="6"/>
  <c r="AV156" i="6"/>
  <c r="AU156" i="6"/>
  <c r="AT156" i="6"/>
  <c r="AS156" i="6"/>
  <c r="AR156" i="6"/>
  <c r="AQ156" i="6"/>
  <c r="AP156" i="6"/>
  <c r="AO156" i="6"/>
  <c r="AN156" i="6"/>
  <c r="AM156" i="6"/>
  <c r="AL156" i="6"/>
  <c r="AK156" i="6"/>
  <c r="AJ156" i="6"/>
  <c r="AI156" i="6"/>
  <c r="AH156" i="6"/>
  <c r="AG156" i="6"/>
  <c r="AF156" i="6"/>
  <c r="AE156" i="6"/>
  <c r="AD156" i="6"/>
  <c r="AC156" i="6"/>
  <c r="AB156" i="6"/>
  <c r="AA156" i="6"/>
  <c r="Z156" i="6"/>
  <c r="Y156" i="6"/>
  <c r="X156" i="6"/>
  <c r="W156" i="6"/>
  <c r="V156" i="6"/>
  <c r="U156" i="6"/>
  <c r="T156" i="6"/>
  <c r="S156" i="6"/>
  <c r="R156" i="6"/>
  <c r="Q156" i="6"/>
  <c r="P156" i="6"/>
  <c r="O156" i="6"/>
  <c r="N156" i="6"/>
  <c r="M156" i="6"/>
  <c r="L156" i="6"/>
  <c r="K156" i="6"/>
  <c r="J156" i="6"/>
  <c r="I156" i="6"/>
  <c r="H156" i="6"/>
  <c r="G156" i="6"/>
  <c r="DI155" i="6"/>
  <c r="DH155" i="6"/>
  <c r="DG155" i="6"/>
  <c r="DF155" i="6"/>
  <c r="DE155" i="6"/>
  <c r="DD155" i="6"/>
  <c r="DC155" i="6"/>
  <c r="DB155" i="6"/>
  <c r="DA155" i="6"/>
  <c r="CZ155" i="6"/>
  <c r="CY155" i="6"/>
  <c r="CX155" i="6"/>
  <c r="CW155" i="6"/>
  <c r="CV155" i="6"/>
  <c r="CU155" i="6"/>
  <c r="CT155" i="6"/>
  <c r="CS155" i="6"/>
  <c r="CR155" i="6"/>
  <c r="CQ155" i="6"/>
  <c r="CP155" i="6"/>
  <c r="CO155" i="6"/>
  <c r="CN155" i="6"/>
  <c r="CM155" i="6"/>
  <c r="CL155" i="6"/>
  <c r="CK155" i="6"/>
  <c r="CJ155" i="6"/>
  <c r="CI155" i="6"/>
  <c r="CH155" i="6"/>
  <c r="CG155" i="6"/>
  <c r="CF155" i="6"/>
  <c r="CE155" i="6"/>
  <c r="CD155" i="6"/>
  <c r="CC155" i="6"/>
  <c r="CB155" i="6"/>
  <c r="CA155" i="6"/>
  <c r="BZ155" i="6"/>
  <c r="BY155" i="6"/>
  <c r="BX155" i="6"/>
  <c r="BW155" i="6"/>
  <c r="BV155" i="6"/>
  <c r="BU155" i="6"/>
  <c r="BT155" i="6"/>
  <c r="BS155" i="6"/>
  <c r="BR155" i="6"/>
  <c r="BQ155" i="6"/>
  <c r="BP155" i="6"/>
  <c r="BO155" i="6"/>
  <c r="BN155" i="6"/>
  <c r="BM155" i="6"/>
  <c r="BL155" i="6"/>
  <c r="BK155" i="6"/>
  <c r="BJ155" i="6"/>
  <c r="BI155" i="6"/>
  <c r="BH155" i="6"/>
  <c r="BG155" i="6"/>
  <c r="BF155" i="6"/>
  <c r="BE155" i="6"/>
  <c r="BD155" i="6"/>
  <c r="BC155" i="6"/>
  <c r="BB155" i="6"/>
  <c r="BA155" i="6"/>
  <c r="AZ155" i="6"/>
  <c r="AY155" i="6"/>
  <c r="AX155" i="6"/>
  <c r="AW155" i="6"/>
  <c r="AV155" i="6"/>
  <c r="AU155" i="6"/>
  <c r="AT155" i="6"/>
  <c r="AS155" i="6"/>
  <c r="AR155" i="6"/>
  <c r="AQ155" i="6"/>
  <c r="AP155" i="6"/>
  <c r="AO155" i="6"/>
  <c r="AN155" i="6"/>
  <c r="AM155" i="6"/>
  <c r="AL155" i="6"/>
  <c r="AK155" i="6"/>
  <c r="AJ155" i="6"/>
  <c r="AI155" i="6"/>
  <c r="AH155" i="6"/>
  <c r="AG155" i="6"/>
  <c r="AF155" i="6"/>
  <c r="AE155" i="6"/>
  <c r="AD155" i="6"/>
  <c r="AC155" i="6"/>
  <c r="AB155" i="6"/>
  <c r="AA155" i="6"/>
  <c r="Z155" i="6"/>
  <c r="Y155" i="6"/>
  <c r="X155" i="6"/>
  <c r="W155" i="6"/>
  <c r="V155" i="6"/>
  <c r="U155" i="6"/>
  <c r="T155" i="6"/>
  <c r="S155" i="6"/>
  <c r="R155" i="6"/>
  <c r="Q155" i="6"/>
  <c r="P155" i="6"/>
  <c r="O155" i="6"/>
  <c r="N155" i="6"/>
  <c r="M155" i="6"/>
  <c r="L155" i="6"/>
  <c r="K155" i="6"/>
  <c r="J155" i="6"/>
  <c r="I155" i="6"/>
  <c r="H155" i="6"/>
  <c r="G155" i="6"/>
  <c r="DI154" i="6"/>
  <c r="DH154" i="6"/>
  <c r="DG154" i="6"/>
  <c r="DF154" i="6"/>
  <c r="DE154" i="6"/>
  <c r="DD154" i="6"/>
  <c r="DC154" i="6"/>
  <c r="DB154" i="6"/>
  <c r="DA154" i="6"/>
  <c r="CZ154" i="6"/>
  <c r="CY154" i="6"/>
  <c r="CX154" i="6"/>
  <c r="CW154" i="6"/>
  <c r="CV154" i="6"/>
  <c r="CU154" i="6"/>
  <c r="CT154" i="6"/>
  <c r="CS154" i="6"/>
  <c r="CR154" i="6"/>
  <c r="CQ154" i="6"/>
  <c r="CP154" i="6"/>
  <c r="CO154" i="6"/>
  <c r="CN154" i="6"/>
  <c r="CM154" i="6"/>
  <c r="CL154" i="6"/>
  <c r="CK154" i="6"/>
  <c r="CJ154" i="6"/>
  <c r="CI154" i="6"/>
  <c r="CH154" i="6"/>
  <c r="CG154" i="6"/>
  <c r="CF154" i="6"/>
  <c r="CE154" i="6"/>
  <c r="CD154" i="6"/>
  <c r="CC154" i="6"/>
  <c r="CB154" i="6"/>
  <c r="CA154" i="6"/>
  <c r="BZ154" i="6"/>
  <c r="BY154" i="6"/>
  <c r="BX154" i="6"/>
  <c r="BW154" i="6"/>
  <c r="BV154" i="6"/>
  <c r="BU154" i="6"/>
  <c r="BT154" i="6"/>
  <c r="BS154" i="6"/>
  <c r="BR154" i="6"/>
  <c r="BQ154" i="6"/>
  <c r="BP154" i="6"/>
  <c r="BO154" i="6"/>
  <c r="BN154" i="6"/>
  <c r="BM154" i="6"/>
  <c r="BL154" i="6"/>
  <c r="BK154" i="6"/>
  <c r="BJ154" i="6"/>
  <c r="BI154" i="6"/>
  <c r="BH154" i="6"/>
  <c r="BG154" i="6"/>
  <c r="BF154" i="6"/>
  <c r="BE154" i="6"/>
  <c r="BD154" i="6"/>
  <c r="BC154" i="6"/>
  <c r="BB154" i="6"/>
  <c r="BA154" i="6"/>
  <c r="AZ154" i="6"/>
  <c r="AY154" i="6"/>
  <c r="AX154" i="6"/>
  <c r="AW154" i="6"/>
  <c r="AV154" i="6"/>
  <c r="AU154" i="6"/>
  <c r="AT154" i="6"/>
  <c r="AS154" i="6"/>
  <c r="AR154" i="6"/>
  <c r="AQ154" i="6"/>
  <c r="AP154" i="6"/>
  <c r="AO154" i="6"/>
  <c r="AN154" i="6"/>
  <c r="AM154" i="6"/>
  <c r="AL154" i="6"/>
  <c r="AK154" i="6"/>
  <c r="AJ154" i="6"/>
  <c r="AI154" i="6"/>
  <c r="AH154" i="6"/>
  <c r="AG154" i="6"/>
  <c r="AF154" i="6"/>
  <c r="AE154" i="6"/>
  <c r="AD154" i="6"/>
  <c r="AC154" i="6"/>
  <c r="AB154" i="6"/>
  <c r="AA154" i="6"/>
  <c r="Z154" i="6"/>
  <c r="Y154" i="6"/>
  <c r="X154" i="6"/>
  <c r="W154" i="6"/>
  <c r="V154" i="6"/>
  <c r="U154" i="6"/>
  <c r="T154" i="6"/>
  <c r="S154" i="6"/>
  <c r="R154" i="6"/>
  <c r="Q154" i="6"/>
  <c r="P154" i="6"/>
  <c r="O154" i="6"/>
  <c r="N154" i="6"/>
  <c r="M154" i="6"/>
  <c r="L154" i="6"/>
  <c r="K154" i="6"/>
  <c r="J154" i="6"/>
  <c r="I154" i="6"/>
  <c r="H154" i="6"/>
  <c r="G154" i="6"/>
  <c r="DI153" i="6"/>
  <c r="DH153" i="6"/>
  <c r="DG153" i="6"/>
  <c r="DF153" i="6"/>
  <c r="DE153" i="6"/>
  <c r="DD153" i="6"/>
  <c r="DC153" i="6"/>
  <c r="DB153" i="6"/>
  <c r="DA153" i="6"/>
  <c r="CZ153" i="6"/>
  <c r="CY153" i="6"/>
  <c r="CX153" i="6"/>
  <c r="CW153" i="6"/>
  <c r="CV153" i="6"/>
  <c r="CU153" i="6"/>
  <c r="CT153" i="6"/>
  <c r="CS153" i="6"/>
  <c r="CR153" i="6"/>
  <c r="CQ153" i="6"/>
  <c r="CP153" i="6"/>
  <c r="CO153" i="6"/>
  <c r="CN153" i="6"/>
  <c r="CM153" i="6"/>
  <c r="CL153" i="6"/>
  <c r="CK153" i="6"/>
  <c r="CJ153" i="6"/>
  <c r="CI153" i="6"/>
  <c r="CH153" i="6"/>
  <c r="CG153" i="6"/>
  <c r="CF153" i="6"/>
  <c r="CE153" i="6"/>
  <c r="CD153" i="6"/>
  <c r="CC153" i="6"/>
  <c r="CB153" i="6"/>
  <c r="CA153" i="6"/>
  <c r="BZ153" i="6"/>
  <c r="BY153" i="6"/>
  <c r="BX153" i="6"/>
  <c r="BW153" i="6"/>
  <c r="BV153" i="6"/>
  <c r="BU153" i="6"/>
  <c r="BT153" i="6"/>
  <c r="BS153" i="6"/>
  <c r="BR153" i="6"/>
  <c r="BQ153" i="6"/>
  <c r="BP153" i="6"/>
  <c r="BO153" i="6"/>
  <c r="BN153" i="6"/>
  <c r="BM153" i="6"/>
  <c r="BL153" i="6"/>
  <c r="BK153" i="6"/>
  <c r="BJ153" i="6"/>
  <c r="BI153" i="6"/>
  <c r="BH153" i="6"/>
  <c r="BG153" i="6"/>
  <c r="BF153" i="6"/>
  <c r="BE153" i="6"/>
  <c r="BD153" i="6"/>
  <c r="BC153" i="6"/>
  <c r="BB153" i="6"/>
  <c r="BA153" i="6"/>
  <c r="AZ153" i="6"/>
  <c r="AY153" i="6"/>
  <c r="AX153" i="6"/>
  <c r="AW153" i="6"/>
  <c r="AV153" i="6"/>
  <c r="AU153" i="6"/>
  <c r="AT153" i="6"/>
  <c r="AS153" i="6"/>
  <c r="AR153" i="6"/>
  <c r="AQ153" i="6"/>
  <c r="AP153" i="6"/>
  <c r="AO153" i="6"/>
  <c r="AN153" i="6"/>
  <c r="AM153" i="6"/>
  <c r="AL153" i="6"/>
  <c r="AK153" i="6"/>
  <c r="AJ153" i="6"/>
  <c r="AI153" i="6"/>
  <c r="AH153" i="6"/>
  <c r="AG153" i="6"/>
  <c r="AF153" i="6"/>
  <c r="AE153" i="6"/>
  <c r="AD153" i="6"/>
  <c r="AC153" i="6"/>
  <c r="AB153" i="6"/>
  <c r="AA153" i="6"/>
  <c r="Z153" i="6"/>
  <c r="Y153" i="6"/>
  <c r="X153" i="6"/>
  <c r="W153" i="6"/>
  <c r="V153" i="6"/>
  <c r="U153" i="6"/>
  <c r="T153" i="6"/>
  <c r="S153" i="6"/>
  <c r="R153" i="6"/>
  <c r="Q153" i="6"/>
  <c r="P153" i="6"/>
  <c r="O153" i="6"/>
  <c r="N153" i="6"/>
  <c r="M153" i="6"/>
  <c r="L153" i="6"/>
  <c r="K153" i="6"/>
  <c r="J153" i="6"/>
  <c r="I153" i="6"/>
  <c r="H153" i="6"/>
  <c r="G153" i="6"/>
  <c r="DI152" i="6"/>
  <c r="DH152" i="6"/>
  <c r="DG152" i="6"/>
  <c r="DF152" i="6"/>
  <c r="DE152" i="6"/>
  <c r="DD152" i="6"/>
  <c r="DC152" i="6"/>
  <c r="DB152" i="6"/>
  <c r="DA152" i="6"/>
  <c r="CZ152" i="6"/>
  <c r="CY152" i="6"/>
  <c r="CX152" i="6"/>
  <c r="CW152" i="6"/>
  <c r="CV152" i="6"/>
  <c r="CU152" i="6"/>
  <c r="CT152" i="6"/>
  <c r="CS152" i="6"/>
  <c r="CR152" i="6"/>
  <c r="CQ152" i="6"/>
  <c r="CP152" i="6"/>
  <c r="CO152" i="6"/>
  <c r="CN152" i="6"/>
  <c r="CM152" i="6"/>
  <c r="CL152" i="6"/>
  <c r="CK152" i="6"/>
  <c r="CJ152" i="6"/>
  <c r="CI152" i="6"/>
  <c r="CH152" i="6"/>
  <c r="CG152" i="6"/>
  <c r="CF152" i="6"/>
  <c r="CE152" i="6"/>
  <c r="CD152" i="6"/>
  <c r="CC152" i="6"/>
  <c r="CB152" i="6"/>
  <c r="CA152" i="6"/>
  <c r="BZ152" i="6"/>
  <c r="BY152" i="6"/>
  <c r="BX152" i="6"/>
  <c r="BW152" i="6"/>
  <c r="BV152" i="6"/>
  <c r="BU152" i="6"/>
  <c r="BT152" i="6"/>
  <c r="BS152" i="6"/>
  <c r="BR152" i="6"/>
  <c r="BQ152" i="6"/>
  <c r="BP152" i="6"/>
  <c r="BO152" i="6"/>
  <c r="BN152" i="6"/>
  <c r="BM152" i="6"/>
  <c r="BL152" i="6"/>
  <c r="BK152" i="6"/>
  <c r="BJ152" i="6"/>
  <c r="BI152" i="6"/>
  <c r="BH152" i="6"/>
  <c r="BG152" i="6"/>
  <c r="BF152" i="6"/>
  <c r="BE152" i="6"/>
  <c r="BD152" i="6"/>
  <c r="BC152" i="6"/>
  <c r="BB152" i="6"/>
  <c r="BA152" i="6"/>
  <c r="AZ152" i="6"/>
  <c r="AY152" i="6"/>
  <c r="AX152" i="6"/>
  <c r="AW152" i="6"/>
  <c r="AV152" i="6"/>
  <c r="AU152" i="6"/>
  <c r="AT152" i="6"/>
  <c r="AS152" i="6"/>
  <c r="AR152" i="6"/>
  <c r="AQ152" i="6"/>
  <c r="AP152" i="6"/>
  <c r="AO152" i="6"/>
  <c r="AN152" i="6"/>
  <c r="AM152" i="6"/>
  <c r="AL152" i="6"/>
  <c r="AK152" i="6"/>
  <c r="AJ152" i="6"/>
  <c r="AI152" i="6"/>
  <c r="AH152" i="6"/>
  <c r="AG152" i="6"/>
  <c r="AF152" i="6"/>
  <c r="AE152" i="6"/>
  <c r="AD152" i="6"/>
  <c r="AC152" i="6"/>
  <c r="AB152" i="6"/>
  <c r="AA152" i="6"/>
  <c r="Z152" i="6"/>
  <c r="Y152" i="6"/>
  <c r="X152" i="6"/>
  <c r="W152" i="6"/>
  <c r="V152" i="6"/>
  <c r="U152" i="6"/>
  <c r="T152" i="6"/>
  <c r="S152" i="6"/>
  <c r="R152" i="6"/>
  <c r="Q152" i="6"/>
  <c r="P152" i="6"/>
  <c r="O152" i="6"/>
  <c r="N152" i="6"/>
  <c r="M152" i="6"/>
  <c r="L152" i="6"/>
  <c r="K152" i="6"/>
  <c r="J152" i="6"/>
  <c r="I152" i="6"/>
  <c r="H152" i="6"/>
  <c r="G152" i="6"/>
  <c r="DI151" i="6"/>
  <c r="DH151" i="6"/>
  <c r="DG151" i="6"/>
  <c r="DF151" i="6"/>
  <c r="DE151" i="6"/>
  <c r="DD151" i="6"/>
  <c r="DC151" i="6"/>
  <c r="DB151" i="6"/>
  <c r="DA151" i="6"/>
  <c r="CZ151" i="6"/>
  <c r="CY151" i="6"/>
  <c r="CX151" i="6"/>
  <c r="CW151" i="6"/>
  <c r="CV151" i="6"/>
  <c r="CU151" i="6"/>
  <c r="CT151" i="6"/>
  <c r="CS151" i="6"/>
  <c r="CR151" i="6"/>
  <c r="CQ151" i="6"/>
  <c r="CP151" i="6"/>
  <c r="CO151" i="6"/>
  <c r="CN151" i="6"/>
  <c r="CM151" i="6"/>
  <c r="CL151" i="6"/>
  <c r="CK151" i="6"/>
  <c r="CJ151" i="6"/>
  <c r="CI151" i="6"/>
  <c r="CH151" i="6"/>
  <c r="CG151" i="6"/>
  <c r="CF151" i="6"/>
  <c r="CE151" i="6"/>
  <c r="CD151" i="6"/>
  <c r="CC151" i="6"/>
  <c r="CB151" i="6"/>
  <c r="CA151" i="6"/>
  <c r="BZ151" i="6"/>
  <c r="BY151" i="6"/>
  <c r="BX151" i="6"/>
  <c r="BW151" i="6"/>
  <c r="BV151" i="6"/>
  <c r="BU151" i="6"/>
  <c r="BT151" i="6"/>
  <c r="BS151" i="6"/>
  <c r="BR151" i="6"/>
  <c r="BQ151" i="6"/>
  <c r="BP151" i="6"/>
  <c r="BO151" i="6"/>
  <c r="BN151" i="6"/>
  <c r="BM151" i="6"/>
  <c r="BL151" i="6"/>
  <c r="BK151" i="6"/>
  <c r="BJ151" i="6"/>
  <c r="BI151" i="6"/>
  <c r="BH151" i="6"/>
  <c r="BG151" i="6"/>
  <c r="BF151" i="6"/>
  <c r="BE151" i="6"/>
  <c r="BD151" i="6"/>
  <c r="BC151" i="6"/>
  <c r="BB151" i="6"/>
  <c r="BA151" i="6"/>
  <c r="AZ151" i="6"/>
  <c r="AY151" i="6"/>
  <c r="AX151" i="6"/>
  <c r="AW151" i="6"/>
  <c r="AV151" i="6"/>
  <c r="AU151" i="6"/>
  <c r="AT151" i="6"/>
  <c r="AS151" i="6"/>
  <c r="AR151" i="6"/>
  <c r="AQ151" i="6"/>
  <c r="AP151" i="6"/>
  <c r="AO151" i="6"/>
  <c r="AN151" i="6"/>
  <c r="AM151" i="6"/>
  <c r="AL151" i="6"/>
  <c r="AK151" i="6"/>
  <c r="AJ151" i="6"/>
  <c r="AI151" i="6"/>
  <c r="AH151" i="6"/>
  <c r="AG151" i="6"/>
  <c r="AF151" i="6"/>
  <c r="AE151" i="6"/>
  <c r="AD151" i="6"/>
  <c r="AC151" i="6"/>
  <c r="AB151" i="6"/>
  <c r="AA151" i="6"/>
  <c r="Z151" i="6"/>
  <c r="Y151" i="6"/>
  <c r="X151" i="6"/>
  <c r="W151" i="6"/>
  <c r="V151" i="6"/>
  <c r="U151" i="6"/>
  <c r="T151" i="6"/>
  <c r="S151" i="6"/>
  <c r="R151" i="6"/>
  <c r="Q151" i="6"/>
  <c r="P151" i="6"/>
  <c r="O151" i="6"/>
  <c r="N151" i="6"/>
  <c r="M151" i="6"/>
  <c r="L151" i="6"/>
  <c r="K151" i="6"/>
  <c r="J151" i="6"/>
  <c r="I151" i="6"/>
  <c r="H151" i="6"/>
  <c r="G151" i="6"/>
  <c r="DI150" i="6"/>
  <c r="DH150" i="6"/>
  <c r="DG150" i="6"/>
  <c r="DF150" i="6"/>
  <c r="DE150" i="6"/>
  <c r="DD150" i="6"/>
  <c r="DC150" i="6"/>
  <c r="DB150" i="6"/>
  <c r="DA150" i="6"/>
  <c r="CZ150" i="6"/>
  <c r="CY150" i="6"/>
  <c r="CX150" i="6"/>
  <c r="CW150" i="6"/>
  <c r="CV150" i="6"/>
  <c r="CU150" i="6"/>
  <c r="CT150" i="6"/>
  <c r="CS150" i="6"/>
  <c r="CR150" i="6"/>
  <c r="CQ150" i="6"/>
  <c r="CP150" i="6"/>
  <c r="CO150" i="6"/>
  <c r="CN150" i="6"/>
  <c r="CM150" i="6"/>
  <c r="CL150" i="6"/>
  <c r="CK150" i="6"/>
  <c r="CJ150" i="6"/>
  <c r="CI150" i="6"/>
  <c r="CH150" i="6"/>
  <c r="CG150" i="6"/>
  <c r="CF150" i="6"/>
  <c r="CE150" i="6"/>
  <c r="CD150" i="6"/>
  <c r="CC150" i="6"/>
  <c r="CB150" i="6"/>
  <c r="CA150" i="6"/>
  <c r="BZ150" i="6"/>
  <c r="BY150" i="6"/>
  <c r="BX150" i="6"/>
  <c r="BW150" i="6"/>
  <c r="BV150" i="6"/>
  <c r="BU150" i="6"/>
  <c r="BT150" i="6"/>
  <c r="BS150" i="6"/>
  <c r="BR150" i="6"/>
  <c r="BQ150" i="6"/>
  <c r="BP150" i="6"/>
  <c r="BO150" i="6"/>
  <c r="BN150" i="6"/>
  <c r="BM150" i="6"/>
  <c r="BL150" i="6"/>
  <c r="BK150" i="6"/>
  <c r="BJ150" i="6"/>
  <c r="BI150" i="6"/>
  <c r="BH150" i="6"/>
  <c r="BG150" i="6"/>
  <c r="BF150" i="6"/>
  <c r="BE150" i="6"/>
  <c r="BD150" i="6"/>
  <c r="BC150" i="6"/>
  <c r="BB150" i="6"/>
  <c r="BA150" i="6"/>
  <c r="AZ150" i="6"/>
  <c r="AY150" i="6"/>
  <c r="AX150" i="6"/>
  <c r="AW150" i="6"/>
  <c r="AV150" i="6"/>
  <c r="AU150" i="6"/>
  <c r="AT150" i="6"/>
  <c r="AS150" i="6"/>
  <c r="AR150" i="6"/>
  <c r="AQ150" i="6"/>
  <c r="AP150" i="6"/>
  <c r="AO150" i="6"/>
  <c r="AN150" i="6"/>
  <c r="AM150" i="6"/>
  <c r="AL150" i="6"/>
  <c r="AK150" i="6"/>
  <c r="AJ150" i="6"/>
  <c r="AI150" i="6"/>
  <c r="AH150" i="6"/>
  <c r="AG150" i="6"/>
  <c r="AF150" i="6"/>
  <c r="AE150" i="6"/>
  <c r="AD150" i="6"/>
  <c r="AC150" i="6"/>
  <c r="AB150" i="6"/>
  <c r="AA150" i="6"/>
  <c r="Z150" i="6"/>
  <c r="Y150" i="6"/>
  <c r="X150" i="6"/>
  <c r="W150" i="6"/>
  <c r="V150" i="6"/>
  <c r="U150" i="6"/>
  <c r="T150" i="6"/>
  <c r="S150" i="6"/>
  <c r="R150" i="6"/>
  <c r="Q150" i="6"/>
  <c r="P150" i="6"/>
  <c r="O150" i="6"/>
  <c r="N150" i="6"/>
  <c r="M150" i="6"/>
  <c r="L150" i="6"/>
  <c r="K150" i="6"/>
  <c r="J150" i="6"/>
  <c r="I150" i="6"/>
  <c r="H150" i="6"/>
  <c r="G150" i="6"/>
  <c r="DI149" i="6"/>
  <c r="DH149" i="6"/>
  <c r="DG149" i="6"/>
  <c r="DF149" i="6"/>
  <c r="DE149" i="6"/>
  <c r="DD149" i="6"/>
  <c r="DC149" i="6"/>
  <c r="DB149" i="6"/>
  <c r="DA149" i="6"/>
  <c r="CZ149" i="6"/>
  <c r="CY149" i="6"/>
  <c r="CX149" i="6"/>
  <c r="CW149" i="6"/>
  <c r="CV149" i="6"/>
  <c r="CU149" i="6"/>
  <c r="CT149" i="6"/>
  <c r="CS149" i="6"/>
  <c r="CR149" i="6"/>
  <c r="CQ149" i="6"/>
  <c r="CP149" i="6"/>
  <c r="CO149" i="6"/>
  <c r="CN149" i="6"/>
  <c r="CM149" i="6"/>
  <c r="CL149" i="6"/>
  <c r="CK149" i="6"/>
  <c r="CJ149" i="6"/>
  <c r="CI149" i="6"/>
  <c r="CH149" i="6"/>
  <c r="CG149" i="6"/>
  <c r="CF149" i="6"/>
  <c r="CE149" i="6"/>
  <c r="CD149" i="6"/>
  <c r="CC149" i="6"/>
  <c r="CB149" i="6"/>
  <c r="CA149" i="6"/>
  <c r="BZ149" i="6"/>
  <c r="BY149" i="6"/>
  <c r="BX149" i="6"/>
  <c r="BW149" i="6"/>
  <c r="BV149" i="6"/>
  <c r="BU149" i="6"/>
  <c r="BT149" i="6"/>
  <c r="BS149" i="6"/>
  <c r="BR149" i="6"/>
  <c r="BQ149" i="6"/>
  <c r="BP149" i="6"/>
  <c r="BO149" i="6"/>
  <c r="BN149" i="6"/>
  <c r="BM149" i="6"/>
  <c r="BL149" i="6"/>
  <c r="BK149" i="6"/>
  <c r="BJ149" i="6"/>
  <c r="BI149" i="6"/>
  <c r="BH149" i="6"/>
  <c r="BG149" i="6"/>
  <c r="BF149" i="6"/>
  <c r="BE149" i="6"/>
  <c r="BD149" i="6"/>
  <c r="BC149" i="6"/>
  <c r="BB149" i="6"/>
  <c r="BA149" i="6"/>
  <c r="AZ149" i="6"/>
  <c r="AY149" i="6"/>
  <c r="AX149" i="6"/>
  <c r="AW149" i="6"/>
  <c r="AV149" i="6"/>
  <c r="AU149" i="6"/>
  <c r="AT149" i="6"/>
  <c r="AS149" i="6"/>
  <c r="AR149" i="6"/>
  <c r="AQ149" i="6"/>
  <c r="AP149" i="6"/>
  <c r="AO149" i="6"/>
  <c r="AN149" i="6"/>
  <c r="AM149" i="6"/>
  <c r="AL149" i="6"/>
  <c r="AK149" i="6"/>
  <c r="AJ149" i="6"/>
  <c r="AI149" i="6"/>
  <c r="AH149" i="6"/>
  <c r="AG149" i="6"/>
  <c r="AF149" i="6"/>
  <c r="AE149" i="6"/>
  <c r="AD149" i="6"/>
  <c r="AC149" i="6"/>
  <c r="AB149" i="6"/>
  <c r="AA149" i="6"/>
  <c r="Z149" i="6"/>
  <c r="Y149" i="6"/>
  <c r="X149" i="6"/>
  <c r="W149" i="6"/>
  <c r="V149" i="6"/>
  <c r="U149" i="6"/>
  <c r="T149" i="6"/>
  <c r="S149" i="6"/>
  <c r="R149" i="6"/>
  <c r="Q149" i="6"/>
  <c r="P149" i="6"/>
  <c r="O149" i="6"/>
  <c r="N149" i="6"/>
  <c r="M149" i="6"/>
  <c r="L149" i="6"/>
  <c r="K149" i="6"/>
  <c r="J149" i="6"/>
  <c r="I149" i="6"/>
  <c r="H149" i="6"/>
  <c r="G149" i="6"/>
  <c r="DI148" i="6"/>
  <c r="DH148" i="6"/>
  <c r="DG148" i="6"/>
  <c r="DF148" i="6"/>
  <c r="DE148" i="6"/>
  <c r="DD148" i="6"/>
  <c r="DC148" i="6"/>
  <c r="DB148" i="6"/>
  <c r="DA148" i="6"/>
  <c r="CZ148" i="6"/>
  <c r="CY148" i="6"/>
  <c r="CX148" i="6"/>
  <c r="CW148" i="6"/>
  <c r="CV148" i="6"/>
  <c r="CU148" i="6"/>
  <c r="CT148" i="6"/>
  <c r="CS148" i="6"/>
  <c r="CR148" i="6"/>
  <c r="CQ148" i="6"/>
  <c r="CP148" i="6"/>
  <c r="CO148" i="6"/>
  <c r="CN148" i="6"/>
  <c r="CM148" i="6"/>
  <c r="CL148" i="6"/>
  <c r="CK148" i="6"/>
  <c r="CJ148" i="6"/>
  <c r="CI148" i="6"/>
  <c r="CH148" i="6"/>
  <c r="CG148" i="6"/>
  <c r="CF148" i="6"/>
  <c r="CE148" i="6"/>
  <c r="CD148" i="6"/>
  <c r="CC148" i="6"/>
  <c r="CB148" i="6"/>
  <c r="CA148" i="6"/>
  <c r="BZ148" i="6"/>
  <c r="BY148" i="6"/>
  <c r="BX148" i="6"/>
  <c r="BW148" i="6"/>
  <c r="BV148" i="6"/>
  <c r="BU148" i="6"/>
  <c r="BT148" i="6"/>
  <c r="BS148" i="6"/>
  <c r="BR148" i="6"/>
  <c r="BQ148" i="6"/>
  <c r="BP148" i="6"/>
  <c r="BO148" i="6"/>
  <c r="BN148" i="6"/>
  <c r="BM148" i="6"/>
  <c r="BL148" i="6"/>
  <c r="BK148" i="6"/>
  <c r="BJ148" i="6"/>
  <c r="BI148" i="6"/>
  <c r="BH148" i="6"/>
  <c r="BG148" i="6"/>
  <c r="BF148" i="6"/>
  <c r="BE148" i="6"/>
  <c r="BD148" i="6"/>
  <c r="BC148" i="6"/>
  <c r="BB148" i="6"/>
  <c r="BA148" i="6"/>
  <c r="AZ148" i="6"/>
  <c r="AY148" i="6"/>
  <c r="AX148" i="6"/>
  <c r="AW148" i="6"/>
  <c r="AV148" i="6"/>
  <c r="AU148" i="6"/>
  <c r="AT148" i="6"/>
  <c r="AS148" i="6"/>
  <c r="AR148" i="6"/>
  <c r="AQ148" i="6"/>
  <c r="AP148" i="6"/>
  <c r="AO148" i="6"/>
  <c r="AN148" i="6"/>
  <c r="AM148" i="6"/>
  <c r="AL148" i="6"/>
  <c r="AK148" i="6"/>
  <c r="AJ148" i="6"/>
  <c r="AI148" i="6"/>
  <c r="AH148" i="6"/>
  <c r="AG148" i="6"/>
  <c r="AF148" i="6"/>
  <c r="AE148" i="6"/>
  <c r="AD148" i="6"/>
  <c r="AC148" i="6"/>
  <c r="AB148" i="6"/>
  <c r="AA148" i="6"/>
  <c r="Z148" i="6"/>
  <c r="Y148" i="6"/>
  <c r="X148" i="6"/>
  <c r="W148" i="6"/>
  <c r="V148" i="6"/>
  <c r="U148" i="6"/>
  <c r="T148" i="6"/>
  <c r="S148" i="6"/>
  <c r="R148" i="6"/>
  <c r="Q148" i="6"/>
  <c r="P148" i="6"/>
  <c r="O148" i="6"/>
  <c r="N148" i="6"/>
  <c r="M148" i="6"/>
  <c r="L148" i="6"/>
  <c r="K148" i="6"/>
  <c r="J148" i="6"/>
  <c r="I148" i="6"/>
  <c r="H148" i="6"/>
  <c r="G148" i="6"/>
  <c r="DI147" i="6"/>
  <c r="DH147" i="6"/>
  <c r="DG147" i="6"/>
  <c r="DF147" i="6"/>
  <c r="DE147" i="6"/>
  <c r="DD147" i="6"/>
  <c r="DC147" i="6"/>
  <c r="DB147" i="6"/>
  <c r="DA147" i="6"/>
  <c r="CZ147" i="6"/>
  <c r="CY147" i="6"/>
  <c r="CX147" i="6"/>
  <c r="CW147" i="6"/>
  <c r="CV147" i="6"/>
  <c r="CU147" i="6"/>
  <c r="CT147" i="6"/>
  <c r="CS147" i="6"/>
  <c r="CR147" i="6"/>
  <c r="CQ147" i="6"/>
  <c r="CP147" i="6"/>
  <c r="CO147" i="6"/>
  <c r="CN147" i="6"/>
  <c r="CM147" i="6"/>
  <c r="CL147" i="6"/>
  <c r="CK147" i="6"/>
  <c r="CJ147" i="6"/>
  <c r="CI147" i="6"/>
  <c r="CH147" i="6"/>
  <c r="CG147" i="6"/>
  <c r="CF147" i="6"/>
  <c r="CE147" i="6"/>
  <c r="CD147" i="6"/>
  <c r="CC147" i="6"/>
  <c r="CB147" i="6"/>
  <c r="CA147" i="6"/>
  <c r="BZ147" i="6"/>
  <c r="BY147" i="6"/>
  <c r="BX147" i="6"/>
  <c r="BW147" i="6"/>
  <c r="BV147" i="6"/>
  <c r="BU147" i="6"/>
  <c r="BT147" i="6"/>
  <c r="BS147" i="6"/>
  <c r="BR147" i="6"/>
  <c r="BQ147" i="6"/>
  <c r="BP147" i="6"/>
  <c r="BO147" i="6"/>
  <c r="BN147" i="6"/>
  <c r="BM147" i="6"/>
  <c r="BL147" i="6"/>
  <c r="BK147" i="6"/>
  <c r="BJ147" i="6"/>
  <c r="BI147" i="6"/>
  <c r="BH147" i="6"/>
  <c r="BG147" i="6"/>
  <c r="BF147" i="6"/>
  <c r="BE147" i="6"/>
  <c r="BD147" i="6"/>
  <c r="BC147" i="6"/>
  <c r="BB147" i="6"/>
  <c r="BA147" i="6"/>
  <c r="AZ147" i="6"/>
  <c r="AY147" i="6"/>
  <c r="AX147" i="6"/>
  <c r="AW147" i="6"/>
  <c r="AV147" i="6"/>
  <c r="AU147" i="6"/>
  <c r="AT147" i="6"/>
  <c r="AS147" i="6"/>
  <c r="AR147" i="6"/>
  <c r="AQ147" i="6"/>
  <c r="AP147" i="6"/>
  <c r="AO147" i="6"/>
  <c r="AN147" i="6"/>
  <c r="AM147" i="6"/>
  <c r="AL147" i="6"/>
  <c r="AK147" i="6"/>
  <c r="AJ147" i="6"/>
  <c r="AI147" i="6"/>
  <c r="AH147" i="6"/>
  <c r="AG147" i="6"/>
  <c r="AF147" i="6"/>
  <c r="AE147" i="6"/>
  <c r="AD147" i="6"/>
  <c r="AC147" i="6"/>
  <c r="AB147" i="6"/>
  <c r="AA147" i="6"/>
  <c r="Z147" i="6"/>
  <c r="Y147" i="6"/>
  <c r="X147" i="6"/>
  <c r="W147" i="6"/>
  <c r="V147" i="6"/>
  <c r="U147" i="6"/>
  <c r="T147" i="6"/>
  <c r="S147" i="6"/>
  <c r="R147" i="6"/>
  <c r="Q147" i="6"/>
  <c r="P147" i="6"/>
  <c r="O147" i="6"/>
  <c r="N147" i="6"/>
  <c r="M147" i="6"/>
  <c r="L147" i="6"/>
  <c r="K147" i="6"/>
  <c r="J147" i="6"/>
  <c r="I147" i="6"/>
  <c r="H147" i="6"/>
  <c r="G147" i="6"/>
  <c r="DI146" i="6"/>
  <c r="DH146" i="6"/>
  <c r="DG146" i="6"/>
  <c r="DF146" i="6"/>
  <c r="DE146" i="6"/>
  <c r="DD146" i="6"/>
  <c r="DC146" i="6"/>
  <c r="DB146" i="6"/>
  <c r="DA146" i="6"/>
  <c r="CZ146" i="6"/>
  <c r="CY146" i="6"/>
  <c r="CX146" i="6"/>
  <c r="CW146" i="6"/>
  <c r="CV146" i="6"/>
  <c r="CU146" i="6"/>
  <c r="CT146" i="6"/>
  <c r="CS146" i="6"/>
  <c r="CR146" i="6"/>
  <c r="CQ146" i="6"/>
  <c r="CP146" i="6"/>
  <c r="CO146" i="6"/>
  <c r="CN146" i="6"/>
  <c r="CM146" i="6"/>
  <c r="CL146" i="6"/>
  <c r="CK146" i="6"/>
  <c r="CJ146" i="6"/>
  <c r="CI146" i="6"/>
  <c r="CH146" i="6"/>
  <c r="CG146" i="6"/>
  <c r="CF146" i="6"/>
  <c r="CE146" i="6"/>
  <c r="CD146" i="6"/>
  <c r="CC146" i="6"/>
  <c r="CB146" i="6"/>
  <c r="CA146" i="6"/>
  <c r="BZ146" i="6"/>
  <c r="BY146" i="6"/>
  <c r="BX146" i="6"/>
  <c r="BW146" i="6"/>
  <c r="BV146" i="6"/>
  <c r="BU146" i="6"/>
  <c r="BT146" i="6"/>
  <c r="BS146" i="6"/>
  <c r="BR146" i="6"/>
  <c r="BQ146" i="6"/>
  <c r="BP146" i="6"/>
  <c r="BO146" i="6"/>
  <c r="BN146" i="6"/>
  <c r="BM146" i="6"/>
  <c r="BL146" i="6"/>
  <c r="BK146" i="6"/>
  <c r="BJ146" i="6"/>
  <c r="BI146" i="6"/>
  <c r="BH146" i="6"/>
  <c r="BG146" i="6"/>
  <c r="BF146" i="6"/>
  <c r="BE146" i="6"/>
  <c r="BD146" i="6"/>
  <c r="BC146" i="6"/>
  <c r="BB146" i="6"/>
  <c r="BA146" i="6"/>
  <c r="AZ146" i="6"/>
  <c r="AY146" i="6"/>
  <c r="AX146" i="6"/>
  <c r="AW146" i="6"/>
  <c r="AV146" i="6"/>
  <c r="AU146" i="6"/>
  <c r="AT146" i="6"/>
  <c r="AS146" i="6"/>
  <c r="AR146" i="6"/>
  <c r="AQ146" i="6"/>
  <c r="AP146" i="6"/>
  <c r="AO146" i="6"/>
  <c r="AN146" i="6"/>
  <c r="AM146" i="6"/>
  <c r="AL146" i="6"/>
  <c r="AK146" i="6"/>
  <c r="AJ146" i="6"/>
  <c r="AI146" i="6"/>
  <c r="AH146" i="6"/>
  <c r="AG146" i="6"/>
  <c r="AF146" i="6"/>
  <c r="AE146" i="6"/>
  <c r="AD146" i="6"/>
  <c r="AC146" i="6"/>
  <c r="AB146" i="6"/>
  <c r="AA146" i="6"/>
  <c r="Z146" i="6"/>
  <c r="Y146" i="6"/>
  <c r="X146" i="6"/>
  <c r="W146" i="6"/>
  <c r="V146" i="6"/>
  <c r="U146" i="6"/>
  <c r="T146" i="6"/>
  <c r="S146" i="6"/>
  <c r="R146" i="6"/>
  <c r="Q146" i="6"/>
  <c r="P146" i="6"/>
  <c r="O146" i="6"/>
  <c r="N146" i="6"/>
  <c r="M146" i="6"/>
  <c r="L146" i="6"/>
  <c r="K146" i="6"/>
  <c r="J146" i="6"/>
  <c r="I146" i="6"/>
  <c r="H146" i="6"/>
  <c r="G146" i="6"/>
  <c r="DI145" i="6"/>
  <c r="DH145" i="6"/>
  <c r="DG145" i="6"/>
  <c r="DF145" i="6"/>
  <c r="DE145" i="6"/>
  <c r="DD145" i="6"/>
  <c r="DC145" i="6"/>
  <c r="DB145" i="6"/>
  <c r="DA145" i="6"/>
  <c r="CZ145" i="6"/>
  <c r="CY145" i="6"/>
  <c r="CX145" i="6"/>
  <c r="CW145" i="6"/>
  <c r="CV145" i="6"/>
  <c r="CU145" i="6"/>
  <c r="CT145" i="6"/>
  <c r="CS145" i="6"/>
  <c r="CR145" i="6"/>
  <c r="CQ145" i="6"/>
  <c r="CP145" i="6"/>
  <c r="CO145" i="6"/>
  <c r="CN145" i="6"/>
  <c r="CM145" i="6"/>
  <c r="CL145" i="6"/>
  <c r="CK145" i="6"/>
  <c r="CJ145" i="6"/>
  <c r="CI145" i="6"/>
  <c r="CH145" i="6"/>
  <c r="CG145" i="6"/>
  <c r="CF145" i="6"/>
  <c r="CE145" i="6"/>
  <c r="CD145" i="6"/>
  <c r="CC145" i="6"/>
  <c r="CB145" i="6"/>
  <c r="CA145" i="6"/>
  <c r="BZ145" i="6"/>
  <c r="BY145" i="6"/>
  <c r="BX145" i="6"/>
  <c r="BW145" i="6"/>
  <c r="BV145" i="6"/>
  <c r="BU145" i="6"/>
  <c r="BT145" i="6"/>
  <c r="BS145" i="6"/>
  <c r="BR145" i="6"/>
  <c r="BQ145" i="6"/>
  <c r="BP145" i="6"/>
  <c r="BO145" i="6"/>
  <c r="BN145" i="6"/>
  <c r="BM145" i="6"/>
  <c r="BL145" i="6"/>
  <c r="BK145" i="6"/>
  <c r="BJ145" i="6"/>
  <c r="BI145" i="6"/>
  <c r="BH145" i="6"/>
  <c r="BG145" i="6"/>
  <c r="BF145" i="6"/>
  <c r="BE145" i="6"/>
  <c r="BD145" i="6"/>
  <c r="BC145" i="6"/>
  <c r="BB145" i="6"/>
  <c r="BA145" i="6"/>
  <c r="AZ145" i="6"/>
  <c r="AY145" i="6"/>
  <c r="AX145" i="6"/>
  <c r="AW145" i="6"/>
  <c r="AV145" i="6"/>
  <c r="AU145" i="6"/>
  <c r="AT145" i="6"/>
  <c r="AS145" i="6"/>
  <c r="AR145" i="6"/>
  <c r="AQ145" i="6"/>
  <c r="AP145" i="6"/>
  <c r="AO145" i="6"/>
  <c r="AN145" i="6"/>
  <c r="AM145" i="6"/>
  <c r="AL145" i="6"/>
  <c r="AK145" i="6"/>
  <c r="AJ145" i="6"/>
  <c r="AI145" i="6"/>
  <c r="AH145" i="6"/>
  <c r="AG145" i="6"/>
  <c r="AF145" i="6"/>
  <c r="AE145" i="6"/>
  <c r="AD145" i="6"/>
  <c r="AC145" i="6"/>
  <c r="AB145" i="6"/>
  <c r="AA145" i="6"/>
  <c r="Z145" i="6"/>
  <c r="Y145" i="6"/>
  <c r="X145" i="6"/>
  <c r="W145" i="6"/>
  <c r="V145" i="6"/>
  <c r="U145" i="6"/>
  <c r="T145" i="6"/>
  <c r="S145" i="6"/>
  <c r="R145" i="6"/>
  <c r="Q145" i="6"/>
  <c r="P145" i="6"/>
  <c r="O145" i="6"/>
  <c r="N145" i="6"/>
  <c r="M145" i="6"/>
  <c r="L145" i="6"/>
  <c r="K145" i="6"/>
  <c r="J145" i="6"/>
  <c r="I145" i="6"/>
  <c r="H145" i="6"/>
  <c r="G145" i="6"/>
  <c r="DI144" i="6"/>
  <c r="DH144" i="6"/>
  <c r="DG144" i="6"/>
  <c r="DF144" i="6"/>
  <c r="DE144" i="6"/>
  <c r="DD144" i="6"/>
  <c r="DC144" i="6"/>
  <c r="DB144" i="6"/>
  <c r="DA144" i="6"/>
  <c r="CZ144" i="6"/>
  <c r="CY144" i="6"/>
  <c r="CX144" i="6"/>
  <c r="CW144" i="6"/>
  <c r="CV144" i="6"/>
  <c r="CU144" i="6"/>
  <c r="CT144" i="6"/>
  <c r="CS144" i="6"/>
  <c r="CR144" i="6"/>
  <c r="CQ144" i="6"/>
  <c r="CP144" i="6"/>
  <c r="CO144" i="6"/>
  <c r="CN144" i="6"/>
  <c r="CM144" i="6"/>
  <c r="CL144" i="6"/>
  <c r="CK144" i="6"/>
  <c r="CJ144" i="6"/>
  <c r="CI144" i="6"/>
  <c r="CH144" i="6"/>
  <c r="CG144" i="6"/>
  <c r="CF144" i="6"/>
  <c r="CE144" i="6"/>
  <c r="CD144" i="6"/>
  <c r="CC144" i="6"/>
  <c r="CB144" i="6"/>
  <c r="CA144" i="6"/>
  <c r="BZ144" i="6"/>
  <c r="BY144" i="6"/>
  <c r="BX144" i="6"/>
  <c r="BW144" i="6"/>
  <c r="BV144" i="6"/>
  <c r="BU144" i="6"/>
  <c r="BT144" i="6"/>
  <c r="BS144" i="6"/>
  <c r="BR144" i="6"/>
  <c r="BQ144" i="6"/>
  <c r="BP144" i="6"/>
  <c r="BO144" i="6"/>
  <c r="BN144" i="6"/>
  <c r="BM144" i="6"/>
  <c r="BL144" i="6"/>
  <c r="BK144" i="6"/>
  <c r="BJ144" i="6"/>
  <c r="BI144" i="6"/>
  <c r="BH144" i="6"/>
  <c r="BG144" i="6"/>
  <c r="BF144" i="6"/>
  <c r="BE144" i="6"/>
  <c r="BD144" i="6"/>
  <c r="BC144" i="6"/>
  <c r="BB144" i="6"/>
  <c r="BA144" i="6"/>
  <c r="AZ144" i="6"/>
  <c r="AY144" i="6"/>
  <c r="AX144" i="6"/>
  <c r="AW144" i="6"/>
  <c r="AV144" i="6"/>
  <c r="AU144" i="6"/>
  <c r="AT144" i="6"/>
  <c r="AS144" i="6"/>
  <c r="AR144" i="6"/>
  <c r="AQ144" i="6"/>
  <c r="AP144" i="6"/>
  <c r="AO144" i="6"/>
  <c r="AN144" i="6"/>
  <c r="AM144" i="6"/>
  <c r="AL144" i="6"/>
  <c r="AK144" i="6"/>
  <c r="AJ144" i="6"/>
  <c r="AI144" i="6"/>
  <c r="AH144" i="6"/>
  <c r="AG144" i="6"/>
  <c r="AF144" i="6"/>
  <c r="AE144" i="6"/>
  <c r="AD144" i="6"/>
  <c r="AC144" i="6"/>
  <c r="AB144" i="6"/>
  <c r="AA144" i="6"/>
  <c r="Z144" i="6"/>
  <c r="Y144" i="6"/>
  <c r="X144" i="6"/>
  <c r="W144" i="6"/>
  <c r="V144" i="6"/>
  <c r="U144" i="6"/>
  <c r="T144" i="6"/>
  <c r="S144" i="6"/>
  <c r="R144" i="6"/>
  <c r="Q144" i="6"/>
  <c r="P144" i="6"/>
  <c r="O144" i="6"/>
  <c r="N144" i="6"/>
  <c r="M144" i="6"/>
  <c r="L144" i="6"/>
  <c r="K144" i="6"/>
  <c r="J144" i="6"/>
  <c r="I144" i="6"/>
  <c r="H144" i="6"/>
  <c r="G144" i="6"/>
  <c r="DI143" i="6"/>
  <c r="DH143" i="6"/>
  <c r="DG143" i="6"/>
  <c r="DF143" i="6"/>
  <c r="DE143" i="6"/>
  <c r="DD143" i="6"/>
  <c r="DC143" i="6"/>
  <c r="DB143" i="6"/>
  <c r="DA143" i="6"/>
  <c r="CZ143" i="6"/>
  <c r="CY143" i="6"/>
  <c r="CX143" i="6"/>
  <c r="CW143" i="6"/>
  <c r="CV143" i="6"/>
  <c r="CU143" i="6"/>
  <c r="CT143" i="6"/>
  <c r="CS143" i="6"/>
  <c r="CR143" i="6"/>
  <c r="CQ143" i="6"/>
  <c r="CP143" i="6"/>
  <c r="CO143" i="6"/>
  <c r="CN143" i="6"/>
  <c r="CM143" i="6"/>
  <c r="CL143" i="6"/>
  <c r="CK143" i="6"/>
  <c r="CJ143" i="6"/>
  <c r="CI143" i="6"/>
  <c r="CH143" i="6"/>
  <c r="CG143" i="6"/>
  <c r="CF143" i="6"/>
  <c r="CE143" i="6"/>
  <c r="CD143" i="6"/>
  <c r="CC143" i="6"/>
  <c r="CB143" i="6"/>
  <c r="CA143" i="6"/>
  <c r="BZ143" i="6"/>
  <c r="BY143" i="6"/>
  <c r="BX143" i="6"/>
  <c r="BW143" i="6"/>
  <c r="BV143" i="6"/>
  <c r="BU143" i="6"/>
  <c r="BT143" i="6"/>
  <c r="BS143" i="6"/>
  <c r="BR143" i="6"/>
  <c r="BQ143" i="6"/>
  <c r="BP143" i="6"/>
  <c r="BO143" i="6"/>
  <c r="BN143" i="6"/>
  <c r="BM143" i="6"/>
  <c r="BL143" i="6"/>
  <c r="BK143" i="6"/>
  <c r="BJ143" i="6"/>
  <c r="BI143" i="6"/>
  <c r="BH143" i="6"/>
  <c r="BG143" i="6"/>
  <c r="BF143" i="6"/>
  <c r="BE143" i="6"/>
  <c r="BD143" i="6"/>
  <c r="BC143" i="6"/>
  <c r="BB143" i="6"/>
  <c r="BA143" i="6"/>
  <c r="AZ143" i="6"/>
  <c r="AY143" i="6"/>
  <c r="AX143" i="6"/>
  <c r="AW143" i="6"/>
  <c r="AV143" i="6"/>
  <c r="AU143" i="6"/>
  <c r="AT143" i="6"/>
  <c r="AS143" i="6"/>
  <c r="AR143" i="6"/>
  <c r="AQ143" i="6"/>
  <c r="AP143" i="6"/>
  <c r="AO143" i="6"/>
  <c r="AN143" i="6"/>
  <c r="AM143" i="6"/>
  <c r="AL143" i="6"/>
  <c r="AK143" i="6"/>
  <c r="AJ143" i="6"/>
  <c r="AI143" i="6"/>
  <c r="AH143" i="6"/>
  <c r="AG143" i="6"/>
  <c r="AF143" i="6"/>
  <c r="AE143" i="6"/>
  <c r="AD143" i="6"/>
  <c r="AC143" i="6"/>
  <c r="AB143" i="6"/>
  <c r="AA143" i="6"/>
  <c r="Z143" i="6"/>
  <c r="Y143" i="6"/>
  <c r="X143" i="6"/>
  <c r="W143" i="6"/>
  <c r="V143" i="6"/>
  <c r="U143" i="6"/>
  <c r="T143" i="6"/>
  <c r="S143" i="6"/>
  <c r="R143" i="6"/>
  <c r="Q143" i="6"/>
  <c r="P143" i="6"/>
  <c r="O143" i="6"/>
  <c r="N143" i="6"/>
  <c r="M143" i="6"/>
  <c r="L143" i="6"/>
  <c r="K143" i="6"/>
  <c r="J143" i="6"/>
  <c r="I143" i="6"/>
  <c r="H143" i="6"/>
  <c r="G143" i="6"/>
  <c r="DI142" i="6"/>
  <c r="DH142" i="6"/>
  <c r="DG142" i="6"/>
  <c r="DF142" i="6"/>
  <c r="DE142" i="6"/>
  <c r="DD142" i="6"/>
  <c r="DC142" i="6"/>
  <c r="DB142" i="6"/>
  <c r="DA142" i="6"/>
  <c r="CZ142" i="6"/>
  <c r="CY142" i="6"/>
  <c r="CX142" i="6"/>
  <c r="CW142" i="6"/>
  <c r="CV142" i="6"/>
  <c r="CU142" i="6"/>
  <c r="CT142" i="6"/>
  <c r="CS142" i="6"/>
  <c r="CR142" i="6"/>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P142" i="6"/>
  <c r="O142" i="6"/>
  <c r="N142" i="6"/>
  <c r="M142" i="6"/>
  <c r="L142" i="6"/>
  <c r="K142" i="6"/>
  <c r="J142" i="6"/>
  <c r="I142" i="6"/>
  <c r="H142" i="6"/>
  <c r="G142" i="6"/>
  <c r="DI141" i="6"/>
  <c r="DH141" i="6"/>
  <c r="DG141" i="6"/>
  <c r="DF141" i="6"/>
  <c r="DE141" i="6"/>
  <c r="DD141" i="6"/>
  <c r="DC141" i="6"/>
  <c r="DB141" i="6"/>
  <c r="DA141" i="6"/>
  <c r="CZ141" i="6"/>
  <c r="CY141" i="6"/>
  <c r="CX141" i="6"/>
  <c r="CW141" i="6"/>
  <c r="CV141" i="6"/>
  <c r="CU141" i="6"/>
  <c r="CT141" i="6"/>
  <c r="CS141" i="6"/>
  <c r="CR141" i="6"/>
  <c r="CQ141" i="6"/>
  <c r="CP141" i="6"/>
  <c r="CO141" i="6"/>
  <c r="CN141" i="6"/>
  <c r="CM141" i="6"/>
  <c r="CL141" i="6"/>
  <c r="CK141" i="6"/>
  <c r="CJ141" i="6"/>
  <c r="CI141" i="6"/>
  <c r="CH141" i="6"/>
  <c r="CG141" i="6"/>
  <c r="CF141" i="6"/>
  <c r="CE141" i="6"/>
  <c r="CD141" i="6"/>
  <c r="CC141" i="6"/>
  <c r="CB141" i="6"/>
  <c r="CA141" i="6"/>
  <c r="BZ141" i="6"/>
  <c r="BY141" i="6"/>
  <c r="BX141" i="6"/>
  <c r="BW141" i="6"/>
  <c r="BV141" i="6"/>
  <c r="BU141" i="6"/>
  <c r="BT141" i="6"/>
  <c r="BS141" i="6"/>
  <c r="BR141" i="6"/>
  <c r="BQ141" i="6"/>
  <c r="BP141" i="6"/>
  <c r="BO141" i="6"/>
  <c r="BN141" i="6"/>
  <c r="BM141" i="6"/>
  <c r="BL141" i="6"/>
  <c r="BK141" i="6"/>
  <c r="BJ141" i="6"/>
  <c r="BI141" i="6"/>
  <c r="BH141" i="6"/>
  <c r="BG141" i="6"/>
  <c r="BF141" i="6"/>
  <c r="BE141" i="6"/>
  <c r="BD141" i="6"/>
  <c r="BC141" i="6"/>
  <c r="BB141" i="6"/>
  <c r="BA141" i="6"/>
  <c r="AZ141" i="6"/>
  <c r="AY141" i="6"/>
  <c r="AX141" i="6"/>
  <c r="AW141" i="6"/>
  <c r="AV141" i="6"/>
  <c r="AU141" i="6"/>
  <c r="AT141" i="6"/>
  <c r="AS141" i="6"/>
  <c r="AR141" i="6"/>
  <c r="AQ141" i="6"/>
  <c r="AP141" i="6"/>
  <c r="AO141" i="6"/>
  <c r="AN141" i="6"/>
  <c r="AM141" i="6"/>
  <c r="AL141" i="6"/>
  <c r="AK141" i="6"/>
  <c r="AJ141" i="6"/>
  <c r="AI141" i="6"/>
  <c r="AH141" i="6"/>
  <c r="AG141" i="6"/>
  <c r="AF141" i="6"/>
  <c r="AE141" i="6"/>
  <c r="AD141" i="6"/>
  <c r="AC141" i="6"/>
  <c r="AB141" i="6"/>
  <c r="AA141" i="6"/>
  <c r="Z141" i="6"/>
  <c r="Y141" i="6"/>
  <c r="X141" i="6"/>
  <c r="W141" i="6"/>
  <c r="V141" i="6"/>
  <c r="U141" i="6"/>
  <c r="T141" i="6"/>
  <c r="S141" i="6"/>
  <c r="R141" i="6"/>
  <c r="Q141" i="6"/>
  <c r="P141" i="6"/>
  <c r="O141" i="6"/>
  <c r="N141" i="6"/>
  <c r="M141" i="6"/>
  <c r="L141" i="6"/>
  <c r="K141" i="6"/>
  <c r="J141" i="6"/>
  <c r="I141" i="6"/>
  <c r="H141" i="6"/>
  <c r="G141" i="6"/>
  <c r="DI140" i="6"/>
  <c r="DH140" i="6"/>
  <c r="DG140" i="6"/>
  <c r="DF140" i="6"/>
  <c r="DE140" i="6"/>
  <c r="DD140" i="6"/>
  <c r="DC140" i="6"/>
  <c r="DB140" i="6"/>
  <c r="DA140" i="6"/>
  <c r="CZ140" i="6"/>
  <c r="CY140" i="6"/>
  <c r="CX140" i="6"/>
  <c r="CW140" i="6"/>
  <c r="CV140" i="6"/>
  <c r="CU140" i="6"/>
  <c r="CT140" i="6"/>
  <c r="CS140" i="6"/>
  <c r="CR140" i="6"/>
  <c r="CQ140" i="6"/>
  <c r="CP140" i="6"/>
  <c r="CO140" i="6"/>
  <c r="CN140" i="6"/>
  <c r="CM140" i="6"/>
  <c r="CL140" i="6"/>
  <c r="CK140" i="6"/>
  <c r="CJ140" i="6"/>
  <c r="CI140" i="6"/>
  <c r="CH140" i="6"/>
  <c r="CG140" i="6"/>
  <c r="CF140" i="6"/>
  <c r="CE140" i="6"/>
  <c r="CD140" i="6"/>
  <c r="CC140" i="6"/>
  <c r="CB140" i="6"/>
  <c r="CA140" i="6"/>
  <c r="BZ140" i="6"/>
  <c r="BY140" i="6"/>
  <c r="BX140" i="6"/>
  <c r="BW140" i="6"/>
  <c r="BV140" i="6"/>
  <c r="BU140" i="6"/>
  <c r="BT140" i="6"/>
  <c r="BS140" i="6"/>
  <c r="BR140" i="6"/>
  <c r="BQ140" i="6"/>
  <c r="BP140" i="6"/>
  <c r="BO140" i="6"/>
  <c r="BN140" i="6"/>
  <c r="BM140" i="6"/>
  <c r="BL140" i="6"/>
  <c r="BK140" i="6"/>
  <c r="BJ140" i="6"/>
  <c r="BI140" i="6"/>
  <c r="BH140" i="6"/>
  <c r="BG140" i="6"/>
  <c r="BF140" i="6"/>
  <c r="BE140" i="6"/>
  <c r="BD140" i="6"/>
  <c r="BC140" i="6"/>
  <c r="BB140" i="6"/>
  <c r="BA140" i="6"/>
  <c r="AZ140" i="6"/>
  <c r="AY140" i="6"/>
  <c r="AX140" i="6"/>
  <c r="AW140" i="6"/>
  <c r="AV140" i="6"/>
  <c r="AU140" i="6"/>
  <c r="AT140" i="6"/>
  <c r="AS140" i="6"/>
  <c r="AR140" i="6"/>
  <c r="AQ140" i="6"/>
  <c r="AP140" i="6"/>
  <c r="AO140" i="6"/>
  <c r="AN140" i="6"/>
  <c r="AM140" i="6"/>
  <c r="AL140" i="6"/>
  <c r="AK140" i="6"/>
  <c r="AJ140" i="6"/>
  <c r="AI140" i="6"/>
  <c r="AH140" i="6"/>
  <c r="AG140" i="6"/>
  <c r="AF140" i="6"/>
  <c r="AE140" i="6"/>
  <c r="AD140" i="6"/>
  <c r="AC140" i="6"/>
  <c r="AB140" i="6"/>
  <c r="AA140" i="6"/>
  <c r="Z140" i="6"/>
  <c r="Y140" i="6"/>
  <c r="X140" i="6"/>
  <c r="W140" i="6"/>
  <c r="V140" i="6"/>
  <c r="U140" i="6"/>
  <c r="T140" i="6"/>
  <c r="S140" i="6"/>
  <c r="R140" i="6"/>
  <c r="Q140" i="6"/>
  <c r="P140" i="6"/>
  <c r="O140" i="6"/>
  <c r="N140" i="6"/>
  <c r="M140" i="6"/>
  <c r="L140" i="6"/>
  <c r="K140" i="6"/>
  <c r="J140" i="6"/>
  <c r="I140" i="6"/>
  <c r="H140" i="6"/>
  <c r="G140" i="6"/>
  <c r="DI139" i="6"/>
  <c r="DH139" i="6"/>
  <c r="DG139" i="6"/>
  <c r="DF139" i="6"/>
  <c r="DE139" i="6"/>
  <c r="DD139" i="6"/>
  <c r="DC139" i="6"/>
  <c r="DB139" i="6"/>
  <c r="DA139" i="6"/>
  <c r="CZ139" i="6"/>
  <c r="CY139" i="6"/>
  <c r="CX139" i="6"/>
  <c r="CW139" i="6"/>
  <c r="CV139" i="6"/>
  <c r="CU139" i="6"/>
  <c r="CT139" i="6"/>
  <c r="CS139" i="6"/>
  <c r="CR139" i="6"/>
  <c r="CQ139" i="6"/>
  <c r="CP139" i="6"/>
  <c r="CO139" i="6"/>
  <c r="CN139" i="6"/>
  <c r="CM139" i="6"/>
  <c r="CL139" i="6"/>
  <c r="CK139" i="6"/>
  <c r="CJ139" i="6"/>
  <c r="CI139" i="6"/>
  <c r="CH139" i="6"/>
  <c r="CG139" i="6"/>
  <c r="CF139" i="6"/>
  <c r="CE139" i="6"/>
  <c r="CD139" i="6"/>
  <c r="CC139" i="6"/>
  <c r="CB139" i="6"/>
  <c r="CA139" i="6"/>
  <c r="BZ139" i="6"/>
  <c r="BY139" i="6"/>
  <c r="BX139" i="6"/>
  <c r="BW139" i="6"/>
  <c r="BV139" i="6"/>
  <c r="BU139" i="6"/>
  <c r="BT139" i="6"/>
  <c r="BS139" i="6"/>
  <c r="BR139" i="6"/>
  <c r="BQ139" i="6"/>
  <c r="BP139" i="6"/>
  <c r="BO139" i="6"/>
  <c r="BN139" i="6"/>
  <c r="BM139" i="6"/>
  <c r="BL139" i="6"/>
  <c r="BK139" i="6"/>
  <c r="BJ139" i="6"/>
  <c r="BI139" i="6"/>
  <c r="BH139" i="6"/>
  <c r="BG139" i="6"/>
  <c r="BF139" i="6"/>
  <c r="BE139" i="6"/>
  <c r="BD139" i="6"/>
  <c r="BC139" i="6"/>
  <c r="BB139" i="6"/>
  <c r="BA139" i="6"/>
  <c r="AZ139" i="6"/>
  <c r="AY139" i="6"/>
  <c r="AX139" i="6"/>
  <c r="AW139" i="6"/>
  <c r="AV139" i="6"/>
  <c r="AU139" i="6"/>
  <c r="AT139" i="6"/>
  <c r="AS139" i="6"/>
  <c r="AR139" i="6"/>
  <c r="AQ139" i="6"/>
  <c r="AP139" i="6"/>
  <c r="AO139" i="6"/>
  <c r="AN139" i="6"/>
  <c r="AM139" i="6"/>
  <c r="AL139" i="6"/>
  <c r="AK139" i="6"/>
  <c r="AJ139" i="6"/>
  <c r="AI139" i="6"/>
  <c r="AH139" i="6"/>
  <c r="AG139" i="6"/>
  <c r="AF139" i="6"/>
  <c r="AE139" i="6"/>
  <c r="AD139" i="6"/>
  <c r="AC139" i="6"/>
  <c r="AB139" i="6"/>
  <c r="AA139" i="6"/>
  <c r="Z139" i="6"/>
  <c r="Y139" i="6"/>
  <c r="X139" i="6"/>
  <c r="W139" i="6"/>
  <c r="V139" i="6"/>
  <c r="U139" i="6"/>
  <c r="T139" i="6"/>
  <c r="S139" i="6"/>
  <c r="R139" i="6"/>
  <c r="Q139" i="6"/>
  <c r="P139" i="6"/>
  <c r="O139" i="6"/>
  <c r="N139" i="6"/>
  <c r="M139" i="6"/>
  <c r="L139" i="6"/>
  <c r="K139" i="6"/>
  <c r="J139" i="6"/>
  <c r="I139" i="6"/>
  <c r="H139" i="6"/>
  <c r="G139" i="6"/>
  <c r="DI138" i="6"/>
  <c r="DH138" i="6"/>
  <c r="DG138" i="6"/>
  <c r="DF138" i="6"/>
  <c r="DE138" i="6"/>
  <c r="DD138" i="6"/>
  <c r="DC138" i="6"/>
  <c r="DB138" i="6"/>
  <c r="DA138" i="6"/>
  <c r="CZ138" i="6"/>
  <c r="CY138" i="6"/>
  <c r="CX138" i="6"/>
  <c r="CW138" i="6"/>
  <c r="CV138" i="6"/>
  <c r="CU138" i="6"/>
  <c r="CT138" i="6"/>
  <c r="CS138" i="6"/>
  <c r="CR138" i="6"/>
  <c r="CQ138" i="6"/>
  <c r="CP138" i="6"/>
  <c r="CO138" i="6"/>
  <c r="CN138" i="6"/>
  <c r="CM138" i="6"/>
  <c r="CL138" i="6"/>
  <c r="CK138" i="6"/>
  <c r="CJ138" i="6"/>
  <c r="CI138" i="6"/>
  <c r="CH138" i="6"/>
  <c r="CG138" i="6"/>
  <c r="CF138" i="6"/>
  <c r="CE138" i="6"/>
  <c r="CD138" i="6"/>
  <c r="CC138" i="6"/>
  <c r="CB138" i="6"/>
  <c r="CA138" i="6"/>
  <c r="BZ138" i="6"/>
  <c r="BY138" i="6"/>
  <c r="BX138" i="6"/>
  <c r="BW138" i="6"/>
  <c r="BV138" i="6"/>
  <c r="BU138" i="6"/>
  <c r="BT138" i="6"/>
  <c r="BS138" i="6"/>
  <c r="BR138" i="6"/>
  <c r="BQ138" i="6"/>
  <c r="BP138" i="6"/>
  <c r="BO138" i="6"/>
  <c r="BN138" i="6"/>
  <c r="BM138" i="6"/>
  <c r="BL138" i="6"/>
  <c r="BK138" i="6"/>
  <c r="BJ138" i="6"/>
  <c r="BI138" i="6"/>
  <c r="BH138" i="6"/>
  <c r="BG138" i="6"/>
  <c r="BF138" i="6"/>
  <c r="BE138" i="6"/>
  <c r="BD138" i="6"/>
  <c r="BC138" i="6"/>
  <c r="BB138" i="6"/>
  <c r="BA138" i="6"/>
  <c r="AZ138" i="6"/>
  <c r="AY138" i="6"/>
  <c r="AX138" i="6"/>
  <c r="AW138" i="6"/>
  <c r="AV138" i="6"/>
  <c r="AU138" i="6"/>
  <c r="AT138" i="6"/>
  <c r="AS138" i="6"/>
  <c r="AR138" i="6"/>
  <c r="AQ138" i="6"/>
  <c r="AP138" i="6"/>
  <c r="AO138" i="6"/>
  <c r="AN138" i="6"/>
  <c r="AM138" i="6"/>
  <c r="AL138" i="6"/>
  <c r="AK138" i="6"/>
  <c r="AJ138" i="6"/>
  <c r="AI138" i="6"/>
  <c r="AH138" i="6"/>
  <c r="AG138" i="6"/>
  <c r="AF138" i="6"/>
  <c r="AE138" i="6"/>
  <c r="AD138" i="6"/>
  <c r="AC138" i="6"/>
  <c r="AB138" i="6"/>
  <c r="AA138" i="6"/>
  <c r="Z138" i="6"/>
  <c r="Y138" i="6"/>
  <c r="X138" i="6"/>
  <c r="W138" i="6"/>
  <c r="V138" i="6"/>
  <c r="U138" i="6"/>
  <c r="T138" i="6"/>
  <c r="S138" i="6"/>
  <c r="R138" i="6"/>
  <c r="Q138" i="6"/>
  <c r="P138" i="6"/>
  <c r="O138" i="6"/>
  <c r="N138" i="6"/>
  <c r="M138" i="6"/>
  <c r="L138" i="6"/>
  <c r="K138" i="6"/>
  <c r="J138" i="6"/>
  <c r="I138" i="6"/>
  <c r="H138" i="6"/>
  <c r="G138" i="6"/>
  <c r="DI137" i="6"/>
  <c r="DH137" i="6"/>
  <c r="DG137" i="6"/>
  <c r="DF137" i="6"/>
  <c r="DE137" i="6"/>
  <c r="DD137" i="6"/>
  <c r="DC137" i="6"/>
  <c r="DB137" i="6"/>
  <c r="DA137" i="6"/>
  <c r="CZ137" i="6"/>
  <c r="CY137" i="6"/>
  <c r="CX137" i="6"/>
  <c r="CW137" i="6"/>
  <c r="CV137" i="6"/>
  <c r="CU137" i="6"/>
  <c r="CT137" i="6"/>
  <c r="CS137" i="6"/>
  <c r="CR137" i="6"/>
  <c r="CQ137" i="6"/>
  <c r="CP137" i="6"/>
  <c r="CO137" i="6"/>
  <c r="CN137" i="6"/>
  <c r="CM137" i="6"/>
  <c r="CL137" i="6"/>
  <c r="CK137" i="6"/>
  <c r="CJ137" i="6"/>
  <c r="CI137" i="6"/>
  <c r="CH137" i="6"/>
  <c r="CG137" i="6"/>
  <c r="CF137" i="6"/>
  <c r="CE137" i="6"/>
  <c r="CD137" i="6"/>
  <c r="CC137" i="6"/>
  <c r="CB137" i="6"/>
  <c r="CA137" i="6"/>
  <c r="BZ137" i="6"/>
  <c r="BY137" i="6"/>
  <c r="BX137" i="6"/>
  <c r="BW137" i="6"/>
  <c r="BV137" i="6"/>
  <c r="BU137" i="6"/>
  <c r="BT137" i="6"/>
  <c r="BS137" i="6"/>
  <c r="BR137" i="6"/>
  <c r="BQ137" i="6"/>
  <c r="BP137" i="6"/>
  <c r="BO137" i="6"/>
  <c r="BN137" i="6"/>
  <c r="BM137" i="6"/>
  <c r="BL137" i="6"/>
  <c r="BK137" i="6"/>
  <c r="BJ137" i="6"/>
  <c r="BI137" i="6"/>
  <c r="BH137" i="6"/>
  <c r="BG137" i="6"/>
  <c r="BF137" i="6"/>
  <c r="BE137" i="6"/>
  <c r="BD137" i="6"/>
  <c r="BC137" i="6"/>
  <c r="BB137" i="6"/>
  <c r="BA137" i="6"/>
  <c r="AZ137" i="6"/>
  <c r="AY137" i="6"/>
  <c r="AX137" i="6"/>
  <c r="AW137" i="6"/>
  <c r="AV137" i="6"/>
  <c r="AU137" i="6"/>
  <c r="AT137" i="6"/>
  <c r="AS137" i="6"/>
  <c r="AR137" i="6"/>
  <c r="AQ137" i="6"/>
  <c r="AP137" i="6"/>
  <c r="AO137" i="6"/>
  <c r="AN137" i="6"/>
  <c r="AM137" i="6"/>
  <c r="AL137" i="6"/>
  <c r="AK137" i="6"/>
  <c r="AJ137" i="6"/>
  <c r="AI137" i="6"/>
  <c r="AH137" i="6"/>
  <c r="AG137" i="6"/>
  <c r="AF137" i="6"/>
  <c r="AE137" i="6"/>
  <c r="AD137" i="6"/>
  <c r="AC137" i="6"/>
  <c r="AB137" i="6"/>
  <c r="AA137" i="6"/>
  <c r="Z137" i="6"/>
  <c r="Y137" i="6"/>
  <c r="X137" i="6"/>
  <c r="W137" i="6"/>
  <c r="V137" i="6"/>
  <c r="U137" i="6"/>
  <c r="T137" i="6"/>
  <c r="S137" i="6"/>
  <c r="R137" i="6"/>
  <c r="Q137" i="6"/>
  <c r="P137" i="6"/>
  <c r="O137" i="6"/>
  <c r="N137" i="6"/>
  <c r="M137" i="6"/>
  <c r="L137" i="6"/>
  <c r="K137" i="6"/>
  <c r="J137" i="6"/>
  <c r="I137" i="6"/>
  <c r="H137" i="6"/>
  <c r="G137" i="6"/>
  <c r="DI136" i="6"/>
  <c r="DH136" i="6"/>
  <c r="DG136" i="6"/>
  <c r="DF136" i="6"/>
  <c r="DE136" i="6"/>
  <c r="DD136" i="6"/>
  <c r="DC136" i="6"/>
  <c r="DB136" i="6"/>
  <c r="DA136" i="6"/>
  <c r="CZ136" i="6"/>
  <c r="CY136" i="6"/>
  <c r="CX136" i="6"/>
  <c r="CW136" i="6"/>
  <c r="CV136" i="6"/>
  <c r="CU136" i="6"/>
  <c r="CT136" i="6"/>
  <c r="CS136" i="6"/>
  <c r="CR136" i="6"/>
  <c r="CQ136" i="6"/>
  <c r="CP136" i="6"/>
  <c r="CO136" i="6"/>
  <c r="CN136" i="6"/>
  <c r="CM136" i="6"/>
  <c r="CL136" i="6"/>
  <c r="CK136" i="6"/>
  <c r="CJ136" i="6"/>
  <c r="CI136" i="6"/>
  <c r="CH136" i="6"/>
  <c r="CG136" i="6"/>
  <c r="CF136" i="6"/>
  <c r="CE136" i="6"/>
  <c r="CD136" i="6"/>
  <c r="CC136" i="6"/>
  <c r="CB136" i="6"/>
  <c r="CA136" i="6"/>
  <c r="BZ136" i="6"/>
  <c r="BY136" i="6"/>
  <c r="BX136" i="6"/>
  <c r="BW136" i="6"/>
  <c r="BV136" i="6"/>
  <c r="BU136" i="6"/>
  <c r="BT136" i="6"/>
  <c r="BS136" i="6"/>
  <c r="BR136" i="6"/>
  <c r="BQ136" i="6"/>
  <c r="BP136" i="6"/>
  <c r="BO136" i="6"/>
  <c r="BN136" i="6"/>
  <c r="BM136" i="6"/>
  <c r="BL136" i="6"/>
  <c r="BK136" i="6"/>
  <c r="BJ136" i="6"/>
  <c r="BI136" i="6"/>
  <c r="BH136" i="6"/>
  <c r="BG136" i="6"/>
  <c r="BF136" i="6"/>
  <c r="BE136" i="6"/>
  <c r="BD136" i="6"/>
  <c r="BC136" i="6"/>
  <c r="BB136" i="6"/>
  <c r="BA136" i="6"/>
  <c r="AZ136" i="6"/>
  <c r="AY136" i="6"/>
  <c r="AX136" i="6"/>
  <c r="AW136" i="6"/>
  <c r="AV136" i="6"/>
  <c r="AU136" i="6"/>
  <c r="AT136" i="6"/>
  <c r="AS136" i="6"/>
  <c r="AR136" i="6"/>
  <c r="AQ136" i="6"/>
  <c r="AP136" i="6"/>
  <c r="AO136" i="6"/>
  <c r="AN136" i="6"/>
  <c r="AM136" i="6"/>
  <c r="AL136" i="6"/>
  <c r="AK136" i="6"/>
  <c r="AJ136" i="6"/>
  <c r="AI136" i="6"/>
  <c r="AH136" i="6"/>
  <c r="AG136" i="6"/>
  <c r="AF136" i="6"/>
  <c r="AE136" i="6"/>
  <c r="AD136" i="6"/>
  <c r="AC136" i="6"/>
  <c r="AB136" i="6"/>
  <c r="AA136" i="6"/>
  <c r="Z136" i="6"/>
  <c r="Y136" i="6"/>
  <c r="X136" i="6"/>
  <c r="W136" i="6"/>
  <c r="V136" i="6"/>
  <c r="U136" i="6"/>
  <c r="T136" i="6"/>
  <c r="S136" i="6"/>
  <c r="R136" i="6"/>
  <c r="Q136" i="6"/>
  <c r="P136" i="6"/>
  <c r="O136" i="6"/>
  <c r="N136" i="6"/>
  <c r="M136" i="6"/>
  <c r="L136" i="6"/>
  <c r="K136" i="6"/>
  <c r="J136" i="6"/>
  <c r="I136" i="6"/>
  <c r="H136" i="6"/>
  <c r="G136" i="6"/>
  <c r="DI135" i="6"/>
  <c r="DH135" i="6"/>
  <c r="DG135" i="6"/>
  <c r="DF135" i="6"/>
  <c r="DE135" i="6"/>
  <c r="DD135" i="6"/>
  <c r="DC135" i="6"/>
  <c r="DB135" i="6"/>
  <c r="DA135" i="6"/>
  <c r="CZ135" i="6"/>
  <c r="CY135" i="6"/>
  <c r="CX135" i="6"/>
  <c r="CW135" i="6"/>
  <c r="CV135" i="6"/>
  <c r="CU135" i="6"/>
  <c r="CT135" i="6"/>
  <c r="CS135" i="6"/>
  <c r="CR135" i="6"/>
  <c r="CQ135" i="6"/>
  <c r="CP135" i="6"/>
  <c r="CO135" i="6"/>
  <c r="CN135" i="6"/>
  <c r="CM135" i="6"/>
  <c r="CL135" i="6"/>
  <c r="CK135" i="6"/>
  <c r="CJ135" i="6"/>
  <c r="CI135" i="6"/>
  <c r="CH135" i="6"/>
  <c r="CG135" i="6"/>
  <c r="CF135" i="6"/>
  <c r="CE135" i="6"/>
  <c r="CD135" i="6"/>
  <c r="CC135" i="6"/>
  <c r="CB135" i="6"/>
  <c r="CA135" i="6"/>
  <c r="BZ135" i="6"/>
  <c r="BY135" i="6"/>
  <c r="BX135" i="6"/>
  <c r="BW135" i="6"/>
  <c r="BV135" i="6"/>
  <c r="BU135" i="6"/>
  <c r="BT135" i="6"/>
  <c r="BS135" i="6"/>
  <c r="BR135" i="6"/>
  <c r="BQ135" i="6"/>
  <c r="BP135" i="6"/>
  <c r="BO135" i="6"/>
  <c r="BN135" i="6"/>
  <c r="BM135" i="6"/>
  <c r="BL135" i="6"/>
  <c r="BK135" i="6"/>
  <c r="BJ135" i="6"/>
  <c r="BI135" i="6"/>
  <c r="BH135" i="6"/>
  <c r="BG135" i="6"/>
  <c r="BF135" i="6"/>
  <c r="BE135" i="6"/>
  <c r="BD135" i="6"/>
  <c r="BC135" i="6"/>
  <c r="BB135" i="6"/>
  <c r="BA135" i="6"/>
  <c r="AZ135" i="6"/>
  <c r="AY135" i="6"/>
  <c r="AX135" i="6"/>
  <c r="AW135" i="6"/>
  <c r="AV135" i="6"/>
  <c r="AU135" i="6"/>
  <c r="AT135" i="6"/>
  <c r="AS135" i="6"/>
  <c r="AR135" i="6"/>
  <c r="AQ135" i="6"/>
  <c r="AP135" i="6"/>
  <c r="AO135" i="6"/>
  <c r="AN135" i="6"/>
  <c r="AM135" i="6"/>
  <c r="AL135" i="6"/>
  <c r="AK135" i="6"/>
  <c r="AJ135" i="6"/>
  <c r="AI135" i="6"/>
  <c r="AH135" i="6"/>
  <c r="AG135" i="6"/>
  <c r="AF135" i="6"/>
  <c r="AE135" i="6"/>
  <c r="AD135" i="6"/>
  <c r="AC135" i="6"/>
  <c r="AB135" i="6"/>
  <c r="AA135" i="6"/>
  <c r="Z135" i="6"/>
  <c r="Y135" i="6"/>
  <c r="X135" i="6"/>
  <c r="W135" i="6"/>
  <c r="V135" i="6"/>
  <c r="U135" i="6"/>
  <c r="T135" i="6"/>
  <c r="S135" i="6"/>
  <c r="R135" i="6"/>
  <c r="Q135" i="6"/>
  <c r="P135" i="6"/>
  <c r="O135" i="6"/>
  <c r="N135" i="6"/>
  <c r="M135" i="6"/>
  <c r="L135" i="6"/>
  <c r="K135" i="6"/>
  <c r="J135" i="6"/>
  <c r="I135" i="6"/>
  <c r="H135" i="6"/>
  <c r="G135" i="6"/>
  <c r="DI134" i="6"/>
  <c r="DH134" i="6"/>
  <c r="DG134" i="6"/>
  <c r="DF134" i="6"/>
  <c r="DE134" i="6"/>
  <c r="DD134" i="6"/>
  <c r="DC134" i="6"/>
  <c r="DB134" i="6"/>
  <c r="DA134" i="6"/>
  <c r="CZ134" i="6"/>
  <c r="CY134" i="6"/>
  <c r="CX134" i="6"/>
  <c r="CW134" i="6"/>
  <c r="CV134" i="6"/>
  <c r="CU134" i="6"/>
  <c r="CT134" i="6"/>
  <c r="CS134" i="6"/>
  <c r="CR134" i="6"/>
  <c r="CQ134" i="6"/>
  <c r="CP134" i="6"/>
  <c r="CO134" i="6"/>
  <c r="CN134" i="6"/>
  <c r="CM134" i="6"/>
  <c r="CL134" i="6"/>
  <c r="CK134" i="6"/>
  <c r="CJ134" i="6"/>
  <c r="CI134" i="6"/>
  <c r="CH134" i="6"/>
  <c r="CG134" i="6"/>
  <c r="CF134" i="6"/>
  <c r="CE134" i="6"/>
  <c r="CD134" i="6"/>
  <c r="CC134" i="6"/>
  <c r="CB134" i="6"/>
  <c r="CA134" i="6"/>
  <c r="BZ134" i="6"/>
  <c r="BY134" i="6"/>
  <c r="BX134" i="6"/>
  <c r="BW134" i="6"/>
  <c r="BV134" i="6"/>
  <c r="BU134" i="6"/>
  <c r="BT134" i="6"/>
  <c r="BS134" i="6"/>
  <c r="BR134" i="6"/>
  <c r="BQ134" i="6"/>
  <c r="BP134" i="6"/>
  <c r="BO134" i="6"/>
  <c r="BN134" i="6"/>
  <c r="BM134" i="6"/>
  <c r="BL134" i="6"/>
  <c r="BK134" i="6"/>
  <c r="BJ134" i="6"/>
  <c r="BI134" i="6"/>
  <c r="BH134" i="6"/>
  <c r="BG134" i="6"/>
  <c r="BF134" i="6"/>
  <c r="BE134" i="6"/>
  <c r="BD134" i="6"/>
  <c r="BC134" i="6"/>
  <c r="BB134" i="6"/>
  <c r="BA134" i="6"/>
  <c r="AZ134" i="6"/>
  <c r="AY134" i="6"/>
  <c r="AX134" i="6"/>
  <c r="AW134" i="6"/>
  <c r="AV134" i="6"/>
  <c r="AU134" i="6"/>
  <c r="AT134" i="6"/>
  <c r="AS134" i="6"/>
  <c r="AR134" i="6"/>
  <c r="AQ134" i="6"/>
  <c r="AP134" i="6"/>
  <c r="AO134" i="6"/>
  <c r="AN134" i="6"/>
  <c r="AM134" i="6"/>
  <c r="AL134" i="6"/>
  <c r="AK134" i="6"/>
  <c r="AJ134" i="6"/>
  <c r="AI134" i="6"/>
  <c r="AH134" i="6"/>
  <c r="AG134" i="6"/>
  <c r="AF134" i="6"/>
  <c r="AE134" i="6"/>
  <c r="AD134" i="6"/>
  <c r="AC134" i="6"/>
  <c r="AB134" i="6"/>
  <c r="AA134" i="6"/>
  <c r="Z134" i="6"/>
  <c r="Y134" i="6"/>
  <c r="X134" i="6"/>
  <c r="W134" i="6"/>
  <c r="V134" i="6"/>
  <c r="U134" i="6"/>
  <c r="T134" i="6"/>
  <c r="S134" i="6"/>
  <c r="R134" i="6"/>
  <c r="Q134" i="6"/>
  <c r="P134" i="6"/>
  <c r="O134" i="6"/>
  <c r="N134" i="6"/>
  <c r="M134" i="6"/>
  <c r="L134" i="6"/>
  <c r="K134" i="6"/>
  <c r="J134" i="6"/>
  <c r="I134" i="6"/>
  <c r="H134" i="6"/>
  <c r="G134" i="6"/>
  <c r="DI133" i="6"/>
  <c r="DH133" i="6"/>
  <c r="DG133" i="6"/>
  <c r="DF133" i="6"/>
  <c r="DE133" i="6"/>
  <c r="DD133" i="6"/>
  <c r="DC133" i="6"/>
  <c r="DB133" i="6"/>
  <c r="DA133" i="6"/>
  <c r="CZ133" i="6"/>
  <c r="CY133" i="6"/>
  <c r="CX133" i="6"/>
  <c r="CW133" i="6"/>
  <c r="CV133" i="6"/>
  <c r="CU133" i="6"/>
  <c r="CT133" i="6"/>
  <c r="CS133" i="6"/>
  <c r="CR133" i="6"/>
  <c r="CQ133" i="6"/>
  <c r="CP133" i="6"/>
  <c r="CO133" i="6"/>
  <c r="CN133" i="6"/>
  <c r="CM133" i="6"/>
  <c r="CL133" i="6"/>
  <c r="CK133" i="6"/>
  <c r="CJ133" i="6"/>
  <c r="CI133" i="6"/>
  <c r="CH133" i="6"/>
  <c r="CG133" i="6"/>
  <c r="CF133" i="6"/>
  <c r="CE133" i="6"/>
  <c r="CD133" i="6"/>
  <c r="CC133" i="6"/>
  <c r="CB133" i="6"/>
  <c r="CA133" i="6"/>
  <c r="BZ133" i="6"/>
  <c r="BY133" i="6"/>
  <c r="BX133" i="6"/>
  <c r="BW133" i="6"/>
  <c r="BV133" i="6"/>
  <c r="BU133" i="6"/>
  <c r="BT133" i="6"/>
  <c r="BS133" i="6"/>
  <c r="BR133" i="6"/>
  <c r="BQ133" i="6"/>
  <c r="BP133" i="6"/>
  <c r="BO133" i="6"/>
  <c r="BN133" i="6"/>
  <c r="BM133" i="6"/>
  <c r="BL133" i="6"/>
  <c r="BK133" i="6"/>
  <c r="BJ133" i="6"/>
  <c r="BI133" i="6"/>
  <c r="BH133" i="6"/>
  <c r="BG133" i="6"/>
  <c r="BF133" i="6"/>
  <c r="BE133" i="6"/>
  <c r="BD133" i="6"/>
  <c r="BC133" i="6"/>
  <c r="BB133" i="6"/>
  <c r="BA133" i="6"/>
  <c r="AZ133" i="6"/>
  <c r="AY133" i="6"/>
  <c r="AX133" i="6"/>
  <c r="AW133" i="6"/>
  <c r="AV133" i="6"/>
  <c r="AU133" i="6"/>
  <c r="AT133" i="6"/>
  <c r="AS133" i="6"/>
  <c r="AR133" i="6"/>
  <c r="AQ133" i="6"/>
  <c r="AP133" i="6"/>
  <c r="AO133" i="6"/>
  <c r="AN133" i="6"/>
  <c r="AM133" i="6"/>
  <c r="AL133" i="6"/>
  <c r="AK133" i="6"/>
  <c r="AJ133" i="6"/>
  <c r="AI133" i="6"/>
  <c r="AH133" i="6"/>
  <c r="AG133" i="6"/>
  <c r="AF133" i="6"/>
  <c r="AE133" i="6"/>
  <c r="AD133" i="6"/>
  <c r="AC133" i="6"/>
  <c r="AB133" i="6"/>
  <c r="AA133" i="6"/>
  <c r="Z133" i="6"/>
  <c r="Y133" i="6"/>
  <c r="X133" i="6"/>
  <c r="W133" i="6"/>
  <c r="V133" i="6"/>
  <c r="U133" i="6"/>
  <c r="T133" i="6"/>
  <c r="S133" i="6"/>
  <c r="R133" i="6"/>
  <c r="Q133" i="6"/>
  <c r="P133" i="6"/>
  <c r="O133" i="6"/>
  <c r="N133" i="6"/>
  <c r="M133" i="6"/>
  <c r="L133" i="6"/>
  <c r="K133" i="6"/>
  <c r="J133" i="6"/>
  <c r="I133" i="6"/>
  <c r="H133" i="6"/>
  <c r="G133" i="6"/>
  <c r="DI132" i="6"/>
  <c r="DH132" i="6"/>
  <c r="DG132" i="6"/>
  <c r="DF132" i="6"/>
  <c r="DE132" i="6"/>
  <c r="DD132" i="6"/>
  <c r="DC132" i="6"/>
  <c r="DB132" i="6"/>
  <c r="DA132" i="6"/>
  <c r="CZ132" i="6"/>
  <c r="CY132" i="6"/>
  <c r="CX132" i="6"/>
  <c r="CW132" i="6"/>
  <c r="CV132" i="6"/>
  <c r="CU132" i="6"/>
  <c r="CT132" i="6"/>
  <c r="CS132" i="6"/>
  <c r="CR132" i="6"/>
  <c r="CQ132" i="6"/>
  <c r="CP132" i="6"/>
  <c r="CO132" i="6"/>
  <c r="CN132" i="6"/>
  <c r="CM132" i="6"/>
  <c r="CL132" i="6"/>
  <c r="CK132" i="6"/>
  <c r="CJ132" i="6"/>
  <c r="CI132" i="6"/>
  <c r="CH132" i="6"/>
  <c r="CG132" i="6"/>
  <c r="CF132" i="6"/>
  <c r="CE132" i="6"/>
  <c r="CD132" i="6"/>
  <c r="CC132" i="6"/>
  <c r="CB132" i="6"/>
  <c r="CA132" i="6"/>
  <c r="BZ132" i="6"/>
  <c r="BY132" i="6"/>
  <c r="BX132" i="6"/>
  <c r="BW132" i="6"/>
  <c r="BV132" i="6"/>
  <c r="BU132" i="6"/>
  <c r="BT132" i="6"/>
  <c r="BS132" i="6"/>
  <c r="BR132" i="6"/>
  <c r="BQ132" i="6"/>
  <c r="BP132" i="6"/>
  <c r="BO132" i="6"/>
  <c r="BN132" i="6"/>
  <c r="BM132" i="6"/>
  <c r="BL132" i="6"/>
  <c r="BK132" i="6"/>
  <c r="BJ132" i="6"/>
  <c r="BI132" i="6"/>
  <c r="BH132" i="6"/>
  <c r="BG132" i="6"/>
  <c r="BF132" i="6"/>
  <c r="BE132" i="6"/>
  <c r="BD132" i="6"/>
  <c r="BC132" i="6"/>
  <c r="BB132" i="6"/>
  <c r="BA132" i="6"/>
  <c r="AZ132" i="6"/>
  <c r="AY132" i="6"/>
  <c r="AX132" i="6"/>
  <c r="AW132" i="6"/>
  <c r="AV132" i="6"/>
  <c r="AU132" i="6"/>
  <c r="AT132" i="6"/>
  <c r="AS132" i="6"/>
  <c r="AR132" i="6"/>
  <c r="AQ132" i="6"/>
  <c r="AP132" i="6"/>
  <c r="AO132" i="6"/>
  <c r="AN132" i="6"/>
  <c r="AM132" i="6"/>
  <c r="AL132" i="6"/>
  <c r="AK132" i="6"/>
  <c r="AJ132" i="6"/>
  <c r="AI132" i="6"/>
  <c r="AH132" i="6"/>
  <c r="AG132" i="6"/>
  <c r="AF132" i="6"/>
  <c r="AE132" i="6"/>
  <c r="AD132" i="6"/>
  <c r="AC132" i="6"/>
  <c r="AB132" i="6"/>
  <c r="AA132" i="6"/>
  <c r="Z132" i="6"/>
  <c r="Y132" i="6"/>
  <c r="X132" i="6"/>
  <c r="W132" i="6"/>
  <c r="V132" i="6"/>
  <c r="U132" i="6"/>
  <c r="T132" i="6"/>
  <c r="S132" i="6"/>
  <c r="R132" i="6"/>
  <c r="Q132" i="6"/>
  <c r="P132" i="6"/>
  <c r="O132" i="6"/>
  <c r="N132" i="6"/>
  <c r="M132" i="6"/>
  <c r="L132" i="6"/>
  <c r="K132" i="6"/>
  <c r="J132" i="6"/>
  <c r="I132" i="6"/>
  <c r="H132" i="6"/>
  <c r="G132" i="6"/>
  <c r="DI131" i="6"/>
  <c r="DH131" i="6"/>
  <c r="DG131" i="6"/>
  <c r="DF131" i="6"/>
  <c r="DE131" i="6"/>
  <c r="DD131" i="6"/>
  <c r="DC131" i="6"/>
  <c r="DB131" i="6"/>
  <c r="DA131" i="6"/>
  <c r="CZ131" i="6"/>
  <c r="CY131" i="6"/>
  <c r="CX131" i="6"/>
  <c r="CW131" i="6"/>
  <c r="CV131" i="6"/>
  <c r="CU131" i="6"/>
  <c r="CT131" i="6"/>
  <c r="CS131" i="6"/>
  <c r="CR131" i="6"/>
  <c r="CQ131" i="6"/>
  <c r="CP131" i="6"/>
  <c r="CO131" i="6"/>
  <c r="CN131" i="6"/>
  <c r="CM131" i="6"/>
  <c r="CL131" i="6"/>
  <c r="CK131" i="6"/>
  <c r="CJ131" i="6"/>
  <c r="CI131" i="6"/>
  <c r="CH131" i="6"/>
  <c r="CG131" i="6"/>
  <c r="CF131" i="6"/>
  <c r="CE131" i="6"/>
  <c r="CD131" i="6"/>
  <c r="CC131" i="6"/>
  <c r="CB131" i="6"/>
  <c r="CA131" i="6"/>
  <c r="BZ131" i="6"/>
  <c r="BY131" i="6"/>
  <c r="BX131" i="6"/>
  <c r="BW131" i="6"/>
  <c r="BV131" i="6"/>
  <c r="BU131" i="6"/>
  <c r="BT131" i="6"/>
  <c r="BS131" i="6"/>
  <c r="BR131" i="6"/>
  <c r="BQ131" i="6"/>
  <c r="BP131" i="6"/>
  <c r="BO131" i="6"/>
  <c r="BN131" i="6"/>
  <c r="BM131" i="6"/>
  <c r="BL131" i="6"/>
  <c r="BK131" i="6"/>
  <c r="BJ131" i="6"/>
  <c r="BI131" i="6"/>
  <c r="BH131" i="6"/>
  <c r="BG131" i="6"/>
  <c r="BF131" i="6"/>
  <c r="BE131" i="6"/>
  <c r="BD131" i="6"/>
  <c r="BC131" i="6"/>
  <c r="BB131" i="6"/>
  <c r="BA131" i="6"/>
  <c r="AZ131" i="6"/>
  <c r="AY131" i="6"/>
  <c r="AX131" i="6"/>
  <c r="AW131" i="6"/>
  <c r="AV131" i="6"/>
  <c r="AU131" i="6"/>
  <c r="AT131" i="6"/>
  <c r="AS131" i="6"/>
  <c r="AR131" i="6"/>
  <c r="AQ131" i="6"/>
  <c r="AP131" i="6"/>
  <c r="AO131" i="6"/>
  <c r="AN131" i="6"/>
  <c r="AM131" i="6"/>
  <c r="AL131" i="6"/>
  <c r="AK131" i="6"/>
  <c r="AJ131" i="6"/>
  <c r="AI131" i="6"/>
  <c r="AH131" i="6"/>
  <c r="AG131" i="6"/>
  <c r="AF131" i="6"/>
  <c r="AE131" i="6"/>
  <c r="AD131" i="6"/>
  <c r="AC131" i="6"/>
  <c r="AB131" i="6"/>
  <c r="AA131" i="6"/>
  <c r="Z131" i="6"/>
  <c r="Y131" i="6"/>
  <c r="X131" i="6"/>
  <c r="W131" i="6"/>
  <c r="V131" i="6"/>
  <c r="U131" i="6"/>
  <c r="T131" i="6"/>
  <c r="S131" i="6"/>
  <c r="R131" i="6"/>
  <c r="Q131" i="6"/>
  <c r="P131" i="6"/>
  <c r="O131" i="6"/>
  <c r="N131" i="6"/>
  <c r="M131" i="6"/>
  <c r="L131" i="6"/>
  <c r="K131" i="6"/>
  <c r="J131" i="6"/>
  <c r="I131" i="6"/>
  <c r="H131" i="6"/>
  <c r="G131" i="6"/>
  <c r="DI130" i="6"/>
  <c r="DH130" i="6"/>
  <c r="DG130" i="6"/>
  <c r="DF130" i="6"/>
  <c r="DE130" i="6"/>
  <c r="DD130" i="6"/>
  <c r="DC130" i="6"/>
  <c r="DB130" i="6"/>
  <c r="DA130" i="6"/>
  <c r="CZ130" i="6"/>
  <c r="CY130" i="6"/>
  <c r="CX130" i="6"/>
  <c r="CW130" i="6"/>
  <c r="CV130" i="6"/>
  <c r="CU130" i="6"/>
  <c r="CT130" i="6"/>
  <c r="CS130" i="6"/>
  <c r="CR130" i="6"/>
  <c r="CQ130" i="6"/>
  <c r="CP130" i="6"/>
  <c r="CO130" i="6"/>
  <c r="CN130" i="6"/>
  <c r="CM130" i="6"/>
  <c r="CL130" i="6"/>
  <c r="CK130" i="6"/>
  <c r="CJ130" i="6"/>
  <c r="CI130" i="6"/>
  <c r="CH130" i="6"/>
  <c r="CG130" i="6"/>
  <c r="CF130" i="6"/>
  <c r="CE130" i="6"/>
  <c r="CD130" i="6"/>
  <c r="CC130" i="6"/>
  <c r="CB130" i="6"/>
  <c r="CA130" i="6"/>
  <c r="BZ130" i="6"/>
  <c r="BY130" i="6"/>
  <c r="BX130" i="6"/>
  <c r="BW130" i="6"/>
  <c r="BV130" i="6"/>
  <c r="BU130" i="6"/>
  <c r="BT130" i="6"/>
  <c r="BS130" i="6"/>
  <c r="BR130" i="6"/>
  <c r="BQ130" i="6"/>
  <c r="BP130" i="6"/>
  <c r="BO130" i="6"/>
  <c r="BN130" i="6"/>
  <c r="BM130" i="6"/>
  <c r="BL130" i="6"/>
  <c r="BK130" i="6"/>
  <c r="BJ130" i="6"/>
  <c r="BI130" i="6"/>
  <c r="BH130" i="6"/>
  <c r="BG130" i="6"/>
  <c r="BF130" i="6"/>
  <c r="BE130" i="6"/>
  <c r="BD130" i="6"/>
  <c r="BC130" i="6"/>
  <c r="BB130" i="6"/>
  <c r="BA130" i="6"/>
  <c r="AZ130" i="6"/>
  <c r="AY130" i="6"/>
  <c r="AX130" i="6"/>
  <c r="AW130" i="6"/>
  <c r="AV130" i="6"/>
  <c r="AU130" i="6"/>
  <c r="AT130" i="6"/>
  <c r="AS130" i="6"/>
  <c r="AR130" i="6"/>
  <c r="AQ130" i="6"/>
  <c r="AP130" i="6"/>
  <c r="AO130" i="6"/>
  <c r="AN130" i="6"/>
  <c r="AM130" i="6"/>
  <c r="AL130" i="6"/>
  <c r="AK130" i="6"/>
  <c r="AJ130" i="6"/>
  <c r="AI130" i="6"/>
  <c r="AH130" i="6"/>
  <c r="AG130" i="6"/>
  <c r="AF130" i="6"/>
  <c r="AE130" i="6"/>
  <c r="AD130" i="6"/>
  <c r="AC130" i="6"/>
  <c r="AB130" i="6"/>
  <c r="AA130" i="6"/>
  <c r="Z130" i="6"/>
  <c r="Y130" i="6"/>
  <c r="X130" i="6"/>
  <c r="W130" i="6"/>
  <c r="V130" i="6"/>
  <c r="U130" i="6"/>
  <c r="T130" i="6"/>
  <c r="S130" i="6"/>
  <c r="R130" i="6"/>
  <c r="Q130" i="6"/>
  <c r="P130" i="6"/>
  <c r="O130" i="6"/>
  <c r="N130" i="6"/>
  <c r="M130" i="6"/>
  <c r="L130" i="6"/>
  <c r="K130" i="6"/>
  <c r="J130" i="6"/>
  <c r="I130" i="6"/>
  <c r="H130" i="6"/>
  <c r="G130" i="6"/>
  <c r="DI129" i="6"/>
  <c r="DH129" i="6"/>
  <c r="DG129" i="6"/>
  <c r="DF129" i="6"/>
  <c r="DE129" i="6"/>
  <c r="DD129" i="6"/>
  <c r="DC129" i="6"/>
  <c r="DB129" i="6"/>
  <c r="DA129" i="6"/>
  <c r="CZ129" i="6"/>
  <c r="CY129" i="6"/>
  <c r="CX129" i="6"/>
  <c r="CW129" i="6"/>
  <c r="CV129" i="6"/>
  <c r="CU129" i="6"/>
  <c r="CT129" i="6"/>
  <c r="CS129" i="6"/>
  <c r="CR129" i="6"/>
  <c r="CQ129" i="6"/>
  <c r="CP129" i="6"/>
  <c r="CO129" i="6"/>
  <c r="CN129" i="6"/>
  <c r="CM129" i="6"/>
  <c r="CL129" i="6"/>
  <c r="CK129" i="6"/>
  <c r="CJ129" i="6"/>
  <c r="CI129" i="6"/>
  <c r="CH129" i="6"/>
  <c r="CG129" i="6"/>
  <c r="CF129" i="6"/>
  <c r="CE129" i="6"/>
  <c r="CD129" i="6"/>
  <c r="CC129" i="6"/>
  <c r="CB129" i="6"/>
  <c r="CA129" i="6"/>
  <c r="BZ129" i="6"/>
  <c r="BY129" i="6"/>
  <c r="BX129" i="6"/>
  <c r="BW129" i="6"/>
  <c r="BV129" i="6"/>
  <c r="BU129" i="6"/>
  <c r="BT129" i="6"/>
  <c r="BS129" i="6"/>
  <c r="BR129" i="6"/>
  <c r="BQ129" i="6"/>
  <c r="BP129" i="6"/>
  <c r="BO129" i="6"/>
  <c r="BN129" i="6"/>
  <c r="BM129" i="6"/>
  <c r="BL129" i="6"/>
  <c r="BK129" i="6"/>
  <c r="BJ129" i="6"/>
  <c r="BI129" i="6"/>
  <c r="BH129" i="6"/>
  <c r="BG129" i="6"/>
  <c r="BF129" i="6"/>
  <c r="BE129" i="6"/>
  <c r="BD129" i="6"/>
  <c r="BC129" i="6"/>
  <c r="BB129" i="6"/>
  <c r="BA129" i="6"/>
  <c r="AZ129" i="6"/>
  <c r="AY129" i="6"/>
  <c r="AX129" i="6"/>
  <c r="AW129" i="6"/>
  <c r="AV129" i="6"/>
  <c r="AU129" i="6"/>
  <c r="AT129" i="6"/>
  <c r="AS129" i="6"/>
  <c r="AR129" i="6"/>
  <c r="AQ129" i="6"/>
  <c r="AP129" i="6"/>
  <c r="AO129" i="6"/>
  <c r="AN129" i="6"/>
  <c r="AM129" i="6"/>
  <c r="AL129" i="6"/>
  <c r="AK129" i="6"/>
  <c r="AJ129" i="6"/>
  <c r="AI129" i="6"/>
  <c r="AH129" i="6"/>
  <c r="AG129" i="6"/>
  <c r="AF129" i="6"/>
  <c r="AE129" i="6"/>
  <c r="AD129" i="6"/>
  <c r="AC129" i="6"/>
  <c r="AB129" i="6"/>
  <c r="AA129" i="6"/>
  <c r="Z129" i="6"/>
  <c r="Y129" i="6"/>
  <c r="X129" i="6"/>
  <c r="W129" i="6"/>
  <c r="V129" i="6"/>
  <c r="U129" i="6"/>
  <c r="T129" i="6"/>
  <c r="S129" i="6"/>
  <c r="R129" i="6"/>
  <c r="Q129" i="6"/>
  <c r="P129" i="6"/>
  <c r="O129" i="6"/>
  <c r="N129" i="6"/>
  <c r="M129" i="6"/>
  <c r="L129" i="6"/>
  <c r="K129" i="6"/>
  <c r="J129" i="6"/>
  <c r="I129" i="6"/>
  <c r="H129" i="6"/>
  <c r="G129" i="6"/>
  <c r="DI128" i="6"/>
  <c r="DH128" i="6"/>
  <c r="DG128" i="6"/>
  <c r="DF128" i="6"/>
  <c r="DE128" i="6"/>
  <c r="DD128" i="6"/>
  <c r="DC128" i="6"/>
  <c r="DB128" i="6"/>
  <c r="DA128" i="6"/>
  <c r="CZ128" i="6"/>
  <c r="CY128" i="6"/>
  <c r="CX128" i="6"/>
  <c r="CW128" i="6"/>
  <c r="CV128" i="6"/>
  <c r="CU128" i="6"/>
  <c r="CT128" i="6"/>
  <c r="CS128" i="6"/>
  <c r="CR128" i="6"/>
  <c r="CQ128" i="6"/>
  <c r="CP128" i="6"/>
  <c r="CO128" i="6"/>
  <c r="CN128" i="6"/>
  <c r="CM128" i="6"/>
  <c r="CL128" i="6"/>
  <c r="CK128" i="6"/>
  <c r="CJ128" i="6"/>
  <c r="CI128" i="6"/>
  <c r="CH128" i="6"/>
  <c r="CG128" i="6"/>
  <c r="CF128" i="6"/>
  <c r="CE128" i="6"/>
  <c r="CD128" i="6"/>
  <c r="CC128" i="6"/>
  <c r="CB128" i="6"/>
  <c r="CA128" i="6"/>
  <c r="BZ128" i="6"/>
  <c r="BY128" i="6"/>
  <c r="BX128" i="6"/>
  <c r="BW128" i="6"/>
  <c r="BV128" i="6"/>
  <c r="BU128" i="6"/>
  <c r="BT128" i="6"/>
  <c r="BS128" i="6"/>
  <c r="BR128" i="6"/>
  <c r="BQ128" i="6"/>
  <c r="BP128" i="6"/>
  <c r="BO128" i="6"/>
  <c r="BN128" i="6"/>
  <c r="BM128" i="6"/>
  <c r="BL128" i="6"/>
  <c r="BK128" i="6"/>
  <c r="BJ128" i="6"/>
  <c r="BI128" i="6"/>
  <c r="BH128" i="6"/>
  <c r="BG128" i="6"/>
  <c r="BF128" i="6"/>
  <c r="BE128" i="6"/>
  <c r="BD128" i="6"/>
  <c r="BC128" i="6"/>
  <c r="BB128" i="6"/>
  <c r="BA128" i="6"/>
  <c r="AZ128" i="6"/>
  <c r="AY128" i="6"/>
  <c r="AX128" i="6"/>
  <c r="AW128" i="6"/>
  <c r="AV128" i="6"/>
  <c r="AU128" i="6"/>
  <c r="AT128" i="6"/>
  <c r="AS128" i="6"/>
  <c r="AR128" i="6"/>
  <c r="AQ128" i="6"/>
  <c r="AP128" i="6"/>
  <c r="AO128" i="6"/>
  <c r="AN128" i="6"/>
  <c r="AM128" i="6"/>
  <c r="AL128" i="6"/>
  <c r="AK128" i="6"/>
  <c r="AJ128" i="6"/>
  <c r="AI128" i="6"/>
  <c r="AH128" i="6"/>
  <c r="AG128" i="6"/>
  <c r="AF128" i="6"/>
  <c r="AE128" i="6"/>
  <c r="AD128" i="6"/>
  <c r="AC128" i="6"/>
  <c r="AB128" i="6"/>
  <c r="AA128" i="6"/>
  <c r="Z128" i="6"/>
  <c r="Y128" i="6"/>
  <c r="X128" i="6"/>
  <c r="W128" i="6"/>
  <c r="V128" i="6"/>
  <c r="U128" i="6"/>
  <c r="T128" i="6"/>
  <c r="S128" i="6"/>
  <c r="R128" i="6"/>
  <c r="Q128" i="6"/>
  <c r="P128" i="6"/>
  <c r="O128" i="6"/>
  <c r="N128" i="6"/>
  <c r="M128" i="6"/>
  <c r="L128" i="6"/>
  <c r="K128" i="6"/>
  <c r="J128" i="6"/>
  <c r="I128" i="6"/>
  <c r="H128" i="6"/>
  <c r="G128" i="6"/>
  <c r="DI127" i="6"/>
  <c r="DH127" i="6"/>
  <c r="DG127" i="6"/>
  <c r="DF127" i="6"/>
  <c r="DE127" i="6"/>
  <c r="DD127" i="6"/>
  <c r="DC127" i="6"/>
  <c r="DB127" i="6"/>
  <c r="DA127" i="6"/>
  <c r="CZ127" i="6"/>
  <c r="CY127" i="6"/>
  <c r="CX127" i="6"/>
  <c r="CW127" i="6"/>
  <c r="CV127" i="6"/>
  <c r="CU127" i="6"/>
  <c r="CT127" i="6"/>
  <c r="CS127" i="6"/>
  <c r="CR127" i="6"/>
  <c r="CQ127" i="6"/>
  <c r="CP127" i="6"/>
  <c r="CO127" i="6"/>
  <c r="CN127" i="6"/>
  <c r="CM127" i="6"/>
  <c r="CL127" i="6"/>
  <c r="CK127" i="6"/>
  <c r="CJ127" i="6"/>
  <c r="CI127" i="6"/>
  <c r="CH127" i="6"/>
  <c r="CG127" i="6"/>
  <c r="CF127" i="6"/>
  <c r="CE127" i="6"/>
  <c r="CD127" i="6"/>
  <c r="CC127" i="6"/>
  <c r="CB127" i="6"/>
  <c r="CA127" i="6"/>
  <c r="BZ127" i="6"/>
  <c r="BY127" i="6"/>
  <c r="BX127" i="6"/>
  <c r="BW127" i="6"/>
  <c r="BV127" i="6"/>
  <c r="BU127" i="6"/>
  <c r="BT127" i="6"/>
  <c r="BS127" i="6"/>
  <c r="BR127" i="6"/>
  <c r="BQ127" i="6"/>
  <c r="BP127" i="6"/>
  <c r="BO127" i="6"/>
  <c r="BN127" i="6"/>
  <c r="BM127" i="6"/>
  <c r="BL127" i="6"/>
  <c r="BK127" i="6"/>
  <c r="BJ127" i="6"/>
  <c r="BI127" i="6"/>
  <c r="BH127" i="6"/>
  <c r="BG127" i="6"/>
  <c r="BF127" i="6"/>
  <c r="BE127" i="6"/>
  <c r="BD127" i="6"/>
  <c r="BC127" i="6"/>
  <c r="BB127" i="6"/>
  <c r="BA127" i="6"/>
  <c r="AZ127" i="6"/>
  <c r="AY127" i="6"/>
  <c r="AX127" i="6"/>
  <c r="AW127" i="6"/>
  <c r="AV127" i="6"/>
  <c r="AU127" i="6"/>
  <c r="AT127" i="6"/>
  <c r="AS127" i="6"/>
  <c r="AR127" i="6"/>
  <c r="AQ127" i="6"/>
  <c r="AP127" i="6"/>
  <c r="AO127" i="6"/>
  <c r="AN127" i="6"/>
  <c r="AM127" i="6"/>
  <c r="AL127" i="6"/>
  <c r="AK127" i="6"/>
  <c r="AJ127" i="6"/>
  <c r="AI127" i="6"/>
  <c r="AH127" i="6"/>
  <c r="AG127" i="6"/>
  <c r="AF127" i="6"/>
  <c r="AE127" i="6"/>
  <c r="AD127" i="6"/>
  <c r="AC127" i="6"/>
  <c r="AB127" i="6"/>
  <c r="AA127" i="6"/>
  <c r="Z127" i="6"/>
  <c r="Y127" i="6"/>
  <c r="X127" i="6"/>
  <c r="W127" i="6"/>
  <c r="V127" i="6"/>
  <c r="U127" i="6"/>
  <c r="T127" i="6"/>
  <c r="S127" i="6"/>
  <c r="R127" i="6"/>
  <c r="Q127" i="6"/>
  <c r="P127" i="6"/>
  <c r="O127" i="6"/>
  <c r="N127" i="6"/>
  <c r="M127" i="6"/>
  <c r="L127" i="6"/>
  <c r="K127" i="6"/>
  <c r="J127" i="6"/>
  <c r="I127" i="6"/>
  <c r="H127" i="6"/>
  <c r="G127" i="6"/>
  <c r="DI126" i="6"/>
  <c r="DH126" i="6"/>
  <c r="DG126" i="6"/>
  <c r="DF126" i="6"/>
  <c r="DE126" i="6"/>
  <c r="DD126" i="6"/>
  <c r="DC126" i="6"/>
  <c r="DB126" i="6"/>
  <c r="DA126" i="6"/>
  <c r="CZ126" i="6"/>
  <c r="CY126" i="6"/>
  <c r="CX126" i="6"/>
  <c r="CW126" i="6"/>
  <c r="CV126" i="6"/>
  <c r="CU126" i="6"/>
  <c r="CT126" i="6"/>
  <c r="CS126" i="6"/>
  <c r="CR126" i="6"/>
  <c r="CQ126" i="6"/>
  <c r="CP126" i="6"/>
  <c r="CO126" i="6"/>
  <c r="CN126" i="6"/>
  <c r="CM126" i="6"/>
  <c r="CL126" i="6"/>
  <c r="CK126" i="6"/>
  <c r="CJ126" i="6"/>
  <c r="CI126" i="6"/>
  <c r="CH126" i="6"/>
  <c r="CG126" i="6"/>
  <c r="CF126" i="6"/>
  <c r="CE126" i="6"/>
  <c r="CD126" i="6"/>
  <c r="CC126" i="6"/>
  <c r="CB126" i="6"/>
  <c r="CA126" i="6"/>
  <c r="BZ126" i="6"/>
  <c r="BY126" i="6"/>
  <c r="BX126" i="6"/>
  <c r="BW126" i="6"/>
  <c r="BV126" i="6"/>
  <c r="BU126" i="6"/>
  <c r="BT126" i="6"/>
  <c r="BS126" i="6"/>
  <c r="BR126" i="6"/>
  <c r="BQ126" i="6"/>
  <c r="BP126" i="6"/>
  <c r="BO126" i="6"/>
  <c r="BN126" i="6"/>
  <c r="BM126" i="6"/>
  <c r="BL126" i="6"/>
  <c r="BK126" i="6"/>
  <c r="BJ126" i="6"/>
  <c r="BI126" i="6"/>
  <c r="BH126" i="6"/>
  <c r="BG126" i="6"/>
  <c r="BF126" i="6"/>
  <c r="BE126" i="6"/>
  <c r="BD126" i="6"/>
  <c r="BC126" i="6"/>
  <c r="BB126" i="6"/>
  <c r="BA126" i="6"/>
  <c r="AZ126" i="6"/>
  <c r="AY126" i="6"/>
  <c r="AX126" i="6"/>
  <c r="AW126" i="6"/>
  <c r="AV126" i="6"/>
  <c r="AU126" i="6"/>
  <c r="AT126" i="6"/>
  <c r="AS126" i="6"/>
  <c r="AR126" i="6"/>
  <c r="AQ126" i="6"/>
  <c r="AP126" i="6"/>
  <c r="AO126" i="6"/>
  <c r="AN126" i="6"/>
  <c r="AM126" i="6"/>
  <c r="AL126" i="6"/>
  <c r="AK126" i="6"/>
  <c r="AJ126" i="6"/>
  <c r="AI126" i="6"/>
  <c r="AH126" i="6"/>
  <c r="AG126" i="6"/>
  <c r="AF126" i="6"/>
  <c r="AE126" i="6"/>
  <c r="AD126" i="6"/>
  <c r="AC126" i="6"/>
  <c r="AB126" i="6"/>
  <c r="AA126" i="6"/>
  <c r="Z126" i="6"/>
  <c r="Y126" i="6"/>
  <c r="X126" i="6"/>
  <c r="W126" i="6"/>
  <c r="V126" i="6"/>
  <c r="U126" i="6"/>
  <c r="T126" i="6"/>
  <c r="S126" i="6"/>
  <c r="R126" i="6"/>
  <c r="Q126" i="6"/>
  <c r="P126" i="6"/>
  <c r="O126" i="6"/>
  <c r="N126" i="6"/>
  <c r="M126" i="6"/>
  <c r="L126" i="6"/>
  <c r="K126" i="6"/>
  <c r="J126" i="6"/>
  <c r="I126" i="6"/>
  <c r="H126" i="6"/>
  <c r="G126" i="6"/>
  <c r="DI125" i="6"/>
  <c r="DH125" i="6"/>
  <c r="DG125" i="6"/>
  <c r="DF125" i="6"/>
  <c r="DE125" i="6"/>
  <c r="DD125" i="6"/>
  <c r="DC125" i="6"/>
  <c r="DB125" i="6"/>
  <c r="DA125" i="6"/>
  <c r="CZ125" i="6"/>
  <c r="CY125" i="6"/>
  <c r="CX125" i="6"/>
  <c r="CW125" i="6"/>
  <c r="CV125" i="6"/>
  <c r="CU125" i="6"/>
  <c r="CT125" i="6"/>
  <c r="CS125" i="6"/>
  <c r="CR125" i="6"/>
  <c r="CQ125" i="6"/>
  <c r="CP125" i="6"/>
  <c r="CO125" i="6"/>
  <c r="CN125" i="6"/>
  <c r="CM125" i="6"/>
  <c r="CL125" i="6"/>
  <c r="CK125" i="6"/>
  <c r="CJ125" i="6"/>
  <c r="CI125" i="6"/>
  <c r="CH125" i="6"/>
  <c r="CG125" i="6"/>
  <c r="CF125" i="6"/>
  <c r="CE125" i="6"/>
  <c r="CD125" i="6"/>
  <c r="CC125" i="6"/>
  <c r="CB125" i="6"/>
  <c r="CA125" i="6"/>
  <c r="BZ125" i="6"/>
  <c r="BY125" i="6"/>
  <c r="BX125" i="6"/>
  <c r="BW125" i="6"/>
  <c r="BV125" i="6"/>
  <c r="BU125" i="6"/>
  <c r="BT125" i="6"/>
  <c r="BS125" i="6"/>
  <c r="BR125" i="6"/>
  <c r="BQ125" i="6"/>
  <c r="BP125" i="6"/>
  <c r="BO125" i="6"/>
  <c r="BN125" i="6"/>
  <c r="BM125" i="6"/>
  <c r="BL125" i="6"/>
  <c r="BK125" i="6"/>
  <c r="BJ125" i="6"/>
  <c r="BI125" i="6"/>
  <c r="BH125" i="6"/>
  <c r="BG125" i="6"/>
  <c r="BF125" i="6"/>
  <c r="BE125" i="6"/>
  <c r="BD125" i="6"/>
  <c r="BC125" i="6"/>
  <c r="BB125" i="6"/>
  <c r="BA125" i="6"/>
  <c r="AZ125" i="6"/>
  <c r="AY125" i="6"/>
  <c r="AX125" i="6"/>
  <c r="AW125" i="6"/>
  <c r="AV125" i="6"/>
  <c r="AU125" i="6"/>
  <c r="AT125" i="6"/>
  <c r="AS125" i="6"/>
  <c r="AR125" i="6"/>
  <c r="AQ125" i="6"/>
  <c r="AP125" i="6"/>
  <c r="AO125" i="6"/>
  <c r="AN125" i="6"/>
  <c r="AM125" i="6"/>
  <c r="AL125" i="6"/>
  <c r="AK125" i="6"/>
  <c r="AJ125" i="6"/>
  <c r="AI125" i="6"/>
  <c r="AH125" i="6"/>
  <c r="AG125" i="6"/>
  <c r="AF125" i="6"/>
  <c r="AE125" i="6"/>
  <c r="AD125" i="6"/>
  <c r="AC125" i="6"/>
  <c r="AB125" i="6"/>
  <c r="AA125" i="6"/>
  <c r="Z125" i="6"/>
  <c r="Y125" i="6"/>
  <c r="X125" i="6"/>
  <c r="W125" i="6"/>
  <c r="V125" i="6"/>
  <c r="U125" i="6"/>
  <c r="T125" i="6"/>
  <c r="S125" i="6"/>
  <c r="R125" i="6"/>
  <c r="Q125" i="6"/>
  <c r="P125" i="6"/>
  <c r="O125" i="6"/>
  <c r="N125" i="6"/>
  <c r="M125" i="6"/>
  <c r="L125" i="6"/>
  <c r="K125" i="6"/>
  <c r="J125" i="6"/>
  <c r="I125" i="6"/>
  <c r="H125" i="6"/>
  <c r="G125" i="6"/>
  <c r="DI124" i="6"/>
  <c r="DH124" i="6"/>
  <c r="DG124" i="6"/>
  <c r="DF124" i="6"/>
  <c r="DE124" i="6"/>
  <c r="DD124" i="6"/>
  <c r="DC124" i="6"/>
  <c r="DB124" i="6"/>
  <c r="DA124" i="6"/>
  <c r="CZ124" i="6"/>
  <c r="CY124" i="6"/>
  <c r="CX124" i="6"/>
  <c r="CW124" i="6"/>
  <c r="CV124" i="6"/>
  <c r="CU124" i="6"/>
  <c r="CT124" i="6"/>
  <c r="CS124" i="6"/>
  <c r="CR124" i="6"/>
  <c r="CQ124" i="6"/>
  <c r="CP124" i="6"/>
  <c r="CO124" i="6"/>
  <c r="CN124" i="6"/>
  <c r="CM124" i="6"/>
  <c r="CL124" i="6"/>
  <c r="CK124" i="6"/>
  <c r="CJ124" i="6"/>
  <c r="CI124" i="6"/>
  <c r="CH124" i="6"/>
  <c r="CG124" i="6"/>
  <c r="CF124" i="6"/>
  <c r="CE124" i="6"/>
  <c r="CD124" i="6"/>
  <c r="CC124" i="6"/>
  <c r="CB124" i="6"/>
  <c r="CA124" i="6"/>
  <c r="BZ124" i="6"/>
  <c r="BY124" i="6"/>
  <c r="BX124" i="6"/>
  <c r="BW124" i="6"/>
  <c r="BV124" i="6"/>
  <c r="BU124" i="6"/>
  <c r="BT124" i="6"/>
  <c r="BS124" i="6"/>
  <c r="BR124" i="6"/>
  <c r="BQ124" i="6"/>
  <c r="BP124" i="6"/>
  <c r="BO124" i="6"/>
  <c r="BN124" i="6"/>
  <c r="BM124" i="6"/>
  <c r="BL124" i="6"/>
  <c r="BK124" i="6"/>
  <c r="BJ124" i="6"/>
  <c r="BI124" i="6"/>
  <c r="BH124" i="6"/>
  <c r="BG124" i="6"/>
  <c r="BF124" i="6"/>
  <c r="BE124" i="6"/>
  <c r="BD124" i="6"/>
  <c r="BC124" i="6"/>
  <c r="BB124" i="6"/>
  <c r="BA124" i="6"/>
  <c r="AZ124" i="6"/>
  <c r="AY124" i="6"/>
  <c r="AX124" i="6"/>
  <c r="AW124" i="6"/>
  <c r="AV124" i="6"/>
  <c r="AU124" i="6"/>
  <c r="AT124" i="6"/>
  <c r="AS124" i="6"/>
  <c r="AR124" i="6"/>
  <c r="AQ124" i="6"/>
  <c r="AP124" i="6"/>
  <c r="AO124" i="6"/>
  <c r="AN124" i="6"/>
  <c r="AM124" i="6"/>
  <c r="AL124" i="6"/>
  <c r="AK124" i="6"/>
  <c r="AJ124" i="6"/>
  <c r="AI124" i="6"/>
  <c r="AH124" i="6"/>
  <c r="AG124" i="6"/>
  <c r="AF124" i="6"/>
  <c r="AE124" i="6"/>
  <c r="AD124" i="6"/>
  <c r="AC124" i="6"/>
  <c r="AB124" i="6"/>
  <c r="AA124" i="6"/>
  <c r="Z124" i="6"/>
  <c r="Y124" i="6"/>
  <c r="X124" i="6"/>
  <c r="W124" i="6"/>
  <c r="V124" i="6"/>
  <c r="U124" i="6"/>
  <c r="T124" i="6"/>
  <c r="S124" i="6"/>
  <c r="R124" i="6"/>
  <c r="Q124" i="6"/>
  <c r="P124" i="6"/>
  <c r="O124" i="6"/>
  <c r="N124" i="6"/>
  <c r="M124" i="6"/>
  <c r="L124" i="6"/>
  <c r="K124" i="6"/>
  <c r="J124" i="6"/>
  <c r="I124" i="6"/>
  <c r="H124" i="6"/>
  <c r="G124" i="6"/>
  <c r="DI123" i="6"/>
  <c r="DH123" i="6"/>
  <c r="DG123" i="6"/>
  <c r="DF123" i="6"/>
  <c r="DE123" i="6"/>
  <c r="DD123" i="6"/>
  <c r="DC123" i="6"/>
  <c r="DB123" i="6"/>
  <c r="DA123" i="6"/>
  <c r="CZ123" i="6"/>
  <c r="CY123" i="6"/>
  <c r="CX123" i="6"/>
  <c r="CW123" i="6"/>
  <c r="CV123" i="6"/>
  <c r="CU123" i="6"/>
  <c r="CT123" i="6"/>
  <c r="CS123" i="6"/>
  <c r="CR123" i="6"/>
  <c r="CQ123" i="6"/>
  <c r="CP123" i="6"/>
  <c r="CO123" i="6"/>
  <c r="CN123" i="6"/>
  <c r="CM123" i="6"/>
  <c r="CL123" i="6"/>
  <c r="CK123" i="6"/>
  <c r="CJ123" i="6"/>
  <c r="CI123" i="6"/>
  <c r="CH123" i="6"/>
  <c r="CG123" i="6"/>
  <c r="CF123" i="6"/>
  <c r="CE123" i="6"/>
  <c r="CD123" i="6"/>
  <c r="CC123" i="6"/>
  <c r="CB123" i="6"/>
  <c r="CA123" i="6"/>
  <c r="BZ123" i="6"/>
  <c r="BY123" i="6"/>
  <c r="BX123" i="6"/>
  <c r="BW123" i="6"/>
  <c r="BV123" i="6"/>
  <c r="BU123" i="6"/>
  <c r="BT123" i="6"/>
  <c r="BS123" i="6"/>
  <c r="BR123" i="6"/>
  <c r="BQ123" i="6"/>
  <c r="BP123" i="6"/>
  <c r="BO123" i="6"/>
  <c r="BN123" i="6"/>
  <c r="BM123" i="6"/>
  <c r="BL123" i="6"/>
  <c r="BK123" i="6"/>
  <c r="BJ123" i="6"/>
  <c r="BI123" i="6"/>
  <c r="BH123" i="6"/>
  <c r="BG123" i="6"/>
  <c r="BF123" i="6"/>
  <c r="BE123" i="6"/>
  <c r="BD123" i="6"/>
  <c r="BC123" i="6"/>
  <c r="BB123" i="6"/>
  <c r="BA123" i="6"/>
  <c r="AZ123" i="6"/>
  <c r="AY123" i="6"/>
  <c r="AX123" i="6"/>
  <c r="AW123" i="6"/>
  <c r="AV123" i="6"/>
  <c r="AU123" i="6"/>
  <c r="AT123" i="6"/>
  <c r="AS123" i="6"/>
  <c r="AR123" i="6"/>
  <c r="AQ123" i="6"/>
  <c r="AP123" i="6"/>
  <c r="AO123" i="6"/>
  <c r="AN123" i="6"/>
  <c r="AM123" i="6"/>
  <c r="AL123" i="6"/>
  <c r="AK123" i="6"/>
  <c r="AJ123" i="6"/>
  <c r="AI123" i="6"/>
  <c r="AH123" i="6"/>
  <c r="AG123" i="6"/>
  <c r="AF123" i="6"/>
  <c r="AE123" i="6"/>
  <c r="AD123" i="6"/>
  <c r="AC123" i="6"/>
  <c r="AB123" i="6"/>
  <c r="AA123" i="6"/>
  <c r="Z123" i="6"/>
  <c r="Y123" i="6"/>
  <c r="X123" i="6"/>
  <c r="W123" i="6"/>
  <c r="V123" i="6"/>
  <c r="U123" i="6"/>
  <c r="T123" i="6"/>
  <c r="S123" i="6"/>
  <c r="R123" i="6"/>
  <c r="Q123" i="6"/>
  <c r="P123" i="6"/>
  <c r="O123" i="6"/>
  <c r="N123" i="6"/>
  <c r="M123" i="6"/>
  <c r="L123" i="6"/>
  <c r="K123" i="6"/>
  <c r="J123" i="6"/>
  <c r="I123" i="6"/>
  <c r="H123" i="6"/>
  <c r="G123" i="6"/>
  <c r="DI122" i="6"/>
  <c r="DH122" i="6"/>
  <c r="DG122" i="6"/>
  <c r="DF122" i="6"/>
  <c r="DE122" i="6"/>
  <c r="DD122" i="6"/>
  <c r="DC122" i="6"/>
  <c r="DB122" i="6"/>
  <c r="DA122" i="6"/>
  <c r="CZ122" i="6"/>
  <c r="CY122" i="6"/>
  <c r="CX122" i="6"/>
  <c r="CW122" i="6"/>
  <c r="CV122" i="6"/>
  <c r="CU122" i="6"/>
  <c r="CT122" i="6"/>
  <c r="CS122" i="6"/>
  <c r="CR122" i="6"/>
  <c r="CQ122" i="6"/>
  <c r="CP122" i="6"/>
  <c r="CO122" i="6"/>
  <c r="CN122" i="6"/>
  <c r="CM122" i="6"/>
  <c r="CL122" i="6"/>
  <c r="CK122" i="6"/>
  <c r="CJ122" i="6"/>
  <c r="CI122" i="6"/>
  <c r="CH122" i="6"/>
  <c r="CG122" i="6"/>
  <c r="CF122" i="6"/>
  <c r="CE122" i="6"/>
  <c r="CD122" i="6"/>
  <c r="CC122" i="6"/>
  <c r="CB122" i="6"/>
  <c r="CA122" i="6"/>
  <c r="BZ122" i="6"/>
  <c r="BY122" i="6"/>
  <c r="BX122" i="6"/>
  <c r="BW122" i="6"/>
  <c r="BV122" i="6"/>
  <c r="BU122" i="6"/>
  <c r="BT122" i="6"/>
  <c r="BS122" i="6"/>
  <c r="BR122" i="6"/>
  <c r="BQ122" i="6"/>
  <c r="BP122" i="6"/>
  <c r="BO122" i="6"/>
  <c r="BN122" i="6"/>
  <c r="BM122" i="6"/>
  <c r="BL122" i="6"/>
  <c r="BK122" i="6"/>
  <c r="BJ122" i="6"/>
  <c r="BI122" i="6"/>
  <c r="BH122" i="6"/>
  <c r="BG122" i="6"/>
  <c r="BF122" i="6"/>
  <c r="BE122" i="6"/>
  <c r="BD122" i="6"/>
  <c r="BC122" i="6"/>
  <c r="BB122" i="6"/>
  <c r="BA122" i="6"/>
  <c r="AZ122" i="6"/>
  <c r="AY122" i="6"/>
  <c r="AX122" i="6"/>
  <c r="AW122" i="6"/>
  <c r="AV122" i="6"/>
  <c r="AU122" i="6"/>
  <c r="AT122" i="6"/>
  <c r="AS122" i="6"/>
  <c r="AR122" i="6"/>
  <c r="AQ122" i="6"/>
  <c r="AP122" i="6"/>
  <c r="AO122" i="6"/>
  <c r="AN122" i="6"/>
  <c r="AM122" i="6"/>
  <c r="AL122" i="6"/>
  <c r="AK122" i="6"/>
  <c r="AJ122" i="6"/>
  <c r="AI122" i="6"/>
  <c r="AH122" i="6"/>
  <c r="AG122" i="6"/>
  <c r="AF122" i="6"/>
  <c r="AE122" i="6"/>
  <c r="AD122" i="6"/>
  <c r="AC122" i="6"/>
  <c r="AB122" i="6"/>
  <c r="AA122" i="6"/>
  <c r="Z122" i="6"/>
  <c r="Y122" i="6"/>
  <c r="X122" i="6"/>
  <c r="W122" i="6"/>
  <c r="V122" i="6"/>
  <c r="U122" i="6"/>
  <c r="T122" i="6"/>
  <c r="S122" i="6"/>
  <c r="R122" i="6"/>
  <c r="Q122" i="6"/>
  <c r="P122" i="6"/>
  <c r="O122" i="6"/>
  <c r="N122" i="6"/>
  <c r="M122" i="6"/>
  <c r="L122" i="6"/>
  <c r="K122" i="6"/>
  <c r="J122" i="6"/>
  <c r="I122" i="6"/>
  <c r="H122" i="6"/>
  <c r="G122" i="6"/>
  <c r="DI121" i="6"/>
  <c r="DH121" i="6"/>
  <c r="DG121" i="6"/>
  <c r="DF121" i="6"/>
  <c r="DE121" i="6"/>
  <c r="DD121" i="6"/>
  <c r="DC121" i="6"/>
  <c r="DB121" i="6"/>
  <c r="DA121" i="6"/>
  <c r="CZ121" i="6"/>
  <c r="CY121" i="6"/>
  <c r="CX121" i="6"/>
  <c r="CW121" i="6"/>
  <c r="CV121" i="6"/>
  <c r="CU121" i="6"/>
  <c r="CT121" i="6"/>
  <c r="CS121" i="6"/>
  <c r="CR121" i="6"/>
  <c r="CQ121" i="6"/>
  <c r="CP121" i="6"/>
  <c r="CO121" i="6"/>
  <c r="CN121" i="6"/>
  <c r="CM121" i="6"/>
  <c r="CL121" i="6"/>
  <c r="CK121" i="6"/>
  <c r="CJ121" i="6"/>
  <c r="CI121" i="6"/>
  <c r="CH121" i="6"/>
  <c r="CG121" i="6"/>
  <c r="CF121" i="6"/>
  <c r="CE121" i="6"/>
  <c r="CD121" i="6"/>
  <c r="CC121" i="6"/>
  <c r="CB121" i="6"/>
  <c r="CA121" i="6"/>
  <c r="BZ121" i="6"/>
  <c r="BY121" i="6"/>
  <c r="BX121" i="6"/>
  <c r="BW121" i="6"/>
  <c r="BV121" i="6"/>
  <c r="BU121" i="6"/>
  <c r="BT121" i="6"/>
  <c r="BS121" i="6"/>
  <c r="BR121" i="6"/>
  <c r="BQ121" i="6"/>
  <c r="BP121" i="6"/>
  <c r="BO121" i="6"/>
  <c r="BN121" i="6"/>
  <c r="BM121" i="6"/>
  <c r="BL121" i="6"/>
  <c r="BK121" i="6"/>
  <c r="BJ121" i="6"/>
  <c r="BI121" i="6"/>
  <c r="BH121" i="6"/>
  <c r="BG121" i="6"/>
  <c r="BF121" i="6"/>
  <c r="BE121" i="6"/>
  <c r="BD121" i="6"/>
  <c r="BC121" i="6"/>
  <c r="BB121" i="6"/>
  <c r="BA121" i="6"/>
  <c r="AZ121" i="6"/>
  <c r="AY121" i="6"/>
  <c r="AX121" i="6"/>
  <c r="AW121" i="6"/>
  <c r="AV121" i="6"/>
  <c r="AU121" i="6"/>
  <c r="AT121" i="6"/>
  <c r="AS121" i="6"/>
  <c r="AR121" i="6"/>
  <c r="AQ121" i="6"/>
  <c r="AP121" i="6"/>
  <c r="AO121" i="6"/>
  <c r="AN121" i="6"/>
  <c r="AM121" i="6"/>
  <c r="AL121" i="6"/>
  <c r="AK121" i="6"/>
  <c r="AJ121" i="6"/>
  <c r="AI121" i="6"/>
  <c r="AH121" i="6"/>
  <c r="AG121" i="6"/>
  <c r="AF121" i="6"/>
  <c r="AE121" i="6"/>
  <c r="AD121" i="6"/>
  <c r="AC121" i="6"/>
  <c r="AB121" i="6"/>
  <c r="AA121" i="6"/>
  <c r="Z121" i="6"/>
  <c r="Y121" i="6"/>
  <c r="X121" i="6"/>
  <c r="W121" i="6"/>
  <c r="V121" i="6"/>
  <c r="U121" i="6"/>
  <c r="T121" i="6"/>
  <c r="S121" i="6"/>
  <c r="R121" i="6"/>
  <c r="Q121" i="6"/>
  <c r="P121" i="6"/>
  <c r="O121" i="6"/>
  <c r="N121" i="6"/>
  <c r="M121" i="6"/>
  <c r="L121" i="6"/>
  <c r="K121" i="6"/>
  <c r="J121" i="6"/>
  <c r="I121" i="6"/>
  <c r="H121" i="6"/>
  <c r="G121" i="6"/>
  <c r="DI120" i="6"/>
  <c r="DH120" i="6"/>
  <c r="DG120" i="6"/>
  <c r="DF120" i="6"/>
  <c r="DE120" i="6"/>
  <c r="DD120" i="6"/>
  <c r="DC120" i="6"/>
  <c r="DB120" i="6"/>
  <c r="DA120" i="6"/>
  <c r="CZ120" i="6"/>
  <c r="CY120" i="6"/>
  <c r="CX120" i="6"/>
  <c r="CW120" i="6"/>
  <c r="CV120" i="6"/>
  <c r="CU120" i="6"/>
  <c r="CT120" i="6"/>
  <c r="CS120" i="6"/>
  <c r="CR120" i="6"/>
  <c r="CQ120" i="6"/>
  <c r="CP120" i="6"/>
  <c r="CO120" i="6"/>
  <c r="CN120" i="6"/>
  <c r="CM120" i="6"/>
  <c r="CL120" i="6"/>
  <c r="CK120" i="6"/>
  <c r="CJ120" i="6"/>
  <c r="CI120" i="6"/>
  <c r="CH120" i="6"/>
  <c r="CG120" i="6"/>
  <c r="CF120" i="6"/>
  <c r="CE120" i="6"/>
  <c r="CD120" i="6"/>
  <c r="CC120" i="6"/>
  <c r="CB120" i="6"/>
  <c r="CA120" i="6"/>
  <c r="BZ120" i="6"/>
  <c r="BY120" i="6"/>
  <c r="BX120" i="6"/>
  <c r="BW120" i="6"/>
  <c r="BV120" i="6"/>
  <c r="BU120" i="6"/>
  <c r="BT120" i="6"/>
  <c r="BS120" i="6"/>
  <c r="BR120" i="6"/>
  <c r="BQ120" i="6"/>
  <c r="BP120" i="6"/>
  <c r="BO120" i="6"/>
  <c r="BN120" i="6"/>
  <c r="BM120" i="6"/>
  <c r="BL120" i="6"/>
  <c r="BK120" i="6"/>
  <c r="BJ120" i="6"/>
  <c r="BI120" i="6"/>
  <c r="BH120" i="6"/>
  <c r="BG120" i="6"/>
  <c r="BF120" i="6"/>
  <c r="BE120" i="6"/>
  <c r="BD120" i="6"/>
  <c r="BC120" i="6"/>
  <c r="BB120" i="6"/>
  <c r="BA120" i="6"/>
  <c r="AZ120" i="6"/>
  <c r="AY120" i="6"/>
  <c r="AX120" i="6"/>
  <c r="AW120" i="6"/>
  <c r="AV120" i="6"/>
  <c r="AU120" i="6"/>
  <c r="AT120" i="6"/>
  <c r="AS120" i="6"/>
  <c r="AR120" i="6"/>
  <c r="AQ120" i="6"/>
  <c r="AP120" i="6"/>
  <c r="AO120" i="6"/>
  <c r="AN120" i="6"/>
  <c r="AM120" i="6"/>
  <c r="AL120" i="6"/>
  <c r="AK120" i="6"/>
  <c r="AJ120" i="6"/>
  <c r="AI120" i="6"/>
  <c r="AH120" i="6"/>
  <c r="AG120" i="6"/>
  <c r="AF120" i="6"/>
  <c r="AE120" i="6"/>
  <c r="AD120" i="6"/>
  <c r="AC120" i="6"/>
  <c r="AB120" i="6"/>
  <c r="AA120" i="6"/>
  <c r="Z120" i="6"/>
  <c r="Y120" i="6"/>
  <c r="X120" i="6"/>
  <c r="W120" i="6"/>
  <c r="V120" i="6"/>
  <c r="U120" i="6"/>
  <c r="T120" i="6"/>
  <c r="S120" i="6"/>
  <c r="R120" i="6"/>
  <c r="Q120" i="6"/>
  <c r="P120" i="6"/>
  <c r="O120" i="6"/>
  <c r="N120" i="6"/>
  <c r="M120" i="6"/>
  <c r="L120" i="6"/>
  <c r="K120" i="6"/>
  <c r="J120" i="6"/>
  <c r="I120" i="6"/>
  <c r="H120" i="6"/>
  <c r="G120" i="6"/>
  <c r="DI119" i="6"/>
  <c r="DH119" i="6"/>
  <c r="DG119" i="6"/>
  <c r="DF119" i="6"/>
  <c r="DE119" i="6"/>
  <c r="DD119" i="6"/>
  <c r="DC119" i="6"/>
  <c r="DB119" i="6"/>
  <c r="DA119" i="6"/>
  <c r="CZ119" i="6"/>
  <c r="CY119" i="6"/>
  <c r="CX119" i="6"/>
  <c r="CW119" i="6"/>
  <c r="CV119" i="6"/>
  <c r="CU119" i="6"/>
  <c r="CT119" i="6"/>
  <c r="CS119" i="6"/>
  <c r="CR119" i="6"/>
  <c r="CQ119" i="6"/>
  <c r="CP119" i="6"/>
  <c r="CO119" i="6"/>
  <c r="CN119" i="6"/>
  <c r="CM119" i="6"/>
  <c r="CL119" i="6"/>
  <c r="CK119" i="6"/>
  <c r="CJ119" i="6"/>
  <c r="CI119" i="6"/>
  <c r="CH119" i="6"/>
  <c r="CG119" i="6"/>
  <c r="CF119" i="6"/>
  <c r="CE119" i="6"/>
  <c r="CD119" i="6"/>
  <c r="CC119" i="6"/>
  <c r="CB119" i="6"/>
  <c r="CA119" i="6"/>
  <c r="BZ119" i="6"/>
  <c r="BY119" i="6"/>
  <c r="BX119" i="6"/>
  <c r="BW119" i="6"/>
  <c r="BV119" i="6"/>
  <c r="BU119" i="6"/>
  <c r="BT119" i="6"/>
  <c r="BS119" i="6"/>
  <c r="BR119" i="6"/>
  <c r="BQ119" i="6"/>
  <c r="BP119" i="6"/>
  <c r="BO119" i="6"/>
  <c r="BN119" i="6"/>
  <c r="BM119" i="6"/>
  <c r="BL119" i="6"/>
  <c r="BK119" i="6"/>
  <c r="BJ119" i="6"/>
  <c r="BI119" i="6"/>
  <c r="BH119" i="6"/>
  <c r="BG119" i="6"/>
  <c r="BF119" i="6"/>
  <c r="BE119" i="6"/>
  <c r="BD119" i="6"/>
  <c r="BC119" i="6"/>
  <c r="BB119" i="6"/>
  <c r="BA119" i="6"/>
  <c r="AZ119" i="6"/>
  <c r="AY119" i="6"/>
  <c r="AX119" i="6"/>
  <c r="AW119" i="6"/>
  <c r="AV119" i="6"/>
  <c r="AU119" i="6"/>
  <c r="AT119" i="6"/>
  <c r="AS119" i="6"/>
  <c r="AR119" i="6"/>
  <c r="AQ119" i="6"/>
  <c r="AP119" i="6"/>
  <c r="AO119" i="6"/>
  <c r="AN119" i="6"/>
  <c r="AM119" i="6"/>
  <c r="AL119" i="6"/>
  <c r="AK119" i="6"/>
  <c r="AJ119" i="6"/>
  <c r="AI119" i="6"/>
  <c r="AH119" i="6"/>
  <c r="AG119" i="6"/>
  <c r="AF119" i="6"/>
  <c r="AE119" i="6"/>
  <c r="AD119" i="6"/>
  <c r="AC119" i="6"/>
  <c r="AB119" i="6"/>
  <c r="AA119" i="6"/>
  <c r="Z119" i="6"/>
  <c r="Y119" i="6"/>
  <c r="X119" i="6"/>
  <c r="W119" i="6"/>
  <c r="V119" i="6"/>
  <c r="U119" i="6"/>
  <c r="T119" i="6"/>
  <c r="S119" i="6"/>
  <c r="R119" i="6"/>
  <c r="Q119" i="6"/>
  <c r="P119" i="6"/>
  <c r="O119" i="6"/>
  <c r="N119" i="6"/>
  <c r="M119" i="6"/>
  <c r="L119" i="6"/>
  <c r="K119" i="6"/>
  <c r="J119" i="6"/>
  <c r="I119" i="6"/>
  <c r="H119" i="6"/>
  <c r="G119" i="6"/>
  <c r="DI118" i="6"/>
  <c r="DH118" i="6"/>
  <c r="DG118" i="6"/>
  <c r="DF118" i="6"/>
  <c r="DE118" i="6"/>
  <c r="DD118" i="6"/>
  <c r="DC118" i="6"/>
  <c r="DB118" i="6"/>
  <c r="DA118" i="6"/>
  <c r="CZ118" i="6"/>
  <c r="CY118" i="6"/>
  <c r="CX118" i="6"/>
  <c r="CW118" i="6"/>
  <c r="CV118" i="6"/>
  <c r="CU118" i="6"/>
  <c r="CT118" i="6"/>
  <c r="CS118" i="6"/>
  <c r="CR118" i="6"/>
  <c r="CQ118" i="6"/>
  <c r="CP118" i="6"/>
  <c r="CO118" i="6"/>
  <c r="CN118" i="6"/>
  <c r="CM118" i="6"/>
  <c r="CL118" i="6"/>
  <c r="CK118" i="6"/>
  <c r="CJ118" i="6"/>
  <c r="CI118" i="6"/>
  <c r="CH118" i="6"/>
  <c r="CG118" i="6"/>
  <c r="CF118" i="6"/>
  <c r="CE118" i="6"/>
  <c r="CD118" i="6"/>
  <c r="CC118" i="6"/>
  <c r="CB118" i="6"/>
  <c r="CA118" i="6"/>
  <c r="BZ118" i="6"/>
  <c r="BY118" i="6"/>
  <c r="BX118" i="6"/>
  <c r="BW118" i="6"/>
  <c r="BV118" i="6"/>
  <c r="BU118" i="6"/>
  <c r="BT118" i="6"/>
  <c r="BS118" i="6"/>
  <c r="BR118" i="6"/>
  <c r="BQ118" i="6"/>
  <c r="BP118" i="6"/>
  <c r="BO118" i="6"/>
  <c r="BN118" i="6"/>
  <c r="BM118" i="6"/>
  <c r="BL118" i="6"/>
  <c r="BK118" i="6"/>
  <c r="BJ118" i="6"/>
  <c r="BI118" i="6"/>
  <c r="BH118" i="6"/>
  <c r="BG118" i="6"/>
  <c r="BF118" i="6"/>
  <c r="BE118" i="6"/>
  <c r="BD118" i="6"/>
  <c r="BC118" i="6"/>
  <c r="BB118" i="6"/>
  <c r="BA118" i="6"/>
  <c r="AZ118" i="6"/>
  <c r="AY118" i="6"/>
  <c r="AX118" i="6"/>
  <c r="AW118" i="6"/>
  <c r="AV118" i="6"/>
  <c r="AU118" i="6"/>
  <c r="AT118" i="6"/>
  <c r="AS118" i="6"/>
  <c r="AR118" i="6"/>
  <c r="AQ118" i="6"/>
  <c r="AP118" i="6"/>
  <c r="AO118" i="6"/>
  <c r="AN118" i="6"/>
  <c r="AM118" i="6"/>
  <c r="AL118" i="6"/>
  <c r="AK118" i="6"/>
  <c r="AJ118" i="6"/>
  <c r="AI118" i="6"/>
  <c r="AH118" i="6"/>
  <c r="AG118" i="6"/>
  <c r="AF118" i="6"/>
  <c r="AE118" i="6"/>
  <c r="AD118" i="6"/>
  <c r="AC118" i="6"/>
  <c r="AB118" i="6"/>
  <c r="AA118" i="6"/>
  <c r="Z118" i="6"/>
  <c r="Y118" i="6"/>
  <c r="X118" i="6"/>
  <c r="W118" i="6"/>
  <c r="V118" i="6"/>
  <c r="U118" i="6"/>
  <c r="T118" i="6"/>
  <c r="S118" i="6"/>
  <c r="R118" i="6"/>
  <c r="Q118" i="6"/>
  <c r="P118" i="6"/>
  <c r="O118" i="6"/>
  <c r="N118" i="6"/>
  <c r="M118" i="6"/>
  <c r="L118" i="6"/>
  <c r="K118" i="6"/>
  <c r="J118" i="6"/>
  <c r="I118" i="6"/>
  <c r="H118" i="6"/>
  <c r="G118" i="6"/>
  <c r="DI117" i="6"/>
  <c r="DH117" i="6"/>
  <c r="DG117" i="6"/>
  <c r="DF117" i="6"/>
  <c r="DE117" i="6"/>
  <c r="DD117" i="6"/>
  <c r="DC117" i="6"/>
  <c r="DB117" i="6"/>
  <c r="DA117" i="6"/>
  <c r="CZ117" i="6"/>
  <c r="CY117" i="6"/>
  <c r="CX117" i="6"/>
  <c r="CW117" i="6"/>
  <c r="CV117" i="6"/>
  <c r="CU117" i="6"/>
  <c r="CT117" i="6"/>
  <c r="CS117" i="6"/>
  <c r="CR117" i="6"/>
  <c r="CQ117" i="6"/>
  <c r="CP117" i="6"/>
  <c r="CO117" i="6"/>
  <c r="CN117" i="6"/>
  <c r="CM117" i="6"/>
  <c r="CL117" i="6"/>
  <c r="CK117" i="6"/>
  <c r="CJ117" i="6"/>
  <c r="CI117" i="6"/>
  <c r="CH117" i="6"/>
  <c r="CG117" i="6"/>
  <c r="CF117" i="6"/>
  <c r="CE117" i="6"/>
  <c r="CD117" i="6"/>
  <c r="CC117" i="6"/>
  <c r="CB117" i="6"/>
  <c r="CA117" i="6"/>
  <c r="BZ117" i="6"/>
  <c r="BY117" i="6"/>
  <c r="BX117" i="6"/>
  <c r="BW117" i="6"/>
  <c r="BV117" i="6"/>
  <c r="BU117" i="6"/>
  <c r="BT117" i="6"/>
  <c r="BS117" i="6"/>
  <c r="BR117" i="6"/>
  <c r="BQ117" i="6"/>
  <c r="BP117" i="6"/>
  <c r="BO117" i="6"/>
  <c r="BN117" i="6"/>
  <c r="BM117" i="6"/>
  <c r="BL117" i="6"/>
  <c r="BK117" i="6"/>
  <c r="BJ117" i="6"/>
  <c r="BI117" i="6"/>
  <c r="BH117" i="6"/>
  <c r="BG117" i="6"/>
  <c r="BF117" i="6"/>
  <c r="BE117" i="6"/>
  <c r="BD117" i="6"/>
  <c r="BC117" i="6"/>
  <c r="BB117" i="6"/>
  <c r="BA117" i="6"/>
  <c r="AZ117" i="6"/>
  <c r="AY117" i="6"/>
  <c r="AX117" i="6"/>
  <c r="AW117" i="6"/>
  <c r="AV117" i="6"/>
  <c r="AU117" i="6"/>
  <c r="AT117" i="6"/>
  <c r="AS117" i="6"/>
  <c r="AR117" i="6"/>
  <c r="AQ117" i="6"/>
  <c r="AP117" i="6"/>
  <c r="AO117" i="6"/>
  <c r="AN117" i="6"/>
  <c r="AM117" i="6"/>
  <c r="AL117" i="6"/>
  <c r="AK117" i="6"/>
  <c r="AJ117" i="6"/>
  <c r="AI117" i="6"/>
  <c r="AH117" i="6"/>
  <c r="AG117" i="6"/>
  <c r="AF117" i="6"/>
  <c r="AE117" i="6"/>
  <c r="AD117" i="6"/>
  <c r="AC117" i="6"/>
  <c r="AB117" i="6"/>
  <c r="AA117" i="6"/>
  <c r="Z117" i="6"/>
  <c r="Y117" i="6"/>
  <c r="X117" i="6"/>
  <c r="W117" i="6"/>
  <c r="V117" i="6"/>
  <c r="U117" i="6"/>
  <c r="T117" i="6"/>
  <c r="S117" i="6"/>
  <c r="R117" i="6"/>
  <c r="Q117" i="6"/>
  <c r="P117" i="6"/>
  <c r="O117" i="6"/>
  <c r="N117" i="6"/>
  <c r="M117" i="6"/>
  <c r="L117" i="6"/>
  <c r="K117" i="6"/>
  <c r="J117" i="6"/>
  <c r="I117" i="6"/>
  <c r="H117" i="6"/>
  <c r="G117" i="6"/>
  <c r="DI116" i="6"/>
  <c r="DH116" i="6"/>
  <c r="DG116" i="6"/>
  <c r="DF116" i="6"/>
  <c r="DE116" i="6"/>
  <c r="DD116" i="6"/>
  <c r="DC116" i="6"/>
  <c r="DB116" i="6"/>
  <c r="DA116" i="6"/>
  <c r="CZ116" i="6"/>
  <c r="CY116" i="6"/>
  <c r="CX116" i="6"/>
  <c r="CW116" i="6"/>
  <c r="CV116" i="6"/>
  <c r="CU116" i="6"/>
  <c r="CT116" i="6"/>
  <c r="CS116" i="6"/>
  <c r="CR116" i="6"/>
  <c r="CQ116" i="6"/>
  <c r="CP116" i="6"/>
  <c r="CO116" i="6"/>
  <c r="CN116" i="6"/>
  <c r="CM116" i="6"/>
  <c r="CL116" i="6"/>
  <c r="CK116" i="6"/>
  <c r="CJ116" i="6"/>
  <c r="CI116" i="6"/>
  <c r="CH116" i="6"/>
  <c r="CG116" i="6"/>
  <c r="CF116" i="6"/>
  <c r="CE116" i="6"/>
  <c r="CD116" i="6"/>
  <c r="CC116" i="6"/>
  <c r="CB116" i="6"/>
  <c r="CA116" i="6"/>
  <c r="BZ116" i="6"/>
  <c r="BY116" i="6"/>
  <c r="BX116" i="6"/>
  <c r="BW116" i="6"/>
  <c r="BV116" i="6"/>
  <c r="BU116" i="6"/>
  <c r="BT116" i="6"/>
  <c r="BS116" i="6"/>
  <c r="BR116" i="6"/>
  <c r="BQ116" i="6"/>
  <c r="BP116" i="6"/>
  <c r="BO116" i="6"/>
  <c r="BN116" i="6"/>
  <c r="BM116" i="6"/>
  <c r="BL116" i="6"/>
  <c r="BK116" i="6"/>
  <c r="BJ116" i="6"/>
  <c r="BI116" i="6"/>
  <c r="BH116" i="6"/>
  <c r="BG116" i="6"/>
  <c r="BF116" i="6"/>
  <c r="BE116" i="6"/>
  <c r="BD116" i="6"/>
  <c r="BC116" i="6"/>
  <c r="BB116" i="6"/>
  <c r="BA116" i="6"/>
  <c r="AZ116" i="6"/>
  <c r="AY116" i="6"/>
  <c r="AX116" i="6"/>
  <c r="AW116" i="6"/>
  <c r="AV116" i="6"/>
  <c r="AU116" i="6"/>
  <c r="AT116" i="6"/>
  <c r="AS116" i="6"/>
  <c r="AR116" i="6"/>
  <c r="AQ116" i="6"/>
  <c r="AP116" i="6"/>
  <c r="AO116" i="6"/>
  <c r="AN116" i="6"/>
  <c r="AM116" i="6"/>
  <c r="AL116" i="6"/>
  <c r="AK116" i="6"/>
  <c r="AJ116" i="6"/>
  <c r="AI116" i="6"/>
  <c r="AH116" i="6"/>
  <c r="AG116" i="6"/>
  <c r="AF116" i="6"/>
  <c r="AE116" i="6"/>
  <c r="AD116" i="6"/>
  <c r="AC116" i="6"/>
  <c r="AB116" i="6"/>
  <c r="AA116" i="6"/>
  <c r="Z116" i="6"/>
  <c r="Y116" i="6"/>
  <c r="X116" i="6"/>
  <c r="W116" i="6"/>
  <c r="V116" i="6"/>
  <c r="U116" i="6"/>
  <c r="T116" i="6"/>
  <c r="S116" i="6"/>
  <c r="R116" i="6"/>
  <c r="Q116" i="6"/>
  <c r="P116" i="6"/>
  <c r="O116" i="6"/>
  <c r="N116" i="6"/>
  <c r="M116" i="6"/>
  <c r="L116" i="6"/>
  <c r="K116" i="6"/>
  <c r="J116" i="6"/>
  <c r="I116" i="6"/>
  <c r="H116" i="6"/>
  <c r="G116" i="6"/>
  <c r="DI115" i="6"/>
  <c r="DH115" i="6"/>
  <c r="DG115" i="6"/>
  <c r="DF115" i="6"/>
  <c r="DE115" i="6"/>
  <c r="DD115" i="6"/>
  <c r="DC115" i="6"/>
  <c r="DB115" i="6"/>
  <c r="DA115" i="6"/>
  <c r="CZ115" i="6"/>
  <c r="CY115" i="6"/>
  <c r="CX115" i="6"/>
  <c r="CW115" i="6"/>
  <c r="CV115" i="6"/>
  <c r="CU115" i="6"/>
  <c r="CT115" i="6"/>
  <c r="CS115" i="6"/>
  <c r="CR115" i="6"/>
  <c r="CQ115" i="6"/>
  <c r="CP115" i="6"/>
  <c r="CO115" i="6"/>
  <c r="CN115" i="6"/>
  <c r="CM115" i="6"/>
  <c r="CL115" i="6"/>
  <c r="CK115" i="6"/>
  <c r="CJ115" i="6"/>
  <c r="CI115" i="6"/>
  <c r="CH115" i="6"/>
  <c r="CG115" i="6"/>
  <c r="CF115" i="6"/>
  <c r="CE115" i="6"/>
  <c r="CD115" i="6"/>
  <c r="CC115" i="6"/>
  <c r="CB115" i="6"/>
  <c r="CA115" i="6"/>
  <c r="BZ115" i="6"/>
  <c r="BY115" i="6"/>
  <c r="BX115" i="6"/>
  <c r="BW115" i="6"/>
  <c r="BV115" i="6"/>
  <c r="BU115" i="6"/>
  <c r="BT115" i="6"/>
  <c r="BS115" i="6"/>
  <c r="BR115" i="6"/>
  <c r="BQ115" i="6"/>
  <c r="BP115" i="6"/>
  <c r="BO115" i="6"/>
  <c r="BN115" i="6"/>
  <c r="BM115" i="6"/>
  <c r="BL115" i="6"/>
  <c r="BK115" i="6"/>
  <c r="BJ115" i="6"/>
  <c r="BI115" i="6"/>
  <c r="BH115" i="6"/>
  <c r="BG115" i="6"/>
  <c r="BF115" i="6"/>
  <c r="BE115" i="6"/>
  <c r="BD115" i="6"/>
  <c r="BC115" i="6"/>
  <c r="BB115" i="6"/>
  <c r="BA115" i="6"/>
  <c r="AZ115" i="6"/>
  <c r="AY115" i="6"/>
  <c r="AX115" i="6"/>
  <c r="AW115" i="6"/>
  <c r="AV115" i="6"/>
  <c r="AU115" i="6"/>
  <c r="AT115" i="6"/>
  <c r="AS115" i="6"/>
  <c r="AR115" i="6"/>
  <c r="AQ115" i="6"/>
  <c r="AP115" i="6"/>
  <c r="AO115" i="6"/>
  <c r="AN115" i="6"/>
  <c r="AM115" i="6"/>
  <c r="AL115" i="6"/>
  <c r="AK115" i="6"/>
  <c r="AJ115" i="6"/>
  <c r="AI115" i="6"/>
  <c r="AH115" i="6"/>
  <c r="AG115" i="6"/>
  <c r="AF115" i="6"/>
  <c r="AE115" i="6"/>
  <c r="AD115" i="6"/>
  <c r="AC115" i="6"/>
  <c r="AB115" i="6"/>
  <c r="AA115" i="6"/>
  <c r="Z115" i="6"/>
  <c r="Y115" i="6"/>
  <c r="X115" i="6"/>
  <c r="W115" i="6"/>
  <c r="V115" i="6"/>
  <c r="U115" i="6"/>
  <c r="T115" i="6"/>
  <c r="S115" i="6"/>
  <c r="R115" i="6"/>
  <c r="Q115" i="6"/>
  <c r="P115" i="6"/>
  <c r="O115" i="6"/>
  <c r="N115" i="6"/>
  <c r="M115" i="6"/>
  <c r="L115" i="6"/>
  <c r="K115" i="6"/>
  <c r="J115" i="6"/>
  <c r="I115" i="6"/>
  <c r="H115" i="6"/>
  <c r="G115" i="6"/>
  <c r="DI114" i="6"/>
  <c r="DH114" i="6"/>
  <c r="DG114" i="6"/>
  <c r="DF114" i="6"/>
  <c r="DE114" i="6"/>
  <c r="DD114" i="6"/>
  <c r="DC114" i="6"/>
  <c r="DB114" i="6"/>
  <c r="DA114" i="6"/>
  <c r="CZ114" i="6"/>
  <c r="CY114" i="6"/>
  <c r="CX114" i="6"/>
  <c r="CW114" i="6"/>
  <c r="CV114" i="6"/>
  <c r="CU114" i="6"/>
  <c r="CT114" i="6"/>
  <c r="CS114" i="6"/>
  <c r="CR114" i="6"/>
  <c r="CQ114" i="6"/>
  <c r="CP114" i="6"/>
  <c r="CO114" i="6"/>
  <c r="CN114" i="6"/>
  <c r="CM114" i="6"/>
  <c r="CL114" i="6"/>
  <c r="CK114" i="6"/>
  <c r="CJ114" i="6"/>
  <c r="CI114" i="6"/>
  <c r="CH114" i="6"/>
  <c r="CG114" i="6"/>
  <c r="CF114" i="6"/>
  <c r="CE114" i="6"/>
  <c r="CD114" i="6"/>
  <c r="CC114" i="6"/>
  <c r="CB114" i="6"/>
  <c r="CA114" i="6"/>
  <c r="BZ114" i="6"/>
  <c r="BY114" i="6"/>
  <c r="BX114" i="6"/>
  <c r="BW114" i="6"/>
  <c r="BV114" i="6"/>
  <c r="BU114" i="6"/>
  <c r="BT114" i="6"/>
  <c r="BS114" i="6"/>
  <c r="BR114" i="6"/>
  <c r="BQ114" i="6"/>
  <c r="BP114" i="6"/>
  <c r="BO114" i="6"/>
  <c r="BN114" i="6"/>
  <c r="BM114" i="6"/>
  <c r="BL114" i="6"/>
  <c r="BK114" i="6"/>
  <c r="BJ114" i="6"/>
  <c r="BI114" i="6"/>
  <c r="BH114" i="6"/>
  <c r="BG114" i="6"/>
  <c r="BF114" i="6"/>
  <c r="BE114" i="6"/>
  <c r="BD114" i="6"/>
  <c r="BC114" i="6"/>
  <c r="BB114" i="6"/>
  <c r="BA114" i="6"/>
  <c r="AZ114" i="6"/>
  <c r="AY114" i="6"/>
  <c r="AX114" i="6"/>
  <c r="AW114" i="6"/>
  <c r="AV114" i="6"/>
  <c r="AU114" i="6"/>
  <c r="AT114" i="6"/>
  <c r="AS114" i="6"/>
  <c r="AR114" i="6"/>
  <c r="AQ114" i="6"/>
  <c r="AP114" i="6"/>
  <c r="AO114" i="6"/>
  <c r="AN114" i="6"/>
  <c r="AM114" i="6"/>
  <c r="AL114" i="6"/>
  <c r="AK114" i="6"/>
  <c r="AJ114" i="6"/>
  <c r="AI114" i="6"/>
  <c r="AH114" i="6"/>
  <c r="AG114" i="6"/>
  <c r="AF114" i="6"/>
  <c r="AE114" i="6"/>
  <c r="AD114" i="6"/>
  <c r="AC114" i="6"/>
  <c r="AB114" i="6"/>
  <c r="AA114" i="6"/>
  <c r="Z114" i="6"/>
  <c r="Y114" i="6"/>
  <c r="X114" i="6"/>
  <c r="W114" i="6"/>
  <c r="V114" i="6"/>
  <c r="U114" i="6"/>
  <c r="T114" i="6"/>
  <c r="S114" i="6"/>
  <c r="R114" i="6"/>
  <c r="Q114" i="6"/>
  <c r="P114" i="6"/>
  <c r="O114" i="6"/>
  <c r="N114" i="6"/>
  <c r="M114" i="6"/>
  <c r="L114" i="6"/>
  <c r="K114" i="6"/>
  <c r="J114" i="6"/>
  <c r="I114" i="6"/>
  <c r="H114" i="6"/>
  <c r="G114" i="6"/>
  <c r="DI113" i="6"/>
  <c r="DH113" i="6"/>
  <c r="DG113" i="6"/>
  <c r="DF113" i="6"/>
  <c r="DE113" i="6"/>
  <c r="DD113" i="6"/>
  <c r="DC113" i="6"/>
  <c r="DB113" i="6"/>
  <c r="DA113" i="6"/>
  <c r="CZ113" i="6"/>
  <c r="CY113" i="6"/>
  <c r="CX113" i="6"/>
  <c r="CW113" i="6"/>
  <c r="CV113" i="6"/>
  <c r="CU113" i="6"/>
  <c r="CT113" i="6"/>
  <c r="CS113" i="6"/>
  <c r="CR113" i="6"/>
  <c r="CQ113" i="6"/>
  <c r="CP113" i="6"/>
  <c r="CO113" i="6"/>
  <c r="CN113" i="6"/>
  <c r="CM113" i="6"/>
  <c r="CL113" i="6"/>
  <c r="CK113" i="6"/>
  <c r="CJ113" i="6"/>
  <c r="CI113" i="6"/>
  <c r="CH113" i="6"/>
  <c r="CG113" i="6"/>
  <c r="CF113" i="6"/>
  <c r="CE113" i="6"/>
  <c r="CD113" i="6"/>
  <c r="CC113" i="6"/>
  <c r="CB113" i="6"/>
  <c r="CA113" i="6"/>
  <c r="BZ113" i="6"/>
  <c r="BY113" i="6"/>
  <c r="BX113" i="6"/>
  <c r="BW113" i="6"/>
  <c r="BV113" i="6"/>
  <c r="BU113" i="6"/>
  <c r="BT113" i="6"/>
  <c r="BS113" i="6"/>
  <c r="BR113" i="6"/>
  <c r="BQ113" i="6"/>
  <c r="BP113" i="6"/>
  <c r="BO113" i="6"/>
  <c r="BN113" i="6"/>
  <c r="BM113" i="6"/>
  <c r="BL113" i="6"/>
  <c r="BK113" i="6"/>
  <c r="BJ113" i="6"/>
  <c r="BI113" i="6"/>
  <c r="BH113" i="6"/>
  <c r="BG113" i="6"/>
  <c r="BF113" i="6"/>
  <c r="BE113" i="6"/>
  <c r="BD113" i="6"/>
  <c r="BC113" i="6"/>
  <c r="BB113" i="6"/>
  <c r="BA113" i="6"/>
  <c r="AZ113" i="6"/>
  <c r="AY113" i="6"/>
  <c r="AX113" i="6"/>
  <c r="AW113" i="6"/>
  <c r="AV113" i="6"/>
  <c r="AU113" i="6"/>
  <c r="AT113" i="6"/>
  <c r="AS113" i="6"/>
  <c r="AR113" i="6"/>
  <c r="AQ113" i="6"/>
  <c r="AP113" i="6"/>
  <c r="AO113" i="6"/>
  <c r="AN113" i="6"/>
  <c r="AM113" i="6"/>
  <c r="AL113" i="6"/>
  <c r="AK113" i="6"/>
  <c r="AJ113" i="6"/>
  <c r="AI113" i="6"/>
  <c r="AH113" i="6"/>
  <c r="AG113" i="6"/>
  <c r="AF113" i="6"/>
  <c r="AE113" i="6"/>
  <c r="AD113" i="6"/>
  <c r="AC113" i="6"/>
  <c r="AB113" i="6"/>
  <c r="AA113" i="6"/>
  <c r="Z113" i="6"/>
  <c r="Y113" i="6"/>
  <c r="X113" i="6"/>
  <c r="W113" i="6"/>
  <c r="V113" i="6"/>
  <c r="U113" i="6"/>
  <c r="T113" i="6"/>
  <c r="S113" i="6"/>
  <c r="R113" i="6"/>
  <c r="Q113" i="6"/>
  <c r="P113" i="6"/>
  <c r="O113" i="6"/>
  <c r="N113" i="6"/>
  <c r="M113" i="6"/>
  <c r="L113" i="6"/>
  <c r="K113" i="6"/>
  <c r="J113" i="6"/>
  <c r="I113" i="6"/>
  <c r="H113" i="6"/>
  <c r="G113" i="6"/>
  <c r="DI112" i="6"/>
  <c r="DH112" i="6"/>
  <c r="DG112" i="6"/>
  <c r="DF112" i="6"/>
  <c r="DE112" i="6"/>
  <c r="DD112" i="6"/>
  <c r="DC112" i="6"/>
  <c r="DB112" i="6"/>
  <c r="DA112" i="6"/>
  <c r="CZ112" i="6"/>
  <c r="CY112" i="6"/>
  <c r="CX112" i="6"/>
  <c r="CW112" i="6"/>
  <c r="CV112" i="6"/>
  <c r="CU112" i="6"/>
  <c r="CT112" i="6"/>
  <c r="CS112" i="6"/>
  <c r="CR112" i="6"/>
  <c r="CQ112" i="6"/>
  <c r="CP112" i="6"/>
  <c r="CO112" i="6"/>
  <c r="CN112" i="6"/>
  <c r="CM112" i="6"/>
  <c r="CL112" i="6"/>
  <c r="CK112" i="6"/>
  <c r="CJ112" i="6"/>
  <c r="CI112" i="6"/>
  <c r="CH112" i="6"/>
  <c r="CG112" i="6"/>
  <c r="CF112" i="6"/>
  <c r="CE112" i="6"/>
  <c r="CD112" i="6"/>
  <c r="CC112" i="6"/>
  <c r="CB112" i="6"/>
  <c r="CA112" i="6"/>
  <c r="BZ112" i="6"/>
  <c r="BY112" i="6"/>
  <c r="BX112" i="6"/>
  <c r="BW112" i="6"/>
  <c r="BV112" i="6"/>
  <c r="BU112" i="6"/>
  <c r="BT112" i="6"/>
  <c r="BS112" i="6"/>
  <c r="BR112" i="6"/>
  <c r="BQ112" i="6"/>
  <c r="BP112" i="6"/>
  <c r="BO112" i="6"/>
  <c r="BN112" i="6"/>
  <c r="BM112" i="6"/>
  <c r="BL112" i="6"/>
  <c r="BK112" i="6"/>
  <c r="BJ112" i="6"/>
  <c r="BI112" i="6"/>
  <c r="BH112" i="6"/>
  <c r="BG112" i="6"/>
  <c r="BF112" i="6"/>
  <c r="BE112" i="6"/>
  <c r="BD112" i="6"/>
  <c r="BC112" i="6"/>
  <c r="BB112" i="6"/>
  <c r="BA112" i="6"/>
  <c r="AZ112" i="6"/>
  <c r="AY112" i="6"/>
  <c r="AX112" i="6"/>
  <c r="AW112" i="6"/>
  <c r="AV112" i="6"/>
  <c r="AU112" i="6"/>
  <c r="AT112" i="6"/>
  <c r="AS112" i="6"/>
  <c r="AR112" i="6"/>
  <c r="AQ112" i="6"/>
  <c r="AP112" i="6"/>
  <c r="AO112" i="6"/>
  <c r="AN112" i="6"/>
  <c r="AM112" i="6"/>
  <c r="AL112" i="6"/>
  <c r="AK112" i="6"/>
  <c r="AJ112" i="6"/>
  <c r="AI112" i="6"/>
  <c r="AH112" i="6"/>
  <c r="AG112" i="6"/>
  <c r="AF112" i="6"/>
  <c r="AE112" i="6"/>
  <c r="AD112" i="6"/>
  <c r="AC112" i="6"/>
  <c r="AB112" i="6"/>
  <c r="AA112" i="6"/>
  <c r="Z112" i="6"/>
  <c r="Y112" i="6"/>
  <c r="X112" i="6"/>
  <c r="W112" i="6"/>
  <c r="V112" i="6"/>
  <c r="U112" i="6"/>
  <c r="T112" i="6"/>
  <c r="S112" i="6"/>
  <c r="R112" i="6"/>
  <c r="Q112" i="6"/>
  <c r="P112" i="6"/>
  <c r="O112" i="6"/>
  <c r="N112" i="6"/>
  <c r="M112" i="6"/>
  <c r="L112" i="6"/>
  <c r="K112" i="6"/>
  <c r="J112" i="6"/>
  <c r="I112" i="6"/>
  <c r="H112" i="6"/>
  <c r="G112" i="6"/>
  <c r="DI111" i="6"/>
  <c r="DH111" i="6"/>
  <c r="DG111" i="6"/>
  <c r="DF111" i="6"/>
  <c r="DE111" i="6"/>
  <c r="DD111" i="6"/>
  <c r="DC111" i="6"/>
  <c r="DB111" i="6"/>
  <c r="DA111" i="6"/>
  <c r="CZ111" i="6"/>
  <c r="CY111" i="6"/>
  <c r="CX111" i="6"/>
  <c r="CW111" i="6"/>
  <c r="CV111" i="6"/>
  <c r="CU111" i="6"/>
  <c r="CT111" i="6"/>
  <c r="CS111" i="6"/>
  <c r="CR111" i="6"/>
  <c r="CQ111" i="6"/>
  <c r="CP111" i="6"/>
  <c r="CO111" i="6"/>
  <c r="CN111" i="6"/>
  <c r="CM111" i="6"/>
  <c r="CL111" i="6"/>
  <c r="CK111" i="6"/>
  <c r="CJ111" i="6"/>
  <c r="CI111" i="6"/>
  <c r="CH111" i="6"/>
  <c r="CG111" i="6"/>
  <c r="CF111" i="6"/>
  <c r="CE111" i="6"/>
  <c r="CD111" i="6"/>
  <c r="CC111" i="6"/>
  <c r="CB111" i="6"/>
  <c r="CA111" i="6"/>
  <c r="BZ111" i="6"/>
  <c r="BY111" i="6"/>
  <c r="BX111" i="6"/>
  <c r="BW111" i="6"/>
  <c r="BV111" i="6"/>
  <c r="BU111" i="6"/>
  <c r="BT111" i="6"/>
  <c r="BS111" i="6"/>
  <c r="BR111" i="6"/>
  <c r="BQ111" i="6"/>
  <c r="BP111" i="6"/>
  <c r="BO111" i="6"/>
  <c r="BN111" i="6"/>
  <c r="BM111" i="6"/>
  <c r="BL111" i="6"/>
  <c r="BK111" i="6"/>
  <c r="BJ111" i="6"/>
  <c r="BI111" i="6"/>
  <c r="BH111" i="6"/>
  <c r="BG111" i="6"/>
  <c r="BF111" i="6"/>
  <c r="BE111" i="6"/>
  <c r="BD111" i="6"/>
  <c r="BC111" i="6"/>
  <c r="BB111" i="6"/>
  <c r="BA111" i="6"/>
  <c r="AZ111" i="6"/>
  <c r="AY111" i="6"/>
  <c r="AX111" i="6"/>
  <c r="AW111" i="6"/>
  <c r="AV111" i="6"/>
  <c r="AU111" i="6"/>
  <c r="AT111" i="6"/>
  <c r="AS111" i="6"/>
  <c r="AR111" i="6"/>
  <c r="AQ111" i="6"/>
  <c r="AP111" i="6"/>
  <c r="AO111" i="6"/>
  <c r="AN111" i="6"/>
  <c r="AM111" i="6"/>
  <c r="AL111" i="6"/>
  <c r="AK111" i="6"/>
  <c r="AJ111" i="6"/>
  <c r="AI111" i="6"/>
  <c r="AH111" i="6"/>
  <c r="AG111" i="6"/>
  <c r="AF111" i="6"/>
  <c r="AE111" i="6"/>
  <c r="AD111" i="6"/>
  <c r="AC111" i="6"/>
  <c r="AB111" i="6"/>
  <c r="AA111" i="6"/>
  <c r="Z111" i="6"/>
  <c r="Y111" i="6"/>
  <c r="X111" i="6"/>
  <c r="W111" i="6"/>
  <c r="V111" i="6"/>
  <c r="U111" i="6"/>
  <c r="T111" i="6"/>
  <c r="S111" i="6"/>
  <c r="R111" i="6"/>
  <c r="Q111" i="6"/>
  <c r="P111" i="6"/>
  <c r="O111" i="6"/>
  <c r="N111" i="6"/>
  <c r="M111" i="6"/>
  <c r="L111" i="6"/>
  <c r="K111" i="6"/>
  <c r="J111" i="6"/>
  <c r="I111" i="6"/>
  <c r="H111" i="6"/>
  <c r="G111" i="6"/>
  <c r="DI110" i="6"/>
  <c r="DH110" i="6"/>
  <c r="DG110" i="6"/>
  <c r="DF110" i="6"/>
  <c r="DE110" i="6"/>
  <c r="DD110" i="6"/>
  <c r="DC110" i="6"/>
  <c r="DB110" i="6"/>
  <c r="DA110" i="6"/>
  <c r="CZ110" i="6"/>
  <c r="CY110" i="6"/>
  <c r="CX110" i="6"/>
  <c r="CW110" i="6"/>
  <c r="CV110" i="6"/>
  <c r="CU110" i="6"/>
  <c r="CT110" i="6"/>
  <c r="CS110" i="6"/>
  <c r="CR110" i="6"/>
  <c r="CQ110" i="6"/>
  <c r="CP110" i="6"/>
  <c r="CO110" i="6"/>
  <c r="CN110" i="6"/>
  <c r="CM110" i="6"/>
  <c r="CL110" i="6"/>
  <c r="CK110" i="6"/>
  <c r="CJ110" i="6"/>
  <c r="CI110" i="6"/>
  <c r="CH110" i="6"/>
  <c r="CG110" i="6"/>
  <c r="CF110" i="6"/>
  <c r="CE110" i="6"/>
  <c r="CD110" i="6"/>
  <c r="CC110" i="6"/>
  <c r="CB110" i="6"/>
  <c r="CA110" i="6"/>
  <c r="BZ110" i="6"/>
  <c r="BY110" i="6"/>
  <c r="BX110" i="6"/>
  <c r="BW110" i="6"/>
  <c r="BV110" i="6"/>
  <c r="BU110" i="6"/>
  <c r="BT110" i="6"/>
  <c r="BS110" i="6"/>
  <c r="BR110" i="6"/>
  <c r="BQ110" i="6"/>
  <c r="BP110" i="6"/>
  <c r="BO110" i="6"/>
  <c r="BN110" i="6"/>
  <c r="BM110" i="6"/>
  <c r="BL110" i="6"/>
  <c r="BK110" i="6"/>
  <c r="BJ110" i="6"/>
  <c r="BI110" i="6"/>
  <c r="BH110" i="6"/>
  <c r="BG110" i="6"/>
  <c r="BF110" i="6"/>
  <c r="BE110" i="6"/>
  <c r="BD110" i="6"/>
  <c r="BC110" i="6"/>
  <c r="BB110" i="6"/>
  <c r="BA110" i="6"/>
  <c r="AZ110" i="6"/>
  <c r="AY110" i="6"/>
  <c r="AX110" i="6"/>
  <c r="AW110" i="6"/>
  <c r="AV110" i="6"/>
  <c r="AU110" i="6"/>
  <c r="AT110" i="6"/>
  <c r="AS110" i="6"/>
  <c r="AR110" i="6"/>
  <c r="AQ110" i="6"/>
  <c r="AP110" i="6"/>
  <c r="AO110" i="6"/>
  <c r="AN110" i="6"/>
  <c r="AM110" i="6"/>
  <c r="AL110" i="6"/>
  <c r="AK110" i="6"/>
  <c r="AJ110" i="6"/>
  <c r="AI110" i="6"/>
  <c r="AH110" i="6"/>
  <c r="AG110" i="6"/>
  <c r="AF110" i="6"/>
  <c r="AE110" i="6"/>
  <c r="AD110" i="6"/>
  <c r="AC110" i="6"/>
  <c r="AB110" i="6"/>
  <c r="AA110" i="6"/>
  <c r="Z110" i="6"/>
  <c r="Y110" i="6"/>
  <c r="X110" i="6"/>
  <c r="W110" i="6"/>
  <c r="V110" i="6"/>
  <c r="U110" i="6"/>
  <c r="T110" i="6"/>
  <c r="S110" i="6"/>
  <c r="R110" i="6"/>
  <c r="Q110" i="6"/>
  <c r="P110" i="6"/>
  <c r="O110" i="6"/>
  <c r="N110" i="6"/>
  <c r="M110" i="6"/>
  <c r="L110" i="6"/>
  <c r="K110" i="6"/>
  <c r="J110" i="6"/>
  <c r="I110" i="6"/>
  <c r="H110" i="6"/>
  <c r="G110" i="6"/>
  <c r="DI109" i="6"/>
  <c r="DH109" i="6"/>
  <c r="DG109" i="6"/>
  <c r="DF109" i="6"/>
  <c r="DE109" i="6"/>
  <c r="DD109" i="6"/>
  <c r="DC109" i="6"/>
  <c r="DB109" i="6"/>
  <c r="DA109" i="6"/>
  <c r="CZ109" i="6"/>
  <c r="CY109" i="6"/>
  <c r="CX109" i="6"/>
  <c r="CW109" i="6"/>
  <c r="CV109" i="6"/>
  <c r="CU109" i="6"/>
  <c r="CT109" i="6"/>
  <c r="CS109" i="6"/>
  <c r="CR109" i="6"/>
  <c r="CQ109" i="6"/>
  <c r="CP109" i="6"/>
  <c r="CO109" i="6"/>
  <c r="CN109" i="6"/>
  <c r="CM109" i="6"/>
  <c r="CL109" i="6"/>
  <c r="CK109" i="6"/>
  <c r="CJ109" i="6"/>
  <c r="CI109" i="6"/>
  <c r="CH109" i="6"/>
  <c r="CG109" i="6"/>
  <c r="CF109" i="6"/>
  <c r="CE109" i="6"/>
  <c r="CD109" i="6"/>
  <c r="CC109" i="6"/>
  <c r="CB109" i="6"/>
  <c r="CA109" i="6"/>
  <c r="BZ109" i="6"/>
  <c r="BY109" i="6"/>
  <c r="BX109" i="6"/>
  <c r="BW109" i="6"/>
  <c r="BV109" i="6"/>
  <c r="BU109" i="6"/>
  <c r="BT109" i="6"/>
  <c r="BS109" i="6"/>
  <c r="BR109" i="6"/>
  <c r="BQ109" i="6"/>
  <c r="BP109" i="6"/>
  <c r="BO109" i="6"/>
  <c r="BN109" i="6"/>
  <c r="BM109" i="6"/>
  <c r="BL109" i="6"/>
  <c r="BK109" i="6"/>
  <c r="BJ109" i="6"/>
  <c r="BI109" i="6"/>
  <c r="BH109" i="6"/>
  <c r="BG109" i="6"/>
  <c r="BF109" i="6"/>
  <c r="BE109" i="6"/>
  <c r="BD109" i="6"/>
  <c r="BC109" i="6"/>
  <c r="BB109" i="6"/>
  <c r="BA109" i="6"/>
  <c r="AZ109" i="6"/>
  <c r="AY109" i="6"/>
  <c r="AX109" i="6"/>
  <c r="AW109" i="6"/>
  <c r="AV109" i="6"/>
  <c r="AU109" i="6"/>
  <c r="AT109" i="6"/>
  <c r="AS109" i="6"/>
  <c r="AR109" i="6"/>
  <c r="AQ109" i="6"/>
  <c r="AP109" i="6"/>
  <c r="AO109" i="6"/>
  <c r="AN109" i="6"/>
  <c r="AM109" i="6"/>
  <c r="AL109" i="6"/>
  <c r="AK109" i="6"/>
  <c r="AJ109" i="6"/>
  <c r="AI109" i="6"/>
  <c r="AH109" i="6"/>
  <c r="AG109" i="6"/>
  <c r="AF109" i="6"/>
  <c r="AE109" i="6"/>
  <c r="AD109" i="6"/>
  <c r="AC109" i="6"/>
  <c r="AB109" i="6"/>
  <c r="AA109" i="6"/>
  <c r="Z109" i="6"/>
  <c r="Y109" i="6"/>
  <c r="X109" i="6"/>
  <c r="W109" i="6"/>
  <c r="V109" i="6"/>
  <c r="U109" i="6"/>
  <c r="T109" i="6"/>
  <c r="S109" i="6"/>
  <c r="R109" i="6"/>
  <c r="Q109" i="6"/>
  <c r="P109" i="6"/>
  <c r="O109" i="6"/>
  <c r="N109" i="6"/>
  <c r="M109" i="6"/>
  <c r="L109" i="6"/>
  <c r="K109" i="6"/>
  <c r="J109" i="6"/>
  <c r="I109" i="6"/>
  <c r="H109" i="6"/>
  <c r="G109" i="6"/>
  <c r="DI108" i="6"/>
  <c r="DH108" i="6"/>
  <c r="DG108" i="6"/>
  <c r="DF108" i="6"/>
  <c r="DE108" i="6"/>
  <c r="DD108" i="6"/>
  <c r="DC108" i="6"/>
  <c r="DB108" i="6"/>
  <c r="DA108" i="6"/>
  <c r="CZ108" i="6"/>
  <c r="CY108" i="6"/>
  <c r="CX108" i="6"/>
  <c r="CW108" i="6"/>
  <c r="CV108" i="6"/>
  <c r="CU108" i="6"/>
  <c r="CT108" i="6"/>
  <c r="CS108" i="6"/>
  <c r="CR108" i="6"/>
  <c r="CQ108" i="6"/>
  <c r="CP108" i="6"/>
  <c r="CO108" i="6"/>
  <c r="CN108" i="6"/>
  <c r="CM108" i="6"/>
  <c r="CL108" i="6"/>
  <c r="CK108" i="6"/>
  <c r="CJ108" i="6"/>
  <c r="CI108" i="6"/>
  <c r="CH108" i="6"/>
  <c r="CG108" i="6"/>
  <c r="CF108" i="6"/>
  <c r="CE108" i="6"/>
  <c r="CD108" i="6"/>
  <c r="CC108" i="6"/>
  <c r="CB108" i="6"/>
  <c r="CA108" i="6"/>
  <c r="BZ108" i="6"/>
  <c r="BY108" i="6"/>
  <c r="BX108" i="6"/>
  <c r="BW108" i="6"/>
  <c r="BV108" i="6"/>
  <c r="BU108" i="6"/>
  <c r="BT108" i="6"/>
  <c r="BS108" i="6"/>
  <c r="BR108" i="6"/>
  <c r="BQ108" i="6"/>
  <c r="BP108" i="6"/>
  <c r="BO108" i="6"/>
  <c r="BN108" i="6"/>
  <c r="BM108" i="6"/>
  <c r="BL108" i="6"/>
  <c r="BK108" i="6"/>
  <c r="BJ108" i="6"/>
  <c r="BI108" i="6"/>
  <c r="BH108" i="6"/>
  <c r="BG108" i="6"/>
  <c r="BF108" i="6"/>
  <c r="BE108" i="6"/>
  <c r="BD108" i="6"/>
  <c r="BC108" i="6"/>
  <c r="BB108" i="6"/>
  <c r="BA108" i="6"/>
  <c r="AZ108" i="6"/>
  <c r="AY108" i="6"/>
  <c r="AX108" i="6"/>
  <c r="AW108" i="6"/>
  <c r="AV108" i="6"/>
  <c r="AU108" i="6"/>
  <c r="AT108" i="6"/>
  <c r="AS108" i="6"/>
  <c r="AR108" i="6"/>
  <c r="AQ108" i="6"/>
  <c r="AP108" i="6"/>
  <c r="AO108" i="6"/>
  <c r="AN108" i="6"/>
  <c r="AM108" i="6"/>
  <c r="AL108" i="6"/>
  <c r="AK108" i="6"/>
  <c r="AJ108" i="6"/>
  <c r="AI108" i="6"/>
  <c r="AH108" i="6"/>
  <c r="AG108" i="6"/>
  <c r="AF108" i="6"/>
  <c r="AE108" i="6"/>
  <c r="AD108" i="6"/>
  <c r="AC108" i="6"/>
  <c r="AB108" i="6"/>
  <c r="AA108" i="6"/>
  <c r="Z108" i="6"/>
  <c r="Y108" i="6"/>
  <c r="X108" i="6"/>
  <c r="W108" i="6"/>
  <c r="V108" i="6"/>
  <c r="U108" i="6"/>
  <c r="T108" i="6"/>
  <c r="S108" i="6"/>
  <c r="R108" i="6"/>
  <c r="Q108" i="6"/>
  <c r="P108" i="6"/>
  <c r="O108" i="6"/>
  <c r="N108" i="6"/>
  <c r="M108" i="6"/>
  <c r="L108" i="6"/>
  <c r="K108" i="6"/>
  <c r="J108" i="6"/>
  <c r="I108" i="6"/>
  <c r="H108" i="6"/>
  <c r="G108" i="6"/>
  <c r="DI107" i="6"/>
  <c r="DH107" i="6"/>
  <c r="DG107" i="6"/>
  <c r="DF107" i="6"/>
  <c r="DE107" i="6"/>
  <c r="DD107" i="6"/>
  <c r="DC107" i="6"/>
  <c r="DB107" i="6"/>
  <c r="DA107" i="6"/>
  <c r="CZ107" i="6"/>
  <c r="CY107" i="6"/>
  <c r="CX107" i="6"/>
  <c r="CW107" i="6"/>
  <c r="CV107" i="6"/>
  <c r="CU107" i="6"/>
  <c r="CT107" i="6"/>
  <c r="CS107" i="6"/>
  <c r="CR107" i="6"/>
  <c r="CQ107" i="6"/>
  <c r="CP107" i="6"/>
  <c r="CO107" i="6"/>
  <c r="CN107" i="6"/>
  <c r="CM107" i="6"/>
  <c r="CL107" i="6"/>
  <c r="CK107" i="6"/>
  <c r="CJ107" i="6"/>
  <c r="CI107" i="6"/>
  <c r="CH107" i="6"/>
  <c r="CG107" i="6"/>
  <c r="CF107" i="6"/>
  <c r="CE107" i="6"/>
  <c r="CD107" i="6"/>
  <c r="CC107" i="6"/>
  <c r="CB107" i="6"/>
  <c r="CA107" i="6"/>
  <c r="BZ107" i="6"/>
  <c r="BY107" i="6"/>
  <c r="BX107" i="6"/>
  <c r="BW107" i="6"/>
  <c r="BV107" i="6"/>
  <c r="BU107" i="6"/>
  <c r="BT107" i="6"/>
  <c r="BS107" i="6"/>
  <c r="BR107" i="6"/>
  <c r="BQ107" i="6"/>
  <c r="BP107" i="6"/>
  <c r="BO107" i="6"/>
  <c r="BN107" i="6"/>
  <c r="BM107" i="6"/>
  <c r="BL107" i="6"/>
  <c r="BK107" i="6"/>
  <c r="BJ107" i="6"/>
  <c r="BI107" i="6"/>
  <c r="BH107" i="6"/>
  <c r="BG107" i="6"/>
  <c r="BF107" i="6"/>
  <c r="BE107" i="6"/>
  <c r="BD107" i="6"/>
  <c r="BC107" i="6"/>
  <c r="BB107" i="6"/>
  <c r="BA107" i="6"/>
  <c r="AZ107" i="6"/>
  <c r="AY107" i="6"/>
  <c r="AX107" i="6"/>
  <c r="AW107" i="6"/>
  <c r="AV107" i="6"/>
  <c r="AU107" i="6"/>
  <c r="AT107" i="6"/>
  <c r="AS107" i="6"/>
  <c r="AR107" i="6"/>
  <c r="AQ107" i="6"/>
  <c r="AP107" i="6"/>
  <c r="AO107" i="6"/>
  <c r="AN107" i="6"/>
  <c r="AM107" i="6"/>
  <c r="AL107" i="6"/>
  <c r="AK107" i="6"/>
  <c r="AJ107" i="6"/>
  <c r="AI107" i="6"/>
  <c r="AH107" i="6"/>
  <c r="AG107" i="6"/>
  <c r="AF107" i="6"/>
  <c r="AE107" i="6"/>
  <c r="AD107" i="6"/>
  <c r="AC107" i="6"/>
  <c r="AB107" i="6"/>
  <c r="AA107" i="6"/>
  <c r="Z107" i="6"/>
  <c r="Y107" i="6"/>
  <c r="X107" i="6"/>
  <c r="W107" i="6"/>
  <c r="V107" i="6"/>
  <c r="U107" i="6"/>
  <c r="T107" i="6"/>
  <c r="S107" i="6"/>
  <c r="R107" i="6"/>
  <c r="Q107" i="6"/>
  <c r="P107" i="6"/>
  <c r="O107" i="6"/>
  <c r="N107" i="6"/>
  <c r="M107" i="6"/>
  <c r="L107" i="6"/>
  <c r="K107" i="6"/>
  <c r="J107" i="6"/>
  <c r="I107" i="6"/>
  <c r="H107" i="6"/>
  <c r="G107" i="6"/>
  <c r="DI106" i="6"/>
  <c r="DH106" i="6"/>
  <c r="DG106" i="6"/>
  <c r="DF106" i="6"/>
  <c r="DE106" i="6"/>
  <c r="DD106" i="6"/>
  <c r="DC106" i="6"/>
  <c r="DB106" i="6"/>
  <c r="DA106" i="6"/>
  <c r="CZ106" i="6"/>
  <c r="CY106" i="6"/>
  <c r="CX106" i="6"/>
  <c r="CW106" i="6"/>
  <c r="CV106" i="6"/>
  <c r="CU106" i="6"/>
  <c r="CT106" i="6"/>
  <c r="CS106" i="6"/>
  <c r="CR106" i="6"/>
  <c r="CQ106" i="6"/>
  <c r="CP106" i="6"/>
  <c r="CO106" i="6"/>
  <c r="CN106" i="6"/>
  <c r="CM106" i="6"/>
  <c r="CL106" i="6"/>
  <c r="CK106" i="6"/>
  <c r="CJ106" i="6"/>
  <c r="CI106" i="6"/>
  <c r="CH106" i="6"/>
  <c r="CG106" i="6"/>
  <c r="CF106" i="6"/>
  <c r="CE106" i="6"/>
  <c r="CD106" i="6"/>
  <c r="CC106" i="6"/>
  <c r="CB106" i="6"/>
  <c r="CA106" i="6"/>
  <c r="BZ106" i="6"/>
  <c r="BY106" i="6"/>
  <c r="BX106" i="6"/>
  <c r="BW106" i="6"/>
  <c r="BV106" i="6"/>
  <c r="BU106" i="6"/>
  <c r="BT106" i="6"/>
  <c r="BS106" i="6"/>
  <c r="BR106" i="6"/>
  <c r="BQ106" i="6"/>
  <c r="BP106" i="6"/>
  <c r="BO106" i="6"/>
  <c r="BN106" i="6"/>
  <c r="BM106" i="6"/>
  <c r="BL106" i="6"/>
  <c r="BK106" i="6"/>
  <c r="BJ106" i="6"/>
  <c r="BI106" i="6"/>
  <c r="BH106" i="6"/>
  <c r="BG106" i="6"/>
  <c r="BF106" i="6"/>
  <c r="BE106" i="6"/>
  <c r="BD106" i="6"/>
  <c r="BC106" i="6"/>
  <c r="BB106" i="6"/>
  <c r="BA106" i="6"/>
  <c r="AZ106" i="6"/>
  <c r="AY106" i="6"/>
  <c r="AX106" i="6"/>
  <c r="AW106" i="6"/>
  <c r="AV106" i="6"/>
  <c r="AU106" i="6"/>
  <c r="AT106" i="6"/>
  <c r="AS106" i="6"/>
  <c r="AR106" i="6"/>
  <c r="AQ106" i="6"/>
  <c r="AP106" i="6"/>
  <c r="AO106" i="6"/>
  <c r="AN106" i="6"/>
  <c r="AM106" i="6"/>
  <c r="AL106" i="6"/>
  <c r="AK106" i="6"/>
  <c r="AJ106" i="6"/>
  <c r="AI106" i="6"/>
  <c r="AH106" i="6"/>
  <c r="AG106" i="6"/>
  <c r="AF106" i="6"/>
  <c r="AE106" i="6"/>
  <c r="AD106" i="6"/>
  <c r="AC106" i="6"/>
  <c r="AB106" i="6"/>
  <c r="AA106" i="6"/>
  <c r="Z106" i="6"/>
  <c r="Y106" i="6"/>
  <c r="X106" i="6"/>
  <c r="W106" i="6"/>
  <c r="V106" i="6"/>
  <c r="U106" i="6"/>
  <c r="T106" i="6"/>
  <c r="S106" i="6"/>
  <c r="R106" i="6"/>
  <c r="Q106" i="6"/>
  <c r="P106" i="6"/>
  <c r="O106" i="6"/>
  <c r="N106" i="6"/>
  <c r="M106" i="6"/>
  <c r="L106" i="6"/>
  <c r="K106" i="6"/>
  <c r="J106" i="6"/>
  <c r="I106" i="6"/>
  <c r="H106" i="6"/>
  <c r="G106" i="6"/>
  <c r="DI105" i="6"/>
  <c r="DH105" i="6"/>
  <c r="DG105" i="6"/>
  <c r="DF105" i="6"/>
  <c r="DE105" i="6"/>
  <c r="DD105" i="6"/>
  <c r="DC105" i="6"/>
  <c r="DB105" i="6"/>
  <c r="DA105" i="6"/>
  <c r="CZ105" i="6"/>
  <c r="CY105" i="6"/>
  <c r="CX105" i="6"/>
  <c r="CW105" i="6"/>
  <c r="CV105" i="6"/>
  <c r="CU105" i="6"/>
  <c r="CT105" i="6"/>
  <c r="CS105" i="6"/>
  <c r="CR105" i="6"/>
  <c r="CQ105" i="6"/>
  <c r="CP105" i="6"/>
  <c r="CO105" i="6"/>
  <c r="CN105" i="6"/>
  <c r="CM105" i="6"/>
  <c r="CL105" i="6"/>
  <c r="CK105" i="6"/>
  <c r="CJ105" i="6"/>
  <c r="CI105" i="6"/>
  <c r="CH105" i="6"/>
  <c r="CG105" i="6"/>
  <c r="CF105" i="6"/>
  <c r="CE105" i="6"/>
  <c r="CD105" i="6"/>
  <c r="CC105" i="6"/>
  <c r="CB105" i="6"/>
  <c r="CA105" i="6"/>
  <c r="BZ105" i="6"/>
  <c r="BY105" i="6"/>
  <c r="BX105" i="6"/>
  <c r="BW105" i="6"/>
  <c r="BV105" i="6"/>
  <c r="BU105" i="6"/>
  <c r="BT105" i="6"/>
  <c r="BS105" i="6"/>
  <c r="BR105" i="6"/>
  <c r="BQ105" i="6"/>
  <c r="BP105" i="6"/>
  <c r="BO105" i="6"/>
  <c r="BN105" i="6"/>
  <c r="BM105" i="6"/>
  <c r="BL105" i="6"/>
  <c r="BK105" i="6"/>
  <c r="BJ105" i="6"/>
  <c r="BI105" i="6"/>
  <c r="BH105" i="6"/>
  <c r="BG105" i="6"/>
  <c r="BF105" i="6"/>
  <c r="BE105" i="6"/>
  <c r="BD105" i="6"/>
  <c r="BC105" i="6"/>
  <c r="BB105" i="6"/>
  <c r="BA105" i="6"/>
  <c r="AZ105" i="6"/>
  <c r="AY105" i="6"/>
  <c r="AX105" i="6"/>
  <c r="AW105" i="6"/>
  <c r="AV105" i="6"/>
  <c r="AU105" i="6"/>
  <c r="AT105" i="6"/>
  <c r="AS105" i="6"/>
  <c r="AR105" i="6"/>
  <c r="AQ105" i="6"/>
  <c r="AP105" i="6"/>
  <c r="AO105" i="6"/>
  <c r="AN105" i="6"/>
  <c r="AM105" i="6"/>
  <c r="AL105" i="6"/>
  <c r="AK105" i="6"/>
  <c r="AJ105" i="6"/>
  <c r="AI105" i="6"/>
  <c r="AH105" i="6"/>
  <c r="AG105" i="6"/>
  <c r="AF105" i="6"/>
  <c r="AE105" i="6"/>
  <c r="AD105" i="6"/>
  <c r="AC105" i="6"/>
  <c r="AB105" i="6"/>
  <c r="AA105" i="6"/>
  <c r="Z105" i="6"/>
  <c r="Y105" i="6"/>
  <c r="X105" i="6"/>
  <c r="W105" i="6"/>
  <c r="V105" i="6"/>
  <c r="U105" i="6"/>
  <c r="T105" i="6"/>
  <c r="S105" i="6"/>
  <c r="R105" i="6"/>
  <c r="Q105" i="6"/>
  <c r="P105" i="6"/>
  <c r="O105" i="6"/>
  <c r="N105" i="6"/>
  <c r="M105" i="6"/>
  <c r="L105" i="6"/>
  <c r="K105" i="6"/>
  <c r="J105" i="6"/>
  <c r="I105" i="6"/>
  <c r="H105" i="6"/>
  <c r="G105" i="6"/>
  <c r="DI104" i="6"/>
  <c r="DH104" i="6"/>
  <c r="DG104" i="6"/>
  <c r="DF104" i="6"/>
  <c r="DE104" i="6"/>
  <c r="DD104" i="6"/>
  <c r="DC104" i="6"/>
  <c r="DB104" i="6"/>
  <c r="DA104" i="6"/>
  <c r="CZ104" i="6"/>
  <c r="CY104" i="6"/>
  <c r="CX104" i="6"/>
  <c r="CW104" i="6"/>
  <c r="CV104" i="6"/>
  <c r="CU104" i="6"/>
  <c r="CT104" i="6"/>
  <c r="CS104" i="6"/>
  <c r="CR104" i="6"/>
  <c r="CQ104" i="6"/>
  <c r="CP104" i="6"/>
  <c r="CO104" i="6"/>
  <c r="CN104" i="6"/>
  <c r="CM104" i="6"/>
  <c r="CL104" i="6"/>
  <c r="CK104" i="6"/>
  <c r="CJ104" i="6"/>
  <c r="CI104" i="6"/>
  <c r="CH104" i="6"/>
  <c r="CG104" i="6"/>
  <c r="CF104" i="6"/>
  <c r="CE104" i="6"/>
  <c r="CD104" i="6"/>
  <c r="CC104" i="6"/>
  <c r="CB104" i="6"/>
  <c r="CA104" i="6"/>
  <c r="BZ104" i="6"/>
  <c r="BY104" i="6"/>
  <c r="BX104" i="6"/>
  <c r="BW104" i="6"/>
  <c r="BV104" i="6"/>
  <c r="BU104" i="6"/>
  <c r="BT104" i="6"/>
  <c r="BS104" i="6"/>
  <c r="BR104" i="6"/>
  <c r="BQ104" i="6"/>
  <c r="BP104" i="6"/>
  <c r="BO104" i="6"/>
  <c r="BN104" i="6"/>
  <c r="BM104" i="6"/>
  <c r="BL104" i="6"/>
  <c r="BK104" i="6"/>
  <c r="BJ104" i="6"/>
  <c r="BI104" i="6"/>
  <c r="BH104" i="6"/>
  <c r="BG104" i="6"/>
  <c r="BF104" i="6"/>
  <c r="BE104" i="6"/>
  <c r="BD104" i="6"/>
  <c r="BC104" i="6"/>
  <c r="BB104" i="6"/>
  <c r="BA104" i="6"/>
  <c r="AZ104" i="6"/>
  <c r="AY104" i="6"/>
  <c r="AX104" i="6"/>
  <c r="AW104" i="6"/>
  <c r="AV104" i="6"/>
  <c r="AU104" i="6"/>
  <c r="AT104" i="6"/>
  <c r="AS104" i="6"/>
  <c r="AR104" i="6"/>
  <c r="AQ104" i="6"/>
  <c r="AP104" i="6"/>
  <c r="AO104" i="6"/>
  <c r="AN104" i="6"/>
  <c r="AM104" i="6"/>
  <c r="AL104" i="6"/>
  <c r="AK104" i="6"/>
  <c r="AJ104" i="6"/>
  <c r="AI104" i="6"/>
  <c r="AH104" i="6"/>
  <c r="AG104" i="6"/>
  <c r="AF104" i="6"/>
  <c r="AE104" i="6"/>
  <c r="AD104" i="6"/>
  <c r="AC104" i="6"/>
  <c r="AB104" i="6"/>
  <c r="AA104" i="6"/>
  <c r="Z104" i="6"/>
  <c r="Y104" i="6"/>
  <c r="X104" i="6"/>
  <c r="W104" i="6"/>
  <c r="V104" i="6"/>
  <c r="U104" i="6"/>
  <c r="T104" i="6"/>
  <c r="S104" i="6"/>
  <c r="R104" i="6"/>
  <c r="Q104" i="6"/>
  <c r="P104" i="6"/>
  <c r="O104" i="6"/>
  <c r="N104" i="6"/>
  <c r="M104" i="6"/>
  <c r="L104" i="6"/>
  <c r="K104" i="6"/>
  <c r="J104" i="6"/>
  <c r="I104" i="6"/>
  <c r="H104" i="6"/>
  <c r="G104" i="6"/>
  <c r="DI103" i="6"/>
  <c r="DH103" i="6"/>
  <c r="DG103" i="6"/>
  <c r="DF103" i="6"/>
  <c r="DE103" i="6"/>
  <c r="DD103" i="6"/>
  <c r="DC103" i="6"/>
  <c r="DB103" i="6"/>
  <c r="DA103" i="6"/>
  <c r="CZ103" i="6"/>
  <c r="CY103" i="6"/>
  <c r="CX103" i="6"/>
  <c r="CW103" i="6"/>
  <c r="CV103" i="6"/>
  <c r="CU103" i="6"/>
  <c r="CT103" i="6"/>
  <c r="CS103" i="6"/>
  <c r="CR103" i="6"/>
  <c r="CQ103" i="6"/>
  <c r="CP103" i="6"/>
  <c r="CO103" i="6"/>
  <c r="CN103" i="6"/>
  <c r="CM103" i="6"/>
  <c r="CL103" i="6"/>
  <c r="CK103" i="6"/>
  <c r="CJ103" i="6"/>
  <c r="CI103" i="6"/>
  <c r="CH103" i="6"/>
  <c r="CG103" i="6"/>
  <c r="CF103" i="6"/>
  <c r="CE103" i="6"/>
  <c r="CD103" i="6"/>
  <c r="CC103" i="6"/>
  <c r="CB103" i="6"/>
  <c r="CA103" i="6"/>
  <c r="BZ103" i="6"/>
  <c r="BY103" i="6"/>
  <c r="BX103" i="6"/>
  <c r="BW103" i="6"/>
  <c r="BV103" i="6"/>
  <c r="BU103" i="6"/>
  <c r="BT103" i="6"/>
  <c r="BS103" i="6"/>
  <c r="BR103" i="6"/>
  <c r="BQ103" i="6"/>
  <c r="BP103" i="6"/>
  <c r="BO103" i="6"/>
  <c r="BN103" i="6"/>
  <c r="BM103" i="6"/>
  <c r="BL103" i="6"/>
  <c r="BK103" i="6"/>
  <c r="BJ103" i="6"/>
  <c r="BI103" i="6"/>
  <c r="BH103" i="6"/>
  <c r="BG103" i="6"/>
  <c r="BF103" i="6"/>
  <c r="BE103" i="6"/>
  <c r="BD103" i="6"/>
  <c r="BC103" i="6"/>
  <c r="BB103" i="6"/>
  <c r="BA103" i="6"/>
  <c r="AZ103" i="6"/>
  <c r="AY103" i="6"/>
  <c r="AX103" i="6"/>
  <c r="AW103" i="6"/>
  <c r="AV103" i="6"/>
  <c r="AU103" i="6"/>
  <c r="AT103" i="6"/>
  <c r="AS103" i="6"/>
  <c r="AR103" i="6"/>
  <c r="AQ103" i="6"/>
  <c r="AP103" i="6"/>
  <c r="AO103" i="6"/>
  <c r="AN103" i="6"/>
  <c r="AM103" i="6"/>
  <c r="AL103" i="6"/>
  <c r="AK103" i="6"/>
  <c r="AJ103" i="6"/>
  <c r="AI103" i="6"/>
  <c r="AH103" i="6"/>
  <c r="AG103" i="6"/>
  <c r="AF103" i="6"/>
  <c r="AE103" i="6"/>
  <c r="AD103" i="6"/>
  <c r="AC103" i="6"/>
  <c r="AB103" i="6"/>
  <c r="AA103" i="6"/>
  <c r="Z103" i="6"/>
  <c r="Y103" i="6"/>
  <c r="X103" i="6"/>
  <c r="W103" i="6"/>
  <c r="V103" i="6"/>
  <c r="U103" i="6"/>
  <c r="T103" i="6"/>
  <c r="S103" i="6"/>
  <c r="R103" i="6"/>
  <c r="Q103" i="6"/>
  <c r="P103" i="6"/>
  <c r="O103" i="6"/>
  <c r="N103" i="6"/>
  <c r="M103" i="6"/>
  <c r="L103" i="6"/>
  <c r="K103" i="6"/>
  <c r="J103" i="6"/>
  <c r="I103" i="6"/>
  <c r="H103" i="6"/>
  <c r="G103" i="6"/>
  <c r="DI102" i="6"/>
  <c r="DH102" i="6"/>
  <c r="DG102" i="6"/>
  <c r="DF102" i="6"/>
  <c r="DE102" i="6"/>
  <c r="DD102" i="6"/>
  <c r="DC102" i="6"/>
  <c r="DB102" i="6"/>
  <c r="DA102" i="6"/>
  <c r="CZ102" i="6"/>
  <c r="CY102" i="6"/>
  <c r="CX102" i="6"/>
  <c r="CW102" i="6"/>
  <c r="CV102" i="6"/>
  <c r="CU102" i="6"/>
  <c r="CT102" i="6"/>
  <c r="CS102" i="6"/>
  <c r="CR102" i="6"/>
  <c r="CQ102" i="6"/>
  <c r="CP102" i="6"/>
  <c r="CO102" i="6"/>
  <c r="CN102" i="6"/>
  <c r="CM102" i="6"/>
  <c r="CL102" i="6"/>
  <c r="CK102" i="6"/>
  <c r="CJ102" i="6"/>
  <c r="CI102" i="6"/>
  <c r="CH102" i="6"/>
  <c r="CG102" i="6"/>
  <c r="CF102" i="6"/>
  <c r="CE102" i="6"/>
  <c r="CD102" i="6"/>
  <c r="CC102" i="6"/>
  <c r="CB102" i="6"/>
  <c r="CA102" i="6"/>
  <c r="BZ102" i="6"/>
  <c r="BY102" i="6"/>
  <c r="BX102" i="6"/>
  <c r="BW102" i="6"/>
  <c r="BV102" i="6"/>
  <c r="BU102" i="6"/>
  <c r="BT102" i="6"/>
  <c r="BS102" i="6"/>
  <c r="BR102" i="6"/>
  <c r="BQ102" i="6"/>
  <c r="BP102" i="6"/>
  <c r="BO102" i="6"/>
  <c r="BN102" i="6"/>
  <c r="BM102" i="6"/>
  <c r="BL102" i="6"/>
  <c r="BK102" i="6"/>
  <c r="BJ102" i="6"/>
  <c r="BI102" i="6"/>
  <c r="BH102" i="6"/>
  <c r="BG102" i="6"/>
  <c r="BF102" i="6"/>
  <c r="BE102" i="6"/>
  <c r="BD102" i="6"/>
  <c r="BC102" i="6"/>
  <c r="BB102" i="6"/>
  <c r="BA102" i="6"/>
  <c r="AZ102" i="6"/>
  <c r="AY102" i="6"/>
  <c r="AX102" i="6"/>
  <c r="AW102" i="6"/>
  <c r="AV102" i="6"/>
  <c r="AU102" i="6"/>
  <c r="AT102" i="6"/>
  <c r="AS102" i="6"/>
  <c r="AR102" i="6"/>
  <c r="AQ102" i="6"/>
  <c r="AP102" i="6"/>
  <c r="AO102" i="6"/>
  <c r="AN102" i="6"/>
  <c r="AM102" i="6"/>
  <c r="AL102" i="6"/>
  <c r="AK102" i="6"/>
  <c r="AJ102" i="6"/>
  <c r="AI102" i="6"/>
  <c r="AH102" i="6"/>
  <c r="AG102" i="6"/>
  <c r="AF102" i="6"/>
  <c r="AE102" i="6"/>
  <c r="AD102" i="6"/>
  <c r="AC102" i="6"/>
  <c r="AB102" i="6"/>
  <c r="AA102" i="6"/>
  <c r="Z102" i="6"/>
  <c r="Y102" i="6"/>
  <c r="X102" i="6"/>
  <c r="W102" i="6"/>
  <c r="V102" i="6"/>
  <c r="U102" i="6"/>
  <c r="T102" i="6"/>
  <c r="S102" i="6"/>
  <c r="R102" i="6"/>
  <c r="Q102" i="6"/>
  <c r="P102" i="6"/>
  <c r="O102" i="6"/>
  <c r="N102" i="6"/>
  <c r="M102" i="6"/>
  <c r="L102" i="6"/>
  <c r="K102" i="6"/>
  <c r="J102" i="6"/>
  <c r="I102" i="6"/>
  <c r="H102" i="6"/>
  <c r="G102" i="6"/>
  <c r="DI101" i="6"/>
  <c r="DH101" i="6"/>
  <c r="DG101" i="6"/>
  <c r="DF101" i="6"/>
  <c r="DE101" i="6"/>
  <c r="DD101" i="6"/>
  <c r="DC101" i="6"/>
  <c r="DB101" i="6"/>
  <c r="DA101" i="6"/>
  <c r="CZ101" i="6"/>
  <c r="CY101" i="6"/>
  <c r="CX101" i="6"/>
  <c r="CW101" i="6"/>
  <c r="CV101" i="6"/>
  <c r="CU101" i="6"/>
  <c r="CT101" i="6"/>
  <c r="CS101" i="6"/>
  <c r="CR101" i="6"/>
  <c r="CQ101" i="6"/>
  <c r="CP101" i="6"/>
  <c r="CO101" i="6"/>
  <c r="CN101" i="6"/>
  <c r="CM101" i="6"/>
  <c r="CL101" i="6"/>
  <c r="CK101" i="6"/>
  <c r="CJ101" i="6"/>
  <c r="CI101" i="6"/>
  <c r="CH101" i="6"/>
  <c r="CG101" i="6"/>
  <c r="CF101" i="6"/>
  <c r="CE101" i="6"/>
  <c r="CD101" i="6"/>
  <c r="CC101" i="6"/>
  <c r="CB101" i="6"/>
  <c r="CA101" i="6"/>
  <c r="BZ101" i="6"/>
  <c r="BY101" i="6"/>
  <c r="BX101" i="6"/>
  <c r="BW101" i="6"/>
  <c r="BV101" i="6"/>
  <c r="BU101" i="6"/>
  <c r="BT101" i="6"/>
  <c r="BS101" i="6"/>
  <c r="BR101" i="6"/>
  <c r="BQ101" i="6"/>
  <c r="BP101" i="6"/>
  <c r="BO101" i="6"/>
  <c r="BN101" i="6"/>
  <c r="BM101" i="6"/>
  <c r="BL101" i="6"/>
  <c r="BK101" i="6"/>
  <c r="BJ101" i="6"/>
  <c r="BI101" i="6"/>
  <c r="BH101" i="6"/>
  <c r="BG101" i="6"/>
  <c r="BF101" i="6"/>
  <c r="BE101" i="6"/>
  <c r="BD101" i="6"/>
  <c r="BC101" i="6"/>
  <c r="BB101" i="6"/>
  <c r="BA101" i="6"/>
  <c r="AZ101" i="6"/>
  <c r="AY101" i="6"/>
  <c r="AX101" i="6"/>
  <c r="AW101" i="6"/>
  <c r="AV101" i="6"/>
  <c r="AU101" i="6"/>
  <c r="AT101" i="6"/>
  <c r="AS101" i="6"/>
  <c r="AR101" i="6"/>
  <c r="AQ101" i="6"/>
  <c r="AP101" i="6"/>
  <c r="AO101" i="6"/>
  <c r="AN101" i="6"/>
  <c r="AM101" i="6"/>
  <c r="AL101" i="6"/>
  <c r="AK101" i="6"/>
  <c r="AJ101" i="6"/>
  <c r="AI101" i="6"/>
  <c r="AH101" i="6"/>
  <c r="AG101" i="6"/>
  <c r="AF101" i="6"/>
  <c r="AE101" i="6"/>
  <c r="AD101" i="6"/>
  <c r="AC101" i="6"/>
  <c r="AB101" i="6"/>
  <c r="AA101" i="6"/>
  <c r="Z101" i="6"/>
  <c r="Y101" i="6"/>
  <c r="X101" i="6"/>
  <c r="W101" i="6"/>
  <c r="V101" i="6"/>
  <c r="U101" i="6"/>
  <c r="T101" i="6"/>
  <c r="S101" i="6"/>
  <c r="R101" i="6"/>
  <c r="Q101" i="6"/>
  <c r="P101" i="6"/>
  <c r="O101" i="6"/>
  <c r="N101" i="6"/>
  <c r="M101" i="6"/>
  <c r="L101" i="6"/>
  <c r="K101" i="6"/>
  <c r="J101" i="6"/>
  <c r="I101" i="6"/>
  <c r="H101" i="6"/>
  <c r="G101" i="6"/>
  <c r="DI100" i="6"/>
  <c r="DH100" i="6"/>
  <c r="DG100" i="6"/>
  <c r="DF100" i="6"/>
  <c r="DE100" i="6"/>
  <c r="DD100" i="6"/>
  <c r="DC100" i="6"/>
  <c r="DB100" i="6"/>
  <c r="DA100" i="6"/>
  <c r="CZ100" i="6"/>
  <c r="CY100" i="6"/>
  <c r="CX100" i="6"/>
  <c r="CW100" i="6"/>
  <c r="CV100" i="6"/>
  <c r="CU100" i="6"/>
  <c r="CT100" i="6"/>
  <c r="CS100" i="6"/>
  <c r="CR100" i="6"/>
  <c r="CQ100" i="6"/>
  <c r="CP100" i="6"/>
  <c r="CO100" i="6"/>
  <c r="CN100" i="6"/>
  <c r="CM100" i="6"/>
  <c r="CL100" i="6"/>
  <c r="CK100" i="6"/>
  <c r="CJ100" i="6"/>
  <c r="CI100" i="6"/>
  <c r="CH100" i="6"/>
  <c r="CG100" i="6"/>
  <c r="CF100" i="6"/>
  <c r="CE100" i="6"/>
  <c r="CD100" i="6"/>
  <c r="CC100" i="6"/>
  <c r="CB100" i="6"/>
  <c r="CA100" i="6"/>
  <c r="BZ100" i="6"/>
  <c r="BY100" i="6"/>
  <c r="BX100" i="6"/>
  <c r="BW100" i="6"/>
  <c r="BV100" i="6"/>
  <c r="BU100" i="6"/>
  <c r="BT100" i="6"/>
  <c r="BS100" i="6"/>
  <c r="BR100" i="6"/>
  <c r="BQ100" i="6"/>
  <c r="BP100" i="6"/>
  <c r="BO100" i="6"/>
  <c r="BN100" i="6"/>
  <c r="BM100" i="6"/>
  <c r="BL100" i="6"/>
  <c r="BK100" i="6"/>
  <c r="BJ100" i="6"/>
  <c r="BI100" i="6"/>
  <c r="BH100" i="6"/>
  <c r="BG100" i="6"/>
  <c r="BF100" i="6"/>
  <c r="BE100" i="6"/>
  <c r="BD100" i="6"/>
  <c r="BC100" i="6"/>
  <c r="BB100" i="6"/>
  <c r="BA100" i="6"/>
  <c r="AZ100" i="6"/>
  <c r="AY100" i="6"/>
  <c r="AX100" i="6"/>
  <c r="AW100" i="6"/>
  <c r="AV100" i="6"/>
  <c r="AU100" i="6"/>
  <c r="AT100" i="6"/>
  <c r="AS100" i="6"/>
  <c r="AR100" i="6"/>
  <c r="AQ100" i="6"/>
  <c r="AP100" i="6"/>
  <c r="AO100" i="6"/>
  <c r="AN100" i="6"/>
  <c r="AM100" i="6"/>
  <c r="AL100" i="6"/>
  <c r="AK100" i="6"/>
  <c r="AJ100" i="6"/>
  <c r="AI100" i="6"/>
  <c r="AH100" i="6"/>
  <c r="AG100" i="6"/>
  <c r="AF100" i="6"/>
  <c r="AE100" i="6"/>
  <c r="AD100" i="6"/>
  <c r="AC100" i="6"/>
  <c r="AB100" i="6"/>
  <c r="AA100" i="6"/>
  <c r="Z100" i="6"/>
  <c r="Y100" i="6"/>
  <c r="X100" i="6"/>
  <c r="W100" i="6"/>
  <c r="V100" i="6"/>
  <c r="U100" i="6"/>
  <c r="T100" i="6"/>
  <c r="S100" i="6"/>
  <c r="R100" i="6"/>
  <c r="Q100" i="6"/>
  <c r="P100" i="6"/>
  <c r="O100" i="6"/>
  <c r="N100" i="6"/>
  <c r="M100" i="6"/>
  <c r="L100" i="6"/>
  <c r="K100" i="6"/>
  <c r="J100" i="6"/>
  <c r="I100" i="6"/>
  <c r="H100" i="6"/>
  <c r="G100" i="6"/>
  <c r="DI99" i="6"/>
  <c r="DH99" i="6"/>
  <c r="DG99" i="6"/>
  <c r="DF99" i="6"/>
  <c r="DE99" i="6"/>
  <c r="DD99" i="6"/>
  <c r="DC99" i="6"/>
  <c r="DB99" i="6"/>
  <c r="DA99" i="6"/>
  <c r="CZ99" i="6"/>
  <c r="CY99" i="6"/>
  <c r="CX99" i="6"/>
  <c r="CW99" i="6"/>
  <c r="CV99" i="6"/>
  <c r="CU99" i="6"/>
  <c r="CT99" i="6"/>
  <c r="CS99" i="6"/>
  <c r="CR99" i="6"/>
  <c r="CQ99" i="6"/>
  <c r="CP99" i="6"/>
  <c r="CO99" i="6"/>
  <c r="CN99" i="6"/>
  <c r="CM99" i="6"/>
  <c r="CL99" i="6"/>
  <c r="CK99" i="6"/>
  <c r="CJ99" i="6"/>
  <c r="CI99" i="6"/>
  <c r="CH99" i="6"/>
  <c r="CG99" i="6"/>
  <c r="CF99" i="6"/>
  <c r="CE99" i="6"/>
  <c r="CD99" i="6"/>
  <c r="CC99" i="6"/>
  <c r="CB99" i="6"/>
  <c r="CA99" i="6"/>
  <c r="BZ99" i="6"/>
  <c r="BY99" i="6"/>
  <c r="BX99" i="6"/>
  <c r="BW99" i="6"/>
  <c r="BV99" i="6"/>
  <c r="BU99" i="6"/>
  <c r="BT99" i="6"/>
  <c r="BS99" i="6"/>
  <c r="BR99" i="6"/>
  <c r="BQ99" i="6"/>
  <c r="BP99" i="6"/>
  <c r="BO99" i="6"/>
  <c r="BN99" i="6"/>
  <c r="BM99" i="6"/>
  <c r="BL99" i="6"/>
  <c r="BK99" i="6"/>
  <c r="BJ99" i="6"/>
  <c r="BI99" i="6"/>
  <c r="BH99" i="6"/>
  <c r="BG99" i="6"/>
  <c r="BF99" i="6"/>
  <c r="BE99" i="6"/>
  <c r="BD99" i="6"/>
  <c r="BC99" i="6"/>
  <c r="BB99" i="6"/>
  <c r="BA99" i="6"/>
  <c r="AZ99" i="6"/>
  <c r="AY99" i="6"/>
  <c r="AX99" i="6"/>
  <c r="AW99" i="6"/>
  <c r="AV99" i="6"/>
  <c r="AU99" i="6"/>
  <c r="AT99" i="6"/>
  <c r="AS99" i="6"/>
  <c r="AR99" i="6"/>
  <c r="AQ99" i="6"/>
  <c r="AP99" i="6"/>
  <c r="AO99" i="6"/>
  <c r="AN99" i="6"/>
  <c r="AM99" i="6"/>
  <c r="AL99" i="6"/>
  <c r="AK99" i="6"/>
  <c r="AJ99" i="6"/>
  <c r="AI99" i="6"/>
  <c r="AH99" i="6"/>
  <c r="AG99" i="6"/>
  <c r="AF99" i="6"/>
  <c r="AE99" i="6"/>
  <c r="AD99" i="6"/>
  <c r="AC99" i="6"/>
  <c r="AB99" i="6"/>
  <c r="AA99" i="6"/>
  <c r="Z99" i="6"/>
  <c r="Y99" i="6"/>
  <c r="X99" i="6"/>
  <c r="W99" i="6"/>
  <c r="V99" i="6"/>
  <c r="U99" i="6"/>
  <c r="T99" i="6"/>
  <c r="S99" i="6"/>
  <c r="R99" i="6"/>
  <c r="Q99" i="6"/>
  <c r="P99" i="6"/>
  <c r="O99" i="6"/>
  <c r="N99" i="6"/>
  <c r="M99" i="6"/>
  <c r="L99" i="6"/>
  <c r="K99" i="6"/>
  <c r="J99" i="6"/>
  <c r="I99" i="6"/>
  <c r="H99" i="6"/>
  <c r="G99" i="6"/>
  <c r="DI98" i="6"/>
  <c r="DH98" i="6"/>
  <c r="DG98" i="6"/>
  <c r="DF98" i="6"/>
  <c r="DE98" i="6"/>
  <c r="DD98" i="6"/>
  <c r="DC98" i="6"/>
  <c r="DB98" i="6"/>
  <c r="DA98" i="6"/>
  <c r="CZ98" i="6"/>
  <c r="CY98" i="6"/>
  <c r="CX98" i="6"/>
  <c r="CW98" i="6"/>
  <c r="CV98" i="6"/>
  <c r="CU98" i="6"/>
  <c r="CT98" i="6"/>
  <c r="CS98" i="6"/>
  <c r="CR98" i="6"/>
  <c r="CQ98" i="6"/>
  <c r="CP98" i="6"/>
  <c r="CO98" i="6"/>
  <c r="CN98" i="6"/>
  <c r="CM98" i="6"/>
  <c r="CL98" i="6"/>
  <c r="CK98" i="6"/>
  <c r="CJ98" i="6"/>
  <c r="CI98" i="6"/>
  <c r="CH98" i="6"/>
  <c r="CG98" i="6"/>
  <c r="CF98" i="6"/>
  <c r="CE98" i="6"/>
  <c r="CD98" i="6"/>
  <c r="CC98" i="6"/>
  <c r="CB98" i="6"/>
  <c r="CA98" i="6"/>
  <c r="BZ98" i="6"/>
  <c r="BY98" i="6"/>
  <c r="BX98" i="6"/>
  <c r="BW98" i="6"/>
  <c r="BV98" i="6"/>
  <c r="BU98" i="6"/>
  <c r="BT98" i="6"/>
  <c r="BS98" i="6"/>
  <c r="BR98" i="6"/>
  <c r="BQ98" i="6"/>
  <c r="BP98" i="6"/>
  <c r="BO98" i="6"/>
  <c r="BN98" i="6"/>
  <c r="BM98" i="6"/>
  <c r="BL98" i="6"/>
  <c r="BK98" i="6"/>
  <c r="BJ98" i="6"/>
  <c r="BI98" i="6"/>
  <c r="BH98" i="6"/>
  <c r="BG98" i="6"/>
  <c r="BF98" i="6"/>
  <c r="BE98" i="6"/>
  <c r="BD98" i="6"/>
  <c r="BC98" i="6"/>
  <c r="BB98" i="6"/>
  <c r="BA98" i="6"/>
  <c r="AZ98" i="6"/>
  <c r="AY98" i="6"/>
  <c r="AX98" i="6"/>
  <c r="AW98" i="6"/>
  <c r="AV98" i="6"/>
  <c r="AU98" i="6"/>
  <c r="AT98" i="6"/>
  <c r="AS98" i="6"/>
  <c r="AR98" i="6"/>
  <c r="AQ98" i="6"/>
  <c r="AP98" i="6"/>
  <c r="AO98" i="6"/>
  <c r="AN98" i="6"/>
  <c r="AM98" i="6"/>
  <c r="AL98" i="6"/>
  <c r="AK98" i="6"/>
  <c r="AJ98" i="6"/>
  <c r="AI98" i="6"/>
  <c r="AH98" i="6"/>
  <c r="AG98" i="6"/>
  <c r="AF98" i="6"/>
  <c r="AE98" i="6"/>
  <c r="AD98" i="6"/>
  <c r="AC98" i="6"/>
  <c r="AB98" i="6"/>
  <c r="AA98" i="6"/>
  <c r="Z98" i="6"/>
  <c r="Y98" i="6"/>
  <c r="X98" i="6"/>
  <c r="W98" i="6"/>
  <c r="V98" i="6"/>
  <c r="U98" i="6"/>
  <c r="T98" i="6"/>
  <c r="S98" i="6"/>
  <c r="R98" i="6"/>
  <c r="Q98" i="6"/>
  <c r="P98" i="6"/>
  <c r="O98" i="6"/>
  <c r="N98" i="6"/>
  <c r="M98" i="6"/>
  <c r="L98" i="6"/>
  <c r="K98" i="6"/>
  <c r="J98" i="6"/>
  <c r="I98" i="6"/>
  <c r="H98" i="6"/>
  <c r="G98" i="6"/>
  <c r="DI97" i="6"/>
  <c r="DH97" i="6"/>
  <c r="DG97" i="6"/>
  <c r="DF97" i="6"/>
  <c r="DE97" i="6"/>
  <c r="DD97" i="6"/>
  <c r="DC97" i="6"/>
  <c r="DB97" i="6"/>
  <c r="DA97" i="6"/>
  <c r="CZ97" i="6"/>
  <c r="CY97" i="6"/>
  <c r="CX97" i="6"/>
  <c r="CW97" i="6"/>
  <c r="CV97" i="6"/>
  <c r="CU97" i="6"/>
  <c r="CT97" i="6"/>
  <c r="CS97" i="6"/>
  <c r="CR97" i="6"/>
  <c r="CQ97" i="6"/>
  <c r="CP97" i="6"/>
  <c r="CO97" i="6"/>
  <c r="CN97" i="6"/>
  <c r="CM97" i="6"/>
  <c r="CL97" i="6"/>
  <c r="CK97" i="6"/>
  <c r="CJ97" i="6"/>
  <c r="CI97" i="6"/>
  <c r="CH97" i="6"/>
  <c r="CG97" i="6"/>
  <c r="CF97" i="6"/>
  <c r="CE97" i="6"/>
  <c r="CD97" i="6"/>
  <c r="CC97" i="6"/>
  <c r="CB97" i="6"/>
  <c r="CA97" i="6"/>
  <c r="BZ97" i="6"/>
  <c r="BY97" i="6"/>
  <c r="BX97" i="6"/>
  <c r="BW97" i="6"/>
  <c r="BV97" i="6"/>
  <c r="BU97" i="6"/>
  <c r="BT97" i="6"/>
  <c r="BS97" i="6"/>
  <c r="BR97" i="6"/>
  <c r="BQ97" i="6"/>
  <c r="BP97" i="6"/>
  <c r="BO97" i="6"/>
  <c r="BN97" i="6"/>
  <c r="BM97" i="6"/>
  <c r="BL97" i="6"/>
  <c r="BK97" i="6"/>
  <c r="BJ97" i="6"/>
  <c r="BI97" i="6"/>
  <c r="BH97" i="6"/>
  <c r="BG97" i="6"/>
  <c r="BF97" i="6"/>
  <c r="BE97" i="6"/>
  <c r="BD97" i="6"/>
  <c r="BC97" i="6"/>
  <c r="BB97" i="6"/>
  <c r="BA97" i="6"/>
  <c r="AZ97" i="6"/>
  <c r="AY97" i="6"/>
  <c r="AX97" i="6"/>
  <c r="AW97" i="6"/>
  <c r="AV97" i="6"/>
  <c r="AU97" i="6"/>
  <c r="AT97" i="6"/>
  <c r="AS97" i="6"/>
  <c r="AR97" i="6"/>
  <c r="AQ97" i="6"/>
  <c r="AP97" i="6"/>
  <c r="AO97" i="6"/>
  <c r="AN97" i="6"/>
  <c r="AM97" i="6"/>
  <c r="AL97" i="6"/>
  <c r="AK97" i="6"/>
  <c r="AJ97" i="6"/>
  <c r="AI97" i="6"/>
  <c r="AH97" i="6"/>
  <c r="AG97" i="6"/>
  <c r="AF97" i="6"/>
  <c r="AE97" i="6"/>
  <c r="AD97" i="6"/>
  <c r="AC97" i="6"/>
  <c r="AB97" i="6"/>
  <c r="AA97" i="6"/>
  <c r="Z97" i="6"/>
  <c r="Y97" i="6"/>
  <c r="X97" i="6"/>
  <c r="W97" i="6"/>
  <c r="V97" i="6"/>
  <c r="U97" i="6"/>
  <c r="T97" i="6"/>
  <c r="S97" i="6"/>
  <c r="R97" i="6"/>
  <c r="Q97" i="6"/>
  <c r="P97" i="6"/>
  <c r="O97" i="6"/>
  <c r="N97" i="6"/>
  <c r="M97" i="6"/>
  <c r="L97" i="6"/>
  <c r="K97" i="6"/>
  <c r="J97" i="6"/>
  <c r="I97" i="6"/>
  <c r="H97" i="6"/>
  <c r="G97" i="6"/>
  <c r="DI96" i="6"/>
  <c r="DH96" i="6"/>
  <c r="DG96" i="6"/>
  <c r="DF96" i="6"/>
  <c r="DE96" i="6"/>
  <c r="DD96" i="6"/>
  <c r="DC96" i="6"/>
  <c r="DB96" i="6"/>
  <c r="DA96" i="6"/>
  <c r="CZ96" i="6"/>
  <c r="CY96" i="6"/>
  <c r="CX96" i="6"/>
  <c r="CW96" i="6"/>
  <c r="CV96" i="6"/>
  <c r="CU96" i="6"/>
  <c r="CT96" i="6"/>
  <c r="CS96" i="6"/>
  <c r="CR96" i="6"/>
  <c r="CQ96" i="6"/>
  <c r="CP96" i="6"/>
  <c r="CO96" i="6"/>
  <c r="CN96" i="6"/>
  <c r="CM96" i="6"/>
  <c r="CL96" i="6"/>
  <c r="CK96" i="6"/>
  <c r="CJ96" i="6"/>
  <c r="CI96" i="6"/>
  <c r="CH96" i="6"/>
  <c r="CG96" i="6"/>
  <c r="CF96" i="6"/>
  <c r="CE96" i="6"/>
  <c r="CD96" i="6"/>
  <c r="CC96" i="6"/>
  <c r="CB96" i="6"/>
  <c r="CA96" i="6"/>
  <c r="BZ96" i="6"/>
  <c r="BY96" i="6"/>
  <c r="BX96" i="6"/>
  <c r="BW96" i="6"/>
  <c r="BV96" i="6"/>
  <c r="BU96" i="6"/>
  <c r="BT96" i="6"/>
  <c r="BS96" i="6"/>
  <c r="BR96" i="6"/>
  <c r="BQ96" i="6"/>
  <c r="BP96" i="6"/>
  <c r="BO96" i="6"/>
  <c r="BN96" i="6"/>
  <c r="BM96" i="6"/>
  <c r="BL96" i="6"/>
  <c r="BK96" i="6"/>
  <c r="BJ96" i="6"/>
  <c r="BI96" i="6"/>
  <c r="BH96" i="6"/>
  <c r="BG96" i="6"/>
  <c r="BF96" i="6"/>
  <c r="BE96" i="6"/>
  <c r="BD96" i="6"/>
  <c r="BC96" i="6"/>
  <c r="BB96" i="6"/>
  <c r="BA96" i="6"/>
  <c r="AZ96" i="6"/>
  <c r="AY96" i="6"/>
  <c r="AX96" i="6"/>
  <c r="AW96" i="6"/>
  <c r="AV96" i="6"/>
  <c r="AU96" i="6"/>
  <c r="AT96" i="6"/>
  <c r="AS96" i="6"/>
  <c r="AR96" i="6"/>
  <c r="AQ96" i="6"/>
  <c r="AP96" i="6"/>
  <c r="AO96" i="6"/>
  <c r="AN96" i="6"/>
  <c r="AM96" i="6"/>
  <c r="AL96" i="6"/>
  <c r="AK96" i="6"/>
  <c r="AJ96" i="6"/>
  <c r="AI96" i="6"/>
  <c r="AH96" i="6"/>
  <c r="AG96" i="6"/>
  <c r="AF96" i="6"/>
  <c r="AE96" i="6"/>
  <c r="AD96" i="6"/>
  <c r="AC96" i="6"/>
  <c r="AB96" i="6"/>
  <c r="AA96" i="6"/>
  <c r="Z96" i="6"/>
  <c r="Y96" i="6"/>
  <c r="X96" i="6"/>
  <c r="W96" i="6"/>
  <c r="V96" i="6"/>
  <c r="U96" i="6"/>
  <c r="T96" i="6"/>
  <c r="S96" i="6"/>
  <c r="R96" i="6"/>
  <c r="Q96" i="6"/>
  <c r="P96" i="6"/>
  <c r="O96" i="6"/>
  <c r="N96" i="6"/>
  <c r="M96" i="6"/>
  <c r="L96" i="6"/>
  <c r="K96" i="6"/>
  <c r="J96" i="6"/>
  <c r="I96" i="6"/>
  <c r="H96" i="6"/>
  <c r="G96" i="6"/>
  <c r="DI95" i="6"/>
  <c r="DH95" i="6"/>
  <c r="DG95" i="6"/>
  <c r="DF95" i="6"/>
  <c r="DE95" i="6"/>
  <c r="DD95" i="6"/>
  <c r="DC95" i="6"/>
  <c r="DB95" i="6"/>
  <c r="DA95" i="6"/>
  <c r="CZ95" i="6"/>
  <c r="CY95" i="6"/>
  <c r="CX95" i="6"/>
  <c r="CW95" i="6"/>
  <c r="CV95" i="6"/>
  <c r="CU95" i="6"/>
  <c r="CT95" i="6"/>
  <c r="CS95" i="6"/>
  <c r="CR95" i="6"/>
  <c r="CQ95" i="6"/>
  <c r="CP95" i="6"/>
  <c r="CO95" i="6"/>
  <c r="CN95" i="6"/>
  <c r="CM95" i="6"/>
  <c r="CL95" i="6"/>
  <c r="CK95" i="6"/>
  <c r="CJ95" i="6"/>
  <c r="CI95" i="6"/>
  <c r="CH95" i="6"/>
  <c r="CG95" i="6"/>
  <c r="CF95" i="6"/>
  <c r="CE95" i="6"/>
  <c r="CD95" i="6"/>
  <c r="CC95" i="6"/>
  <c r="CB95" i="6"/>
  <c r="CA95" i="6"/>
  <c r="BZ95" i="6"/>
  <c r="BY95" i="6"/>
  <c r="BX95" i="6"/>
  <c r="BW95" i="6"/>
  <c r="BV95" i="6"/>
  <c r="BU95" i="6"/>
  <c r="BT95" i="6"/>
  <c r="BS95" i="6"/>
  <c r="BR95" i="6"/>
  <c r="BQ95" i="6"/>
  <c r="BP95" i="6"/>
  <c r="BO95" i="6"/>
  <c r="BN95" i="6"/>
  <c r="BM95" i="6"/>
  <c r="BL95" i="6"/>
  <c r="BK95" i="6"/>
  <c r="BJ95" i="6"/>
  <c r="BI95" i="6"/>
  <c r="BH95" i="6"/>
  <c r="BG95" i="6"/>
  <c r="BF95" i="6"/>
  <c r="BE95" i="6"/>
  <c r="BD95" i="6"/>
  <c r="BC95" i="6"/>
  <c r="BB95" i="6"/>
  <c r="BA95" i="6"/>
  <c r="AZ95" i="6"/>
  <c r="AY95" i="6"/>
  <c r="AX95" i="6"/>
  <c r="AW95" i="6"/>
  <c r="AV95" i="6"/>
  <c r="AU95" i="6"/>
  <c r="AT95" i="6"/>
  <c r="AS95" i="6"/>
  <c r="AR95" i="6"/>
  <c r="AQ95" i="6"/>
  <c r="AP95" i="6"/>
  <c r="AO95" i="6"/>
  <c r="AN95" i="6"/>
  <c r="AM95" i="6"/>
  <c r="AL95" i="6"/>
  <c r="AK95" i="6"/>
  <c r="AJ95" i="6"/>
  <c r="AI95" i="6"/>
  <c r="AH95" i="6"/>
  <c r="AG95" i="6"/>
  <c r="AF95" i="6"/>
  <c r="AE95" i="6"/>
  <c r="AD95" i="6"/>
  <c r="AC95" i="6"/>
  <c r="AB95" i="6"/>
  <c r="AA95" i="6"/>
  <c r="Z95" i="6"/>
  <c r="Y95" i="6"/>
  <c r="X95" i="6"/>
  <c r="W95" i="6"/>
  <c r="V95" i="6"/>
  <c r="U95" i="6"/>
  <c r="T95" i="6"/>
  <c r="S95" i="6"/>
  <c r="R95" i="6"/>
  <c r="Q95" i="6"/>
  <c r="P95" i="6"/>
  <c r="O95" i="6"/>
  <c r="N95" i="6"/>
  <c r="M95" i="6"/>
  <c r="L95" i="6"/>
  <c r="K95" i="6"/>
  <c r="J95" i="6"/>
  <c r="I95" i="6"/>
  <c r="H95" i="6"/>
  <c r="G95" i="6"/>
  <c r="DI94" i="6"/>
  <c r="DH94" i="6"/>
  <c r="DG94" i="6"/>
  <c r="DF94" i="6"/>
  <c r="DE94" i="6"/>
  <c r="DD94" i="6"/>
  <c r="DC94" i="6"/>
  <c r="DB94" i="6"/>
  <c r="DA94" i="6"/>
  <c r="CZ94" i="6"/>
  <c r="CY94" i="6"/>
  <c r="CX94" i="6"/>
  <c r="CW94" i="6"/>
  <c r="CV94" i="6"/>
  <c r="CU94" i="6"/>
  <c r="CT94" i="6"/>
  <c r="CS94" i="6"/>
  <c r="CR94" i="6"/>
  <c r="CQ94" i="6"/>
  <c r="CP94" i="6"/>
  <c r="CO94" i="6"/>
  <c r="CN94" i="6"/>
  <c r="CM94" i="6"/>
  <c r="CL94" i="6"/>
  <c r="CK94" i="6"/>
  <c r="CJ94" i="6"/>
  <c r="CI94" i="6"/>
  <c r="CH94" i="6"/>
  <c r="CG94" i="6"/>
  <c r="CF94" i="6"/>
  <c r="CE94" i="6"/>
  <c r="CD94" i="6"/>
  <c r="CC94" i="6"/>
  <c r="CB94" i="6"/>
  <c r="CA94" i="6"/>
  <c r="BZ94" i="6"/>
  <c r="BY94" i="6"/>
  <c r="BX94" i="6"/>
  <c r="BW94" i="6"/>
  <c r="BV94" i="6"/>
  <c r="BU94" i="6"/>
  <c r="BT94" i="6"/>
  <c r="BS94" i="6"/>
  <c r="BR94" i="6"/>
  <c r="BQ94" i="6"/>
  <c r="BP94" i="6"/>
  <c r="BO94" i="6"/>
  <c r="BN94" i="6"/>
  <c r="BM94" i="6"/>
  <c r="BL94" i="6"/>
  <c r="BK94" i="6"/>
  <c r="BJ94" i="6"/>
  <c r="BI94" i="6"/>
  <c r="BH94" i="6"/>
  <c r="BG94" i="6"/>
  <c r="BF94" i="6"/>
  <c r="BE94" i="6"/>
  <c r="BD94" i="6"/>
  <c r="BC94" i="6"/>
  <c r="BB94" i="6"/>
  <c r="BA94" i="6"/>
  <c r="AZ94" i="6"/>
  <c r="AY94" i="6"/>
  <c r="AX94" i="6"/>
  <c r="AW94" i="6"/>
  <c r="AV94" i="6"/>
  <c r="AU94" i="6"/>
  <c r="AT94" i="6"/>
  <c r="AS94" i="6"/>
  <c r="AR94" i="6"/>
  <c r="AQ94" i="6"/>
  <c r="AP94" i="6"/>
  <c r="AO94" i="6"/>
  <c r="AN94" i="6"/>
  <c r="AM94" i="6"/>
  <c r="AL94" i="6"/>
  <c r="AK94" i="6"/>
  <c r="AJ94" i="6"/>
  <c r="AI94" i="6"/>
  <c r="AH94" i="6"/>
  <c r="AG94" i="6"/>
  <c r="AF94" i="6"/>
  <c r="AE94" i="6"/>
  <c r="AD94" i="6"/>
  <c r="AC94" i="6"/>
  <c r="AB94" i="6"/>
  <c r="AA94" i="6"/>
  <c r="Z94" i="6"/>
  <c r="Y94" i="6"/>
  <c r="X94" i="6"/>
  <c r="W94" i="6"/>
  <c r="V94" i="6"/>
  <c r="U94" i="6"/>
  <c r="T94" i="6"/>
  <c r="S94" i="6"/>
  <c r="R94" i="6"/>
  <c r="Q94" i="6"/>
  <c r="P94" i="6"/>
  <c r="O94" i="6"/>
  <c r="N94" i="6"/>
  <c r="M94" i="6"/>
  <c r="L94" i="6"/>
  <c r="K94" i="6"/>
  <c r="J94" i="6"/>
  <c r="I94" i="6"/>
  <c r="H94" i="6"/>
  <c r="G94" i="6"/>
  <c r="DI93" i="6"/>
  <c r="DH93" i="6"/>
  <c r="DG93" i="6"/>
  <c r="DF93" i="6"/>
  <c r="DE93" i="6"/>
  <c r="DD93" i="6"/>
  <c r="DC93" i="6"/>
  <c r="DB93" i="6"/>
  <c r="DA93" i="6"/>
  <c r="CZ93" i="6"/>
  <c r="CY93" i="6"/>
  <c r="CX93" i="6"/>
  <c r="CW93" i="6"/>
  <c r="CV93" i="6"/>
  <c r="CU93" i="6"/>
  <c r="CT93" i="6"/>
  <c r="CS93" i="6"/>
  <c r="CR93" i="6"/>
  <c r="CQ93" i="6"/>
  <c r="CP93" i="6"/>
  <c r="CO93" i="6"/>
  <c r="CN93" i="6"/>
  <c r="CM93" i="6"/>
  <c r="CL93" i="6"/>
  <c r="CK93" i="6"/>
  <c r="CJ93" i="6"/>
  <c r="CI93" i="6"/>
  <c r="CH93" i="6"/>
  <c r="CG93" i="6"/>
  <c r="CF93" i="6"/>
  <c r="CE93" i="6"/>
  <c r="CD93" i="6"/>
  <c r="CC93" i="6"/>
  <c r="CB93" i="6"/>
  <c r="CA93" i="6"/>
  <c r="BZ93" i="6"/>
  <c r="BY93" i="6"/>
  <c r="BX93" i="6"/>
  <c r="BW93" i="6"/>
  <c r="BV93" i="6"/>
  <c r="BU93" i="6"/>
  <c r="BT93" i="6"/>
  <c r="BS93" i="6"/>
  <c r="BR93" i="6"/>
  <c r="BQ93" i="6"/>
  <c r="BP93" i="6"/>
  <c r="BO93" i="6"/>
  <c r="BN93" i="6"/>
  <c r="BM93" i="6"/>
  <c r="BL93" i="6"/>
  <c r="BK93" i="6"/>
  <c r="BJ93" i="6"/>
  <c r="BI93" i="6"/>
  <c r="BH93" i="6"/>
  <c r="BG93" i="6"/>
  <c r="BF93" i="6"/>
  <c r="BE93" i="6"/>
  <c r="BD93" i="6"/>
  <c r="BC93" i="6"/>
  <c r="BB93" i="6"/>
  <c r="BA93" i="6"/>
  <c r="AZ93" i="6"/>
  <c r="AY93" i="6"/>
  <c r="AX93" i="6"/>
  <c r="AW93" i="6"/>
  <c r="AV93" i="6"/>
  <c r="AU93" i="6"/>
  <c r="AT93" i="6"/>
  <c r="AS93" i="6"/>
  <c r="AR93" i="6"/>
  <c r="AQ93" i="6"/>
  <c r="AP93" i="6"/>
  <c r="AO93" i="6"/>
  <c r="AN93" i="6"/>
  <c r="AM93" i="6"/>
  <c r="AL93" i="6"/>
  <c r="AK93" i="6"/>
  <c r="AJ93" i="6"/>
  <c r="AI93" i="6"/>
  <c r="AH93" i="6"/>
  <c r="AG93" i="6"/>
  <c r="AF93" i="6"/>
  <c r="AE93" i="6"/>
  <c r="AD93" i="6"/>
  <c r="AC93" i="6"/>
  <c r="AB93" i="6"/>
  <c r="AA93" i="6"/>
  <c r="Z93" i="6"/>
  <c r="Y93" i="6"/>
  <c r="X93" i="6"/>
  <c r="W93" i="6"/>
  <c r="V93" i="6"/>
  <c r="U93" i="6"/>
  <c r="T93" i="6"/>
  <c r="S93" i="6"/>
  <c r="R93" i="6"/>
  <c r="Q93" i="6"/>
  <c r="P93" i="6"/>
  <c r="O93" i="6"/>
  <c r="N93" i="6"/>
  <c r="M93" i="6"/>
  <c r="L93" i="6"/>
  <c r="K93" i="6"/>
  <c r="J93" i="6"/>
  <c r="I93" i="6"/>
  <c r="H93" i="6"/>
  <c r="G93" i="6"/>
  <c r="DI92" i="6"/>
  <c r="DH92" i="6"/>
  <c r="DG92" i="6"/>
  <c r="DF92" i="6"/>
  <c r="DE92" i="6"/>
  <c r="DD92" i="6"/>
  <c r="DC92" i="6"/>
  <c r="DB92" i="6"/>
  <c r="DA92" i="6"/>
  <c r="CZ92" i="6"/>
  <c r="CY92" i="6"/>
  <c r="CX92" i="6"/>
  <c r="CW92" i="6"/>
  <c r="CV92" i="6"/>
  <c r="CU92" i="6"/>
  <c r="CT92" i="6"/>
  <c r="CS92" i="6"/>
  <c r="CR92" i="6"/>
  <c r="CQ92" i="6"/>
  <c r="CP92" i="6"/>
  <c r="CO92" i="6"/>
  <c r="CN92" i="6"/>
  <c r="CM92" i="6"/>
  <c r="CL92" i="6"/>
  <c r="CK92" i="6"/>
  <c r="CJ92" i="6"/>
  <c r="CI92" i="6"/>
  <c r="CH92" i="6"/>
  <c r="CG92" i="6"/>
  <c r="CF92" i="6"/>
  <c r="CE92" i="6"/>
  <c r="CD92" i="6"/>
  <c r="CC92" i="6"/>
  <c r="CB92" i="6"/>
  <c r="CA92" i="6"/>
  <c r="BZ92" i="6"/>
  <c r="BY92" i="6"/>
  <c r="BX92" i="6"/>
  <c r="BW92" i="6"/>
  <c r="BV92" i="6"/>
  <c r="BU92" i="6"/>
  <c r="BT92" i="6"/>
  <c r="BS92" i="6"/>
  <c r="BR92" i="6"/>
  <c r="BQ92" i="6"/>
  <c r="BP92" i="6"/>
  <c r="BO92" i="6"/>
  <c r="BN92" i="6"/>
  <c r="BM92" i="6"/>
  <c r="BL92" i="6"/>
  <c r="BK92" i="6"/>
  <c r="BJ92" i="6"/>
  <c r="BI92" i="6"/>
  <c r="BH92" i="6"/>
  <c r="BG92" i="6"/>
  <c r="BF92" i="6"/>
  <c r="BE92" i="6"/>
  <c r="BD92" i="6"/>
  <c r="BC92" i="6"/>
  <c r="BB92" i="6"/>
  <c r="BA92" i="6"/>
  <c r="AZ92" i="6"/>
  <c r="AY92" i="6"/>
  <c r="AX92" i="6"/>
  <c r="AW92" i="6"/>
  <c r="AV92" i="6"/>
  <c r="AU92" i="6"/>
  <c r="AT92" i="6"/>
  <c r="AS92" i="6"/>
  <c r="AR92" i="6"/>
  <c r="AQ92" i="6"/>
  <c r="AP92" i="6"/>
  <c r="AO92" i="6"/>
  <c r="AN92" i="6"/>
  <c r="AM92" i="6"/>
  <c r="AL92" i="6"/>
  <c r="AK92" i="6"/>
  <c r="AJ92" i="6"/>
  <c r="AI92" i="6"/>
  <c r="AH92" i="6"/>
  <c r="AG92" i="6"/>
  <c r="AF92" i="6"/>
  <c r="AE92" i="6"/>
  <c r="AD92" i="6"/>
  <c r="AC92" i="6"/>
  <c r="AB92" i="6"/>
  <c r="AA92" i="6"/>
  <c r="Z92" i="6"/>
  <c r="Y92" i="6"/>
  <c r="X92" i="6"/>
  <c r="W92" i="6"/>
  <c r="V92" i="6"/>
  <c r="U92" i="6"/>
  <c r="T92" i="6"/>
  <c r="S92" i="6"/>
  <c r="R92" i="6"/>
  <c r="Q92" i="6"/>
  <c r="P92" i="6"/>
  <c r="O92" i="6"/>
  <c r="N92" i="6"/>
  <c r="M92" i="6"/>
  <c r="L92" i="6"/>
  <c r="K92" i="6"/>
  <c r="J92" i="6"/>
  <c r="I92" i="6"/>
  <c r="H92" i="6"/>
  <c r="G92" i="6"/>
  <c r="DI91" i="6"/>
  <c r="DH91" i="6"/>
  <c r="DG91" i="6"/>
  <c r="DF91" i="6"/>
  <c r="DE91" i="6"/>
  <c r="DD91" i="6"/>
  <c r="DC91" i="6"/>
  <c r="DB91" i="6"/>
  <c r="DA91" i="6"/>
  <c r="CZ91" i="6"/>
  <c r="CY91" i="6"/>
  <c r="CX91" i="6"/>
  <c r="CW91" i="6"/>
  <c r="CV91" i="6"/>
  <c r="CU91" i="6"/>
  <c r="CT91" i="6"/>
  <c r="CS91" i="6"/>
  <c r="CR91" i="6"/>
  <c r="CQ91" i="6"/>
  <c r="CP91" i="6"/>
  <c r="CO91" i="6"/>
  <c r="CN91" i="6"/>
  <c r="CM91" i="6"/>
  <c r="CL91" i="6"/>
  <c r="CK91" i="6"/>
  <c r="CJ91" i="6"/>
  <c r="CI91" i="6"/>
  <c r="CH91" i="6"/>
  <c r="CG91" i="6"/>
  <c r="CF91" i="6"/>
  <c r="CE91" i="6"/>
  <c r="CD91" i="6"/>
  <c r="CC91" i="6"/>
  <c r="CB91" i="6"/>
  <c r="CA91" i="6"/>
  <c r="BZ91" i="6"/>
  <c r="BY91" i="6"/>
  <c r="BX91" i="6"/>
  <c r="BW91" i="6"/>
  <c r="BV91" i="6"/>
  <c r="BU91" i="6"/>
  <c r="BT91" i="6"/>
  <c r="BS91" i="6"/>
  <c r="BR91" i="6"/>
  <c r="BQ91" i="6"/>
  <c r="BP91" i="6"/>
  <c r="BO91" i="6"/>
  <c r="BN91" i="6"/>
  <c r="BM91" i="6"/>
  <c r="BL91" i="6"/>
  <c r="BK91" i="6"/>
  <c r="BJ91" i="6"/>
  <c r="BI91" i="6"/>
  <c r="BH91" i="6"/>
  <c r="BG91" i="6"/>
  <c r="BF91" i="6"/>
  <c r="BE91" i="6"/>
  <c r="BD91" i="6"/>
  <c r="BC91" i="6"/>
  <c r="BB91" i="6"/>
  <c r="BA91" i="6"/>
  <c r="AZ91" i="6"/>
  <c r="AY91" i="6"/>
  <c r="AX91" i="6"/>
  <c r="AW91" i="6"/>
  <c r="AV91" i="6"/>
  <c r="AU91" i="6"/>
  <c r="AT91" i="6"/>
  <c r="AS91" i="6"/>
  <c r="AR91" i="6"/>
  <c r="AQ91" i="6"/>
  <c r="AP91" i="6"/>
  <c r="AO91" i="6"/>
  <c r="AN91" i="6"/>
  <c r="AM91" i="6"/>
  <c r="AL91" i="6"/>
  <c r="AK91" i="6"/>
  <c r="AJ91" i="6"/>
  <c r="AI91" i="6"/>
  <c r="AH91" i="6"/>
  <c r="AG91" i="6"/>
  <c r="AF91" i="6"/>
  <c r="AE91" i="6"/>
  <c r="AD91" i="6"/>
  <c r="AC91" i="6"/>
  <c r="AB91" i="6"/>
  <c r="AA91" i="6"/>
  <c r="Z91" i="6"/>
  <c r="Y91" i="6"/>
  <c r="X91" i="6"/>
  <c r="W91" i="6"/>
  <c r="V91" i="6"/>
  <c r="U91" i="6"/>
  <c r="T91" i="6"/>
  <c r="S91" i="6"/>
  <c r="R91" i="6"/>
  <c r="Q91" i="6"/>
  <c r="P91" i="6"/>
  <c r="O91" i="6"/>
  <c r="N91" i="6"/>
  <c r="M91" i="6"/>
  <c r="L91" i="6"/>
  <c r="K91" i="6"/>
  <c r="J91" i="6"/>
  <c r="I91" i="6"/>
  <c r="H91" i="6"/>
  <c r="G91" i="6"/>
  <c r="DI90" i="6"/>
  <c r="DH90" i="6"/>
  <c r="DG90" i="6"/>
  <c r="DF90" i="6"/>
  <c r="DE90" i="6"/>
  <c r="DD90" i="6"/>
  <c r="DC90" i="6"/>
  <c r="DB90" i="6"/>
  <c r="DA90" i="6"/>
  <c r="CZ90" i="6"/>
  <c r="CY90" i="6"/>
  <c r="CX90" i="6"/>
  <c r="CW90" i="6"/>
  <c r="CV90" i="6"/>
  <c r="CU90" i="6"/>
  <c r="CT90" i="6"/>
  <c r="CS90" i="6"/>
  <c r="CR90" i="6"/>
  <c r="CQ90" i="6"/>
  <c r="CP90" i="6"/>
  <c r="CO90" i="6"/>
  <c r="CN90" i="6"/>
  <c r="CM90" i="6"/>
  <c r="CL90" i="6"/>
  <c r="CK90" i="6"/>
  <c r="CJ90" i="6"/>
  <c r="CI90" i="6"/>
  <c r="CH90" i="6"/>
  <c r="CG90" i="6"/>
  <c r="CF90" i="6"/>
  <c r="CE90" i="6"/>
  <c r="CD90" i="6"/>
  <c r="CC90" i="6"/>
  <c r="CB90" i="6"/>
  <c r="CA90" i="6"/>
  <c r="BZ90" i="6"/>
  <c r="BY90" i="6"/>
  <c r="BX90" i="6"/>
  <c r="BW90" i="6"/>
  <c r="BV90" i="6"/>
  <c r="BU90" i="6"/>
  <c r="BT90" i="6"/>
  <c r="BS90" i="6"/>
  <c r="BR90" i="6"/>
  <c r="BQ90" i="6"/>
  <c r="BP90" i="6"/>
  <c r="BO90" i="6"/>
  <c r="BN90" i="6"/>
  <c r="BM90" i="6"/>
  <c r="BL90" i="6"/>
  <c r="BK90" i="6"/>
  <c r="BJ90" i="6"/>
  <c r="BI90" i="6"/>
  <c r="BH90" i="6"/>
  <c r="BG90" i="6"/>
  <c r="BF90" i="6"/>
  <c r="BE90" i="6"/>
  <c r="BD90" i="6"/>
  <c r="BC90" i="6"/>
  <c r="BB90" i="6"/>
  <c r="BA90" i="6"/>
  <c r="AZ90" i="6"/>
  <c r="AY90" i="6"/>
  <c r="AX90" i="6"/>
  <c r="AW90" i="6"/>
  <c r="AV90" i="6"/>
  <c r="AU90" i="6"/>
  <c r="AT90" i="6"/>
  <c r="AS90" i="6"/>
  <c r="AR90" i="6"/>
  <c r="AQ90" i="6"/>
  <c r="AP90" i="6"/>
  <c r="AO90" i="6"/>
  <c r="AN90" i="6"/>
  <c r="AM90" i="6"/>
  <c r="AL90" i="6"/>
  <c r="AK90" i="6"/>
  <c r="AJ90" i="6"/>
  <c r="AI90" i="6"/>
  <c r="AH90" i="6"/>
  <c r="AG90" i="6"/>
  <c r="AF90" i="6"/>
  <c r="AE90" i="6"/>
  <c r="AD90" i="6"/>
  <c r="AC90" i="6"/>
  <c r="AB90" i="6"/>
  <c r="AA90" i="6"/>
  <c r="Z90" i="6"/>
  <c r="Y90" i="6"/>
  <c r="X90" i="6"/>
  <c r="W90" i="6"/>
  <c r="V90" i="6"/>
  <c r="U90" i="6"/>
  <c r="T90" i="6"/>
  <c r="S90" i="6"/>
  <c r="R90" i="6"/>
  <c r="Q90" i="6"/>
  <c r="P90" i="6"/>
  <c r="O90" i="6"/>
  <c r="N90" i="6"/>
  <c r="M90" i="6"/>
  <c r="L90" i="6"/>
  <c r="K90" i="6"/>
  <c r="J90" i="6"/>
  <c r="I90" i="6"/>
  <c r="H90" i="6"/>
  <c r="G90" i="6"/>
  <c r="DI89" i="6"/>
  <c r="DH89" i="6"/>
  <c r="DG89" i="6"/>
  <c r="DF89" i="6"/>
  <c r="DE89" i="6"/>
  <c r="DD89" i="6"/>
  <c r="DC89" i="6"/>
  <c r="DB89" i="6"/>
  <c r="DA89" i="6"/>
  <c r="CZ89" i="6"/>
  <c r="CY89" i="6"/>
  <c r="CX89" i="6"/>
  <c r="CW89" i="6"/>
  <c r="CV89" i="6"/>
  <c r="CU89" i="6"/>
  <c r="CT89" i="6"/>
  <c r="CS89" i="6"/>
  <c r="CR89" i="6"/>
  <c r="CQ89" i="6"/>
  <c r="CP89" i="6"/>
  <c r="CO89" i="6"/>
  <c r="CN89" i="6"/>
  <c r="CM89" i="6"/>
  <c r="CL89" i="6"/>
  <c r="CK89" i="6"/>
  <c r="CJ89" i="6"/>
  <c r="CI89" i="6"/>
  <c r="CH89" i="6"/>
  <c r="CG89" i="6"/>
  <c r="CF89" i="6"/>
  <c r="CE89" i="6"/>
  <c r="CD89" i="6"/>
  <c r="CC89" i="6"/>
  <c r="CB89" i="6"/>
  <c r="CA89" i="6"/>
  <c r="BZ89" i="6"/>
  <c r="BY89" i="6"/>
  <c r="BX89" i="6"/>
  <c r="BW89" i="6"/>
  <c r="BV89" i="6"/>
  <c r="BU89" i="6"/>
  <c r="BT89" i="6"/>
  <c r="BS89" i="6"/>
  <c r="BR89" i="6"/>
  <c r="BQ89" i="6"/>
  <c r="BP89" i="6"/>
  <c r="BO89" i="6"/>
  <c r="BN89" i="6"/>
  <c r="BM89" i="6"/>
  <c r="BL89" i="6"/>
  <c r="BK89" i="6"/>
  <c r="BJ89" i="6"/>
  <c r="BI89" i="6"/>
  <c r="BH89" i="6"/>
  <c r="BG89" i="6"/>
  <c r="BF89" i="6"/>
  <c r="BE89" i="6"/>
  <c r="BD89" i="6"/>
  <c r="BC89" i="6"/>
  <c r="BB89" i="6"/>
  <c r="BA89" i="6"/>
  <c r="AZ89" i="6"/>
  <c r="AY89" i="6"/>
  <c r="AX89"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W89" i="6"/>
  <c r="V89" i="6"/>
  <c r="U89" i="6"/>
  <c r="T89" i="6"/>
  <c r="S89" i="6"/>
  <c r="R89" i="6"/>
  <c r="Q89" i="6"/>
  <c r="P89" i="6"/>
  <c r="O89" i="6"/>
  <c r="N89" i="6"/>
  <c r="M89" i="6"/>
  <c r="L89" i="6"/>
  <c r="K89" i="6"/>
  <c r="J89" i="6"/>
  <c r="I89" i="6"/>
  <c r="H89" i="6"/>
  <c r="G89" i="6"/>
  <c r="DI88" i="6"/>
  <c r="DH88" i="6"/>
  <c r="DG88" i="6"/>
  <c r="DF88" i="6"/>
  <c r="DE88" i="6"/>
  <c r="DD88" i="6"/>
  <c r="DC88" i="6"/>
  <c r="DB88" i="6"/>
  <c r="DA88" i="6"/>
  <c r="CZ88" i="6"/>
  <c r="CY88" i="6"/>
  <c r="CX88" i="6"/>
  <c r="CW88" i="6"/>
  <c r="CV88" i="6"/>
  <c r="CU88" i="6"/>
  <c r="CT88" i="6"/>
  <c r="CS88" i="6"/>
  <c r="CR88" i="6"/>
  <c r="CQ88" i="6"/>
  <c r="CP88" i="6"/>
  <c r="CO88" i="6"/>
  <c r="CN88" i="6"/>
  <c r="CM88" i="6"/>
  <c r="CL88" i="6"/>
  <c r="CK88" i="6"/>
  <c r="CJ88" i="6"/>
  <c r="CI88" i="6"/>
  <c r="CH88" i="6"/>
  <c r="CG88" i="6"/>
  <c r="CF88" i="6"/>
  <c r="CE88" i="6"/>
  <c r="CD88" i="6"/>
  <c r="CC88" i="6"/>
  <c r="CB88" i="6"/>
  <c r="CA88" i="6"/>
  <c r="BZ88" i="6"/>
  <c r="BY88" i="6"/>
  <c r="BX88" i="6"/>
  <c r="BW88" i="6"/>
  <c r="BV88" i="6"/>
  <c r="BU88" i="6"/>
  <c r="BT88" i="6"/>
  <c r="BS88" i="6"/>
  <c r="BR88" i="6"/>
  <c r="BQ88" i="6"/>
  <c r="BP88" i="6"/>
  <c r="BO88" i="6"/>
  <c r="BN88" i="6"/>
  <c r="BM88" i="6"/>
  <c r="BL88" i="6"/>
  <c r="BK88" i="6"/>
  <c r="BJ88" i="6"/>
  <c r="BI88" i="6"/>
  <c r="BH88" i="6"/>
  <c r="BG88" i="6"/>
  <c r="BF88" i="6"/>
  <c r="BE88" i="6"/>
  <c r="BD88" i="6"/>
  <c r="BC88" i="6"/>
  <c r="BB88" i="6"/>
  <c r="BA88" i="6"/>
  <c r="AZ88" i="6"/>
  <c r="AY88" i="6"/>
  <c r="AX88" i="6"/>
  <c r="AW88" i="6"/>
  <c r="AV88" i="6"/>
  <c r="AU88" i="6"/>
  <c r="AT88" i="6"/>
  <c r="AS88" i="6"/>
  <c r="AR88" i="6"/>
  <c r="AQ88" i="6"/>
  <c r="AP88" i="6"/>
  <c r="AO88" i="6"/>
  <c r="AN88" i="6"/>
  <c r="AM88" i="6"/>
  <c r="AL88" i="6"/>
  <c r="AK88" i="6"/>
  <c r="AJ88" i="6"/>
  <c r="AI88" i="6"/>
  <c r="AH88" i="6"/>
  <c r="AG88" i="6"/>
  <c r="AF88" i="6"/>
  <c r="AE88" i="6"/>
  <c r="AD88" i="6"/>
  <c r="AC88" i="6"/>
  <c r="AB88" i="6"/>
  <c r="AA88" i="6"/>
  <c r="Z88" i="6"/>
  <c r="Y88" i="6"/>
  <c r="X88" i="6"/>
  <c r="W88" i="6"/>
  <c r="V88" i="6"/>
  <c r="U88" i="6"/>
  <c r="T88" i="6"/>
  <c r="S88" i="6"/>
  <c r="R88" i="6"/>
  <c r="Q88" i="6"/>
  <c r="P88" i="6"/>
  <c r="O88" i="6"/>
  <c r="N88" i="6"/>
  <c r="M88" i="6"/>
  <c r="L88" i="6"/>
  <c r="K88" i="6"/>
  <c r="J88" i="6"/>
  <c r="I88" i="6"/>
  <c r="H88" i="6"/>
  <c r="G88" i="6"/>
  <c r="DI87" i="6"/>
  <c r="DH87" i="6"/>
  <c r="DG87" i="6"/>
  <c r="DF87" i="6"/>
  <c r="DE87" i="6"/>
  <c r="DD87" i="6"/>
  <c r="DC87" i="6"/>
  <c r="DB87" i="6"/>
  <c r="DA87" i="6"/>
  <c r="CZ87" i="6"/>
  <c r="CY87" i="6"/>
  <c r="CX87" i="6"/>
  <c r="CW87" i="6"/>
  <c r="CV87" i="6"/>
  <c r="CU87" i="6"/>
  <c r="CT87" i="6"/>
  <c r="CS87" i="6"/>
  <c r="CR87" i="6"/>
  <c r="CQ87" i="6"/>
  <c r="CP87" i="6"/>
  <c r="CO87" i="6"/>
  <c r="CN87" i="6"/>
  <c r="CM87" i="6"/>
  <c r="CL87" i="6"/>
  <c r="CK87" i="6"/>
  <c r="CJ87" i="6"/>
  <c r="CI87" i="6"/>
  <c r="CH87" i="6"/>
  <c r="CG87" i="6"/>
  <c r="CF87" i="6"/>
  <c r="CE87" i="6"/>
  <c r="CD87" i="6"/>
  <c r="CC87" i="6"/>
  <c r="CB87" i="6"/>
  <c r="CA87" i="6"/>
  <c r="BZ87" i="6"/>
  <c r="BY87" i="6"/>
  <c r="BX87" i="6"/>
  <c r="BW87" i="6"/>
  <c r="BV87" i="6"/>
  <c r="BU87" i="6"/>
  <c r="BT87" i="6"/>
  <c r="BS87" i="6"/>
  <c r="BR87" i="6"/>
  <c r="BQ87" i="6"/>
  <c r="BP87" i="6"/>
  <c r="BO87" i="6"/>
  <c r="BN87" i="6"/>
  <c r="BM87" i="6"/>
  <c r="BL87" i="6"/>
  <c r="BK87" i="6"/>
  <c r="BJ87" i="6"/>
  <c r="BI87" i="6"/>
  <c r="BH87" i="6"/>
  <c r="BG87" i="6"/>
  <c r="BF87" i="6"/>
  <c r="BE87" i="6"/>
  <c r="BD87" i="6"/>
  <c r="BC87" i="6"/>
  <c r="BB87" i="6"/>
  <c r="BA87" i="6"/>
  <c r="AZ87" i="6"/>
  <c r="AY87" i="6"/>
  <c r="AX87" i="6"/>
  <c r="AW87" i="6"/>
  <c r="AV87" i="6"/>
  <c r="AU87" i="6"/>
  <c r="AT87" i="6"/>
  <c r="AS87" i="6"/>
  <c r="AR87" i="6"/>
  <c r="AQ87" i="6"/>
  <c r="AP87" i="6"/>
  <c r="AO87" i="6"/>
  <c r="AN87" i="6"/>
  <c r="AM87" i="6"/>
  <c r="AL87" i="6"/>
  <c r="AK87" i="6"/>
  <c r="AJ87" i="6"/>
  <c r="AI87" i="6"/>
  <c r="AH87" i="6"/>
  <c r="AG87" i="6"/>
  <c r="AF87" i="6"/>
  <c r="AE87" i="6"/>
  <c r="AD87" i="6"/>
  <c r="AC87" i="6"/>
  <c r="AB87" i="6"/>
  <c r="AA87" i="6"/>
  <c r="Z87" i="6"/>
  <c r="Y87" i="6"/>
  <c r="X87" i="6"/>
  <c r="W87" i="6"/>
  <c r="V87" i="6"/>
  <c r="U87" i="6"/>
  <c r="T87" i="6"/>
  <c r="S87" i="6"/>
  <c r="R87" i="6"/>
  <c r="Q87" i="6"/>
  <c r="P87" i="6"/>
  <c r="O87" i="6"/>
  <c r="N87" i="6"/>
  <c r="M87" i="6"/>
  <c r="L87" i="6"/>
  <c r="K87" i="6"/>
  <c r="J87" i="6"/>
  <c r="I87" i="6"/>
  <c r="H87" i="6"/>
  <c r="G87" i="6"/>
  <c r="DI86" i="6"/>
  <c r="DH86" i="6"/>
  <c r="DG86" i="6"/>
  <c r="DF86" i="6"/>
  <c r="DE86" i="6"/>
  <c r="DD86" i="6"/>
  <c r="DC86" i="6"/>
  <c r="DB86" i="6"/>
  <c r="DA86" i="6"/>
  <c r="CZ86" i="6"/>
  <c r="CY86" i="6"/>
  <c r="CX86" i="6"/>
  <c r="CW86" i="6"/>
  <c r="CV86" i="6"/>
  <c r="CU86" i="6"/>
  <c r="CT86" i="6"/>
  <c r="CS86" i="6"/>
  <c r="CR86" i="6"/>
  <c r="CQ86" i="6"/>
  <c r="CP86" i="6"/>
  <c r="CO86" i="6"/>
  <c r="CN86" i="6"/>
  <c r="CM86" i="6"/>
  <c r="CL86" i="6"/>
  <c r="CK86" i="6"/>
  <c r="CJ86" i="6"/>
  <c r="CI86" i="6"/>
  <c r="CH86" i="6"/>
  <c r="CG86" i="6"/>
  <c r="CF86" i="6"/>
  <c r="CE86" i="6"/>
  <c r="CD86" i="6"/>
  <c r="CC86" i="6"/>
  <c r="CB86" i="6"/>
  <c r="CA86" i="6"/>
  <c r="BZ86" i="6"/>
  <c r="BY86" i="6"/>
  <c r="BX86" i="6"/>
  <c r="BW86" i="6"/>
  <c r="BV86" i="6"/>
  <c r="BU86" i="6"/>
  <c r="BT86" i="6"/>
  <c r="BS86" i="6"/>
  <c r="BR86" i="6"/>
  <c r="BQ86" i="6"/>
  <c r="BP86" i="6"/>
  <c r="BO86" i="6"/>
  <c r="BN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X86" i="6"/>
  <c r="W86" i="6"/>
  <c r="V86" i="6"/>
  <c r="U86" i="6"/>
  <c r="T86" i="6"/>
  <c r="S86" i="6"/>
  <c r="R86" i="6"/>
  <c r="Q86" i="6"/>
  <c r="P86" i="6"/>
  <c r="O86" i="6"/>
  <c r="N86" i="6"/>
  <c r="M86" i="6"/>
  <c r="L86" i="6"/>
  <c r="K86" i="6"/>
  <c r="J86" i="6"/>
  <c r="I86" i="6"/>
  <c r="H86" i="6"/>
  <c r="G86" i="6"/>
  <c r="DI85" i="6"/>
  <c r="DH85" i="6"/>
  <c r="DG85" i="6"/>
  <c r="DF85" i="6"/>
  <c r="DE85" i="6"/>
  <c r="DD85" i="6"/>
  <c r="DC85" i="6"/>
  <c r="DB85" i="6"/>
  <c r="DA85" i="6"/>
  <c r="CZ85" i="6"/>
  <c r="CY85" i="6"/>
  <c r="CX85" i="6"/>
  <c r="CW85" i="6"/>
  <c r="CV85" i="6"/>
  <c r="CU85" i="6"/>
  <c r="CT85" i="6"/>
  <c r="CS85" i="6"/>
  <c r="CR85" i="6"/>
  <c r="CQ85" i="6"/>
  <c r="CP85" i="6"/>
  <c r="CO85" i="6"/>
  <c r="CN85" i="6"/>
  <c r="CM85" i="6"/>
  <c r="CL85" i="6"/>
  <c r="CK85" i="6"/>
  <c r="CJ85" i="6"/>
  <c r="CI85" i="6"/>
  <c r="CH85" i="6"/>
  <c r="CG85" i="6"/>
  <c r="CF85" i="6"/>
  <c r="CE85" i="6"/>
  <c r="CD85" i="6"/>
  <c r="CC85" i="6"/>
  <c r="CB85" i="6"/>
  <c r="CA85" i="6"/>
  <c r="BZ85" i="6"/>
  <c r="BY85" i="6"/>
  <c r="BX85" i="6"/>
  <c r="BW85" i="6"/>
  <c r="BV85" i="6"/>
  <c r="BU85" i="6"/>
  <c r="BT85" i="6"/>
  <c r="BS85" i="6"/>
  <c r="BR85" i="6"/>
  <c r="BQ85" i="6"/>
  <c r="BP85" i="6"/>
  <c r="BO85" i="6"/>
  <c r="BN85" i="6"/>
  <c r="BM85" i="6"/>
  <c r="BL85" i="6"/>
  <c r="BK85" i="6"/>
  <c r="BJ85" i="6"/>
  <c r="BI85" i="6"/>
  <c r="BH85" i="6"/>
  <c r="BG85" i="6"/>
  <c r="BF85" i="6"/>
  <c r="BE85" i="6"/>
  <c r="BD85" i="6"/>
  <c r="BC85" i="6"/>
  <c r="BB85" i="6"/>
  <c r="BA85" i="6"/>
  <c r="AZ85" i="6"/>
  <c r="AY85" i="6"/>
  <c r="AX85" i="6"/>
  <c r="AW85" i="6"/>
  <c r="AV85" i="6"/>
  <c r="AU85" i="6"/>
  <c r="AT85" i="6"/>
  <c r="AS85" i="6"/>
  <c r="AR85" i="6"/>
  <c r="AQ85" i="6"/>
  <c r="AP85" i="6"/>
  <c r="AO85" i="6"/>
  <c r="AN85" i="6"/>
  <c r="AM85" i="6"/>
  <c r="AL85" i="6"/>
  <c r="AK85" i="6"/>
  <c r="AJ85" i="6"/>
  <c r="AI85" i="6"/>
  <c r="AH85" i="6"/>
  <c r="AG85" i="6"/>
  <c r="AF85" i="6"/>
  <c r="AE85" i="6"/>
  <c r="AD85" i="6"/>
  <c r="AC85" i="6"/>
  <c r="AB85" i="6"/>
  <c r="AA85" i="6"/>
  <c r="Z85" i="6"/>
  <c r="Y85" i="6"/>
  <c r="X85" i="6"/>
  <c r="W85" i="6"/>
  <c r="V85" i="6"/>
  <c r="U85" i="6"/>
  <c r="T85" i="6"/>
  <c r="S85" i="6"/>
  <c r="R85" i="6"/>
  <c r="Q85" i="6"/>
  <c r="P85" i="6"/>
  <c r="O85" i="6"/>
  <c r="N85" i="6"/>
  <c r="M85" i="6"/>
  <c r="L85" i="6"/>
  <c r="K85" i="6"/>
  <c r="J85" i="6"/>
  <c r="I85" i="6"/>
  <c r="H85" i="6"/>
  <c r="G85" i="6"/>
  <c r="DI84" i="6"/>
  <c r="DH84" i="6"/>
  <c r="DG84" i="6"/>
  <c r="DF84" i="6"/>
  <c r="DE84" i="6"/>
  <c r="DD84" i="6"/>
  <c r="DC84" i="6"/>
  <c r="DB84" i="6"/>
  <c r="DA84" i="6"/>
  <c r="CZ84" i="6"/>
  <c r="CY84" i="6"/>
  <c r="CX84" i="6"/>
  <c r="CW84" i="6"/>
  <c r="CV84" i="6"/>
  <c r="CU84" i="6"/>
  <c r="CT84" i="6"/>
  <c r="CS84" i="6"/>
  <c r="CR84" i="6"/>
  <c r="CQ84" i="6"/>
  <c r="CP84" i="6"/>
  <c r="CO84" i="6"/>
  <c r="CN84" i="6"/>
  <c r="CM84" i="6"/>
  <c r="CL84" i="6"/>
  <c r="CK84" i="6"/>
  <c r="CJ84" i="6"/>
  <c r="CI84" i="6"/>
  <c r="CH84" i="6"/>
  <c r="CG84" i="6"/>
  <c r="CF84" i="6"/>
  <c r="CE84" i="6"/>
  <c r="CD84" i="6"/>
  <c r="CC84" i="6"/>
  <c r="CB84" i="6"/>
  <c r="CA84" i="6"/>
  <c r="BZ84" i="6"/>
  <c r="BY84" i="6"/>
  <c r="BX84" i="6"/>
  <c r="BW84" i="6"/>
  <c r="BV84" i="6"/>
  <c r="BU84" i="6"/>
  <c r="BT84" i="6"/>
  <c r="BS84" i="6"/>
  <c r="BR84" i="6"/>
  <c r="BQ84" i="6"/>
  <c r="BP84" i="6"/>
  <c r="BO84" i="6"/>
  <c r="BN84" i="6"/>
  <c r="BM84" i="6"/>
  <c r="BL84" i="6"/>
  <c r="BK84" i="6"/>
  <c r="BJ84" i="6"/>
  <c r="BI84" i="6"/>
  <c r="BH84" i="6"/>
  <c r="BG84" i="6"/>
  <c r="BF84" i="6"/>
  <c r="BE84" i="6"/>
  <c r="BD84" i="6"/>
  <c r="BC84" i="6"/>
  <c r="BB84" i="6"/>
  <c r="BA84" i="6"/>
  <c r="AZ84" i="6"/>
  <c r="AY84" i="6"/>
  <c r="AX84" i="6"/>
  <c r="AW84" i="6"/>
  <c r="AV84" i="6"/>
  <c r="AU84" i="6"/>
  <c r="AT84" i="6"/>
  <c r="AS84" i="6"/>
  <c r="AR84" i="6"/>
  <c r="AQ84" i="6"/>
  <c r="AP84" i="6"/>
  <c r="AO84" i="6"/>
  <c r="AN84" i="6"/>
  <c r="AM84" i="6"/>
  <c r="AL84" i="6"/>
  <c r="AK84" i="6"/>
  <c r="AJ84" i="6"/>
  <c r="AI84" i="6"/>
  <c r="AH84" i="6"/>
  <c r="AG84" i="6"/>
  <c r="AF84" i="6"/>
  <c r="AE84" i="6"/>
  <c r="AD84" i="6"/>
  <c r="AC84" i="6"/>
  <c r="AB84" i="6"/>
  <c r="AA84" i="6"/>
  <c r="Z84" i="6"/>
  <c r="Y84" i="6"/>
  <c r="X84" i="6"/>
  <c r="W84" i="6"/>
  <c r="V84" i="6"/>
  <c r="U84" i="6"/>
  <c r="T84" i="6"/>
  <c r="S84" i="6"/>
  <c r="R84" i="6"/>
  <c r="Q84" i="6"/>
  <c r="P84" i="6"/>
  <c r="O84" i="6"/>
  <c r="N84" i="6"/>
  <c r="M84" i="6"/>
  <c r="L84" i="6"/>
  <c r="K84" i="6"/>
  <c r="J84" i="6"/>
  <c r="I84" i="6"/>
  <c r="H84" i="6"/>
  <c r="G84" i="6"/>
  <c r="DI83" i="6"/>
  <c r="DH83" i="6"/>
  <c r="DG83" i="6"/>
  <c r="DF83" i="6"/>
  <c r="DE83" i="6"/>
  <c r="DD83" i="6"/>
  <c r="DC83" i="6"/>
  <c r="DB83" i="6"/>
  <c r="DA83" i="6"/>
  <c r="CZ83" i="6"/>
  <c r="CY83" i="6"/>
  <c r="CX83" i="6"/>
  <c r="CW83" i="6"/>
  <c r="CV83" i="6"/>
  <c r="CU83" i="6"/>
  <c r="CT83" i="6"/>
  <c r="CS83" i="6"/>
  <c r="CR83" i="6"/>
  <c r="CQ83" i="6"/>
  <c r="CP83" i="6"/>
  <c r="CO83" i="6"/>
  <c r="CN83" i="6"/>
  <c r="CM83" i="6"/>
  <c r="CL83" i="6"/>
  <c r="CK83" i="6"/>
  <c r="CJ83" i="6"/>
  <c r="CI83" i="6"/>
  <c r="CH83" i="6"/>
  <c r="CG83" i="6"/>
  <c r="CF83" i="6"/>
  <c r="CE83" i="6"/>
  <c r="CD83" i="6"/>
  <c r="CC83" i="6"/>
  <c r="CB83" i="6"/>
  <c r="CA83" i="6"/>
  <c r="BZ83" i="6"/>
  <c r="BY83" i="6"/>
  <c r="BX83" i="6"/>
  <c r="BW83" i="6"/>
  <c r="BV83" i="6"/>
  <c r="BU83" i="6"/>
  <c r="BT83" i="6"/>
  <c r="BS83" i="6"/>
  <c r="BR83" i="6"/>
  <c r="BQ83" i="6"/>
  <c r="BP83" i="6"/>
  <c r="BO83" i="6"/>
  <c r="BN83" i="6"/>
  <c r="BM83" i="6"/>
  <c r="BL83" i="6"/>
  <c r="BK83" i="6"/>
  <c r="BJ83" i="6"/>
  <c r="BI83" i="6"/>
  <c r="BH83" i="6"/>
  <c r="BG83" i="6"/>
  <c r="BF83" i="6"/>
  <c r="BE83" i="6"/>
  <c r="BD83" i="6"/>
  <c r="BC83" i="6"/>
  <c r="BB83" i="6"/>
  <c r="BA83" i="6"/>
  <c r="AZ83" i="6"/>
  <c r="AY83" i="6"/>
  <c r="AX83" i="6"/>
  <c r="AW83" i="6"/>
  <c r="AV83" i="6"/>
  <c r="AU83" i="6"/>
  <c r="AT83" i="6"/>
  <c r="AS83" i="6"/>
  <c r="AR83" i="6"/>
  <c r="AQ83" i="6"/>
  <c r="AP83" i="6"/>
  <c r="AO83" i="6"/>
  <c r="AN83" i="6"/>
  <c r="AM83" i="6"/>
  <c r="AL83" i="6"/>
  <c r="AK83" i="6"/>
  <c r="AJ83" i="6"/>
  <c r="AI83" i="6"/>
  <c r="AH83" i="6"/>
  <c r="AG83" i="6"/>
  <c r="AF83" i="6"/>
  <c r="AE83" i="6"/>
  <c r="AD83" i="6"/>
  <c r="AC83" i="6"/>
  <c r="AB83" i="6"/>
  <c r="AA83" i="6"/>
  <c r="Z83" i="6"/>
  <c r="Y83" i="6"/>
  <c r="X83" i="6"/>
  <c r="W83" i="6"/>
  <c r="V83" i="6"/>
  <c r="U83" i="6"/>
  <c r="T83" i="6"/>
  <c r="S83" i="6"/>
  <c r="R83" i="6"/>
  <c r="Q83" i="6"/>
  <c r="P83" i="6"/>
  <c r="O83" i="6"/>
  <c r="N83" i="6"/>
  <c r="M83" i="6"/>
  <c r="L83" i="6"/>
  <c r="K83" i="6"/>
  <c r="J83" i="6"/>
  <c r="I83" i="6"/>
  <c r="H83" i="6"/>
  <c r="G83" i="6"/>
  <c r="DI82" i="6"/>
  <c r="DH82" i="6"/>
  <c r="DG82" i="6"/>
  <c r="DF82" i="6"/>
  <c r="DE82" i="6"/>
  <c r="DD82" i="6"/>
  <c r="DC82" i="6"/>
  <c r="DB82" i="6"/>
  <c r="DA82" i="6"/>
  <c r="CZ82" i="6"/>
  <c r="CY82" i="6"/>
  <c r="CX82" i="6"/>
  <c r="CW82" i="6"/>
  <c r="CV82" i="6"/>
  <c r="CU82" i="6"/>
  <c r="CT82" i="6"/>
  <c r="CS82" i="6"/>
  <c r="CR82" i="6"/>
  <c r="CQ82" i="6"/>
  <c r="CP82" i="6"/>
  <c r="CO82" i="6"/>
  <c r="CN82" i="6"/>
  <c r="CM82" i="6"/>
  <c r="CL82" i="6"/>
  <c r="CK82" i="6"/>
  <c r="CJ82" i="6"/>
  <c r="CI82" i="6"/>
  <c r="CH82" i="6"/>
  <c r="CG82" i="6"/>
  <c r="CF82" i="6"/>
  <c r="CE82" i="6"/>
  <c r="CD82" i="6"/>
  <c r="CC82" i="6"/>
  <c r="CB82" i="6"/>
  <c r="CA82" i="6"/>
  <c r="BZ82" i="6"/>
  <c r="BY82" i="6"/>
  <c r="BX82" i="6"/>
  <c r="BW82" i="6"/>
  <c r="BV82" i="6"/>
  <c r="BU82" i="6"/>
  <c r="BT82" i="6"/>
  <c r="BS82" i="6"/>
  <c r="BR82" i="6"/>
  <c r="BQ82" i="6"/>
  <c r="BP82" i="6"/>
  <c r="BO82" i="6"/>
  <c r="BN82" i="6"/>
  <c r="BM82" i="6"/>
  <c r="BL82" i="6"/>
  <c r="BK82" i="6"/>
  <c r="BJ82" i="6"/>
  <c r="BI82" i="6"/>
  <c r="BH82" i="6"/>
  <c r="BG82" i="6"/>
  <c r="BF82" i="6"/>
  <c r="BE82" i="6"/>
  <c r="BD82" i="6"/>
  <c r="BC82" i="6"/>
  <c r="BB82" i="6"/>
  <c r="BA82" i="6"/>
  <c r="AZ82" i="6"/>
  <c r="AY82" i="6"/>
  <c r="AX82" i="6"/>
  <c r="AW82" i="6"/>
  <c r="AV82" i="6"/>
  <c r="AU82" i="6"/>
  <c r="AT82" i="6"/>
  <c r="AS82" i="6"/>
  <c r="AR82" i="6"/>
  <c r="AQ82" i="6"/>
  <c r="AP82" i="6"/>
  <c r="AO82" i="6"/>
  <c r="AN82" i="6"/>
  <c r="AM82" i="6"/>
  <c r="AL82" i="6"/>
  <c r="AK82" i="6"/>
  <c r="AJ82" i="6"/>
  <c r="AI82" i="6"/>
  <c r="AH82" i="6"/>
  <c r="AG82" i="6"/>
  <c r="AF82" i="6"/>
  <c r="AE82" i="6"/>
  <c r="AD82" i="6"/>
  <c r="AC82" i="6"/>
  <c r="AB82" i="6"/>
  <c r="AA82" i="6"/>
  <c r="Z82" i="6"/>
  <c r="Y82" i="6"/>
  <c r="X82" i="6"/>
  <c r="W82" i="6"/>
  <c r="V82" i="6"/>
  <c r="U82" i="6"/>
  <c r="T82" i="6"/>
  <c r="S82" i="6"/>
  <c r="R82" i="6"/>
  <c r="Q82" i="6"/>
  <c r="P82" i="6"/>
  <c r="O82" i="6"/>
  <c r="N82" i="6"/>
  <c r="M82" i="6"/>
  <c r="L82" i="6"/>
  <c r="K82" i="6"/>
  <c r="J82" i="6"/>
  <c r="I82" i="6"/>
  <c r="H82" i="6"/>
  <c r="G82" i="6"/>
  <c r="DI81" i="6"/>
  <c r="DH81" i="6"/>
  <c r="DG81" i="6"/>
  <c r="DF81" i="6"/>
  <c r="DE81" i="6"/>
  <c r="DD81" i="6"/>
  <c r="DC81" i="6"/>
  <c r="DB81" i="6"/>
  <c r="DA81" i="6"/>
  <c r="CZ81" i="6"/>
  <c r="CY81" i="6"/>
  <c r="CX81" i="6"/>
  <c r="CW81" i="6"/>
  <c r="CV81" i="6"/>
  <c r="CU81" i="6"/>
  <c r="CT81" i="6"/>
  <c r="CS81" i="6"/>
  <c r="CR81" i="6"/>
  <c r="CQ81" i="6"/>
  <c r="CP81" i="6"/>
  <c r="CO81" i="6"/>
  <c r="CN81" i="6"/>
  <c r="CM81" i="6"/>
  <c r="CL81" i="6"/>
  <c r="CK81" i="6"/>
  <c r="CJ81" i="6"/>
  <c r="CI81" i="6"/>
  <c r="CH81" i="6"/>
  <c r="CG81" i="6"/>
  <c r="CF81" i="6"/>
  <c r="CE81" i="6"/>
  <c r="CD81" i="6"/>
  <c r="CC81" i="6"/>
  <c r="CB81" i="6"/>
  <c r="CA81" i="6"/>
  <c r="BZ81" i="6"/>
  <c r="BY81" i="6"/>
  <c r="BX81" i="6"/>
  <c r="BW81" i="6"/>
  <c r="BV81" i="6"/>
  <c r="BU81" i="6"/>
  <c r="BT81" i="6"/>
  <c r="BS81" i="6"/>
  <c r="BR81" i="6"/>
  <c r="BQ81" i="6"/>
  <c r="BP81" i="6"/>
  <c r="BO81" i="6"/>
  <c r="BN81" i="6"/>
  <c r="BM81" i="6"/>
  <c r="BL81" i="6"/>
  <c r="BK81" i="6"/>
  <c r="BJ81" i="6"/>
  <c r="BI81" i="6"/>
  <c r="BH81" i="6"/>
  <c r="BG81" i="6"/>
  <c r="BF81" i="6"/>
  <c r="BE81" i="6"/>
  <c r="BD81" i="6"/>
  <c r="BC81" i="6"/>
  <c r="BB81" i="6"/>
  <c r="BA81" i="6"/>
  <c r="AZ81" i="6"/>
  <c r="AY81" i="6"/>
  <c r="AX81" i="6"/>
  <c r="AW81" i="6"/>
  <c r="AV81" i="6"/>
  <c r="AU81" i="6"/>
  <c r="AT81" i="6"/>
  <c r="AS81" i="6"/>
  <c r="AR81" i="6"/>
  <c r="AQ81" i="6"/>
  <c r="AP81" i="6"/>
  <c r="AO81" i="6"/>
  <c r="AN81" i="6"/>
  <c r="AM81" i="6"/>
  <c r="AL81" i="6"/>
  <c r="AK81" i="6"/>
  <c r="AJ81" i="6"/>
  <c r="AI81" i="6"/>
  <c r="AH81" i="6"/>
  <c r="AG81" i="6"/>
  <c r="AF81" i="6"/>
  <c r="AE81" i="6"/>
  <c r="AD81" i="6"/>
  <c r="AC81" i="6"/>
  <c r="AB81" i="6"/>
  <c r="AA81" i="6"/>
  <c r="Z81" i="6"/>
  <c r="Y81" i="6"/>
  <c r="X81" i="6"/>
  <c r="W81" i="6"/>
  <c r="V81" i="6"/>
  <c r="U81" i="6"/>
  <c r="T81" i="6"/>
  <c r="S81" i="6"/>
  <c r="R81" i="6"/>
  <c r="Q81" i="6"/>
  <c r="P81" i="6"/>
  <c r="O81" i="6"/>
  <c r="N81" i="6"/>
  <c r="M81" i="6"/>
  <c r="L81" i="6"/>
  <c r="K81" i="6"/>
  <c r="J81" i="6"/>
  <c r="I81" i="6"/>
  <c r="H81" i="6"/>
  <c r="G81" i="6"/>
  <c r="DI80" i="6"/>
  <c r="DH80" i="6"/>
  <c r="DG80" i="6"/>
  <c r="DF80" i="6"/>
  <c r="DE80" i="6"/>
  <c r="DD80" i="6"/>
  <c r="DC80" i="6"/>
  <c r="DB80" i="6"/>
  <c r="DA80" i="6"/>
  <c r="CZ80" i="6"/>
  <c r="CY80" i="6"/>
  <c r="CX80" i="6"/>
  <c r="CW80" i="6"/>
  <c r="CV80" i="6"/>
  <c r="CU80" i="6"/>
  <c r="CT80" i="6"/>
  <c r="CS80" i="6"/>
  <c r="CR80" i="6"/>
  <c r="CQ80" i="6"/>
  <c r="CP80" i="6"/>
  <c r="CO80" i="6"/>
  <c r="CN80" i="6"/>
  <c r="CM80" i="6"/>
  <c r="CL80" i="6"/>
  <c r="CK80" i="6"/>
  <c r="CJ80" i="6"/>
  <c r="CI80" i="6"/>
  <c r="CH80" i="6"/>
  <c r="CG80" i="6"/>
  <c r="CF80" i="6"/>
  <c r="CE80" i="6"/>
  <c r="CD80" i="6"/>
  <c r="CC80" i="6"/>
  <c r="CB80" i="6"/>
  <c r="CA80" i="6"/>
  <c r="BZ80" i="6"/>
  <c r="BY80" i="6"/>
  <c r="BX80" i="6"/>
  <c r="BW80" i="6"/>
  <c r="BV80" i="6"/>
  <c r="BU80" i="6"/>
  <c r="BT80" i="6"/>
  <c r="BS80" i="6"/>
  <c r="BR80" i="6"/>
  <c r="BQ80" i="6"/>
  <c r="BP80" i="6"/>
  <c r="BO80" i="6"/>
  <c r="BN80" i="6"/>
  <c r="BM80" i="6"/>
  <c r="BL80" i="6"/>
  <c r="BK80" i="6"/>
  <c r="BJ80" i="6"/>
  <c r="BI80" i="6"/>
  <c r="BH80" i="6"/>
  <c r="BG80" i="6"/>
  <c r="BF80" i="6"/>
  <c r="BE80" i="6"/>
  <c r="BD80" i="6"/>
  <c r="BC80" i="6"/>
  <c r="BB80" i="6"/>
  <c r="BA80" i="6"/>
  <c r="AZ80" i="6"/>
  <c r="AY80" i="6"/>
  <c r="AX80" i="6"/>
  <c r="AW80" i="6"/>
  <c r="AV80" i="6"/>
  <c r="AU80" i="6"/>
  <c r="AT80" i="6"/>
  <c r="AS80" i="6"/>
  <c r="AR80" i="6"/>
  <c r="AQ80" i="6"/>
  <c r="AP80" i="6"/>
  <c r="AO80" i="6"/>
  <c r="AN80" i="6"/>
  <c r="AM80" i="6"/>
  <c r="AL80" i="6"/>
  <c r="AK80" i="6"/>
  <c r="AJ80" i="6"/>
  <c r="AI80" i="6"/>
  <c r="AH80" i="6"/>
  <c r="AG80" i="6"/>
  <c r="AF80" i="6"/>
  <c r="AE80" i="6"/>
  <c r="AD80" i="6"/>
  <c r="AC80" i="6"/>
  <c r="AB80" i="6"/>
  <c r="AA80" i="6"/>
  <c r="Z80" i="6"/>
  <c r="Y80" i="6"/>
  <c r="X80" i="6"/>
  <c r="W80" i="6"/>
  <c r="V80" i="6"/>
  <c r="U80" i="6"/>
  <c r="T80" i="6"/>
  <c r="S80" i="6"/>
  <c r="R80" i="6"/>
  <c r="Q80" i="6"/>
  <c r="P80" i="6"/>
  <c r="O80" i="6"/>
  <c r="N80" i="6"/>
  <c r="M80" i="6"/>
  <c r="L80" i="6"/>
  <c r="K80" i="6"/>
  <c r="J80" i="6"/>
  <c r="I80" i="6"/>
  <c r="H80" i="6"/>
  <c r="G80" i="6"/>
  <c r="DI79" i="6"/>
  <c r="DH79" i="6"/>
  <c r="DG79" i="6"/>
  <c r="DF79" i="6"/>
  <c r="DE79" i="6"/>
  <c r="DD79" i="6"/>
  <c r="DC79" i="6"/>
  <c r="DB79" i="6"/>
  <c r="DA79" i="6"/>
  <c r="CZ79" i="6"/>
  <c r="CY79" i="6"/>
  <c r="CX79" i="6"/>
  <c r="CW79" i="6"/>
  <c r="CV79" i="6"/>
  <c r="CU79" i="6"/>
  <c r="CT79" i="6"/>
  <c r="CS79" i="6"/>
  <c r="CR79" i="6"/>
  <c r="CQ79" i="6"/>
  <c r="CP79" i="6"/>
  <c r="CO79" i="6"/>
  <c r="CN79" i="6"/>
  <c r="CM79" i="6"/>
  <c r="CL79" i="6"/>
  <c r="CK79" i="6"/>
  <c r="CJ79" i="6"/>
  <c r="CI79" i="6"/>
  <c r="CH79" i="6"/>
  <c r="CG79" i="6"/>
  <c r="CF79" i="6"/>
  <c r="CE79" i="6"/>
  <c r="CD79" i="6"/>
  <c r="CC79" i="6"/>
  <c r="CB79" i="6"/>
  <c r="CA79" i="6"/>
  <c r="BZ79" i="6"/>
  <c r="BY79" i="6"/>
  <c r="BX79" i="6"/>
  <c r="BW79" i="6"/>
  <c r="BV79" i="6"/>
  <c r="BU79" i="6"/>
  <c r="BT79" i="6"/>
  <c r="BS79" i="6"/>
  <c r="BR79" i="6"/>
  <c r="BQ79" i="6"/>
  <c r="BP79" i="6"/>
  <c r="BO79" i="6"/>
  <c r="BN79" i="6"/>
  <c r="BM79" i="6"/>
  <c r="BL79" i="6"/>
  <c r="BK79" i="6"/>
  <c r="BJ79" i="6"/>
  <c r="BI79" i="6"/>
  <c r="BH79" i="6"/>
  <c r="BG79" i="6"/>
  <c r="BF79" i="6"/>
  <c r="BE79" i="6"/>
  <c r="BD79" i="6"/>
  <c r="BC79" i="6"/>
  <c r="BB79" i="6"/>
  <c r="BA79" i="6"/>
  <c r="AZ79" i="6"/>
  <c r="AY79" i="6"/>
  <c r="AX79" i="6"/>
  <c r="AW79" i="6"/>
  <c r="AV79" i="6"/>
  <c r="AU79" i="6"/>
  <c r="AT79" i="6"/>
  <c r="AS79" i="6"/>
  <c r="AR79" i="6"/>
  <c r="AQ79" i="6"/>
  <c r="AP79" i="6"/>
  <c r="AO79" i="6"/>
  <c r="AN79" i="6"/>
  <c r="AM79" i="6"/>
  <c r="AL79" i="6"/>
  <c r="AK79" i="6"/>
  <c r="AJ79" i="6"/>
  <c r="AI79" i="6"/>
  <c r="AH79" i="6"/>
  <c r="AG79" i="6"/>
  <c r="AF79" i="6"/>
  <c r="AE79" i="6"/>
  <c r="AD79" i="6"/>
  <c r="AC79" i="6"/>
  <c r="AB79" i="6"/>
  <c r="AA79" i="6"/>
  <c r="Z79" i="6"/>
  <c r="Y79" i="6"/>
  <c r="X79" i="6"/>
  <c r="W79" i="6"/>
  <c r="V79" i="6"/>
  <c r="U79" i="6"/>
  <c r="T79" i="6"/>
  <c r="S79" i="6"/>
  <c r="R79" i="6"/>
  <c r="Q79" i="6"/>
  <c r="P79" i="6"/>
  <c r="O79" i="6"/>
  <c r="N79" i="6"/>
  <c r="M79" i="6"/>
  <c r="L79" i="6"/>
  <c r="K79" i="6"/>
  <c r="J79" i="6"/>
  <c r="I79" i="6"/>
  <c r="H79" i="6"/>
  <c r="G79" i="6"/>
  <c r="DI78" i="6"/>
  <c r="DH78" i="6"/>
  <c r="DG78" i="6"/>
  <c r="DF78" i="6"/>
  <c r="DE78" i="6"/>
  <c r="DD78" i="6"/>
  <c r="DC78" i="6"/>
  <c r="DB78" i="6"/>
  <c r="DA78" i="6"/>
  <c r="CZ78" i="6"/>
  <c r="CY78" i="6"/>
  <c r="CX78" i="6"/>
  <c r="CW78" i="6"/>
  <c r="CV78" i="6"/>
  <c r="CU78" i="6"/>
  <c r="CT78" i="6"/>
  <c r="CS78" i="6"/>
  <c r="CR78" i="6"/>
  <c r="CQ78" i="6"/>
  <c r="CP78" i="6"/>
  <c r="CO78" i="6"/>
  <c r="CN78" i="6"/>
  <c r="CM78" i="6"/>
  <c r="CL78" i="6"/>
  <c r="CK78" i="6"/>
  <c r="CJ78" i="6"/>
  <c r="CI78" i="6"/>
  <c r="CH78" i="6"/>
  <c r="CG78" i="6"/>
  <c r="CF78" i="6"/>
  <c r="CE78" i="6"/>
  <c r="CD78" i="6"/>
  <c r="CC78" i="6"/>
  <c r="CB78" i="6"/>
  <c r="CA78" i="6"/>
  <c r="BZ78" i="6"/>
  <c r="BY78" i="6"/>
  <c r="BX78" i="6"/>
  <c r="BW78" i="6"/>
  <c r="BV78" i="6"/>
  <c r="BU78" i="6"/>
  <c r="BT78" i="6"/>
  <c r="BS78" i="6"/>
  <c r="BR78" i="6"/>
  <c r="BQ78" i="6"/>
  <c r="BP78" i="6"/>
  <c r="BO78" i="6"/>
  <c r="BN78" i="6"/>
  <c r="BM78" i="6"/>
  <c r="BL78" i="6"/>
  <c r="BK78" i="6"/>
  <c r="BJ78" i="6"/>
  <c r="BI78" i="6"/>
  <c r="BH78" i="6"/>
  <c r="BG78" i="6"/>
  <c r="BF78" i="6"/>
  <c r="BE78" i="6"/>
  <c r="BD78" i="6"/>
  <c r="BC78" i="6"/>
  <c r="BB78" i="6"/>
  <c r="BA78" i="6"/>
  <c r="AZ78" i="6"/>
  <c r="AY78" i="6"/>
  <c r="AX78" i="6"/>
  <c r="AW78" i="6"/>
  <c r="AV78" i="6"/>
  <c r="AU78" i="6"/>
  <c r="AT78" i="6"/>
  <c r="AS78" i="6"/>
  <c r="AR78" i="6"/>
  <c r="AQ78" i="6"/>
  <c r="AP78" i="6"/>
  <c r="AO78" i="6"/>
  <c r="AN78" i="6"/>
  <c r="AM78" i="6"/>
  <c r="AL78" i="6"/>
  <c r="AK78" i="6"/>
  <c r="AJ78" i="6"/>
  <c r="AI78" i="6"/>
  <c r="AH78" i="6"/>
  <c r="AG78" i="6"/>
  <c r="AF78" i="6"/>
  <c r="AE78" i="6"/>
  <c r="AD78" i="6"/>
  <c r="AC78" i="6"/>
  <c r="AB78" i="6"/>
  <c r="AA78" i="6"/>
  <c r="Z78" i="6"/>
  <c r="Y78" i="6"/>
  <c r="X78" i="6"/>
  <c r="W78" i="6"/>
  <c r="V78" i="6"/>
  <c r="U78" i="6"/>
  <c r="T78" i="6"/>
  <c r="S78" i="6"/>
  <c r="R78" i="6"/>
  <c r="Q78" i="6"/>
  <c r="P78" i="6"/>
  <c r="O78" i="6"/>
  <c r="N78" i="6"/>
  <c r="M78" i="6"/>
  <c r="L78" i="6"/>
  <c r="K78" i="6"/>
  <c r="J78" i="6"/>
  <c r="I78" i="6"/>
  <c r="H78" i="6"/>
  <c r="G78" i="6"/>
  <c r="DI77" i="6"/>
  <c r="DH77" i="6"/>
  <c r="DG77" i="6"/>
  <c r="DF77" i="6"/>
  <c r="DE77" i="6"/>
  <c r="DD77" i="6"/>
  <c r="DC77" i="6"/>
  <c r="DB77" i="6"/>
  <c r="DA77" i="6"/>
  <c r="CZ77" i="6"/>
  <c r="CY77" i="6"/>
  <c r="CX77" i="6"/>
  <c r="CW77" i="6"/>
  <c r="CV77" i="6"/>
  <c r="CU77" i="6"/>
  <c r="CT77" i="6"/>
  <c r="CS77" i="6"/>
  <c r="CR77" i="6"/>
  <c r="CQ77" i="6"/>
  <c r="CP77" i="6"/>
  <c r="CO77" i="6"/>
  <c r="CN77" i="6"/>
  <c r="CM77" i="6"/>
  <c r="CL77" i="6"/>
  <c r="CK77" i="6"/>
  <c r="CJ77" i="6"/>
  <c r="CI77" i="6"/>
  <c r="CH77" i="6"/>
  <c r="CG77" i="6"/>
  <c r="CF77" i="6"/>
  <c r="CE77" i="6"/>
  <c r="CD77" i="6"/>
  <c r="CC77" i="6"/>
  <c r="CB77" i="6"/>
  <c r="CA77" i="6"/>
  <c r="BZ77" i="6"/>
  <c r="BY77" i="6"/>
  <c r="BX77" i="6"/>
  <c r="BW77" i="6"/>
  <c r="BV77" i="6"/>
  <c r="BU77" i="6"/>
  <c r="BT77" i="6"/>
  <c r="BS77" i="6"/>
  <c r="BR77" i="6"/>
  <c r="BQ77" i="6"/>
  <c r="BP77" i="6"/>
  <c r="BO77" i="6"/>
  <c r="BN77" i="6"/>
  <c r="BM77" i="6"/>
  <c r="BL77" i="6"/>
  <c r="BK77" i="6"/>
  <c r="BJ77" i="6"/>
  <c r="BI77" i="6"/>
  <c r="BH77" i="6"/>
  <c r="BG77" i="6"/>
  <c r="BF77" i="6"/>
  <c r="BE77" i="6"/>
  <c r="BD77" i="6"/>
  <c r="BC77" i="6"/>
  <c r="BB77" i="6"/>
  <c r="BA77" i="6"/>
  <c r="AZ77" i="6"/>
  <c r="AY77" i="6"/>
  <c r="AX77" i="6"/>
  <c r="AW77" i="6"/>
  <c r="AV77" i="6"/>
  <c r="AU77" i="6"/>
  <c r="AT77" i="6"/>
  <c r="AS77" i="6"/>
  <c r="AR77" i="6"/>
  <c r="AQ77" i="6"/>
  <c r="AP77" i="6"/>
  <c r="AO77" i="6"/>
  <c r="AN77" i="6"/>
  <c r="AM77" i="6"/>
  <c r="AL77" i="6"/>
  <c r="AK77" i="6"/>
  <c r="AJ77" i="6"/>
  <c r="AI77" i="6"/>
  <c r="AH77" i="6"/>
  <c r="AG77" i="6"/>
  <c r="AF77" i="6"/>
  <c r="AE77" i="6"/>
  <c r="AD77" i="6"/>
  <c r="AC77" i="6"/>
  <c r="AB77" i="6"/>
  <c r="AA77" i="6"/>
  <c r="Z77" i="6"/>
  <c r="Y77" i="6"/>
  <c r="X77" i="6"/>
  <c r="W77" i="6"/>
  <c r="V77" i="6"/>
  <c r="U77" i="6"/>
  <c r="T77" i="6"/>
  <c r="S77" i="6"/>
  <c r="R77" i="6"/>
  <c r="Q77" i="6"/>
  <c r="P77" i="6"/>
  <c r="O77" i="6"/>
  <c r="N77" i="6"/>
  <c r="M77" i="6"/>
  <c r="L77" i="6"/>
  <c r="K77" i="6"/>
  <c r="J77" i="6"/>
  <c r="I77" i="6"/>
  <c r="H77" i="6"/>
  <c r="G77" i="6"/>
  <c r="DI76" i="6"/>
  <c r="DH76" i="6"/>
  <c r="DG76" i="6"/>
  <c r="DF76" i="6"/>
  <c r="DE76" i="6"/>
  <c r="DD76" i="6"/>
  <c r="DC76" i="6"/>
  <c r="DB76" i="6"/>
  <c r="DA76" i="6"/>
  <c r="CZ76" i="6"/>
  <c r="CY76" i="6"/>
  <c r="CX76" i="6"/>
  <c r="CW76" i="6"/>
  <c r="CV76" i="6"/>
  <c r="CU76" i="6"/>
  <c r="CT76" i="6"/>
  <c r="CS76" i="6"/>
  <c r="CR76" i="6"/>
  <c r="CQ76" i="6"/>
  <c r="CP76" i="6"/>
  <c r="CO76" i="6"/>
  <c r="CN76" i="6"/>
  <c r="CM76" i="6"/>
  <c r="CL76" i="6"/>
  <c r="CK76" i="6"/>
  <c r="CJ76" i="6"/>
  <c r="CI76" i="6"/>
  <c r="CH76" i="6"/>
  <c r="CG76" i="6"/>
  <c r="CF76" i="6"/>
  <c r="CE76" i="6"/>
  <c r="CD76" i="6"/>
  <c r="CC76" i="6"/>
  <c r="CB76" i="6"/>
  <c r="CA76" i="6"/>
  <c r="BZ76" i="6"/>
  <c r="BY76" i="6"/>
  <c r="BX76" i="6"/>
  <c r="BW76" i="6"/>
  <c r="BV76" i="6"/>
  <c r="BU76" i="6"/>
  <c r="BT76" i="6"/>
  <c r="BS76" i="6"/>
  <c r="BR76" i="6"/>
  <c r="BQ76" i="6"/>
  <c r="BP76" i="6"/>
  <c r="BO76" i="6"/>
  <c r="BN76" i="6"/>
  <c r="BM76" i="6"/>
  <c r="BL76" i="6"/>
  <c r="BK76" i="6"/>
  <c r="BJ76" i="6"/>
  <c r="BI76" i="6"/>
  <c r="BH76" i="6"/>
  <c r="BG76" i="6"/>
  <c r="BF76" i="6"/>
  <c r="BE76" i="6"/>
  <c r="BD76" i="6"/>
  <c r="BC76" i="6"/>
  <c r="BB76" i="6"/>
  <c r="BA76" i="6"/>
  <c r="AZ76" i="6"/>
  <c r="AY76" i="6"/>
  <c r="AX76" i="6"/>
  <c r="AW76" i="6"/>
  <c r="AV76" i="6"/>
  <c r="AU76" i="6"/>
  <c r="AT76" i="6"/>
  <c r="AS76" i="6"/>
  <c r="AR76" i="6"/>
  <c r="AQ76" i="6"/>
  <c r="AP76" i="6"/>
  <c r="AO76" i="6"/>
  <c r="AN76" i="6"/>
  <c r="AM76" i="6"/>
  <c r="AL76" i="6"/>
  <c r="AK76" i="6"/>
  <c r="AJ76" i="6"/>
  <c r="AI76" i="6"/>
  <c r="AH76" i="6"/>
  <c r="AG76" i="6"/>
  <c r="AF76" i="6"/>
  <c r="AE76" i="6"/>
  <c r="AD76" i="6"/>
  <c r="AC76" i="6"/>
  <c r="AB76" i="6"/>
  <c r="AA76" i="6"/>
  <c r="Z76" i="6"/>
  <c r="Y76" i="6"/>
  <c r="X76" i="6"/>
  <c r="W76" i="6"/>
  <c r="V76" i="6"/>
  <c r="U76" i="6"/>
  <c r="T76" i="6"/>
  <c r="S76" i="6"/>
  <c r="R76" i="6"/>
  <c r="Q76" i="6"/>
  <c r="P76" i="6"/>
  <c r="O76" i="6"/>
  <c r="N76" i="6"/>
  <c r="M76" i="6"/>
  <c r="L76" i="6"/>
  <c r="K76" i="6"/>
  <c r="J76" i="6"/>
  <c r="I76" i="6"/>
  <c r="H76" i="6"/>
  <c r="G76" i="6"/>
  <c r="DI75" i="6"/>
  <c r="DH75" i="6"/>
  <c r="DG75" i="6"/>
  <c r="DF75" i="6"/>
  <c r="DE75" i="6"/>
  <c r="DD75" i="6"/>
  <c r="DC75" i="6"/>
  <c r="DB75" i="6"/>
  <c r="DA75" i="6"/>
  <c r="CZ75" i="6"/>
  <c r="CY75" i="6"/>
  <c r="CX75" i="6"/>
  <c r="CW75" i="6"/>
  <c r="CV75" i="6"/>
  <c r="CU75" i="6"/>
  <c r="CT75" i="6"/>
  <c r="CS75" i="6"/>
  <c r="CR75" i="6"/>
  <c r="CQ75" i="6"/>
  <c r="CP75" i="6"/>
  <c r="CO75" i="6"/>
  <c r="CN75" i="6"/>
  <c r="CM75" i="6"/>
  <c r="CL75" i="6"/>
  <c r="CK75" i="6"/>
  <c r="CJ75" i="6"/>
  <c r="CI75" i="6"/>
  <c r="CH75" i="6"/>
  <c r="CG75" i="6"/>
  <c r="CF75" i="6"/>
  <c r="CE75" i="6"/>
  <c r="CD75" i="6"/>
  <c r="CC75" i="6"/>
  <c r="CB75" i="6"/>
  <c r="CA75" i="6"/>
  <c r="BZ75" i="6"/>
  <c r="BY75" i="6"/>
  <c r="BX75" i="6"/>
  <c r="BW75" i="6"/>
  <c r="BV75" i="6"/>
  <c r="BU75" i="6"/>
  <c r="BT75" i="6"/>
  <c r="BS75" i="6"/>
  <c r="BR75" i="6"/>
  <c r="BQ75" i="6"/>
  <c r="BP75" i="6"/>
  <c r="BO75" i="6"/>
  <c r="BN75" i="6"/>
  <c r="BM75" i="6"/>
  <c r="BL75" i="6"/>
  <c r="BK75" i="6"/>
  <c r="BJ75" i="6"/>
  <c r="BI75" i="6"/>
  <c r="BH75" i="6"/>
  <c r="BG75" i="6"/>
  <c r="BF75" i="6"/>
  <c r="BE75" i="6"/>
  <c r="BD75" i="6"/>
  <c r="BC75" i="6"/>
  <c r="BB75" i="6"/>
  <c r="BA75" i="6"/>
  <c r="AZ75" i="6"/>
  <c r="AY75" i="6"/>
  <c r="AX75" i="6"/>
  <c r="AW75" i="6"/>
  <c r="AV75" i="6"/>
  <c r="AU75" i="6"/>
  <c r="AT75" i="6"/>
  <c r="AS75" i="6"/>
  <c r="AR75" i="6"/>
  <c r="AQ75" i="6"/>
  <c r="AP75" i="6"/>
  <c r="AO75" i="6"/>
  <c r="AN75" i="6"/>
  <c r="AM75" i="6"/>
  <c r="AL75" i="6"/>
  <c r="AK75" i="6"/>
  <c r="AJ75" i="6"/>
  <c r="AI75" i="6"/>
  <c r="AH75" i="6"/>
  <c r="AG75" i="6"/>
  <c r="AF75" i="6"/>
  <c r="AE75" i="6"/>
  <c r="AD75" i="6"/>
  <c r="AC75" i="6"/>
  <c r="AB75" i="6"/>
  <c r="AA75" i="6"/>
  <c r="Z75" i="6"/>
  <c r="Y75" i="6"/>
  <c r="X75" i="6"/>
  <c r="W75" i="6"/>
  <c r="V75" i="6"/>
  <c r="U75" i="6"/>
  <c r="T75" i="6"/>
  <c r="S75" i="6"/>
  <c r="R75" i="6"/>
  <c r="Q75" i="6"/>
  <c r="P75" i="6"/>
  <c r="O75" i="6"/>
  <c r="N75" i="6"/>
  <c r="M75" i="6"/>
  <c r="L75" i="6"/>
  <c r="K75" i="6"/>
  <c r="J75" i="6"/>
  <c r="I75" i="6"/>
  <c r="H75" i="6"/>
  <c r="G75" i="6"/>
  <c r="DI74" i="6"/>
  <c r="DH74" i="6"/>
  <c r="DG74" i="6"/>
  <c r="DF74" i="6"/>
  <c r="DE74" i="6"/>
  <c r="DD74" i="6"/>
  <c r="DC74" i="6"/>
  <c r="DB74" i="6"/>
  <c r="DA74" i="6"/>
  <c r="CZ74" i="6"/>
  <c r="CY74" i="6"/>
  <c r="CX74" i="6"/>
  <c r="CW74" i="6"/>
  <c r="CV74" i="6"/>
  <c r="CU74" i="6"/>
  <c r="CT74" i="6"/>
  <c r="CS74" i="6"/>
  <c r="CR74" i="6"/>
  <c r="CQ74" i="6"/>
  <c r="CP74" i="6"/>
  <c r="CO74" i="6"/>
  <c r="CN74" i="6"/>
  <c r="CM74" i="6"/>
  <c r="CL74" i="6"/>
  <c r="CK74" i="6"/>
  <c r="CJ74" i="6"/>
  <c r="CI74" i="6"/>
  <c r="CH74" i="6"/>
  <c r="CG74" i="6"/>
  <c r="CF74" i="6"/>
  <c r="CE74" i="6"/>
  <c r="CD74" i="6"/>
  <c r="CC74" i="6"/>
  <c r="CB74" i="6"/>
  <c r="CA74" i="6"/>
  <c r="BZ74" i="6"/>
  <c r="BY74" i="6"/>
  <c r="BX74" i="6"/>
  <c r="BW74" i="6"/>
  <c r="BV74" i="6"/>
  <c r="BU74" i="6"/>
  <c r="BT74" i="6"/>
  <c r="BS74" i="6"/>
  <c r="BR74" i="6"/>
  <c r="BQ74" i="6"/>
  <c r="BP74" i="6"/>
  <c r="BO74" i="6"/>
  <c r="BN74" i="6"/>
  <c r="BM74" i="6"/>
  <c r="BL74" i="6"/>
  <c r="BK74" i="6"/>
  <c r="BJ74" i="6"/>
  <c r="BI74" i="6"/>
  <c r="BH74" i="6"/>
  <c r="BG74" i="6"/>
  <c r="BF74" i="6"/>
  <c r="BE74" i="6"/>
  <c r="BD74" i="6"/>
  <c r="BC74" i="6"/>
  <c r="BB74" i="6"/>
  <c r="BA74" i="6"/>
  <c r="AZ74" i="6"/>
  <c r="AY74" i="6"/>
  <c r="AX74" i="6"/>
  <c r="AW74" i="6"/>
  <c r="AV74" i="6"/>
  <c r="AU74" i="6"/>
  <c r="AT74" i="6"/>
  <c r="AS74" i="6"/>
  <c r="AR74" i="6"/>
  <c r="AQ74" i="6"/>
  <c r="AP74" i="6"/>
  <c r="AO74" i="6"/>
  <c r="AN74" i="6"/>
  <c r="AM74" i="6"/>
  <c r="AL74" i="6"/>
  <c r="AK74" i="6"/>
  <c r="AJ74" i="6"/>
  <c r="AI74" i="6"/>
  <c r="AH74" i="6"/>
  <c r="AG74" i="6"/>
  <c r="AF74" i="6"/>
  <c r="AE74" i="6"/>
  <c r="AD74" i="6"/>
  <c r="AC74" i="6"/>
  <c r="AB74" i="6"/>
  <c r="AA74" i="6"/>
  <c r="Z74" i="6"/>
  <c r="Y74" i="6"/>
  <c r="X74" i="6"/>
  <c r="W74" i="6"/>
  <c r="V74" i="6"/>
  <c r="U74" i="6"/>
  <c r="T74" i="6"/>
  <c r="S74" i="6"/>
  <c r="R74" i="6"/>
  <c r="Q74" i="6"/>
  <c r="P74" i="6"/>
  <c r="O74" i="6"/>
  <c r="N74" i="6"/>
  <c r="M74" i="6"/>
  <c r="L74" i="6"/>
  <c r="K74" i="6"/>
  <c r="J74" i="6"/>
  <c r="I74" i="6"/>
  <c r="H74" i="6"/>
  <c r="G74" i="6"/>
  <c r="DI73" i="6"/>
  <c r="DH73" i="6"/>
  <c r="DG73" i="6"/>
  <c r="DF73" i="6"/>
  <c r="DE73" i="6"/>
  <c r="DD73" i="6"/>
  <c r="DC73" i="6"/>
  <c r="DB73" i="6"/>
  <c r="DA73" i="6"/>
  <c r="CZ73" i="6"/>
  <c r="CY73" i="6"/>
  <c r="CX73" i="6"/>
  <c r="CW73" i="6"/>
  <c r="CV73" i="6"/>
  <c r="CU73" i="6"/>
  <c r="CT73" i="6"/>
  <c r="CS73" i="6"/>
  <c r="CR73" i="6"/>
  <c r="CQ73" i="6"/>
  <c r="CP73" i="6"/>
  <c r="CO73" i="6"/>
  <c r="CN73" i="6"/>
  <c r="CM73" i="6"/>
  <c r="CL73" i="6"/>
  <c r="CK73" i="6"/>
  <c r="CJ73" i="6"/>
  <c r="CI73" i="6"/>
  <c r="CH73" i="6"/>
  <c r="CG73" i="6"/>
  <c r="CF73" i="6"/>
  <c r="CE73" i="6"/>
  <c r="CD73" i="6"/>
  <c r="CC73" i="6"/>
  <c r="CB73" i="6"/>
  <c r="CA73" i="6"/>
  <c r="BZ73" i="6"/>
  <c r="BY73" i="6"/>
  <c r="BX73" i="6"/>
  <c r="BW73" i="6"/>
  <c r="BV73" i="6"/>
  <c r="BU73" i="6"/>
  <c r="BT73" i="6"/>
  <c r="BS73" i="6"/>
  <c r="BR73" i="6"/>
  <c r="BQ73" i="6"/>
  <c r="BP73" i="6"/>
  <c r="BO73" i="6"/>
  <c r="BN73" i="6"/>
  <c r="BM73" i="6"/>
  <c r="BL73" i="6"/>
  <c r="BK73" i="6"/>
  <c r="BJ73" i="6"/>
  <c r="BI73" i="6"/>
  <c r="BH73" i="6"/>
  <c r="BG73" i="6"/>
  <c r="BF73" i="6"/>
  <c r="BE73" i="6"/>
  <c r="BD73" i="6"/>
  <c r="BC73" i="6"/>
  <c r="BB73" i="6"/>
  <c r="BA73" i="6"/>
  <c r="AZ73" i="6"/>
  <c r="AY73" i="6"/>
  <c r="AX73" i="6"/>
  <c r="AW73" i="6"/>
  <c r="AV73" i="6"/>
  <c r="AU73" i="6"/>
  <c r="AT73" i="6"/>
  <c r="AS73" i="6"/>
  <c r="AR73" i="6"/>
  <c r="AQ73" i="6"/>
  <c r="AP73" i="6"/>
  <c r="AO73" i="6"/>
  <c r="AN73" i="6"/>
  <c r="AM73" i="6"/>
  <c r="AL73" i="6"/>
  <c r="AK73" i="6"/>
  <c r="AJ73" i="6"/>
  <c r="AI73" i="6"/>
  <c r="AH73" i="6"/>
  <c r="AG73" i="6"/>
  <c r="AF73" i="6"/>
  <c r="AE73" i="6"/>
  <c r="AD73" i="6"/>
  <c r="AC73" i="6"/>
  <c r="AB73" i="6"/>
  <c r="AA73" i="6"/>
  <c r="Z73" i="6"/>
  <c r="Y73" i="6"/>
  <c r="X73" i="6"/>
  <c r="W73" i="6"/>
  <c r="V73" i="6"/>
  <c r="U73" i="6"/>
  <c r="T73" i="6"/>
  <c r="S73" i="6"/>
  <c r="R73" i="6"/>
  <c r="Q73" i="6"/>
  <c r="P73" i="6"/>
  <c r="O73" i="6"/>
  <c r="N73" i="6"/>
  <c r="M73" i="6"/>
  <c r="L73" i="6"/>
  <c r="K73" i="6"/>
  <c r="J73" i="6"/>
  <c r="I73" i="6"/>
  <c r="H73" i="6"/>
  <c r="G73" i="6"/>
  <c r="DI72" i="6"/>
  <c r="DH72" i="6"/>
  <c r="DG72" i="6"/>
  <c r="DF72" i="6"/>
  <c r="DE72" i="6"/>
  <c r="DD72" i="6"/>
  <c r="DC72" i="6"/>
  <c r="DB72" i="6"/>
  <c r="DA72" i="6"/>
  <c r="CZ72" i="6"/>
  <c r="CY72" i="6"/>
  <c r="CX72" i="6"/>
  <c r="CW72" i="6"/>
  <c r="CV72" i="6"/>
  <c r="CU72" i="6"/>
  <c r="CT72" i="6"/>
  <c r="CS72" i="6"/>
  <c r="CR72" i="6"/>
  <c r="CQ72" i="6"/>
  <c r="CP72" i="6"/>
  <c r="CO72" i="6"/>
  <c r="CN72" i="6"/>
  <c r="CM72" i="6"/>
  <c r="CL72" i="6"/>
  <c r="CK72" i="6"/>
  <c r="CJ72" i="6"/>
  <c r="CI72" i="6"/>
  <c r="CH72" i="6"/>
  <c r="CG72" i="6"/>
  <c r="CF72" i="6"/>
  <c r="CE72" i="6"/>
  <c r="CD72" i="6"/>
  <c r="CC72" i="6"/>
  <c r="CB72" i="6"/>
  <c r="CA72" i="6"/>
  <c r="BZ72" i="6"/>
  <c r="BY72" i="6"/>
  <c r="BX72" i="6"/>
  <c r="BW72" i="6"/>
  <c r="BV72" i="6"/>
  <c r="BU72" i="6"/>
  <c r="BT72" i="6"/>
  <c r="BS72" i="6"/>
  <c r="BR72" i="6"/>
  <c r="BQ72" i="6"/>
  <c r="BP72" i="6"/>
  <c r="BO72" i="6"/>
  <c r="BN72" i="6"/>
  <c r="BM72" i="6"/>
  <c r="BL72" i="6"/>
  <c r="BK72" i="6"/>
  <c r="BJ72" i="6"/>
  <c r="BI72" i="6"/>
  <c r="BH72" i="6"/>
  <c r="BG72" i="6"/>
  <c r="BF72" i="6"/>
  <c r="BE72" i="6"/>
  <c r="BD72" i="6"/>
  <c r="BC72" i="6"/>
  <c r="BB72" i="6"/>
  <c r="BA72" i="6"/>
  <c r="AZ72" i="6"/>
  <c r="AY72" i="6"/>
  <c r="AX72" i="6"/>
  <c r="AW72" i="6"/>
  <c r="AV72" i="6"/>
  <c r="AU72" i="6"/>
  <c r="AT72" i="6"/>
  <c r="AS72" i="6"/>
  <c r="AR72" i="6"/>
  <c r="AQ72" i="6"/>
  <c r="AP72" i="6"/>
  <c r="AO72" i="6"/>
  <c r="AN72" i="6"/>
  <c r="AM72" i="6"/>
  <c r="AL72" i="6"/>
  <c r="AK72" i="6"/>
  <c r="AJ72" i="6"/>
  <c r="AI72" i="6"/>
  <c r="AH72" i="6"/>
  <c r="AG72" i="6"/>
  <c r="AF72" i="6"/>
  <c r="AE72" i="6"/>
  <c r="AD72" i="6"/>
  <c r="AC72" i="6"/>
  <c r="AB72" i="6"/>
  <c r="AA72" i="6"/>
  <c r="Z72" i="6"/>
  <c r="Y72" i="6"/>
  <c r="X72" i="6"/>
  <c r="W72" i="6"/>
  <c r="V72" i="6"/>
  <c r="U72" i="6"/>
  <c r="T72" i="6"/>
  <c r="S72" i="6"/>
  <c r="R72" i="6"/>
  <c r="Q72" i="6"/>
  <c r="P72" i="6"/>
  <c r="O72" i="6"/>
  <c r="N72" i="6"/>
  <c r="M72" i="6"/>
  <c r="L72" i="6"/>
  <c r="K72" i="6"/>
  <c r="J72" i="6"/>
  <c r="I72" i="6"/>
  <c r="H72" i="6"/>
  <c r="G72" i="6"/>
  <c r="DI71" i="6"/>
  <c r="DH71" i="6"/>
  <c r="DG71" i="6"/>
  <c r="DF71" i="6"/>
  <c r="DE71" i="6"/>
  <c r="DD71" i="6"/>
  <c r="DC71" i="6"/>
  <c r="DB71" i="6"/>
  <c r="DA71" i="6"/>
  <c r="CZ71" i="6"/>
  <c r="CY71" i="6"/>
  <c r="CX71" i="6"/>
  <c r="CW71" i="6"/>
  <c r="CV71" i="6"/>
  <c r="CU71" i="6"/>
  <c r="CT71" i="6"/>
  <c r="CS71" i="6"/>
  <c r="CR71" i="6"/>
  <c r="CQ71" i="6"/>
  <c r="CP71" i="6"/>
  <c r="CO71" i="6"/>
  <c r="CN71" i="6"/>
  <c r="CM71" i="6"/>
  <c r="CL71" i="6"/>
  <c r="CK71" i="6"/>
  <c r="CJ71" i="6"/>
  <c r="CI71" i="6"/>
  <c r="CH71" i="6"/>
  <c r="CG71" i="6"/>
  <c r="CF71" i="6"/>
  <c r="CE71" i="6"/>
  <c r="CD71" i="6"/>
  <c r="CC71" i="6"/>
  <c r="CB71" i="6"/>
  <c r="CA71" i="6"/>
  <c r="BZ71" i="6"/>
  <c r="BY71" i="6"/>
  <c r="BX71" i="6"/>
  <c r="BW71" i="6"/>
  <c r="BV71" i="6"/>
  <c r="BU71" i="6"/>
  <c r="BT71" i="6"/>
  <c r="BS71" i="6"/>
  <c r="BR71" i="6"/>
  <c r="BQ71" i="6"/>
  <c r="BP71" i="6"/>
  <c r="BO71" i="6"/>
  <c r="BN71" i="6"/>
  <c r="BM71" i="6"/>
  <c r="BL71" i="6"/>
  <c r="BK71" i="6"/>
  <c r="BJ71" i="6"/>
  <c r="BI71" i="6"/>
  <c r="BH71" i="6"/>
  <c r="BG71" i="6"/>
  <c r="BF71" i="6"/>
  <c r="BE71" i="6"/>
  <c r="BD71" i="6"/>
  <c r="BC71" i="6"/>
  <c r="BB71" i="6"/>
  <c r="BA71" i="6"/>
  <c r="AZ71" i="6"/>
  <c r="AY71" i="6"/>
  <c r="AX71" i="6"/>
  <c r="AW71" i="6"/>
  <c r="AV71" i="6"/>
  <c r="AU71" i="6"/>
  <c r="AT71" i="6"/>
  <c r="AS71" i="6"/>
  <c r="AR71" i="6"/>
  <c r="AQ71" i="6"/>
  <c r="AP71" i="6"/>
  <c r="AO71" i="6"/>
  <c r="AN71" i="6"/>
  <c r="AM71" i="6"/>
  <c r="AL71" i="6"/>
  <c r="AK71" i="6"/>
  <c r="AJ71" i="6"/>
  <c r="AI71" i="6"/>
  <c r="AH71" i="6"/>
  <c r="AG71" i="6"/>
  <c r="AF71" i="6"/>
  <c r="AE71" i="6"/>
  <c r="AD71" i="6"/>
  <c r="AC71" i="6"/>
  <c r="AB71" i="6"/>
  <c r="AA71" i="6"/>
  <c r="Z71" i="6"/>
  <c r="Y71" i="6"/>
  <c r="X71" i="6"/>
  <c r="W71" i="6"/>
  <c r="V71" i="6"/>
  <c r="U71" i="6"/>
  <c r="T71" i="6"/>
  <c r="S71" i="6"/>
  <c r="R71" i="6"/>
  <c r="Q71" i="6"/>
  <c r="P71" i="6"/>
  <c r="O71" i="6"/>
  <c r="N71" i="6"/>
  <c r="M71" i="6"/>
  <c r="L71" i="6"/>
  <c r="K71" i="6"/>
  <c r="J71" i="6"/>
  <c r="I71" i="6"/>
  <c r="H71" i="6"/>
  <c r="G71" i="6"/>
  <c r="DI70" i="6"/>
  <c r="DH70" i="6"/>
  <c r="DG70" i="6"/>
  <c r="DF70" i="6"/>
  <c r="DE70" i="6"/>
  <c r="DD70" i="6"/>
  <c r="DC70" i="6"/>
  <c r="DB70" i="6"/>
  <c r="DA70" i="6"/>
  <c r="CZ70" i="6"/>
  <c r="CY70" i="6"/>
  <c r="CX70" i="6"/>
  <c r="CW70" i="6"/>
  <c r="CV70" i="6"/>
  <c r="CU70" i="6"/>
  <c r="CT70" i="6"/>
  <c r="CS70" i="6"/>
  <c r="CR70" i="6"/>
  <c r="CQ70" i="6"/>
  <c r="CP70" i="6"/>
  <c r="CO70" i="6"/>
  <c r="CN70" i="6"/>
  <c r="CM70" i="6"/>
  <c r="CL70" i="6"/>
  <c r="CK70" i="6"/>
  <c r="CJ70" i="6"/>
  <c r="CI70" i="6"/>
  <c r="CH70" i="6"/>
  <c r="CG70" i="6"/>
  <c r="CF70" i="6"/>
  <c r="CE70" i="6"/>
  <c r="CD70" i="6"/>
  <c r="CC70" i="6"/>
  <c r="CB70" i="6"/>
  <c r="CA70" i="6"/>
  <c r="BZ70" i="6"/>
  <c r="BY70" i="6"/>
  <c r="BX70" i="6"/>
  <c r="BW70" i="6"/>
  <c r="BV70" i="6"/>
  <c r="BU70" i="6"/>
  <c r="BT70" i="6"/>
  <c r="BS70" i="6"/>
  <c r="BR70" i="6"/>
  <c r="BQ70" i="6"/>
  <c r="BP70" i="6"/>
  <c r="BO70" i="6"/>
  <c r="BN70" i="6"/>
  <c r="BM70" i="6"/>
  <c r="BL70" i="6"/>
  <c r="BK70" i="6"/>
  <c r="BJ70" i="6"/>
  <c r="BI70" i="6"/>
  <c r="BH70" i="6"/>
  <c r="BG70" i="6"/>
  <c r="BF70" i="6"/>
  <c r="BE70" i="6"/>
  <c r="BD70" i="6"/>
  <c r="BC70" i="6"/>
  <c r="BB70" i="6"/>
  <c r="BA70" i="6"/>
  <c r="AZ70" i="6"/>
  <c r="AY70" i="6"/>
  <c r="AX70" i="6"/>
  <c r="AW70" i="6"/>
  <c r="AV70" i="6"/>
  <c r="AU70" i="6"/>
  <c r="AT70" i="6"/>
  <c r="AS70" i="6"/>
  <c r="AR70" i="6"/>
  <c r="AQ70" i="6"/>
  <c r="AP70" i="6"/>
  <c r="AO70" i="6"/>
  <c r="AN70" i="6"/>
  <c r="AM70" i="6"/>
  <c r="AL70" i="6"/>
  <c r="AK70" i="6"/>
  <c r="AJ70" i="6"/>
  <c r="AI70" i="6"/>
  <c r="AH70" i="6"/>
  <c r="AG70" i="6"/>
  <c r="AF70" i="6"/>
  <c r="AE70" i="6"/>
  <c r="AD70" i="6"/>
  <c r="AC70" i="6"/>
  <c r="AB70" i="6"/>
  <c r="AA70" i="6"/>
  <c r="Z70" i="6"/>
  <c r="Y70" i="6"/>
  <c r="X70" i="6"/>
  <c r="W70" i="6"/>
  <c r="V70" i="6"/>
  <c r="U70" i="6"/>
  <c r="T70" i="6"/>
  <c r="S70" i="6"/>
  <c r="R70" i="6"/>
  <c r="Q70" i="6"/>
  <c r="P70" i="6"/>
  <c r="O70" i="6"/>
  <c r="N70" i="6"/>
  <c r="M70" i="6"/>
  <c r="L70" i="6"/>
  <c r="K70" i="6"/>
  <c r="J70" i="6"/>
  <c r="I70" i="6"/>
  <c r="H70" i="6"/>
  <c r="G70" i="6"/>
  <c r="DI69" i="6"/>
  <c r="DH69" i="6"/>
  <c r="DG69" i="6"/>
  <c r="DF69" i="6"/>
  <c r="DE69" i="6"/>
  <c r="DD69" i="6"/>
  <c r="DC69" i="6"/>
  <c r="DB69" i="6"/>
  <c r="DA69" i="6"/>
  <c r="CZ69" i="6"/>
  <c r="CY69" i="6"/>
  <c r="CX69" i="6"/>
  <c r="CW69" i="6"/>
  <c r="CV69" i="6"/>
  <c r="CU69" i="6"/>
  <c r="CT69" i="6"/>
  <c r="CS69" i="6"/>
  <c r="CR69" i="6"/>
  <c r="CQ69" i="6"/>
  <c r="CP69" i="6"/>
  <c r="CO69" i="6"/>
  <c r="CN69" i="6"/>
  <c r="CM69" i="6"/>
  <c r="CL69" i="6"/>
  <c r="CK69" i="6"/>
  <c r="CJ69" i="6"/>
  <c r="CI69" i="6"/>
  <c r="CH69" i="6"/>
  <c r="CG69" i="6"/>
  <c r="CF69" i="6"/>
  <c r="CE69" i="6"/>
  <c r="CD69" i="6"/>
  <c r="CC69" i="6"/>
  <c r="CB69" i="6"/>
  <c r="CA69" i="6"/>
  <c r="BZ69" i="6"/>
  <c r="BY69" i="6"/>
  <c r="BX69" i="6"/>
  <c r="BW69" i="6"/>
  <c r="BV69" i="6"/>
  <c r="BU69" i="6"/>
  <c r="BT69" i="6"/>
  <c r="BS69" i="6"/>
  <c r="BR69" i="6"/>
  <c r="BQ69" i="6"/>
  <c r="BP69" i="6"/>
  <c r="BO69" i="6"/>
  <c r="BN69" i="6"/>
  <c r="BM69" i="6"/>
  <c r="BL69" i="6"/>
  <c r="BK69" i="6"/>
  <c r="BJ69" i="6"/>
  <c r="BI69" i="6"/>
  <c r="BH69" i="6"/>
  <c r="BG69" i="6"/>
  <c r="BF69" i="6"/>
  <c r="BE69" i="6"/>
  <c r="BD69" i="6"/>
  <c r="BC69" i="6"/>
  <c r="BB69" i="6"/>
  <c r="BA69" i="6"/>
  <c r="AZ69" i="6"/>
  <c r="AY69" i="6"/>
  <c r="AX69" i="6"/>
  <c r="AW69" i="6"/>
  <c r="AV69" i="6"/>
  <c r="AU69" i="6"/>
  <c r="AT69" i="6"/>
  <c r="AS69" i="6"/>
  <c r="AR69" i="6"/>
  <c r="AQ69" i="6"/>
  <c r="AP69" i="6"/>
  <c r="AO69" i="6"/>
  <c r="AN69" i="6"/>
  <c r="AM69" i="6"/>
  <c r="AL69" i="6"/>
  <c r="AK69" i="6"/>
  <c r="AJ69" i="6"/>
  <c r="AI69" i="6"/>
  <c r="AH69" i="6"/>
  <c r="AG69" i="6"/>
  <c r="AF69" i="6"/>
  <c r="AE69" i="6"/>
  <c r="AD69" i="6"/>
  <c r="AC69" i="6"/>
  <c r="AB69" i="6"/>
  <c r="AA69" i="6"/>
  <c r="Z69" i="6"/>
  <c r="Y69" i="6"/>
  <c r="X69" i="6"/>
  <c r="W69" i="6"/>
  <c r="V69" i="6"/>
  <c r="U69" i="6"/>
  <c r="T69" i="6"/>
  <c r="S69" i="6"/>
  <c r="R69" i="6"/>
  <c r="Q69" i="6"/>
  <c r="P69" i="6"/>
  <c r="O69" i="6"/>
  <c r="N69" i="6"/>
  <c r="M69" i="6"/>
  <c r="L69" i="6"/>
  <c r="K69" i="6"/>
  <c r="J69" i="6"/>
  <c r="I69" i="6"/>
  <c r="H69" i="6"/>
  <c r="G69" i="6"/>
  <c r="DI68" i="6"/>
  <c r="DH68" i="6"/>
  <c r="DG68" i="6"/>
  <c r="DF68" i="6"/>
  <c r="DE68" i="6"/>
  <c r="DD68" i="6"/>
  <c r="DC68" i="6"/>
  <c r="DB68" i="6"/>
  <c r="DA68" i="6"/>
  <c r="CZ68" i="6"/>
  <c r="CY68" i="6"/>
  <c r="CX68" i="6"/>
  <c r="CW68" i="6"/>
  <c r="CV68" i="6"/>
  <c r="CU68" i="6"/>
  <c r="CT68" i="6"/>
  <c r="CS68" i="6"/>
  <c r="CR68" i="6"/>
  <c r="CQ68" i="6"/>
  <c r="CP68" i="6"/>
  <c r="CO68" i="6"/>
  <c r="CN68" i="6"/>
  <c r="CM68" i="6"/>
  <c r="CL68" i="6"/>
  <c r="CK68" i="6"/>
  <c r="CJ68" i="6"/>
  <c r="CI68" i="6"/>
  <c r="CH68" i="6"/>
  <c r="CG68" i="6"/>
  <c r="CF68" i="6"/>
  <c r="CE68" i="6"/>
  <c r="CD68" i="6"/>
  <c r="CC68" i="6"/>
  <c r="CB68" i="6"/>
  <c r="CA68" i="6"/>
  <c r="BZ68" i="6"/>
  <c r="BY68" i="6"/>
  <c r="BX68" i="6"/>
  <c r="BW68" i="6"/>
  <c r="BV68" i="6"/>
  <c r="BU68" i="6"/>
  <c r="BT68" i="6"/>
  <c r="BS68" i="6"/>
  <c r="BR68" i="6"/>
  <c r="BQ68" i="6"/>
  <c r="BP68" i="6"/>
  <c r="BO68" i="6"/>
  <c r="BN68" i="6"/>
  <c r="BM68" i="6"/>
  <c r="BL68" i="6"/>
  <c r="BK68" i="6"/>
  <c r="BJ68" i="6"/>
  <c r="BI68" i="6"/>
  <c r="BH68" i="6"/>
  <c r="BG68" i="6"/>
  <c r="BF68" i="6"/>
  <c r="BE68" i="6"/>
  <c r="BD68" i="6"/>
  <c r="BC68" i="6"/>
  <c r="BB68" i="6"/>
  <c r="BA68" i="6"/>
  <c r="AZ68" i="6"/>
  <c r="AY68" i="6"/>
  <c r="AX68" i="6"/>
  <c r="AW68" i="6"/>
  <c r="AV68" i="6"/>
  <c r="AU68" i="6"/>
  <c r="AT68" i="6"/>
  <c r="AS68" i="6"/>
  <c r="AR68" i="6"/>
  <c r="AQ68" i="6"/>
  <c r="AP68" i="6"/>
  <c r="AO68" i="6"/>
  <c r="AN68" i="6"/>
  <c r="AM68" i="6"/>
  <c r="AL68" i="6"/>
  <c r="AK68" i="6"/>
  <c r="AJ68" i="6"/>
  <c r="AI68" i="6"/>
  <c r="AH68" i="6"/>
  <c r="AG68" i="6"/>
  <c r="AF68" i="6"/>
  <c r="AE68" i="6"/>
  <c r="AD68" i="6"/>
  <c r="AC68" i="6"/>
  <c r="AB68" i="6"/>
  <c r="AA68" i="6"/>
  <c r="Z68" i="6"/>
  <c r="Y68" i="6"/>
  <c r="X68" i="6"/>
  <c r="W68" i="6"/>
  <c r="V68" i="6"/>
  <c r="U68" i="6"/>
  <c r="T68" i="6"/>
  <c r="S68" i="6"/>
  <c r="R68" i="6"/>
  <c r="Q68" i="6"/>
  <c r="P68" i="6"/>
  <c r="O68" i="6"/>
  <c r="N68" i="6"/>
  <c r="M68" i="6"/>
  <c r="L68" i="6"/>
  <c r="K68" i="6"/>
  <c r="J68" i="6"/>
  <c r="I68" i="6"/>
  <c r="H68" i="6"/>
  <c r="G68" i="6"/>
  <c r="DI67" i="6"/>
  <c r="DH67" i="6"/>
  <c r="DG67" i="6"/>
  <c r="DF67" i="6"/>
  <c r="DE67" i="6"/>
  <c r="DD67" i="6"/>
  <c r="DC67" i="6"/>
  <c r="DB67" i="6"/>
  <c r="DA67" i="6"/>
  <c r="CZ67" i="6"/>
  <c r="CY67" i="6"/>
  <c r="CX67" i="6"/>
  <c r="CW67" i="6"/>
  <c r="CV67" i="6"/>
  <c r="CU67" i="6"/>
  <c r="CT67" i="6"/>
  <c r="CS67" i="6"/>
  <c r="CR67" i="6"/>
  <c r="CQ67" i="6"/>
  <c r="CP67" i="6"/>
  <c r="CO67" i="6"/>
  <c r="CN67" i="6"/>
  <c r="CM67" i="6"/>
  <c r="CL67" i="6"/>
  <c r="CK67" i="6"/>
  <c r="CJ67" i="6"/>
  <c r="CI67" i="6"/>
  <c r="CH67" i="6"/>
  <c r="CG67" i="6"/>
  <c r="CF67" i="6"/>
  <c r="CE67" i="6"/>
  <c r="CD67" i="6"/>
  <c r="CC67" i="6"/>
  <c r="CB67" i="6"/>
  <c r="CA67" i="6"/>
  <c r="BZ67" i="6"/>
  <c r="BY67" i="6"/>
  <c r="BX67" i="6"/>
  <c r="BW67" i="6"/>
  <c r="BV67" i="6"/>
  <c r="BU67" i="6"/>
  <c r="BT67" i="6"/>
  <c r="BS67" i="6"/>
  <c r="BR67" i="6"/>
  <c r="BQ67" i="6"/>
  <c r="BP67" i="6"/>
  <c r="BO67" i="6"/>
  <c r="BN67" i="6"/>
  <c r="BM67" i="6"/>
  <c r="BL67" i="6"/>
  <c r="BK67" i="6"/>
  <c r="BJ67" i="6"/>
  <c r="BI67" i="6"/>
  <c r="BH67" i="6"/>
  <c r="BG67" i="6"/>
  <c r="BF67" i="6"/>
  <c r="BE67" i="6"/>
  <c r="BD67" i="6"/>
  <c r="BC67" i="6"/>
  <c r="BB67" i="6"/>
  <c r="BA67" i="6"/>
  <c r="AZ67" i="6"/>
  <c r="AY67" i="6"/>
  <c r="AX67" i="6"/>
  <c r="AW67" i="6"/>
  <c r="AV67" i="6"/>
  <c r="AU67" i="6"/>
  <c r="AT67" i="6"/>
  <c r="AS67" i="6"/>
  <c r="AR67" i="6"/>
  <c r="AQ67" i="6"/>
  <c r="AP67" i="6"/>
  <c r="AO67" i="6"/>
  <c r="AN67" i="6"/>
  <c r="AM67" i="6"/>
  <c r="AL67" i="6"/>
  <c r="AK67" i="6"/>
  <c r="AJ67" i="6"/>
  <c r="AI67" i="6"/>
  <c r="AH67" i="6"/>
  <c r="AG67" i="6"/>
  <c r="AF67" i="6"/>
  <c r="AE67" i="6"/>
  <c r="AD67" i="6"/>
  <c r="AC67" i="6"/>
  <c r="AB67" i="6"/>
  <c r="AA67" i="6"/>
  <c r="Z67" i="6"/>
  <c r="Y67" i="6"/>
  <c r="X67" i="6"/>
  <c r="W67" i="6"/>
  <c r="V67" i="6"/>
  <c r="U67" i="6"/>
  <c r="T67" i="6"/>
  <c r="S67" i="6"/>
  <c r="R67" i="6"/>
  <c r="Q67" i="6"/>
  <c r="P67" i="6"/>
  <c r="O67" i="6"/>
  <c r="N67" i="6"/>
  <c r="M67" i="6"/>
  <c r="L67" i="6"/>
  <c r="K67" i="6"/>
  <c r="J67" i="6"/>
  <c r="I67" i="6"/>
  <c r="H67" i="6"/>
  <c r="G67" i="6"/>
  <c r="DI66" i="6"/>
  <c r="DH66" i="6"/>
  <c r="DG66" i="6"/>
  <c r="DF66" i="6"/>
  <c r="DE66" i="6"/>
  <c r="DD66" i="6"/>
  <c r="DC66" i="6"/>
  <c r="DB66" i="6"/>
  <c r="DA66" i="6"/>
  <c r="CZ66" i="6"/>
  <c r="CY66" i="6"/>
  <c r="CX66" i="6"/>
  <c r="CW66" i="6"/>
  <c r="CV66" i="6"/>
  <c r="CU66" i="6"/>
  <c r="CT66" i="6"/>
  <c r="CS66" i="6"/>
  <c r="CR66" i="6"/>
  <c r="CQ66" i="6"/>
  <c r="CP66" i="6"/>
  <c r="CO66" i="6"/>
  <c r="CN66" i="6"/>
  <c r="CM66" i="6"/>
  <c r="CL66" i="6"/>
  <c r="CK66" i="6"/>
  <c r="CJ66" i="6"/>
  <c r="CI66" i="6"/>
  <c r="CH66" i="6"/>
  <c r="CG66" i="6"/>
  <c r="CF66" i="6"/>
  <c r="CE66" i="6"/>
  <c r="CD66" i="6"/>
  <c r="CC66" i="6"/>
  <c r="CB66" i="6"/>
  <c r="CA66" i="6"/>
  <c r="BZ66" i="6"/>
  <c r="BY66" i="6"/>
  <c r="BX66" i="6"/>
  <c r="BW66" i="6"/>
  <c r="BV66" i="6"/>
  <c r="BU66" i="6"/>
  <c r="BT66" i="6"/>
  <c r="BS66" i="6"/>
  <c r="BR66" i="6"/>
  <c r="BQ66" i="6"/>
  <c r="BP66" i="6"/>
  <c r="BO66" i="6"/>
  <c r="BN66" i="6"/>
  <c r="BM66" i="6"/>
  <c r="BL66" i="6"/>
  <c r="BK66" i="6"/>
  <c r="BJ66" i="6"/>
  <c r="BI66" i="6"/>
  <c r="BH66" i="6"/>
  <c r="BG66" i="6"/>
  <c r="BF66" i="6"/>
  <c r="BE66" i="6"/>
  <c r="BD66" i="6"/>
  <c r="BC66" i="6"/>
  <c r="BB66" i="6"/>
  <c r="BA66" i="6"/>
  <c r="AZ66" i="6"/>
  <c r="AY66" i="6"/>
  <c r="AX66" i="6"/>
  <c r="AW66" i="6"/>
  <c r="AV66" i="6"/>
  <c r="AU66" i="6"/>
  <c r="AT66" i="6"/>
  <c r="AS66" i="6"/>
  <c r="AR66" i="6"/>
  <c r="AQ66" i="6"/>
  <c r="AP66" i="6"/>
  <c r="AO66" i="6"/>
  <c r="AN66" i="6"/>
  <c r="AM66" i="6"/>
  <c r="AL66" i="6"/>
  <c r="AK66" i="6"/>
  <c r="AJ66" i="6"/>
  <c r="AI66" i="6"/>
  <c r="AH66" i="6"/>
  <c r="AG66" i="6"/>
  <c r="AF66" i="6"/>
  <c r="AE66" i="6"/>
  <c r="AD66" i="6"/>
  <c r="AC66" i="6"/>
  <c r="AB66" i="6"/>
  <c r="AA66" i="6"/>
  <c r="Z66" i="6"/>
  <c r="Y66" i="6"/>
  <c r="X66" i="6"/>
  <c r="W66" i="6"/>
  <c r="V66" i="6"/>
  <c r="U66" i="6"/>
  <c r="T66" i="6"/>
  <c r="S66" i="6"/>
  <c r="R66" i="6"/>
  <c r="Q66" i="6"/>
  <c r="P66" i="6"/>
  <c r="O66" i="6"/>
  <c r="N66" i="6"/>
  <c r="M66" i="6"/>
  <c r="L66" i="6"/>
  <c r="K66" i="6"/>
  <c r="J66" i="6"/>
  <c r="I66" i="6"/>
  <c r="H66" i="6"/>
  <c r="G66" i="6"/>
  <c r="DI65" i="6"/>
  <c r="DH65" i="6"/>
  <c r="DG65" i="6"/>
  <c r="DF65" i="6"/>
  <c r="DE65" i="6"/>
  <c r="DD65" i="6"/>
  <c r="DC65" i="6"/>
  <c r="DB65" i="6"/>
  <c r="DA65" i="6"/>
  <c r="CZ65" i="6"/>
  <c r="CY65" i="6"/>
  <c r="CX65" i="6"/>
  <c r="CW65" i="6"/>
  <c r="CV65" i="6"/>
  <c r="CU65" i="6"/>
  <c r="CT65" i="6"/>
  <c r="CS65" i="6"/>
  <c r="CR65" i="6"/>
  <c r="CQ65" i="6"/>
  <c r="CP65" i="6"/>
  <c r="CO65" i="6"/>
  <c r="CN65" i="6"/>
  <c r="CM65" i="6"/>
  <c r="CL65" i="6"/>
  <c r="CK65" i="6"/>
  <c r="CJ65" i="6"/>
  <c r="CI65" i="6"/>
  <c r="CH65" i="6"/>
  <c r="CG65" i="6"/>
  <c r="CF65" i="6"/>
  <c r="CE65" i="6"/>
  <c r="CD65" i="6"/>
  <c r="CC65" i="6"/>
  <c r="CB65" i="6"/>
  <c r="CA65" i="6"/>
  <c r="BZ65" i="6"/>
  <c r="BY65" i="6"/>
  <c r="BX65" i="6"/>
  <c r="BW65" i="6"/>
  <c r="BV65" i="6"/>
  <c r="BU65" i="6"/>
  <c r="BT65" i="6"/>
  <c r="BS65" i="6"/>
  <c r="BR65" i="6"/>
  <c r="BQ65" i="6"/>
  <c r="BP65" i="6"/>
  <c r="BO65" i="6"/>
  <c r="BN65" i="6"/>
  <c r="BM65" i="6"/>
  <c r="BL65" i="6"/>
  <c r="BK65" i="6"/>
  <c r="BJ65" i="6"/>
  <c r="BI65" i="6"/>
  <c r="BH65" i="6"/>
  <c r="BG65" i="6"/>
  <c r="BF65" i="6"/>
  <c r="BE65" i="6"/>
  <c r="BD65" i="6"/>
  <c r="BC65" i="6"/>
  <c r="BB65" i="6"/>
  <c r="BA65" i="6"/>
  <c r="AZ65" i="6"/>
  <c r="AY65" i="6"/>
  <c r="AX65" i="6"/>
  <c r="AW65" i="6"/>
  <c r="AV65" i="6"/>
  <c r="AU65" i="6"/>
  <c r="AT65" i="6"/>
  <c r="AS65" i="6"/>
  <c r="AR65" i="6"/>
  <c r="AQ65" i="6"/>
  <c r="AP65" i="6"/>
  <c r="AO65" i="6"/>
  <c r="AN65" i="6"/>
  <c r="AM65" i="6"/>
  <c r="AL65" i="6"/>
  <c r="AK65" i="6"/>
  <c r="AJ65" i="6"/>
  <c r="AI65" i="6"/>
  <c r="AH65" i="6"/>
  <c r="AG65" i="6"/>
  <c r="AF65" i="6"/>
  <c r="AE65" i="6"/>
  <c r="AD65" i="6"/>
  <c r="AC65" i="6"/>
  <c r="AB65" i="6"/>
  <c r="AA65" i="6"/>
  <c r="Z65" i="6"/>
  <c r="Y65" i="6"/>
  <c r="X65" i="6"/>
  <c r="W65" i="6"/>
  <c r="V65" i="6"/>
  <c r="U65" i="6"/>
  <c r="T65" i="6"/>
  <c r="S65" i="6"/>
  <c r="R65" i="6"/>
  <c r="Q65" i="6"/>
  <c r="P65" i="6"/>
  <c r="O65" i="6"/>
  <c r="N65" i="6"/>
  <c r="M65" i="6"/>
  <c r="L65" i="6"/>
  <c r="K65" i="6"/>
  <c r="J65" i="6"/>
  <c r="I65" i="6"/>
  <c r="H65" i="6"/>
  <c r="G65" i="6"/>
  <c r="DI64" i="6"/>
  <c r="DH64" i="6"/>
  <c r="DG64" i="6"/>
  <c r="DF64" i="6"/>
  <c r="DE64" i="6"/>
  <c r="DD64" i="6"/>
  <c r="DC64" i="6"/>
  <c r="DB64" i="6"/>
  <c r="DA64" i="6"/>
  <c r="CZ64" i="6"/>
  <c r="CY64" i="6"/>
  <c r="CX64" i="6"/>
  <c r="CW64" i="6"/>
  <c r="CV64" i="6"/>
  <c r="CU64" i="6"/>
  <c r="CT64" i="6"/>
  <c r="CS64" i="6"/>
  <c r="CR64" i="6"/>
  <c r="CQ64" i="6"/>
  <c r="CP64" i="6"/>
  <c r="CO64" i="6"/>
  <c r="CN64" i="6"/>
  <c r="CM64" i="6"/>
  <c r="CL64" i="6"/>
  <c r="CK64" i="6"/>
  <c r="CJ64" i="6"/>
  <c r="CI64" i="6"/>
  <c r="CH64" i="6"/>
  <c r="CG64" i="6"/>
  <c r="CF64" i="6"/>
  <c r="CE64" i="6"/>
  <c r="CD64" i="6"/>
  <c r="CC64" i="6"/>
  <c r="CB64" i="6"/>
  <c r="CA64" i="6"/>
  <c r="BZ64" i="6"/>
  <c r="BY64" i="6"/>
  <c r="BX64" i="6"/>
  <c r="BW64" i="6"/>
  <c r="BV64" i="6"/>
  <c r="BU64" i="6"/>
  <c r="BT64" i="6"/>
  <c r="BS64" i="6"/>
  <c r="BR64" i="6"/>
  <c r="BQ64" i="6"/>
  <c r="BP64" i="6"/>
  <c r="BO64" i="6"/>
  <c r="BN64" i="6"/>
  <c r="BM64" i="6"/>
  <c r="BL64" i="6"/>
  <c r="BK64" i="6"/>
  <c r="BJ64" i="6"/>
  <c r="BI64" i="6"/>
  <c r="BH64" i="6"/>
  <c r="BG64" i="6"/>
  <c r="BF64" i="6"/>
  <c r="BE64" i="6"/>
  <c r="BD64" i="6"/>
  <c r="BC64" i="6"/>
  <c r="BB64" i="6"/>
  <c r="BA64" i="6"/>
  <c r="AZ64" i="6"/>
  <c r="AY64" i="6"/>
  <c r="AX64" i="6"/>
  <c r="AW64" i="6"/>
  <c r="AV64" i="6"/>
  <c r="AU64" i="6"/>
  <c r="AT64" i="6"/>
  <c r="AS64" i="6"/>
  <c r="AR64" i="6"/>
  <c r="AQ64" i="6"/>
  <c r="AP64" i="6"/>
  <c r="AO64" i="6"/>
  <c r="AN64" i="6"/>
  <c r="AM64" i="6"/>
  <c r="AL64" i="6"/>
  <c r="AK64" i="6"/>
  <c r="AJ64" i="6"/>
  <c r="AI64" i="6"/>
  <c r="AH64" i="6"/>
  <c r="AG64" i="6"/>
  <c r="AF64" i="6"/>
  <c r="AE64" i="6"/>
  <c r="AD64" i="6"/>
  <c r="AC64" i="6"/>
  <c r="AB64" i="6"/>
  <c r="AA64" i="6"/>
  <c r="Z64" i="6"/>
  <c r="Y64" i="6"/>
  <c r="X64" i="6"/>
  <c r="W64" i="6"/>
  <c r="V64" i="6"/>
  <c r="U64" i="6"/>
  <c r="T64" i="6"/>
  <c r="S64" i="6"/>
  <c r="R64" i="6"/>
  <c r="Q64" i="6"/>
  <c r="P64" i="6"/>
  <c r="O64" i="6"/>
  <c r="N64" i="6"/>
  <c r="M64" i="6"/>
  <c r="L64" i="6"/>
  <c r="K64" i="6"/>
  <c r="J64" i="6"/>
  <c r="I64" i="6"/>
  <c r="H64" i="6"/>
  <c r="G64" i="6"/>
  <c r="DI63" i="6"/>
  <c r="DH63" i="6"/>
  <c r="DG63" i="6"/>
  <c r="DF63" i="6"/>
  <c r="DE63" i="6"/>
  <c r="DD63" i="6"/>
  <c r="DC63" i="6"/>
  <c r="DB63" i="6"/>
  <c r="DA63" i="6"/>
  <c r="CZ63" i="6"/>
  <c r="CY63" i="6"/>
  <c r="CX63" i="6"/>
  <c r="CW63" i="6"/>
  <c r="CV63" i="6"/>
  <c r="CU63" i="6"/>
  <c r="CT63" i="6"/>
  <c r="CS63" i="6"/>
  <c r="CR63" i="6"/>
  <c r="CQ63" i="6"/>
  <c r="CP63" i="6"/>
  <c r="CO63" i="6"/>
  <c r="CN63" i="6"/>
  <c r="CM63" i="6"/>
  <c r="CL63" i="6"/>
  <c r="CK63" i="6"/>
  <c r="CJ63" i="6"/>
  <c r="CI63" i="6"/>
  <c r="CH63" i="6"/>
  <c r="CG63" i="6"/>
  <c r="CF63" i="6"/>
  <c r="CE63" i="6"/>
  <c r="CD63" i="6"/>
  <c r="CC63" i="6"/>
  <c r="CB63" i="6"/>
  <c r="CA63" i="6"/>
  <c r="BZ63" i="6"/>
  <c r="BY63" i="6"/>
  <c r="BX63" i="6"/>
  <c r="BW63" i="6"/>
  <c r="BV63" i="6"/>
  <c r="BU63" i="6"/>
  <c r="BT63" i="6"/>
  <c r="BS63" i="6"/>
  <c r="BR63" i="6"/>
  <c r="BQ63" i="6"/>
  <c r="BP63" i="6"/>
  <c r="BO63" i="6"/>
  <c r="BN63" i="6"/>
  <c r="BM63" i="6"/>
  <c r="BL63" i="6"/>
  <c r="BK63" i="6"/>
  <c r="BJ63" i="6"/>
  <c r="BI63" i="6"/>
  <c r="BH63" i="6"/>
  <c r="BG63" i="6"/>
  <c r="BF63" i="6"/>
  <c r="BE63" i="6"/>
  <c r="BD63" i="6"/>
  <c r="BC63" i="6"/>
  <c r="BB63" i="6"/>
  <c r="BA63" i="6"/>
  <c r="AZ63" i="6"/>
  <c r="AY63" i="6"/>
  <c r="AX63" i="6"/>
  <c r="AW63" i="6"/>
  <c r="AV63" i="6"/>
  <c r="AU63" i="6"/>
  <c r="AT63" i="6"/>
  <c r="AS63" i="6"/>
  <c r="AR63" i="6"/>
  <c r="AQ63" i="6"/>
  <c r="AP63" i="6"/>
  <c r="AO63" i="6"/>
  <c r="AN63" i="6"/>
  <c r="AM63" i="6"/>
  <c r="AL63" i="6"/>
  <c r="AK63" i="6"/>
  <c r="AJ63" i="6"/>
  <c r="AI63" i="6"/>
  <c r="AH63" i="6"/>
  <c r="AG63" i="6"/>
  <c r="AF63" i="6"/>
  <c r="AE63" i="6"/>
  <c r="AD63" i="6"/>
  <c r="AC63" i="6"/>
  <c r="AB63" i="6"/>
  <c r="AA63" i="6"/>
  <c r="Z63" i="6"/>
  <c r="Y63" i="6"/>
  <c r="X63" i="6"/>
  <c r="W63" i="6"/>
  <c r="V63" i="6"/>
  <c r="U63" i="6"/>
  <c r="T63" i="6"/>
  <c r="S63" i="6"/>
  <c r="R63" i="6"/>
  <c r="Q63" i="6"/>
  <c r="P63" i="6"/>
  <c r="O63" i="6"/>
  <c r="N63" i="6"/>
  <c r="M63" i="6"/>
  <c r="L63" i="6"/>
  <c r="K63" i="6"/>
  <c r="J63" i="6"/>
  <c r="I63" i="6"/>
  <c r="H63" i="6"/>
  <c r="G63" i="6"/>
  <c r="DI62" i="6"/>
  <c r="DH62" i="6"/>
  <c r="DG62" i="6"/>
  <c r="DF62" i="6"/>
  <c r="DE62" i="6"/>
  <c r="DD62" i="6"/>
  <c r="DC62" i="6"/>
  <c r="DB62" i="6"/>
  <c r="DA62" i="6"/>
  <c r="CZ62" i="6"/>
  <c r="CY62" i="6"/>
  <c r="CX62" i="6"/>
  <c r="CW62" i="6"/>
  <c r="CV62" i="6"/>
  <c r="CU62" i="6"/>
  <c r="CT62" i="6"/>
  <c r="CS62" i="6"/>
  <c r="CR62" i="6"/>
  <c r="CQ62" i="6"/>
  <c r="CP62" i="6"/>
  <c r="CO62" i="6"/>
  <c r="CN62" i="6"/>
  <c r="CM62" i="6"/>
  <c r="CL62" i="6"/>
  <c r="CK62" i="6"/>
  <c r="CJ62" i="6"/>
  <c r="CI62" i="6"/>
  <c r="CH62" i="6"/>
  <c r="CG62" i="6"/>
  <c r="CF62" i="6"/>
  <c r="CE62" i="6"/>
  <c r="CD62" i="6"/>
  <c r="CC62" i="6"/>
  <c r="CB62" i="6"/>
  <c r="CA62" i="6"/>
  <c r="BZ62" i="6"/>
  <c r="BY62" i="6"/>
  <c r="BX62" i="6"/>
  <c r="BW62" i="6"/>
  <c r="BV62" i="6"/>
  <c r="BU62" i="6"/>
  <c r="BT62" i="6"/>
  <c r="BS62" i="6"/>
  <c r="BR62" i="6"/>
  <c r="BQ62" i="6"/>
  <c r="BP62" i="6"/>
  <c r="BO62" i="6"/>
  <c r="BN62" i="6"/>
  <c r="BM62" i="6"/>
  <c r="BL62" i="6"/>
  <c r="BK62" i="6"/>
  <c r="BJ62" i="6"/>
  <c r="BI62" i="6"/>
  <c r="BH62" i="6"/>
  <c r="BG62" i="6"/>
  <c r="BF62" i="6"/>
  <c r="BE62" i="6"/>
  <c r="BD62" i="6"/>
  <c r="BC62" i="6"/>
  <c r="BB62" i="6"/>
  <c r="BA62" i="6"/>
  <c r="AZ62" i="6"/>
  <c r="AY62" i="6"/>
  <c r="AX62" i="6"/>
  <c r="AW62" i="6"/>
  <c r="AV62" i="6"/>
  <c r="AU62" i="6"/>
  <c r="AT62" i="6"/>
  <c r="AS62" i="6"/>
  <c r="AR62" i="6"/>
  <c r="AQ62" i="6"/>
  <c r="AP62" i="6"/>
  <c r="AO62" i="6"/>
  <c r="AN62" i="6"/>
  <c r="AM62" i="6"/>
  <c r="AL62" i="6"/>
  <c r="AK62" i="6"/>
  <c r="AJ62" i="6"/>
  <c r="AI62" i="6"/>
  <c r="AH62" i="6"/>
  <c r="AG62" i="6"/>
  <c r="AF62" i="6"/>
  <c r="AE62" i="6"/>
  <c r="AD62" i="6"/>
  <c r="AC62" i="6"/>
  <c r="AB62" i="6"/>
  <c r="AA62" i="6"/>
  <c r="Z62" i="6"/>
  <c r="Y62" i="6"/>
  <c r="X62" i="6"/>
  <c r="W62" i="6"/>
  <c r="V62" i="6"/>
  <c r="U62" i="6"/>
  <c r="T62" i="6"/>
  <c r="S62" i="6"/>
  <c r="R62" i="6"/>
  <c r="Q62" i="6"/>
  <c r="P62" i="6"/>
  <c r="O62" i="6"/>
  <c r="N62" i="6"/>
  <c r="M62" i="6"/>
  <c r="L62" i="6"/>
  <c r="K62" i="6"/>
  <c r="J62" i="6"/>
  <c r="I62" i="6"/>
  <c r="H62" i="6"/>
  <c r="G62" i="6"/>
  <c r="DI61" i="6"/>
  <c r="DH61" i="6"/>
  <c r="DG61" i="6"/>
  <c r="DF61" i="6"/>
  <c r="DE61" i="6"/>
  <c r="DD61" i="6"/>
  <c r="DC61" i="6"/>
  <c r="DB61" i="6"/>
  <c r="DA61" i="6"/>
  <c r="CZ61" i="6"/>
  <c r="CY61" i="6"/>
  <c r="CX61" i="6"/>
  <c r="CW61" i="6"/>
  <c r="CV61" i="6"/>
  <c r="CU61" i="6"/>
  <c r="CT61" i="6"/>
  <c r="CS61" i="6"/>
  <c r="CR61" i="6"/>
  <c r="CQ61" i="6"/>
  <c r="CP61" i="6"/>
  <c r="CO61" i="6"/>
  <c r="CN61" i="6"/>
  <c r="CM61" i="6"/>
  <c r="CL61" i="6"/>
  <c r="CK61" i="6"/>
  <c r="CJ61" i="6"/>
  <c r="CI61" i="6"/>
  <c r="CH61" i="6"/>
  <c r="CG61" i="6"/>
  <c r="CF61" i="6"/>
  <c r="CE61" i="6"/>
  <c r="CD61" i="6"/>
  <c r="CC61" i="6"/>
  <c r="CB61" i="6"/>
  <c r="CA61" i="6"/>
  <c r="BZ61" i="6"/>
  <c r="BY61" i="6"/>
  <c r="BX61" i="6"/>
  <c r="BW61" i="6"/>
  <c r="BV61" i="6"/>
  <c r="BU61" i="6"/>
  <c r="BT61" i="6"/>
  <c r="BS61" i="6"/>
  <c r="BR61" i="6"/>
  <c r="BQ61" i="6"/>
  <c r="BP61" i="6"/>
  <c r="BO61" i="6"/>
  <c r="BN61" i="6"/>
  <c r="BM61" i="6"/>
  <c r="BL61" i="6"/>
  <c r="BK61" i="6"/>
  <c r="BJ61" i="6"/>
  <c r="BI61" i="6"/>
  <c r="BH61" i="6"/>
  <c r="BG61" i="6"/>
  <c r="BF61" i="6"/>
  <c r="BE61" i="6"/>
  <c r="BD61" i="6"/>
  <c r="BC61" i="6"/>
  <c r="BB61" i="6"/>
  <c r="BA61" i="6"/>
  <c r="AZ61" i="6"/>
  <c r="AY61" i="6"/>
  <c r="AX61" i="6"/>
  <c r="AW61" i="6"/>
  <c r="AV61" i="6"/>
  <c r="AU61" i="6"/>
  <c r="AT61" i="6"/>
  <c r="AS61" i="6"/>
  <c r="AR61" i="6"/>
  <c r="AQ61" i="6"/>
  <c r="AP61" i="6"/>
  <c r="AO61" i="6"/>
  <c r="AN61" i="6"/>
  <c r="AM61" i="6"/>
  <c r="AL61" i="6"/>
  <c r="AK61" i="6"/>
  <c r="AJ61" i="6"/>
  <c r="AI61" i="6"/>
  <c r="AH61" i="6"/>
  <c r="AG61" i="6"/>
  <c r="AF61" i="6"/>
  <c r="AE61" i="6"/>
  <c r="AD61" i="6"/>
  <c r="AC61" i="6"/>
  <c r="AB61" i="6"/>
  <c r="AA61" i="6"/>
  <c r="Z61" i="6"/>
  <c r="Y61" i="6"/>
  <c r="X61" i="6"/>
  <c r="W61" i="6"/>
  <c r="V61" i="6"/>
  <c r="U61" i="6"/>
  <c r="T61" i="6"/>
  <c r="S61" i="6"/>
  <c r="R61" i="6"/>
  <c r="Q61" i="6"/>
  <c r="P61" i="6"/>
  <c r="O61" i="6"/>
  <c r="N61" i="6"/>
  <c r="M61" i="6"/>
  <c r="L61" i="6"/>
  <c r="K61" i="6"/>
  <c r="J61" i="6"/>
  <c r="I61" i="6"/>
  <c r="H61" i="6"/>
  <c r="G61" i="6"/>
  <c r="DI60" i="6"/>
  <c r="DH60" i="6"/>
  <c r="DG60" i="6"/>
  <c r="DF60" i="6"/>
  <c r="DE60" i="6"/>
  <c r="DD60" i="6"/>
  <c r="DC60" i="6"/>
  <c r="DB60" i="6"/>
  <c r="DA60" i="6"/>
  <c r="CZ60" i="6"/>
  <c r="CY60" i="6"/>
  <c r="CX60" i="6"/>
  <c r="CW60" i="6"/>
  <c r="CV60" i="6"/>
  <c r="CU60" i="6"/>
  <c r="CT60" i="6"/>
  <c r="CS60" i="6"/>
  <c r="CR60" i="6"/>
  <c r="CQ60" i="6"/>
  <c r="CP60" i="6"/>
  <c r="CO60" i="6"/>
  <c r="CN60" i="6"/>
  <c r="CM60" i="6"/>
  <c r="CL60" i="6"/>
  <c r="CK60" i="6"/>
  <c r="CJ60" i="6"/>
  <c r="CI60" i="6"/>
  <c r="CH60" i="6"/>
  <c r="CG60" i="6"/>
  <c r="CF60" i="6"/>
  <c r="CE60" i="6"/>
  <c r="CD60" i="6"/>
  <c r="CC60" i="6"/>
  <c r="CB60" i="6"/>
  <c r="CA60" i="6"/>
  <c r="BZ60" i="6"/>
  <c r="BY60" i="6"/>
  <c r="BX60" i="6"/>
  <c r="BW60" i="6"/>
  <c r="BV60" i="6"/>
  <c r="BU60" i="6"/>
  <c r="BT60" i="6"/>
  <c r="BS60" i="6"/>
  <c r="BR60" i="6"/>
  <c r="BQ60" i="6"/>
  <c r="BP60" i="6"/>
  <c r="BO60" i="6"/>
  <c r="BN60" i="6"/>
  <c r="BM60" i="6"/>
  <c r="BL60" i="6"/>
  <c r="BK60" i="6"/>
  <c r="BJ60" i="6"/>
  <c r="BI60" i="6"/>
  <c r="BH60" i="6"/>
  <c r="BG60" i="6"/>
  <c r="BF60" i="6"/>
  <c r="BE60" i="6"/>
  <c r="BD60" i="6"/>
  <c r="BC60" i="6"/>
  <c r="BB60" i="6"/>
  <c r="BA60" i="6"/>
  <c r="AZ60" i="6"/>
  <c r="AY60" i="6"/>
  <c r="AX60" i="6"/>
  <c r="AW60" i="6"/>
  <c r="AV60" i="6"/>
  <c r="AU60" i="6"/>
  <c r="AT60" i="6"/>
  <c r="AS60" i="6"/>
  <c r="AR60" i="6"/>
  <c r="AQ60" i="6"/>
  <c r="AP60" i="6"/>
  <c r="AO60" i="6"/>
  <c r="AN60" i="6"/>
  <c r="AM60" i="6"/>
  <c r="AL60" i="6"/>
  <c r="AK60" i="6"/>
  <c r="AJ60" i="6"/>
  <c r="AI60" i="6"/>
  <c r="AH60" i="6"/>
  <c r="AG60" i="6"/>
  <c r="AF60" i="6"/>
  <c r="AE60" i="6"/>
  <c r="AD60" i="6"/>
  <c r="AC60" i="6"/>
  <c r="AB60" i="6"/>
  <c r="AA60" i="6"/>
  <c r="Z60" i="6"/>
  <c r="Y60" i="6"/>
  <c r="X60" i="6"/>
  <c r="W60" i="6"/>
  <c r="V60" i="6"/>
  <c r="U60" i="6"/>
  <c r="T60" i="6"/>
  <c r="S60" i="6"/>
  <c r="R60" i="6"/>
  <c r="Q60" i="6"/>
  <c r="P60" i="6"/>
  <c r="O60" i="6"/>
  <c r="N60" i="6"/>
  <c r="M60" i="6"/>
  <c r="L60" i="6"/>
  <c r="K60" i="6"/>
  <c r="J60" i="6"/>
  <c r="I60" i="6"/>
  <c r="H60" i="6"/>
  <c r="G60" i="6"/>
  <c r="DI59" i="6"/>
  <c r="DH59" i="6"/>
  <c r="DG59" i="6"/>
  <c r="DF59" i="6"/>
  <c r="DE59" i="6"/>
  <c r="DD59" i="6"/>
  <c r="DC59" i="6"/>
  <c r="DB59" i="6"/>
  <c r="DA59" i="6"/>
  <c r="CZ59" i="6"/>
  <c r="CY59" i="6"/>
  <c r="CX59" i="6"/>
  <c r="CW59" i="6"/>
  <c r="CV59" i="6"/>
  <c r="CU59" i="6"/>
  <c r="CT59" i="6"/>
  <c r="CS59" i="6"/>
  <c r="CR59" i="6"/>
  <c r="CQ59" i="6"/>
  <c r="CP59" i="6"/>
  <c r="CO59" i="6"/>
  <c r="CN59" i="6"/>
  <c r="CM59" i="6"/>
  <c r="CL59" i="6"/>
  <c r="CK59" i="6"/>
  <c r="CJ59" i="6"/>
  <c r="CI59" i="6"/>
  <c r="CH59" i="6"/>
  <c r="CG59" i="6"/>
  <c r="CF59" i="6"/>
  <c r="CE59" i="6"/>
  <c r="CD59" i="6"/>
  <c r="CC59" i="6"/>
  <c r="CB59" i="6"/>
  <c r="CA59" i="6"/>
  <c r="BZ59" i="6"/>
  <c r="BY59" i="6"/>
  <c r="BX59" i="6"/>
  <c r="BW59" i="6"/>
  <c r="BV59" i="6"/>
  <c r="BU59" i="6"/>
  <c r="BT59" i="6"/>
  <c r="BS59" i="6"/>
  <c r="BR59" i="6"/>
  <c r="BQ59" i="6"/>
  <c r="BP59" i="6"/>
  <c r="BO59" i="6"/>
  <c r="BN59" i="6"/>
  <c r="BM59" i="6"/>
  <c r="BL59" i="6"/>
  <c r="BK59" i="6"/>
  <c r="BJ59" i="6"/>
  <c r="BI59" i="6"/>
  <c r="BH59" i="6"/>
  <c r="BG59" i="6"/>
  <c r="BF59" i="6"/>
  <c r="BE59" i="6"/>
  <c r="BD59" i="6"/>
  <c r="BC59" i="6"/>
  <c r="BB59" i="6"/>
  <c r="BA59" i="6"/>
  <c r="AZ59" i="6"/>
  <c r="AY59" i="6"/>
  <c r="AX59" i="6"/>
  <c r="AW59" i="6"/>
  <c r="AV59" i="6"/>
  <c r="AU59" i="6"/>
  <c r="AT59" i="6"/>
  <c r="AS59" i="6"/>
  <c r="AR59" i="6"/>
  <c r="AQ59" i="6"/>
  <c r="AP59" i="6"/>
  <c r="AO59" i="6"/>
  <c r="AN59" i="6"/>
  <c r="AM59" i="6"/>
  <c r="AL59" i="6"/>
  <c r="AK59" i="6"/>
  <c r="AJ59" i="6"/>
  <c r="AI59" i="6"/>
  <c r="AH59" i="6"/>
  <c r="AG59" i="6"/>
  <c r="AF59" i="6"/>
  <c r="AE59" i="6"/>
  <c r="AD59" i="6"/>
  <c r="AC59" i="6"/>
  <c r="AB59" i="6"/>
  <c r="AA59" i="6"/>
  <c r="Z59" i="6"/>
  <c r="Y59" i="6"/>
  <c r="X59" i="6"/>
  <c r="W59" i="6"/>
  <c r="V59" i="6"/>
  <c r="U59" i="6"/>
  <c r="T59" i="6"/>
  <c r="S59" i="6"/>
  <c r="R59" i="6"/>
  <c r="Q59" i="6"/>
  <c r="P59" i="6"/>
  <c r="O59" i="6"/>
  <c r="N59" i="6"/>
  <c r="M59" i="6"/>
  <c r="L59" i="6"/>
  <c r="K59" i="6"/>
  <c r="J59" i="6"/>
  <c r="I59" i="6"/>
  <c r="H59" i="6"/>
  <c r="G59" i="6"/>
  <c r="DI58" i="6"/>
  <c r="DH58" i="6"/>
  <c r="DG58" i="6"/>
  <c r="DF58" i="6"/>
  <c r="DE58" i="6"/>
  <c r="DD58" i="6"/>
  <c r="DC58" i="6"/>
  <c r="DB58" i="6"/>
  <c r="DA58" i="6"/>
  <c r="CZ58" i="6"/>
  <c r="CY58" i="6"/>
  <c r="CX58" i="6"/>
  <c r="CW58" i="6"/>
  <c r="CV58" i="6"/>
  <c r="CU58" i="6"/>
  <c r="CT58" i="6"/>
  <c r="CS58" i="6"/>
  <c r="CR58" i="6"/>
  <c r="CQ58" i="6"/>
  <c r="CP58" i="6"/>
  <c r="CO58" i="6"/>
  <c r="CN58" i="6"/>
  <c r="CM58" i="6"/>
  <c r="CL58" i="6"/>
  <c r="CK58" i="6"/>
  <c r="CJ58" i="6"/>
  <c r="CI58" i="6"/>
  <c r="CH58" i="6"/>
  <c r="CG58" i="6"/>
  <c r="CF58" i="6"/>
  <c r="CE58" i="6"/>
  <c r="CD58" i="6"/>
  <c r="CC58" i="6"/>
  <c r="CB58" i="6"/>
  <c r="CA58" i="6"/>
  <c r="BZ58" i="6"/>
  <c r="BY58" i="6"/>
  <c r="BX58" i="6"/>
  <c r="BW58" i="6"/>
  <c r="BV58" i="6"/>
  <c r="BU58" i="6"/>
  <c r="BT58" i="6"/>
  <c r="BS58" i="6"/>
  <c r="BR58" i="6"/>
  <c r="BQ58" i="6"/>
  <c r="BP58" i="6"/>
  <c r="BO58" i="6"/>
  <c r="BN58" i="6"/>
  <c r="BM58" i="6"/>
  <c r="BL58" i="6"/>
  <c r="BK58" i="6"/>
  <c r="BJ58" i="6"/>
  <c r="BI58" i="6"/>
  <c r="BH58" i="6"/>
  <c r="BG58" i="6"/>
  <c r="BF58" i="6"/>
  <c r="BE58" i="6"/>
  <c r="BD58" i="6"/>
  <c r="BC58" i="6"/>
  <c r="BB58" i="6"/>
  <c r="BA58" i="6"/>
  <c r="AZ58" i="6"/>
  <c r="AY58" i="6"/>
  <c r="AX58" i="6"/>
  <c r="AW58" i="6"/>
  <c r="AV58" i="6"/>
  <c r="AU58" i="6"/>
  <c r="AT58" i="6"/>
  <c r="AS58" i="6"/>
  <c r="AR58" i="6"/>
  <c r="AQ58" i="6"/>
  <c r="AP58" i="6"/>
  <c r="AO58" i="6"/>
  <c r="AN58" i="6"/>
  <c r="AM58" i="6"/>
  <c r="AL58" i="6"/>
  <c r="AK58" i="6"/>
  <c r="AJ58" i="6"/>
  <c r="AI58" i="6"/>
  <c r="AH58" i="6"/>
  <c r="AG58" i="6"/>
  <c r="AF58" i="6"/>
  <c r="AE58" i="6"/>
  <c r="AD58" i="6"/>
  <c r="AC58" i="6"/>
  <c r="AB58" i="6"/>
  <c r="AA58" i="6"/>
  <c r="Z58" i="6"/>
  <c r="Y58" i="6"/>
  <c r="X58" i="6"/>
  <c r="W58" i="6"/>
  <c r="V58" i="6"/>
  <c r="U58" i="6"/>
  <c r="T58" i="6"/>
  <c r="S58" i="6"/>
  <c r="R58" i="6"/>
  <c r="Q58" i="6"/>
  <c r="P58" i="6"/>
  <c r="O58" i="6"/>
  <c r="N58" i="6"/>
  <c r="M58" i="6"/>
  <c r="L58" i="6"/>
  <c r="K58" i="6"/>
  <c r="J58" i="6"/>
  <c r="I58" i="6"/>
  <c r="H58" i="6"/>
  <c r="G58" i="6"/>
  <c r="DI57" i="6"/>
  <c r="DH57" i="6"/>
  <c r="DG57" i="6"/>
  <c r="DF57" i="6"/>
  <c r="DE57" i="6"/>
  <c r="DD57" i="6"/>
  <c r="DC57" i="6"/>
  <c r="DB57" i="6"/>
  <c r="DA57" i="6"/>
  <c r="CZ57" i="6"/>
  <c r="CY57" i="6"/>
  <c r="CX57" i="6"/>
  <c r="CW57" i="6"/>
  <c r="CV57" i="6"/>
  <c r="CU57" i="6"/>
  <c r="CT57" i="6"/>
  <c r="CS57" i="6"/>
  <c r="CR57" i="6"/>
  <c r="CQ57" i="6"/>
  <c r="CP57" i="6"/>
  <c r="CO57" i="6"/>
  <c r="CN57" i="6"/>
  <c r="CM57" i="6"/>
  <c r="CL57" i="6"/>
  <c r="CK57" i="6"/>
  <c r="CJ57" i="6"/>
  <c r="CI57" i="6"/>
  <c r="CH57" i="6"/>
  <c r="CG57" i="6"/>
  <c r="CF57" i="6"/>
  <c r="CE57" i="6"/>
  <c r="CD57" i="6"/>
  <c r="CC57" i="6"/>
  <c r="CB57" i="6"/>
  <c r="CA57" i="6"/>
  <c r="BZ57" i="6"/>
  <c r="BY57" i="6"/>
  <c r="BX57" i="6"/>
  <c r="BW57" i="6"/>
  <c r="BV57" i="6"/>
  <c r="BU57" i="6"/>
  <c r="BT57" i="6"/>
  <c r="BS57" i="6"/>
  <c r="BR57" i="6"/>
  <c r="BQ57" i="6"/>
  <c r="BP57" i="6"/>
  <c r="BO57" i="6"/>
  <c r="BN57" i="6"/>
  <c r="BM57" i="6"/>
  <c r="BL57" i="6"/>
  <c r="BK57" i="6"/>
  <c r="BJ57" i="6"/>
  <c r="BI57" i="6"/>
  <c r="BH57" i="6"/>
  <c r="BG57" i="6"/>
  <c r="BF57" i="6"/>
  <c r="BE57" i="6"/>
  <c r="BD57" i="6"/>
  <c r="BC57" i="6"/>
  <c r="BB57" i="6"/>
  <c r="BA57" i="6"/>
  <c r="AZ57" i="6"/>
  <c r="AY57" i="6"/>
  <c r="AX57"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DI56" i="6"/>
  <c r="DH56" i="6"/>
  <c r="DG56" i="6"/>
  <c r="DF56" i="6"/>
  <c r="DE56" i="6"/>
  <c r="DD56" i="6"/>
  <c r="DC56" i="6"/>
  <c r="DB56" i="6"/>
  <c r="DA56" i="6"/>
  <c r="CZ56" i="6"/>
  <c r="CY56" i="6"/>
  <c r="CX56" i="6"/>
  <c r="CW56" i="6"/>
  <c r="CV56" i="6"/>
  <c r="CU56" i="6"/>
  <c r="CT56" i="6"/>
  <c r="CS56" i="6"/>
  <c r="CR56" i="6"/>
  <c r="CQ56" i="6"/>
  <c r="CP56" i="6"/>
  <c r="CO56" i="6"/>
  <c r="CN56" i="6"/>
  <c r="CM56" i="6"/>
  <c r="CL56" i="6"/>
  <c r="CK56" i="6"/>
  <c r="CJ56" i="6"/>
  <c r="CI56" i="6"/>
  <c r="CH56" i="6"/>
  <c r="CG56" i="6"/>
  <c r="CF56" i="6"/>
  <c r="CE56" i="6"/>
  <c r="CD56" i="6"/>
  <c r="CC56" i="6"/>
  <c r="CB56" i="6"/>
  <c r="CA56" i="6"/>
  <c r="BZ56" i="6"/>
  <c r="BY56" i="6"/>
  <c r="BX56" i="6"/>
  <c r="BW56" i="6"/>
  <c r="BV56" i="6"/>
  <c r="BU56" i="6"/>
  <c r="BT56" i="6"/>
  <c r="BS56" i="6"/>
  <c r="BR56" i="6"/>
  <c r="BQ56" i="6"/>
  <c r="BP56" i="6"/>
  <c r="BO56" i="6"/>
  <c r="BN56" i="6"/>
  <c r="BM56" i="6"/>
  <c r="BL56" i="6"/>
  <c r="BK56" i="6"/>
  <c r="BJ56" i="6"/>
  <c r="BI56" i="6"/>
  <c r="BH56" i="6"/>
  <c r="BG56" i="6"/>
  <c r="BF56" i="6"/>
  <c r="BE56" i="6"/>
  <c r="BD56" i="6"/>
  <c r="BC56" i="6"/>
  <c r="BB56" i="6"/>
  <c r="BA56" i="6"/>
  <c r="AZ56" i="6"/>
  <c r="AY56" i="6"/>
  <c r="AX56"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R56" i="6"/>
  <c r="Q56" i="6"/>
  <c r="P56" i="6"/>
  <c r="O56" i="6"/>
  <c r="N56" i="6"/>
  <c r="M56" i="6"/>
  <c r="L56" i="6"/>
  <c r="K56" i="6"/>
  <c r="J56" i="6"/>
  <c r="I56" i="6"/>
  <c r="H56" i="6"/>
  <c r="G56" i="6"/>
  <c r="DI55" i="6"/>
  <c r="DH55" i="6"/>
  <c r="DG55" i="6"/>
  <c r="DF55" i="6"/>
  <c r="DE55" i="6"/>
  <c r="DD55" i="6"/>
  <c r="DC55" i="6"/>
  <c r="DB55" i="6"/>
  <c r="DA55" i="6"/>
  <c r="CZ55" i="6"/>
  <c r="CY55" i="6"/>
  <c r="CX55" i="6"/>
  <c r="CW55" i="6"/>
  <c r="CV55" i="6"/>
  <c r="CU55" i="6"/>
  <c r="CT55" i="6"/>
  <c r="CS55" i="6"/>
  <c r="CR55" i="6"/>
  <c r="CQ55" i="6"/>
  <c r="CP55" i="6"/>
  <c r="CO55" i="6"/>
  <c r="CN55" i="6"/>
  <c r="CM55" i="6"/>
  <c r="CL55" i="6"/>
  <c r="CK55" i="6"/>
  <c r="CJ55" i="6"/>
  <c r="CI55" i="6"/>
  <c r="CH55" i="6"/>
  <c r="CG55" i="6"/>
  <c r="CF55" i="6"/>
  <c r="CE55" i="6"/>
  <c r="CD55" i="6"/>
  <c r="CC55" i="6"/>
  <c r="CB55" i="6"/>
  <c r="CA55" i="6"/>
  <c r="BZ55" i="6"/>
  <c r="BY55" i="6"/>
  <c r="BX55" i="6"/>
  <c r="BW55" i="6"/>
  <c r="BV55" i="6"/>
  <c r="BU55" i="6"/>
  <c r="BT55" i="6"/>
  <c r="BS55" i="6"/>
  <c r="BR55" i="6"/>
  <c r="BQ55" i="6"/>
  <c r="BP55" i="6"/>
  <c r="BO55" i="6"/>
  <c r="BN55" i="6"/>
  <c r="BM55" i="6"/>
  <c r="BL55" i="6"/>
  <c r="BK55" i="6"/>
  <c r="BJ55" i="6"/>
  <c r="BI55" i="6"/>
  <c r="BH55" i="6"/>
  <c r="BG55" i="6"/>
  <c r="BF55" i="6"/>
  <c r="BE55" i="6"/>
  <c r="BD55" i="6"/>
  <c r="BC55" i="6"/>
  <c r="BB55" i="6"/>
  <c r="BA55" i="6"/>
  <c r="AZ55" i="6"/>
  <c r="AY55" i="6"/>
  <c r="AX55" i="6"/>
  <c r="AW55" i="6"/>
  <c r="AV55" i="6"/>
  <c r="AU55" i="6"/>
  <c r="AT55" i="6"/>
  <c r="AS55" i="6"/>
  <c r="AR55" i="6"/>
  <c r="AQ55" i="6"/>
  <c r="AP55" i="6"/>
  <c r="AO55" i="6"/>
  <c r="AN55" i="6"/>
  <c r="AM55" i="6"/>
  <c r="AL55" i="6"/>
  <c r="AK55" i="6"/>
  <c r="AJ55" i="6"/>
  <c r="AI55" i="6"/>
  <c r="AH55" i="6"/>
  <c r="AG55" i="6"/>
  <c r="AF55" i="6"/>
  <c r="AE55" i="6"/>
  <c r="AD55" i="6"/>
  <c r="AC55" i="6"/>
  <c r="AB55" i="6"/>
  <c r="AA55" i="6"/>
  <c r="Z55" i="6"/>
  <c r="Y55" i="6"/>
  <c r="X55" i="6"/>
  <c r="W55" i="6"/>
  <c r="V55" i="6"/>
  <c r="U55" i="6"/>
  <c r="T55" i="6"/>
  <c r="S55" i="6"/>
  <c r="R55" i="6"/>
  <c r="Q55" i="6"/>
  <c r="P55" i="6"/>
  <c r="O55" i="6"/>
  <c r="N55" i="6"/>
  <c r="M55" i="6"/>
  <c r="L55" i="6"/>
  <c r="K55" i="6"/>
  <c r="J55" i="6"/>
  <c r="I55" i="6"/>
  <c r="H55" i="6"/>
  <c r="G55" i="6"/>
  <c r="DI54" i="6"/>
  <c r="DH54" i="6"/>
  <c r="DG54" i="6"/>
  <c r="DF54" i="6"/>
  <c r="DE54" i="6"/>
  <c r="DD54" i="6"/>
  <c r="DC54" i="6"/>
  <c r="DB54" i="6"/>
  <c r="DA54" i="6"/>
  <c r="CZ54" i="6"/>
  <c r="CY54" i="6"/>
  <c r="CX54" i="6"/>
  <c r="CW54" i="6"/>
  <c r="CV54" i="6"/>
  <c r="CU54" i="6"/>
  <c r="CT54" i="6"/>
  <c r="CS54" i="6"/>
  <c r="CR54" i="6"/>
  <c r="CQ54" i="6"/>
  <c r="CP54" i="6"/>
  <c r="CO54" i="6"/>
  <c r="CN54" i="6"/>
  <c r="CM54" i="6"/>
  <c r="CL54" i="6"/>
  <c r="CK54" i="6"/>
  <c r="CJ54" i="6"/>
  <c r="CI54" i="6"/>
  <c r="CH54" i="6"/>
  <c r="CG54" i="6"/>
  <c r="CF54" i="6"/>
  <c r="CE54" i="6"/>
  <c r="CD54" i="6"/>
  <c r="CC54" i="6"/>
  <c r="CB54" i="6"/>
  <c r="CA54" i="6"/>
  <c r="BZ54" i="6"/>
  <c r="BY54" i="6"/>
  <c r="BX54" i="6"/>
  <c r="BW54" i="6"/>
  <c r="BV54" i="6"/>
  <c r="BU54" i="6"/>
  <c r="BT54" i="6"/>
  <c r="BS54" i="6"/>
  <c r="BR54" i="6"/>
  <c r="BQ54" i="6"/>
  <c r="BP54" i="6"/>
  <c r="BO54" i="6"/>
  <c r="BN54" i="6"/>
  <c r="BM54" i="6"/>
  <c r="BL54" i="6"/>
  <c r="BK54" i="6"/>
  <c r="BJ54" i="6"/>
  <c r="BI54" i="6"/>
  <c r="BH54" i="6"/>
  <c r="BG54" i="6"/>
  <c r="BF54" i="6"/>
  <c r="BE54" i="6"/>
  <c r="BD54" i="6"/>
  <c r="BC54" i="6"/>
  <c r="BB54" i="6"/>
  <c r="BA54" i="6"/>
  <c r="AZ54" i="6"/>
  <c r="AY54" i="6"/>
  <c r="AX54" i="6"/>
  <c r="AW54" i="6"/>
  <c r="AV54" i="6"/>
  <c r="AU54" i="6"/>
  <c r="AT54" i="6"/>
  <c r="AS54" i="6"/>
  <c r="AR54" i="6"/>
  <c r="AQ54" i="6"/>
  <c r="AP54" i="6"/>
  <c r="AO54" i="6"/>
  <c r="AN54" i="6"/>
  <c r="AM54" i="6"/>
  <c r="AL54" i="6"/>
  <c r="AK54" i="6"/>
  <c r="AJ54" i="6"/>
  <c r="AI54" i="6"/>
  <c r="AH54" i="6"/>
  <c r="AG54" i="6"/>
  <c r="AF54" i="6"/>
  <c r="AE54" i="6"/>
  <c r="AD54" i="6"/>
  <c r="AC54" i="6"/>
  <c r="AB54" i="6"/>
  <c r="AA54" i="6"/>
  <c r="Z54" i="6"/>
  <c r="Y54" i="6"/>
  <c r="X54" i="6"/>
  <c r="W54" i="6"/>
  <c r="V54" i="6"/>
  <c r="U54" i="6"/>
  <c r="T54" i="6"/>
  <c r="S54" i="6"/>
  <c r="R54" i="6"/>
  <c r="Q54" i="6"/>
  <c r="P54" i="6"/>
  <c r="O54" i="6"/>
  <c r="N54" i="6"/>
  <c r="M54" i="6"/>
  <c r="L54" i="6"/>
  <c r="K54" i="6"/>
  <c r="J54" i="6"/>
  <c r="I54" i="6"/>
  <c r="H54" i="6"/>
  <c r="G54" i="6"/>
  <c r="DI53" i="6"/>
  <c r="DH53" i="6"/>
  <c r="DG53" i="6"/>
  <c r="DF53" i="6"/>
  <c r="DE53" i="6"/>
  <c r="DD53" i="6"/>
  <c r="DC53" i="6"/>
  <c r="DB53" i="6"/>
  <c r="DA53" i="6"/>
  <c r="CZ53" i="6"/>
  <c r="CY53" i="6"/>
  <c r="CX53" i="6"/>
  <c r="CW53" i="6"/>
  <c r="CV53" i="6"/>
  <c r="CU53" i="6"/>
  <c r="CT53" i="6"/>
  <c r="CS53" i="6"/>
  <c r="CR53" i="6"/>
  <c r="CQ53" i="6"/>
  <c r="CP53" i="6"/>
  <c r="CO53" i="6"/>
  <c r="CN53" i="6"/>
  <c r="CM53" i="6"/>
  <c r="CL53" i="6"/>
  <c r="CK53" i="6"/>
  <c r="CJ53" i="6"/>
  <c r="CI53" i="6"/>
  <c r="CH53" i="6"/>
  <c r="CG53" i="6"/>
  <c r="CF53" i="6"/>
  <c r="CE53" i="6"/>
  <c r="CD53" i="6"/>
  <c r="CC53" i="6"/>
  <c r="CB53" i="6"/>
  <c r="CA53" i="6"/>
  <c r="BZ53" i="6"/>
  <c r="BY53" i="6"/>
  <c r="BX53" i="6"/>
  <c r="BW53" i="6"/>
  <c r="BV53" i="6"/>
  <c r="BU53" i="6"/>
  <c r="BT53" i="6"/>
  <c r="BS53" i="6"/>
  <c r="BR53" i="6"/>
  <c r="BQ53" i="6"/>
  <c r="BP53" i="6"/>
  <c r="BO53" i="6"/>
  <c r="BN53" i="6"/>
  <c r="BM53" i="6"/>
  <c r="BL53" i="6"/>
  <c r="BK53" i="6"/>
  <c r="BJ53" i="6"/>
  <c r="BI53" i="6"/>
  <c r="BH53" i="6"/>
  <c r="BG53" i="6"/>
  <c r="BF53" i="6"/>
  <c r="BE53" i="6"/>
  <c r="BD53" i="6"/>
  <c r="BC53" i="6"/>
  <c r="BB53" i="6"/>
  <c r="BA53" i="6"/>
  <c r="AZ53" i="6"/>
  <c r="AY53" i="6"/>
  <c r="AX53" i="6"/>
  <c r="AW53" i="6"/>
  <c r="AV53" i="6"/>
  <c r="AU53"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S53" i="6"/>
  <c r="R53" i="6"/>
  <c r="Q53" i="6"/>
  <c r="P53" i="6"/>
  <c r="O53" i="6"/>
  <c r="N53" i="6"/>
  <c r="M53" i="6"/>
  <c r="L53" i="6"/>
  <c r="K53" i="6"/>
  <c r="J53" i="6"/>
  <c r="I53" i="6"/>
  <c r="H53" i="6"/>
  <c r="G53" i="6"/>
  <c r="DI52" i="6"/>
  <c r="DH52" i="6"/>
  <c r="DG52" i="6"/>
  <c r="DF52" i="6"/>
  <c r="DE52" i="6"/>
  <c r="DD52" i="6"/>
  <c r="DC52" i="6"/>
  <c r="DB52" i="6"/>
  <c r="DA52" i="6"/>
  <c r="CZ52" i="6"/>
  <c r="CY52" i="6"/>
  <c r="CX52" i="6"/>
  <c r="CW52" i="6"/>
  <c r="CV52" i="6"/>
  <c r="CU52" i="6"/>
  <c r="CT52" i="6"/>
  <c r="CS52" i="6"/>
  <c r="CR52" i="6"/>
  <c r="CQ52" i="6"/>
  <c r="CP52" i="6"/>
  <c r="CO52" i="6"/>
  <c r="CN52" i="6"/>
  <c r="CM52" i="6"/>
  <c r="CL52" i="6"/>
  <c r="CK52" i="6"/>
  <c r="CJ52" i="6"/>
  <c r="CI52" i="6"/>
  <c r="CH52" i="6"/>
  <c r="CG52" i="6"/>
  <c r="CF52" i="6"/>
  <c r="CE52" i="6"/>
  <c r="CD52" i="6"/>
  <c r="CC52" i="6"/>
  <c r="CB52" i="6"/>
  <c r="CA52" i="6"/>
  <c r="BZ52" i="6"/>
  <c r="BY52" i="6"/>
  <c r="BX52" i="6"/>
  <c r="BW52" i="6"/>
  <c r="BV52" i="6"/>
  <c r="BU52" i="6"/>
  <c r="BT52" i="6"/>
  <c r="BS52" i="6"/>
  <c r="BR52" i="6"/>
  <c r="BQ52" i="6"/>
  <c r="BP52" i="6"/>
  <c r="BO52" i="6"/>
  <c r="BN52" i="6"/>
  <c r="BM52" i="6"/>
  <c r="BL52" i="6"/>
  <c r="BK52" i="6"/>
  <c r="BJ52" i="6"/>
  <c r="BI52" i="6"/>
  <c r="BH52" i="6"/>
  <c r="BG52" i="6"/>
  <c r="BF52" i="6"/>
  <c r="BE52" i="6"/>
  <c r="BD52" i="6"/>
  <c r="BC52" i="6"/>
  <c r="BB52" i="6"/>
  <c r="BA52" i="6"/>
  <c r="AZ52" i="6"/>
  <c r="AY52" i="6"/>
  <c r="AX52" i="6"/>
  <c r="AW52" i="6"/>
  <c r="AV52" i="6"/>
  <c r="AU52" i="6"/>
  <c r="AT52" i="6"/>
  <c r="AS52" i="6"/>
  <c r="AR52" i="6"/>
  <c r="AQ52" i="6"/>
  <c r="AP52" i="6"/>
  <c r="AO52" i="6"/>
  <c r="AN52" i="6"/>
  <c r="AM52" i="6"/>
  <c r="AL52" i="6"/>
  <c r="AK52" i="6"/>
  <c r="AJ52" i="6"/>
  <c r="AI52" i="6"/>
  <c r="AH52" i="6"/>
  <c r="AG52" i="6"/>
  <c r="AF52" i="6"/>
  <c r="AE52" i="6"/>
  <c r="AD52" i="6"/>
  <c r="AC52" i="6"/>
  <c r="AB52" i="6"/>
  <c r="AA52" i="6"/>
  <c r="Z52" i="6"/>
  <c r="Y52" i="6"/>
  <c r="X52" i="6"/>
  <c r="W52" i="6"/>
  <c r="V52" i="6"/>
  <c r="U52" i="6"/>
  <c r="T52" i="6"/>
  <c r="S52" i="6"/>
  <c r="R52" i="6"/>
  <c r="Q52" i="6"/>
  <c r="P52" i="6"/>
  <c r="O52" i="6"/>
  <c r="N52" i="6"/>
  <c r="M52" i="6"/>
  <c r="L52" i="6"/>
  <c r="K52" i="6"/>
  <c r="J52" i="6"/>
  <c r="I52" i="6"/>
  <c r="H52" i="6"/>
  <c r="G52" i="6"/>
  <c r="DI51" i="6"/>
  <c r="DH51" i="6"/>
  <c r="DG51" i="6"/>
  <c r="DF51" i="6"/>
  <c r="DE51" i="6"/>
  <c r="DD51" i="6"/>
  <c r="DC51" i="6"/>
  <c r="DB51" i="6"/>
  <c r="DA51" i="6"/>
  <c r="CZ51" i="6"/>
  <c r="CY51" i="6"/>
  <c r="CX51" i="6"/>
  <c r="CW51" i="6"/>
  <c r="CV51" i="6"/>
  <c r="CU51" i="6"/>
  <c r="CT51" i="6"/>
  <c r="CS51" i="6"/>
  <c r="CR51" i="6"/>
  <c r="CQ51" i="6"/>
  <c r="CP51" i="6"/>
  <c r="CO51" i="6"/>
  <c r="CN51" i="6"/>
  <c r="CM51" i="6"/>
  <c r="CL51" i="6"/>
  <c r="CK51" i="6"/>
  <c r="CJ51" i="6"/>
  <c r="CI51" i="6"/>
  <c r="CH51" i="6"/>
  <c r="CG51" i="6"/>
  <c r="CF51" i="6"/>
  <c r="CE51" i="6"/>
  <c r="CD51" i="6"/>
  <c r="CC51" i="6"/>
  <c r="CB51" i="6"/>
  <c r="CA51" i="6"/>
  <c r="BZ51" i="6"/>
  <c r="BY51" i="6"/>
  <c r="BX51" i="6"/>
  <c r="BW51" i="6"/>
  <c r="BV51" i="6"/>
  <c r="BU51" i="6"/>
  <c r="BT51" i="6"/>
  <c r="BS51" i="6"/>
  <c r="BR51" i="6"/>
  <c r="BQ51" i="6"/>
  <c r="BP51" i="6"/>
  <c r="BO51" i="6"/>
  <c r="BN51" i="6"/>
  <c r="BM51" i="6"/>
  <c r="BL51" i="6"/>
  <c r="BK51" i="6"/>
  <c r="BJ51" i="6"/>
  <c r="BI51" i="6"/>
  <c r="BH51" i="6"/>
  <c r="BG51" i="6"/>
  <c r="BF51" i="6"/>
  <c r="BE51" i="6"/>
  <c r="BD51" i="6"/>
  <c r="BC51" i="6"/>
  <c r="BB51" i="6"/>
  <c r="BA51" i="6"/>
  <c r="AZ51" i="6"/>
  <c r="AY51" i="6"/>
  <c r="AX51"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T51" i="6"/>
  <c r="S51" i="6"/>
  <c r="R51" i="6"/>
  <c r="Q51" i="6"/>
  <c r="P51" i="6"/>
  <c r="O51" i="6"/>
  <c r="N51" i="6"/>
  <c r="M51" i="6"/>
  <c r="L51" i="6"/>
  <c r="K51" i="6"/>
  <c r="J51" i="6"/>
  <c r="I51" i="6"/>
  <c r="H51" i="6"/>
  <c r="G51" i="6"/>
  <c r="DI50" i="6"/>
  <c r="DH50" i="6"/>
  <c r="DG50" i="6"/>
  <c r="DF50" i="6"/>
  <c r="DE50" i="6"/>
  <c r="DD50" i="6"/>
  <c r="DC50" i="6"/>
  <c r="DB50" i="6"/>
  <c r="DA50" i="6"/>
  <c r="CZ50" i="6"/>
  <c r="CY50" i="6"/>
  <c r="CX50" i="6"/>
  <c r="CW50" i="6"/>
  <c r="CV50" i="6"/>
  <c r="CU50" i="6"/>
  <c r="CT50" i="6"/>
  <c r="CS50" i="6"/>
  <c r="CR50" i="6"/>
  <c r="CQ50" i="6"/>
  <c r="CP50" i="6"/>
  <c r="CO50" i="6"/>
  <c r="CN50" i="6"/>
  <c r="CM50" i="6"/>
  <c r="CL50" i="6"/>
  <c r="CK50" i="6"/>
  <c r="CJ50" i="6"/>
  <c r="CI50" i="6"/>
  <c r="CH50" i="6"/>
  <c r="CG50" i="6"/>
  <c r="CF50" i="6"/>
  <c r="CE50" i="6"/>
  <c r="CD50" i="6"/>
  <c r="CC50" i="6"/>
  <c r="CB50" i="6"/>
  <c r="CA50" i="6"/>
  <c r="BZ50" i="6"/>
  <c r="BY50" i="6"/>
  <c r="BX50" i="6"/>
  <c r="BW50" i="6"/>
  <c r="BV50" i="6"/>
  <c r="BU50" i="6"/>
  <c r="BT50" i="6"/>
  <c r="BS50" i="6"/>
  <c r="BR50" i="6"/>
  <c r="BQ50" i="6"/>
  <c r="BP50" i="6"/>
  <c r="BO50" i="6"/>
  <c r="BN50" i="6"/>
  <c r="BM50" i="6"/>
  <c r="BL50" i="6"/>
  <c r="BK50" i="6"/>
  <c r="BJ50" i="6"/>
  <c r="BI50" i="6"/>
  <c r="BH50" i="6"/>
  <c r="BG50" i="6"/>
  <c r="BF50" i="6"/>
  <c r="BE50" i="6"/>
  <c r="BD50" i="6"/>
  <c r="BC50" i="6"/>
  <c r="BB50" i="6"/>
  <c r="BA50" i="6"/>
  <c r="AZ50" i="6"/>
  <c r="AY50" i="6"/>
  <c r="AX50" i="6"/>
  <c r="AW50" i="6"/>
  <c r="AV50" i="6"/>
  <c r="AU50"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R50" i="6"/>
  <c r="Q50" i="6"/>
  <c r="P50" i="6"/>
  <c r="O50" i="6"/>
  <c r="N50" i="6"/>
  <c r="M50" i="6"/>
  <c r="L50" i="6"/>
  <c r="K50" i="6"/>
  <c r="J50" i="6"/>
  <c r="I50" i="6"/>
  <c r="H50" i="6"/>
  <c r="G50" i="6"/>
  <c r="DI49" i="6"/>
  <c r="DH49" i="6"/>
  <c r="DG49" i="6"/>
  <c r="DF49" i="6"/>
  <c r="DE49" i="6"/>
  <c r="DD49" i="6"/>
  <c r="DC49" i="6"/>
  <c r="DB49" i="6"/>
  <c r="DA49" i="6"/>
  <c r="CZ49" i="6"/>
  <c r="CY49" i="6"/>
  <c r="CX49" i="6"/>
  <c r="CW49" i="6"/>
  <c r="CV49" i="6"/>
  <c r="CU49" i="6"/>
  <c r="CT49" i="6"/>
  <c r="CS49" i="6"/>
  <c r="CR49" i="6"/>
  <c r="CQ49" i="6"/>
  <c r="CP49" i="6"/>
  <c r="CO49" i="6"/>
  <c r="CN49" i="6"/>
  <c r="CM49" i="6"/>
  <c r="CL49" i="6"/>
  <c r="CK49" i="6"/>
  <c r="CJ49" i="6"/>
  <c r="CI49" i="6"/>
  <c r="CH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O49" i="6"/>
  <c r="AN49" i="6"/>
  <c r="AM49" i="6"/>
  <c r="AL49" i="6"/>
  <c r="AK49" i="6"/>
  <c r="AJ49" i="6"/>
  <c r="AI49" i="6"/>
  <c r="AH49" i="6"/>
  <c r="AG49" i="6"/>
  <c r="AF49" i="6"/>
  <c r="AE49" i="6"/>
  <c r="AD49" i="6"/>
  <c r="AC49" i="6"/>
  <c r="AB49" i="6"/>
  <c r="AA49" i="6"/>
  <c r="Z49" i="6"/>
  <c r="Y49" i="6"/>
  <c r="X49" i="6"/>
  <c r="W49" i="6"/>
  <c r="V49" i="6"/>
  <c r="U49" i="6"/>
  <c r="T49" i="6"/>
  <c r="S49" i="6"/>
  <c r="R49" i="6"/>
  <c r="Q49" i="6"/>
  <c r="P49" i="6"/>
  <c r="O49" i="6"/>
  <c r="N49" i="6"/>
  <c r="M49" i="6"/>
  <c r="L49" i="6"/>
  <c r="K49" i="6"/>
  <c r="J49" i="6"/>
  <c r="I49" i="6"/>
  <c r="H49" i="6"/>
  <c r="G49" i="6"/>
  <c r="DI48" i="6"/>
  <c r="DH48" i="6"/>
  <c r="DG48" i="6"/>
  <c r="DF48" i="6"/>
  <c r="DE48" i="6"/>
  <c r="DD48" i="6"/>
  <c r="DC48" i="6"/>
  <c r="DB48" i="6"/>
  <c r="DA48" i="6"/>
  <c r="CZ48" i="6"/>
  <c r="CY48" i="6"/>
  <c r="CX48" i="6"/>
  <c r="CW48" i="6"/>
  <c r="CV48" i="6"/>
  <c r="CU48" i="6"/>
  <c r="CT48" i="6"/>
  <c r="CS48" i="6"/>
  <c r="CR48" i="6"/>
  <c r="CQ48" i="6"/>
  <c r="CP48" i="6"/>
  <c r="CO48" i="6"/>
  <c r="CN48" i="6"/>
  <c r="CM48" i="6"/>
  <c r="CL48" i="6"/>
  <c r="CK48" i="6"/>
  <c r="CJ48" i="6"/>
  <c r="CI48" i="6"/>
  <c r="CH48" i="6"/>
  <c r="CG48" i="6"/>
  <c r="CF48" i="6"/>
  <c r="CE48" i="6"/>
  <c r="CD48" i="6"/>
  <c r="CC48" i="6"/>
  <c r="CB48" i="6"/>
  <c r="CA48" i="6"/>
  <c r="BZ48" i="6"/>
  <c r="BY48" i="6"/>
  <c r="BX48" i="6"/>
  <c r="BW48" i="6"/>
  <c r="BV48" i="6"/>
  <c r="BU48" i="6"/>
  <c r="BT48" i="6"/>
  <c r="BS48" i="6"/>
  <c r="BR48" i="6"/>
  <c r="BQ48" i="6"/>
  <c r="BP48" i="6"/>
  <c r="BO48" i="6"/>
  <c r="BN48" i="6"/>
  <c r="BM48" i="6"/>
  <c r="BL48" i="6"/>
  <c r="BK48" i="6"/>
  <c r="BJ48" i="6"/>
  <c r="BI48" i="6"/>
  <c r="BH48" i="6"/>
  <c r="BG48" i="6"/>
  <c r="BF48" i="6"/>
  <c r="BE48" i="6"/>
  <c r="BD48" i="6"/>
  <c r="BC48" i="6"/>
  <c r="BB48" i="6"/>
  <c r="BA48" i="6"/>
  <c r="AZ48" i="6"/>
  <c r="AY48" i="6"/>
  <c r="AX48" i="6"/>
  <c r="AW48" i="6"/>
  <c r="AV48" i="6"/>
  <c r="AU48" i="6"/>
  <c r="AT48" i="6"/>
  <c r="AS48" i="6"/>
  <c r="AR48" i="6"/>
  <c r="AQ48" i="6"/>
  <c r="AP48" i="6"/>
  <c r="AO48" i="6"/>
  <c r="AN48" i="6"/>
  <c r="AM48" i="6"/>
  <c r="AL48" i="6"/>
  <c r="AK48" i="6"/>
  <c r="AJ48" i="6"/>
  <c r="AI48" i="6"/>
  <c r="AH48" i="6"/>
  <c r="AG48" i="6"/>
  <c r="AF48" i="6"/>
  <c r="AE48" i="6"/>
  <c r="AD48" i="6"/>
  <c r="AC48" i="6"/>
  <c r="AB48" i="6"/>
  <c r="AA48" i="6"/>
  <c r="Z48" i="6"/>
  <c r="Y48" i="6"/>
  <c r="X48" i="6"/>
  <c r="W48" i="6"/>
  <c r="V48" i="6"/>
  <c r="U48" i="6"/>
  <c r="T48" i="6"/>
  <c r="S48" i="6"/>
  <c r="R48" i="6"/>
  <c r="Q48" i="6"/>
  <c r="P48" i="6"/>
  <c r="O48" i="6"/>
  <c r="N48" i="6"/>
  <c r="M48" i="6"/>
  <c r="L48" i="6"/>
  <c r="K48" i="6"/>
  <c r="J48" i="6"/>
  <c r="I48" i="6"/>
  <c r="H48" i="6"/>
  <c r="G48" i="6"/>
  <c r="DI47" i="6"/>
  <c r="DH47" i="6"/>
  <c r="DG47" i="6"/>
  <c r="DF47" i="6"/>
  <c r="DE47" i="6"/>
  <c r="DD47" i="6"/>
  <c r="DC47" i="6"/>
  <c r="DB47" i="6"/>
  <c r="DA47" i="6"/>
  <c r="CZ47" i="6"/>
  <c r="CY47" i="6"/>
  <c r="CX47" i="6"/>
  <c r="CW47" i="6"/>
  <c r="CV47" i="6"/>
  <c r="CU47" i="6"/>
  <c r="CT47" i="6"/>
  <c r="CS47" i="6"/>
  <c r="CR47" i="6"/>
  <c r="CQ47" i="6"/>
  <c r="CP47" i="6"/>
  <c r="CO47" i="6"/>
  <c r="CN47" i="6"/>
  <c r="CM47" i="6"/>
  <c r="CL47" i="6"/>
  <c r="CK47" i="6"/>
  <c r="CJ47" i="6"/>
  <c r="CI47" i="6"/>
  <c r="CH47" i="6"/>
  <c r="CG47" i="6"/>
  <c r="CF47" i="6"/>
  <c r="CE47" i="6"/>
  <c r="CD47" i="6"/>
  <c r="CC47" i="6"/>
  <c r="CB47" i="6"/>
  <c r="CA47" i="6"/>
  <c r="BZ47" i="6"/>
  <c r="BY47" i="6"/>
  <c r="BX47" i="6"/>
  <c r="BW47" i="6"/>
  <c r="BV47" i="6"/>
  <c r="BU47" i="6"/>
  <c r="BT47" i="6"/>
  <c r="BS47" i="6"/>
  <c r="BR47" i="6"/>
  <c r="BQ47" i="6"/>
  <c r="BP47" i="6"/>
  <c r="BO47" i="6"/>
  <c r="BN47" i="6"/>
  <c r="BM47" i="6"/>
  <c r="BL47" i="6"/>
  <c r="BK47" i="6"/>
  <c r="BJ47" i="6"/>
  <c r="BI47" i="6"/>
  <c r="BH47" i="6"/>
  <c r="BG47" i="6"/>
  <c r="BF47" i="6"/>
  <c r="BE47" i="6"/>
  <c r="BD47" i="6"/>
  <c r="BC47" i="6"/>
  <c r="BB47" i="6"/>
  <c r="BA47" i="6"/>
  <c r="AZ47" i="6"/>
  <c r="AY47" i="6"/>
  <c r="AX47"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W47" i="6"/>
  <c r="V47" i="6"/>
  <c r="U47" i="6"/>
  <c r="T47" i="6"/>
  <c r="S47" i="6"/>
  <c r="R47" i="6"/>
  <c r="Q47" i="6"/>
  <c r="P47" i="6"/>
  <c r="O47" i="6"/>
  <c r="N47" i="6"/>
  <c r="M47" i="6"/>
  <c r="L47" i="6"/>
  <c r="K47" i="6"/>
  <c r="J47" i="6"/>
  <c r="I47" i="6"/>
  <c r="H47" i="6"/>
  <c r="G47" i="6"/>
  <c r="DI46" i="6"/>
  <c r="DH46" i="6"/>
  <c r="DG46" i="6"/>
  <c r="DF46" i="6"/>
  <c r="DE46" i="6"/>
  <c r="DD46" i="6"/>
  <c r="DC46" i="6"/>
  <c r="DB46" i="6"/>
  <c r="DA46" i="6"/>
  <c r="CZ46" i="6"/>
  <c r="CY46" i="6"/>
  <c r="CX46" i="6"/>
  <c r="CW46" i="6"/>
  <c r="CV46" i="6"/>
  <c r="CU46" i="6"/>
  <c r="CT46" i="6"/>
  <c r="CS46" i="6"/>
  <c r="CR46" i="6"/>
  <c r="CQ46" i="6"/>
  <c r="CP46" i="6"/>
  <c r="CO46" i="6"/>
  <c r="CN46" i="6"/>
  <c r="CM46" i="6"/>
  <c r="CL46" i="6"/>
  <c r="CK46" i="6"/>
  <c r="CJ46" i="6"/>
  <c r="CI46" i="6"/>
  <c r="CH46" i="6"/>
  <c r="CG46" i="6"/>
  <c r="CF46" i="6"/>
  <c r="CE46" i="6"/>
  <c r="CD46" i="6"/>
  <c r="CC46" i="6"/>
  <c r="CB46" i="6"/>
  <c r="CA46" i="6"/>
  <c r="BZ46" i="6"/>
  <c r="BY46" i="6"/>
  <c r="BX46" i="6"/>
  <c r="BW46" i="6"/>
  <c r="BV46" i="6"/>
  <c r="BU46" i="6"/>
  <c r="BT46" i="6"/>
  <c r="BS46" i="6"/>
  <c r="BR46" i="6"/>
  <c r="BQ46" i="6"/>
  <c r="BP46" i="6"/>
  <c r="BO46" i="6"/>
  <c r="BN46" i="6"/>
  <c r="BM46" i="6"/>
  <c r="BL46" i="6"/>
  <c r="BK46" i="6"/>
  <c r="BJ46" i="6"/>
  <c r="BI46" i="6"/>
  <c r="BH46" i="6"/>
  <c r="BG46" i="6"/>
  <c r="BF46" i="6"/>
  <c r="BE46" i="6"/>
  <c r="BD46" i="6"/>
  <c r="BC46" i="6"/>
  <c r="BB46" i="6"/>
  <c r="BA46" i="6"/>
  <c r="AZ46" i="6"/>
  <c r="AY46" i="6"/>
  <c r="AX46" i="6"/>
  <c r="AW46" i="6"/>
  <c r="AV46" i="6"/>
  <c r="AU46" i="6"/>
  <c r="AT46" i="6"/>
  <c r="AS46" i="6"/>
  <c r="AR46" i="6"/>
  <c r="AQ46" i="6"/>
  <c r="AP46" i="6"/>
  <c r="AO46" i="6"/>
  <c r="AN46" i="6"/>
  <c r="AM46" i="6"/>
  <c r="AL46" i="6"/>
  <c r="AK46" i="6"/>
  <c r="AJ46" i="6"/>
  <c r="AI46" i="6"/>
  <c r="AH46" i="6"/>
  <c r="AG46" i="6"/>
  <c r="AF46" i="6"/>
  <c r="AE46" i="6"/>
  <c r="AD46" i="6"/>
  <c r="AC46" i="6"/>
  <c r="AB46" i="6"/>
  <c r="AA46" i="6"/>
  <c r="Z46" i="6"/>
  <c r="Y46" i="6"/>
  <c r="X46" i="6"/>
  <c r="W46" i="6"/>
  <c r="V46" i="6"/>
  <c r="U46" i="6"/>
  <c r="T46" i="6"/>
  <c r="S46" i="6"/>
  <c r="R46" i="6"/>
  <c r="Q46" i="6"/>
  <c r="P46" i="6"/>
  <c r="O46" i="6"/>
  <c r="N46" i="6"/>
  <c r="M46" i="6"/>
  <c r="L46" i="6"/>
  <c r="K46" i="6"/>
  <c r="J46" i="6"/>
  <c r="I46" i="6"/>
  <c r="H46" i="6"/>
  <c r="G46" i="6"/>
  <c r="DI45" i="6"/>
  <c r="DH45" i="6"/>
  <c r="DG45" i="6"/>
  <c r="DF45" i="6"/>
  <c r="DE45" i="6"/>
  <c r="DD45" i="6"/>
  <c r="DC45" i="6"/>
  <c r="DB45" i="6"/>
  <c r="DA45" i="6"/>
  <c r="CZ45" i="6"/>
  <c r="CY45" i="6"/>
  <c r="CX45" i="6"/>
  <c r="CW45" i="6"/>
  <c r="CV45" i="6"/>
  <c r="CU45" i="6"/>
  <c r="CT45" i="6"/>
  <c r="CS45" i="6"/>
  <c r="CR45" i="6"/>
  <c r="CQ45" i="6"/>
  <c r="CP45" i="6"/>
  <c r="CO45" i="6"/>
  <c r="CN45" i="6"/>
  <c r="CM45" i="6"/>
  <c r="CL45" i="6"/>
  <c r="CK45" i="6"/>
  <c r="CJ45" i="6"/>
  <c r="CI45" i="6"/>
  <c r="CH45" i="6"/>
  <c r="CG45" i="6"/>
  <c r="CF45" i="6"/>
  <c r="CE45" i="6"/>
  <c r="CD45" i="6"/>
  <c r="CC45" i="6"/>
  <c r="CB45" i="6"/>
  <c r="CA45" i="6"/>
  <c r="BZ45" i="6"/>
  <c r="BY45" i="6"/>
  <c r="BX45" i="6"/>
  <c r="BW45" i="6"/>
  <c r="BV45" i="6"/>
  <c r="BU45" i="6"/>
  <c r="BT45" i="6"/>
  <c r="BS45" i="6"/>
  <c r="BR45" i="6"/>
  <c r="BQ45" i="6"/>
  <c r="BP45" i="6"/>
  <c r="BO45" i="6"/>
  <c r="BN45" i="6"/>
  <c r="BM45" i="6"/>
  <c r="BL45" i="6"/>
  <c r="BK45" i="6"/>
  <c r="BJ45" i="6"/>
  <c r="BI45" i="6"/>
  <c r="BH45" i="6"/>
  <c r="BG45" i="6"/>
  <c r="BF45" i="6"/>
  <c r="BE45" i="6"/>
  <c r="BD45" i="6"/>
  <c r="BC45" i="6"/>
  <c r="BB45" i="6"/>
  <c r="BA45" i="6"/>
  <c r="AZ45" i="6"/>
  <c r="AY45" i="6"/>
  <c r="AX45"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R45" i="6"/>
  <c r="Q45" i="6"/>
  <c r="P45" i="6"/>
  <c r="O45" i="6"/>
  <c r="N45" i="6"/>
  <c r="M45" i="6"/>
  <c r="L45" i="6"/>
  <c r="K45" i="6"/>
  <c r="J45" i="6"/>
  <c r="I45" i="6"/>
  <c r="H45" i="6"/>
  <c r="G45" i="6"/>
  <c r="DI44" i="6"/>
  <c r="DH44" i="6"/>
  <c r="DG44" i="6"/>
  <c r="DF44" i="6"/>
  <c r="DE44" i="6"/>
  <c r="DD44" i="6"/>
  <c r="DC44" i="6"/>
  <c r="DB44" i="6"/>
  <c r="DA44" i="6"/>
  <c r="CZ44" i="6"/>
  <c r="CY44" i="6"/>
  <c r="CX44" i="6"/>
  <c r="CW44" i="6"/>
  <c r="CV44" i="6"/>
  <c r="CU44" i="6"/>
  <c r="CT44" i="6"/>
  <c r="CS44" i="6"/>
  <c r="CR44" i="6"/>
  <c r="CQ44" i="6"/>
  <c r="CP44" i="6"/>
  <c r="CO44" i="6"/>
  <c r="CN44" i="6"/>
  <c r="CM44" i="6"/>
  <c r="CL44" i="6"/>
  <c r="CK44" i="6"/>
  <c r="CJ44" i="6"/>
  <c r="CI44" i="6"/>
  <c r="CH44" i="6"/>
  <c r="CG44" i="6"/>
  <c r="CF44" i="6"/>
  <c r="CE44" i="6"/>
  <c r="CD44" i="6"/>
  <c r="CC44" i="6"/>
  <c r="CB44" i="6"/>
  <c r="CA44" i="6"/>
  <c r="BZ44" i="6"/>
  <c r="BY44" i="6"/>
  <c r="BX44" i="6"/>
  <c r="BW44" i="6"/>
  <c r="BV44" i="6"/>
  <c r="BU44" i="6"/>
  <c r="BT44" i="6"/>
  <c r="BS44" i="6"/>
  <c r="BR44" i="6"/>
  <c r="BQ44" i="6"/>
  <c r="BP44" i="6"/>
  <c r="BO44" i="6"/>
  <c r="BN44" i="6"/>
  <c r="BM44" i="6"/>
  <c r="BL44" i="6"/>
  <c r="BK44" i="6"/>
  <c r="BJ44" i="6"/>
  <c r="BI44" i="6"/>
  <c r="BH44" i="6"/>
  <c r="BG44" i="6"/>
  <c r="BF44" i="6"/>
  <c r="BE44" i="6"/>
  <c r="BD44" i="6"/>
  <c r="BC44" i="6"/>
  <c r="BB44" i="6"/>
  <c r="BA44" i="6"/>
  <c r="AZ44" i="6"/>
  <c r="AY44" i="6"/>
  <c r="AX44" i="6"/>
  <c r="AW44" i="6"/>
  <c r="AV44" i="6"/>
  <c r="AU44" i="6"/>
  <c r="AT44" i="6"/>
  <c r="AS44" i="6"/>
  <c r="AR44" i="6"/>
  <c r="AQ44" i="6"/>
  <c r="AP44" i="6"/>
  <c r="AO44" i="6"/>
  <c r="AN44" i="6"/>
  <c r="AM44" i="6"/>
  <c r="AL44" i="6"/>
  <c r="AK44" i="6"/>
  <c r="AJ44" i="6"/>
  <c r="AI44" i="6"/>
  <c r="AH44" i="6"/>
  <c r="AG44" i="6"/>
  <c r="AF44" i="6"/>
  <c r="AE44" i="6"/>
  <c r="AD44" i="6"/>
  <c r="AC44" i="6"/>
  <c r="AB44" i="6"/>
  <c r="AA44" i="6"/>
  <c r="Z44" i="6"/>
  <c r="Y44" i="6"/>
  <c r="X44" i="6"/>
  <c r="W44" i="6"/>
  <c r="V44" i="6"/>
  <c r="U44" i="6"/>
  <c r="T44" i="6"/>
  <c r="S44" i="6"/>
  <c r="R44" i="6"/>
  <c r="Q44" i="6"/>
  <c r="P44" i="6"/>
  <c r="O44" i="6"/>
  <c r="N44" i="6"/>
  <c r="M44" i="6"/>
  <c r="L44" i="6"/>
  <c r="K44" i="6"/>
  <c r="J44" i="6"/>
  <c r="I44" i="6"/>
  <c r="H44" i="6"/>
  <c r="G44" i="6"/>
  <c r="DI43" i="6"/>
  <c r="DH43" i="6"/>
  <c r="DG43" i="6"/>
  <c r="DF43" i="6"/>
  <c r="DE43" i="6"/>
  <c r="DD43" i="6"/>
  <c r="DC43" i="6"/>
  <c r="DB43" i="6"/>
  <c r="DA43" i="6"/>
  <c r="CZ43" i="6"/>
  <c r="CY43" i="6"/>
  <c r="CX43" i="6"/>
  <c r="CW43" i="6"/>
  <c r="CV43" i="6"/>
  <c r="CU43" i="6"/>
  <c r="CT43" i="6"/>
  <c r="CS43" i="6"/>
  <c r="CR43" i="6"/>
  <c r="CQ43" i="6"/>
  <c r="CP43" i="6"/>
  <c r="CO43" i="6"/>
  <c r="CN43" i="6"/>
  <c r="CM43" i="6"/>
  <c r="CL43" i="6"/>
  <c r="CK43" i="6"/>
  <c r="CJ43" i="6"/>
  <c r="CI43" i="6"/>
  <c r="CH43" i="6"/>
  <c r="CG43" i="6"/>
  <c r="CF43" i="6"/>
  <c r="CE43" i="6"/>
  <c r="CD43" i="6"/>
  <c r="CC43" i="6"/>
  <c r="CB43" i="6"/>
  <c r="CA43" i="6"/>
  <c r="BZ43" i="6"/>
  <c r="BY43" i="6"/>
  <c r="BX43" i="6"/>
  <c r="BW43" i="6"/>
  <c r="BV43" i="6"/>
  <c r="BU43" i="6"/>
  <c r="BT43" i="6"/>
  <c r="BS43" i="6"/>
  <c r="BR43" i="6"/>
  <c r="BQ43" i="6"/>
  <c r="BP43" i="6"/>
  <c r="BO43" i="6"/>
  <c r="BN43" i="6"/>
  <c r="BM43" i="6"/>
  <c r="BL43" i="6"/>
  <c r="BK43" i="6"/>
  <c r="BJ43" i="6"/>
  <c r="BI43" i="6"/>
  <c r="BH43" i="6"/>
  <c r="BG43" i="6"/>
  <c r="BF43" i="6"/>
  <c r="BE43" i="6"/>
  <c r="BD43" i="6"/>
  <c r="BC43" i="6"/>
  <c r="BB43" i="6"/>
  <c r="BA43" i="6"/>
  <c r="AZ43" i="6"/>
  <c r="AY43" i="6"/>
  <c r="AX43" i="6"/>
  <c r="AW43" i="6"/>
  <c r="AV43" i="6"/>
  <c r="AU43" i="6"/>
  <c r="AT43" i="6"/>
  <c r="AS43" i="6"/>
  <c r="AR43" i="6"/>
  <c r="AQ43" i="6"/>
  <c r="AP43" i="6"/>
  <c r="AO43" i="6"/>
  <c r="AN43" i="6"/>
  <c r="AM43" i="6"/>
  <c r="AL43" i="6"/>
  <c r="AK43" i="6"/>
  <c r="AJ43" i="6"/>
  <c r="AI43" i="6"/>
  <c r="AH43" i="6"/>
  <c r="AG43" i="6"/>
  <c r="AF43" i="6"/>
  <c r="AE43" i="6"/>
  <c r="AD43" i="6"/>
  <c r="AC43" i="6"/>
  <c r="AB43" i="6"/>
  <c r="AA43" i="6"/>
  <c r="Z43" i="6"/>
  <c r="Y43" i="6"/>
  <c r="X43" i="6"/>
  <c r="W43" i="6"/>
  <c r="V43" i="6"/>
  <c r="U43" i="6"/>
  <c r="T43" i="6"/>
  <c r="S43" i="6"/>
  <c r="R43" i="6"/>
  <c r="Q43" i="6"/>
  <c r="P43" i="6"/>
  <c r="O43" i="6"/>
  <c r="N43" i="6"/>
  <c r="M43" i="6"/>
  <c r="L43" i="6"/>
  <c r="K43" i="6"/>
  <c r="J43" i="6"/>
  <c r="I43" i="6"/>
  <c r="H43" i="6"/>
  <c r="G43" i="6"/>
  <c r="DI42" i="6"/>
  <c r="DH42" i="6"/>
  <c r="DG42" i="6"/>
  <c r="DF42" i="6"/>
  <c r="DE42" i="6"/>
  <c r="DD42" i="6"/>
  <c r="DC42" i="6"/>
  <c r="DB42" i="6"/>
  <c r="DA42" i="6"/>
  <c r="CZ42" i="6"/>
  <c r="CY42" i="6"/>
  <c r="CX42" i="6"/>
  <c r="CW42" i="6"/>
  <c r="CV42" i="6"/>
  <c r="CU42" i="6"/>
  <c r="CT42" i="6"/>
  <c r="CS42" i="6"/>
  <c r="CR42" i="6"/>
  <c r="CQ42" i="6"/>
  <c r="CP42" i="6"/>
  <c r="CO42" i="6"/>
  <c r="CN42" i="6"/>
  <c r="CM42" i="6"/>
  <c r="CL42" i="6"/>
  <c r="CK42" i="6"/>
  <c r="CJ42" i="6"/>
  <c r="CI42" i="6"/>
  <c r="CH42" i="6"/>
  <c r="CG42" i="6"/>
  <c r="CF42" i="6"/>
  <c r="CE42" i="6"/>
  <c r="CD42" i="6"/>
  <c r="CC42" i="6"/>
  <c r="CB42" i="6"/>
  <c r="CA42" i="6"/>
  <c r="BZ42" i="6"/>
  <c r="BY42" i="6"/>
  <c r="BX42" i="6"/>
  <c r="BW42" i="6"/>
  <c r="BV42" i="6"/>
  <c r="BU42" i="6"/>
  <c r="BT42" i="6"/>
  <c r="BS42" i="6"/>
  <c r="BR42" i="6"/>
  <c r="BQ42" i="6"/>
  <c r="BP42" i="6"/>
  <c r="BO42" i="6"/>
  <c r="BN42" i="6"/>
  <c r="BM42" i="6"/>
  <c r="BL42" i="6"/>
  <c r="BK42" i="6"/>
  <c r="BJ42" i="6"/>
  <c r="BI42" i="6"/>
  <c r="BH42" i="6"/>
  <c r="BG42" i="6"/>
  <c r="BF42" i="6"/>
  <c r="BE42" i="6"/>
  <c r="BD42" i="6"/>
  <c r="BC42" i="6"/>
  <c r="BB42" i="6"/>
  <c r="BA42" i="6"/>
  <c r="AZ42" i="6"/>
  <c r="AY42" i="6"/>
  <c r="AX42"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R42" i="6"/>
  <c r="Q42" i="6"/>
  <c r="P42" i="6"/>
  <c r="O42" i="6"/>
  <c r="N42" i="6"/>
  <c r="M42" i="6"/>
  <c r="L42" i="6"/>
  <c r="K42" i="6"/>
  <c r="J42" i="6"/>
  <c r="I42" i="6"/>
  <c r="H42" i="6"/>
  <c r="G42" i="6"/>
  <c r="T803" i="5"/>
  <c r="U803" i="5" s="1"/>
  <c r="T802" i="5"/>
  <c r="U802" i="5" s="1"/>
  <c r="T801" i="5"/>
  <c r="U801" i="5" s="1"/>
  <c r="T800" i="5"/>
  <c r="U800" i="5" s="1"/>
  <c r="T799" i="5"/>
  <c r="U799" i="5" s="1"/>
  <c r="T798" i="5"/>
  <c r="U798" i="5" s="1"/>
  <c r="T797" i="5"/>
  <c r="U797" i="5" s="1"/>
  <c r="T796" i="5"/>
  <c r="U796" i="5" s="1"/>
  <c r="T795" i="5"/>
  <c r="U795" i="5" s="1"/>
  <c r="T794" i="5"/>
  <c r="U794" i="5" s="1"/>
  <c r="T793" i="5"/>
  <c r="U793" i="5" s="1"/>
  <c r="T792" i="5"/>
  <c r="U792" i="5" s="1"/>
  <c r="T791" i="5"/>
  <c r="U791" i="5" s="1"/>
  <c r="T790" i="5"/>
  <c r="U790" i="5" s="1"/>
  <c r="T789" i="5"/>
  <c r="U789" i="5" s="1"/>
  <c r="T788" i="5"/>
  <c r="U788" i="5" s="1"/>
  <c r="T787" i="5"/>
  <c r="U787" i="5" s="1"/>
  <c r="T786" i="5"/>
  <c r="U786" i="5" s="1"/>
  <c r="T785" i="5"/>
  <c r="U785" i="5" s="1"/>
  <c r="T784" i="5"/>
  <c r="U784" i="5" s="1"/>
  <c r="T783" i="5"/>
  <c r="U783" i="5" s="1"/>
  <c r="T782" i="5"/>
  <c r="U782" i="5" s="1"/>
  <c r="T781" i="5"/>
  <c r="U781" i="5" s="1"/>
  <c r="T780" i="5"/>
  <c r="U780" i="5" s="1"/>
  <c r="T779" i="5"/>
  <c r="U779" i="5" s="1"/>
  <c r="T778" i="5"/>
  <c r="U778" i="5" s="1"/>
  <c r="T777" i="5"/>
  <c r="U777" i="5" s="1"/>
  <c r="T776" i="5"/>
  <c r="U776" i="5" s="1"/>
  <c r="T775" i="5"/>
  <c r="U775" i="5" s="1"/>
  <c r="T774" i="5"/>
  <c r="U774" i="5" s="1"/>
  <c r="T773" i="5"/>
  <c r="U773" i="5" s="1"/>
  <c r="T772" i="5"/>
  <c r="U772" i="5" s="1"/>
  <c r="T771" i="5"/>
  <c r="U771" i="5" s="1"/>
  <c r="T770" i="5"/>
  <c r="U770" i="5" s="1"/>
  <c r="T769" i="5"/>
  <c r="U769" i="5" s="1"/>
  <c r="T768" i="5"/>
  <c r="U768" i="5" s="1"/>
  <c r="T767" i="5"/>
  <c r="U767" i="5" s="1"/>
  <c r="T766" i="5"/>
  <c r="U766" i="5" s="1"/>
  <c r="T765" i="5"/>
  <c r="U765" i="5" s="1"/>
  <c r="T764" i="5"/>
  <c r="U764" i="5" s="1"/>
  <c r="T763" i="5"/>
  <c r="U763" i="5" s="1"/>
  <c r="T762" i="5"/>
  <c r="U762" i="5" s="1"/>
  <c r="T761" i="5"/>
  <c r="U761" i="5" s="1"/>
  <c r="T760" i="5"/>
  <c r="U760" i="5" s="1"/>
  <c r="T759" i="5"/>
  <c r="U759" i="5" s="1"/>
  <c r="T758" i="5"/>
  <c r="U758" i="5" s="1"/>
  <c r="T757" i="5"/>
  <c r="U757" i="5" s="1"/>
  <c r="T756" i="5"/>
  <c r="U756" i="5" s="1"/>
  <c r="T755" i="5"/>
  <c r="U755" i="5" s="1"/>
  <c r="T754" i="5"/>
  <c r="U754" i="5" s="1"/>
  <c r="T753" i="5"/>
  <c r="U753" i="5" s="1"/>
  <c r="T752" i="5"/>
  <c r="U752" i="5" s="1"/>
  <c r="T751" i="5"/>
  <c r="U751" i="5" s="1"/>
  <c r="T750" i="5"/>
  <c r="U750" i="5" s="1"/>
  <c r="T749" i="5"/>
  <c r="U749" i="5" s="1"/>
  <c r="T748" i="5"/>
  <c r="U748" i="5" s="1"/>
  <c r="T747" i="5"/>
  <c r="U747" i="5" s="1"/>
  <c r="T746" i="5"/>
  <c r="U746" i="5" s="1"/>
  <c r="T745" i="5"/>
  <c r="U745" i="5" s="1"/>
  <c r="T744" i="5"/>
  <c r="U744" i="5" s="1"/>
  <c r="T743" i="5"/>
  <c r="U743" i="5" s="1"/>
  <c r="T742" i="5"/>
  <c r="U742" i="5" s="1"/>
  <c r="T741" i="5"/>
  <c r="U741" i="5" s="1"/>
  <c r="T740" i="5"/>
  <c r="U740" i="5" s="1"/>
  <c r="T739" i="5"/>
  <c r="U739" i="5" s="1"/>
  <c r="T738" i="5"/>
  <c r="U738" i="5" s="1"/>
  <c r="T737" i="5"/>
  <c r="U737" i="5" s="1"/>
  <c r="T736" i="5"/>
  <c r="U736" i="5" s="1"/>
  <c r="T735" i="5"/>
  <c r="U735" i="5" s="1"/>
  <c r="T734" i="5"/>
  <c r="U734" i="5" s="1"/>
  <c r="T733" i="5"/>
  <c r="U733" i="5" s="1"/>
  <c r="T732" i="5"/>
  <c r="U732" i="5" s="1"/>
  <c r="T731" i="5"/>
  <c r="U731" i="5" s="1"/>
  <c r="T730" i="5"/>
  <c r="U730" i="5" s="1"/>
  <c r="T729" i="5"/>
  <c r="U729" i="5" s="1"/>
  <c r="T728" i="5"/>
  <c r="U728" i="5" s="1"/>
  <c r="T727" i="5"/>
  <c r="U727" i="5" s="1"/>
  <c r="T726" i="5"/>
  <c r="U726" i="5" s="1"/>
  <c r="T725" i="5"/>
  <c r="U725" i="5" s="1"/>
  <c r="T724" i="5"/>
  <c r="U724" i="5" s="1"/>
  <c r="T723" i="5"/>
  <c r="U723" i="5" s="1"/>
  <c r="T722" i="5"/>
  <c r="U722" i="5" s="1"/>
  <c r="T721" i="5"/>
  <c r="U721" i="5" s="1"/>
  <c r="T720" i="5"/>
  <c r="U720" i="5" s="1"/>
  <c r="T719" i="5"/>
  <c r="U719" i="5" s="1"/>
  <c r="T718" i="5"/>
  <c r="U718" i="5" s="1"/>
  <c r="T717" i="5"/>
  <c r="U717" i="5" s="1"/>
  <c r="T716" i="5"/>
  <c r="U716" i="5" s="1"/>
  <c r="T715" i="5"/>
  <c r="U715" i="5" s="1"/>
  <c r="T714" i="5"/>
  <c r="U714" i="5" s="1"/>
  <c r="T713" i="5"/>
  <c r="U713" i="5" s="1"/>
  <c r="T712" i="5"/>
  <c r="U712" i="5" s="1"/>
  <c r="T711" i="5"/>
  <c r="U711" i="5" s="1"/>
  <c r="T710" i="5"/>
  <c r="U710" i="5" s="1"/>
  <c r="T709" i="5"/>
  <c r="U709" i="5" s="1"/>
  <c r="T708" i="5"/>
  <c r="U708" i="5" s="1"/>
  <c r="T707" i="5"/>
  <c r="U707" i="5" s="1"/>
  <c r="T706" i="5"/>
  <c r="U706" i="5" s="1"/>
  <c r="T705" i="5"/>
  <c r="U705" i="5" s="1"/>
  <c r="T704" i="5"/>
  <c r="U704" i="5" s="1"/>
  <c r="T703" i="5"/>
  <c r="U703" i="5" s="1"/>
  <c r="T702" i="5"/>
  <c r="U702" i="5" s="1"/>
  <c r="T701" i="5"/>
  <c r="U701" i="5" s="1"/>
  <c r="T700" i="5"/>
  <c r="U700" i="5" s="1"/>
  <c r="T699" i="5"/>
  <c r="U699" i="5" s="1"/>
  <c r="T698" i="5"/>
  <c r="U698" i="5" s="1"/>
  <c r="T697" i="5"/>
  <c r="U697" i="5" s="1"/>
  <c r="T696" i="5"/>
  <c r="U696" i="5" s="1"/>
  <c r="T695" i="5"/>
  <c r="U695" i="5" s="1"/>
  <c r="T694" i="5"/>
  <c r="U694" i="5" s="1"/>
  <c r="T693" i="5"/>
  <c r="U693" i="5" s="1"/>
  <c r="T692" i="5"/>
  <c r="U692" i="5" s="1"/>
  <c r="T691" i="5"/>
  <c r="U691" i="5" s="1"/>
  <c r="T690" i="5"/>
  <c r="U690" i="5" s="1"/>
  <c r="T689" i="5"/>
  <c r="U689" i="5" s="1"/>
  <c r="T688" i="5"/>
  <c r="U688" i="5" s="1"/>
  <c r="T687" i="5"/>
  <c r="U687" i="5" s="1"/>
  <c r="T686" i="5"/>
  <c r="U686" i="5" s="1"/>
  <c r="T685" i="5"/>
  <c r="U685" i="5" s="1"/>
  <c r="T684" i="5"/>
  <c r="U684" i="5" s="1"/>
  <c r="T683" i="5"/>
  <c r="U683" i="5" s="1"/>
  <c r="T682" i="5"/>
  <c r="U682" i="5" s="1"/>
  <c r="T681" i="5"/>
  <c r="U681" i="5" s="1"/>
  <c r="T680" i="5"/>
  <c r="U680" i="5" s="1"/>
  <c r="T679" i="5"/>
  <c r="U679" i="5" s="1"/>
  <c r="T678" i="5"/>
  <c r="U678" i="5" s="1"/>
  <c r="T677" i="5"/>
  <c r="U677" i="5" s="1"/>
  <c r="T676" i="5"/>
  <c r="U676" i="5" s="1"/>
  <c r="T675" i="5"/>
  <c r="U675" i="5" s="1"/>
  <c r="T674" i="5"/>
  <c r="U674" i="5" s="1"/>
  <c r="T673" i="5"/>
  <c r="U673" i="5" s="1"/>
  <c r="T672" i="5"/>
  <c r="U672" i="5" s="1"/>
  <c r="T671" i="5"/>
  <c r="U671" i="5" s="1"/>
  <c r="T670" i="5"/>
  <c r="U670" i="5" s="1"/>
  <c r="T669" i="5"/>
  <c r="U669" i="5" s="1"/>
  <c r="T668" i="5"/>
  <c r="U668" i="5" s="1"/>
  <c r="T667" i="5"/>
  <c r="U667" i="5" s="1"/>
  <c r="T666" i="5"/>
  <c r="U666" i="5" s="1"/>
  <c r="T665" i="5"/>
  <c r="U665" i="5" s="1"/>
  <c r="T664" i="5"/>
  <c r="U664" i="5" s="1"/>
  <c r="T663" i="5"/>
  <c r="U663" i="5" s="1"/>
  <c r="T662" i="5"/>
  <c r="U662" i="5" s="1"/>
  <c r="T661" i="5"/>
  <c r="U661" i="5" s="1"/>
  <c r="T660" i="5"/>
  <c r="U660" i="5" s="1"/>
  <c r="T659" i="5"/>
  <c r="U659" i="5" s="1"/>
  <c r="T658" i="5"/>
  <c r="U658" i="5" s="1"/>
  <c r="T657" i="5"/>
  <c r="U657" i="5" s="1"/>
  <c r="T656" i="5"/>
  <c r="U656" i="5" s="1"/>
  <c r="T655" i="5"/>
  <c r="U655" i="5" s="1"/>
  <c r="T654" i="5"/>
  <c r="U654" i="5" s="1"/>
  <c r="T653" i="5"/>
  <c r="U653" i="5" s="1"/>
  <c r="T652" i="5"/>
  <c r="U652" i="5" s="1"/>
  <c r="T651" i="5"/>
  <c r="U651" i="5" s="1"/>
  <c r="T650" i="5"/>
  <c r="U650" i="5" s="1"/>
  <c r="T649" i="5"/>
  <c r="U649" i="5" s="1"/>
  <c r="T648" i="5"/>
  <c r="U648" i="5" s="1"/>
  <c r="T647" i="5"/>
  <c r="U647" i="5" s="1"/>
  <c r="T646" i="5"/>
  <c r="U646" i="5" s="1"/>
  <c r="T645" i="5"/>
  <c r="U645" i="5" s="1"/>
  <c r="T644" i="5"/>
  <c r="U644" i="5" s="1"/>
  <c r="T643" i="5"/>
  <c r="U643" i="5" s="1"/>
  <c r="T642" i="5"/>
  <c r="U642" i="5" s="1"/>
  <c r="T641" i="5"/>
  <c r="U641" i="5" s="1"/>
  <c r="T640" i="5"/>
  <c r="U640" i="5" s="1"/>
  <c r="T639" i="5"/>
  <c r="U639" i="5" s="1"/>
  <c r="T638" i="5"/>
  <c r="U638" i="5" s="1"/>
  <c r="T637" i="5"/>
  <c r="U637" i="5" s="1"/>
  <c r="T636" i="5"/>
  <c r="U636" i="5" s="1"/>
  <c r="T635" i="5"/>
  <c r="U635" i="5" s="1"/>
  <c r="T634" i="5"/>
  <c r="U634" i="5" s="1"/>
  <c r="T633" i="5"/>
  <c r="U633" i="5" s="1"/>
  <c r="T632" i="5"/>
  <c r="U632" i="5" s="1"/>
  <c r="T631" i="5"/>
  <c r="U631" i="5" s="1"/>
  <c r="T630" i="5"/>
  <c r="U630" i="5" s="1"/>
  <c r="T629" i="5"/>
  <c r="U629" i="5" s="1"/>
  <c r="T628" i="5"/>
  <c r="U628" i="5" s="1"/>
  <c r="T627" i="5"/>
  <c r="U627" i="5" s="1"/>
  <c r="T626" i="5"/>
  <c r="U626" i="5" s="1"/>
  <c r="T625" i="5"/>
  <c r="U625" i="5" s="1"/>
  <c r="T624" i="5"/>
  <c r="U624" i="5" s="1"/>
  <c r="T623" i="5"/>
  <c r="U623" i="5" s="1"/>
  <c r="T622" i="5"/>
  <c r="U622" i="5" s="1"/>
  <c r="T621" i="5"/>
  <c r="U621" i="5" s="1"/>
  <c r="T620" i="5"/>
  <c r="U620" i="5" s="1"/>
  <c r="T619" i="5"/>
  <c r="U619" i="5" s="1"/>
  <c r="T618" i="5"/>
  <c r="U618" i="5" s="1"/>
  <c r="T617" i="5"/>
  <c r="U617" i="5" s="1"/>
  <c r="T616" i="5"/>
  <c r="U616" i="5" s="1"/>
  <c r="T615" i="5"/>
  <c r="U615" i="5" s="1"/>
  <c r="T614" i="5"/>
  <c r="U614" i="5" s="1"/>
  <c r="T613" i="5"/>
  <c r="U613" i="5" s="1"/>
  <c r="T612" i="5"/>
  <c r="U612" i="5" s="1"/>
  <c r="T611" i="5"/>
  <c r="U611" i="5" s="1"/>
  <c r="T610" i="5"/>
  <c r="U610" i="5" s="1"/>
  <c r="T609" i="5"/>
  <c r="U609" i="5" s="1"/>
  <c r="T608" i="5"/>
  <c r="U608" i="5" s="1"/>
  <c r="T607" i="5"/>
  <c r="U607" i="5" s="1"/>
  <c r="T606" i="5"/>
  <c r="U606" i="5" s="1"/>
  <c r="T605" i="5"/>
  <c r="U605" i="5" s="1"/>
  <c r="T604" i="5"/>
  <c r="U604" i="5" s="1"/>
  <c r="T603" i="5"/>
  <c r="U603" i="5" s="1"/>
  <c r="T602" i="5"/>
  <c r="U602" i="5" s="1"/>
  <c r="T601" i="5"/>
  <c r="U601" i="5" s="1"/>
  <c r="T600" i="5"/>
  <c r="U600" i="5" s="1"/>
  <c r="T599" i="5"/>
  <c r="U599" i="5" s="1"/>
  <c r="T598" i="5"/>
  <c r="U598" i="5" s="1"/>
  <c r="T597" i="5"/>
  <c r="U597" i="5" s="1"/>
  <c r="T596" i="5"/>
  <c r="U596" i="5" s="1"/>
  <c r="T595" i="5"/>
  <c r="U595" i="5" s="1"/>
  <c r="T594" i="5"/>
  <c r="U594" i="5" s="1"/>
  <c r="T593" i="5"/>
  <c r="U593" i="5" s="1"/>
  <c r="T592" i="5"/>
  <c r="U592" i="5" s="1"/>
  <c r="T591" i="5"/>
  <c r="U591" i="5" s="1"/>
  <c r="T590" i="5"/>
  <c r="U590" i="5" s="1"/>
  <c r="T589" i="5"/>
  <c r="U589" i="5" s="1"/>
  <c r="T588" i="5"/>
  <c r="U588" i="5" s="1"/>
  <c r="T587" i="5"/>
  <c r="U587" i="5" s="1"/>
  <c r="T586" i="5"/>
  <c r="U586" i="5" s="1"/>
  <c r="T585" i="5"/>
  <c r="U585" i="5" s="1"/>
  <c r="T584" i="5"/>
  <c r="U584" i="5" s="1"/>
  <c r="T583" i="5"/>
  <c r="U583" i="5" s="1"/>
  <c r="T582" i="5"/>
  <c r="U582" i="5" s="1"/>
  <c r="T581" i="5"/>
  <c r="U581" i="5" s="1"/>
  <c r="T580" i="5"/>
  <c r="U580" i="5" s="1"/>
  <c r="T579" i="5"/>
  <c r="U579" i="5" s="1"/>
  <c r="T578" i="5"/>
  <c r="U578" i="5" s="1"/>
  <c r="T577" i="5"/>
  <c r="U577" i="5" s="1"/>
  <c r="T576" i="5"/>
  <c r="U576" i="5" s="1"/>
  <c r="T575" i="5"/>
  <c r="U575" i="5" s="1"/>
  <c r="T574" i="5"/>
  <c r="U574" i="5" s="1"/>
  <c r="T573" i="5"/>
  <c r="U573" i="5" s="1"/>
  <c r="T572" i="5"/>
  <c r="U572" i="5" s="1"/>
  <c r="T571" i="5"/>
  <c r="U571" i="5" s="1"/>
  <c r="T570" i="5"/>
  <c r="U570" i="5" s="1"/>
  <c r="T569" i="5"/>
  <c r="U569" i="5" s="1"/>
  <c r="T568" i="5"/>
  <c r="U568" i="5" s="1"/>
  <c r="T567" i="5"/>
  <c r="U567" i="5" s="1"/>
  <c r="T566" i="5"/>
  <c r="U566" i="5" s="1"/>
  <c r="T565" i="5"/>
  <c r="U565" i="5" s="1"/>
  <c r="T564" i="5"/>
  <c r="U564" i="5" s="1"/>
  <c r="T563" i="5"/>
  <c r="U563" i="5" s="1"/>
  <c r="T562" i="5"/>
  <c r="U562" i="5" s="1"/>
  <c r="T561" i="5"/>
  <c r="U561" i="5" s="1"/>
  <c r="T560" i="5"/>
  <c r="U560" i="5" s="1"/>
  <c r="T559" i="5"/>
  <c r="U559" i="5" s="1"/>
  <c r="T558" i="5"/>
  <c r="U558" i="5" s="1"/>
  <c r="T557" i="5"/>
  <c r="U557" i="5" s="1"/>
  <c r="T556" i="5"/>
  <c r="U556" i="5" s="1"/>
  <c r="T555" i="5"/>
  <c r="U555" i="5" s="1"/>
  <c r="T554" i="5"/>
  <c r="U554" i="5" s="1"/>
  <c r="T553" i="5"/>
  <c r="U553" i="5" s="1"/>
  <c r="T552" i="5"/>
  <c r="U552" i="5" s="1"/>
  <c r="T551" i="5"/>
  <c r="U551" i="5" s="1"/>
  <c r="T550" i="5"/>
  <c r="U550" i="5" s="1"/>
  <c r="T549" i="5"/>
  <c r="U549" i="5" s="1"/>
  <c r="T548" i="5"/>
  <c r="U548" i="5" s="1"/>
  <c r="T547" i="5"/>
  <c r="U547" i="5" s="1"/>
  <c r="T546" i="5"/>
  <c r="U546" i="5" s="1"/>
  <c r="T545" i="5"/>
  <c r="U545" i="5" s="1"/>
  <c r="T544" i="5"/>
  <c r="U544" i="5" s="1"/>
  <c r="T543" i="5"/>
  <c r="U543" i="5" s="1"/>
  <c r="T542" i="5"/>
  <c r="U542" i="5" s="1"/>
  <c r="T541" i="5"/>
  <c r="U541" i="5" s="1"/>
  <c r="T540" i="5"/>
  <c r="U540" i="5" s="1"/>
  <c r="T539" i="5"/>
  <c r="U539" i="5" s="1"/>
  <c r="T538" i="5"/>
  <c r="U538" i="5" s="1"/>
  <c r="T537" i="5"/>
  <c r="U537" i="5" s="1"/>
  <c r="T536" i="5"/>
  <c r="U536" i="5" s="1"/>
  <c r="T535" i="5"/>
  <c r="U535" i="5" s="1"/>
  <c r="T534" i="5"/>
  <c r="U534" i="5" s="1"/>
  <c r="T533" i="5"/>
  <c r="U533" i="5" s="1"/>
  <c r="T532" i="5"/>
  <c r="U532" i="5" s="1"/>
  <c r="T531" i="5"/>
  <c r="U531" i="5" s="1"/>
  <c r="T530" i="5"/>
  <c r="U530" i="5" s="1"/>
  <c r="T529" i="5"/>
  <c r="U529" i="5" s="1"/>
  <c r="T528" i="5"/>
  <c r="U528" i="5" s="1"/>
  <c r="T527" i="5"/>
  <c r="U527" i="5" s="1"/>
  <c r="T526" i="5"/>
  <c r="U526" i="5" s="1"/>
  <c r="T525" i="5"/>
  <c r="U525" i="5" s="1"/>
  <c r="T524" i="5"/>
  <c r="U524" i="5" s="1"/>
  <c r="T523" i="5"/>
  <c r="U523" i="5" s="1"/>
  <c r="T522" i="5"/>
  <c r="U522" i="5" s="1"/>
  <c r="T521" i="5"/>
  <c r="U521" i="5" s="1"/>
  <c r="T520" i="5"/>
  <c r="U520" i="5" s="1"/>
  <c r="T519" i="5"/>
  <c r="U519" i="5" s="1"/>
  <c r="T518" i="5"/>
  <c r="U518" i="5" s="1"/>
  <c r="T517" i="5"/>
  <c r="U517" i="5" s="1"/>
  <c r="T516" i="5"/>
  <c r="U516" i="5" s="1"/>
  <c r="T515" i="5"/>
  <c r="U515" i="5" s="1"/>
  <c r="T514" i="5"/>
  <c r="U514" i="5" s="1"/>
  <c r="T513" i="5"/>
  <c r="U513" i="5" s="1"/>
  <c r="T512" i="5"/>
  <c r="U512" i="5" s="1"/>
  <c r="T511" i="5"/>
  <c r="U511" i="5" s="1"/>
  <c r="T510" i="5"/>
  <c r="U510" i="5" s="1"/>
  <c r="T509" i="5"/>
  <c r="U509" i="5" s="1"/>
  <c r="T508" i="5"/>
  <c r="U508" i="5" s="1"/>
  <c r="T507" i="5"/>
  <c r="U507" i="5" s="1"/>
  <c r="T506" i="5"/>
  <c r="U506" i="5" s="1"/>
  <c r="T505" i="5"/>
  <c r="U505" i="5" s="1"/>
  <c r="T504" i="5"/>
  <c r="U504" i="5" s="1"/>
  <c r="T503" i="5"/>
  <c r="U503" i="5" s="1"/>
  <c r="T502" i="5"/>
  <c r="U502" i="5" s="1"/>
  <c r="T501" i="5"/>
  <c r="U501" i="5" s="1"/>
  <c r="T500" i="5"/>
  <c r="U500" i="5" s="1"/>
  <c r="T499" i="5"/>
  <c r="U499" i="5" s="1"/>
  <c r="T498" i="5"/>
  <c r="U498" i="5" s="1"/>
  <c r="T497" i="5"/>
  <c r="U497" i="5" s="1"/>
  <c r="T496" i="5"/>
  <c r="U496" i="5" s="1"/>
  <c r="T495" i="5"/>
  <c r="U495" i="5" s="1"/>
  <c r="T494" i="5"/>
  <c r="U494" i="5" s="1"/>
  <c r="T493" i="5"/>
  <c r="U493" i="5" s="1"/>
  <c r="T492" i="5"/>
  <c r="U492" i="5" s="1"/>
  <c r="T491" i="5"/>
  <c r="U491" i="5" s="1"/>
  <c r="T490" i="5"/>
  <c r="U490" i="5" s="1"/>
  <c r="T489" i="5"/>
  <c r="U489" i="5" s="1"/>
  <c r="T488" i="5"/>
  <c r="U488" i="5" s="1"/>
  <c r="T487" i="5"/>
  <c r="U487" i="5" s="1"/>
  <c r="T486" i="5"/>
  <c r="U486" i="5" s="1"/>
  <c r="T485" i="5"/>
  <c r="U485" i="5" s="1"/>
  <c r="T484" i="5"/>
  <c r="U484" i="5" s="1"/>
  <c r="T483" i="5"/>
  <c r="U483" i="5" s="1"/>
  <c r="T482" i="5"/>
  <c r="U482" i="5" s="1"/>
  <c r="T481" i="5"/>
  <c r="U481" i="5" s="1"/>
  <c r="T480" i="5"/>
  <c r="U480" i="5" s="1"/>
  <c r="T479" i="5"/>
  <c r="U479" i="5" s="1"/>
  <c r="T478" i="5"/>
  <c r="U478" i="5" s="1"/>
  <c r="T477" i="5"/>
  <c r="U477" i="5" s="1"/>
  <c r="T476" i="5"/>
  <c r="U476" i="5" s="1"/>
  <c r="T475" i="5"/>
  <c r="U475" i="5" s="1"/>
  <c r="T474" i="5"/>
  <c r="U474" i="5" s="1"/>
  <c r="T473" i="5"/>
  <c r="U473" i="5" s="1"/>
  <c r="T472" i="5"/>
  <c r="U472" i="5" s="1"/>
  <c r="T471" i="5"/>
  <c r="U471" i="5" s="1"/>
  <c r="T470" i="5"/>
  <c r="U470" i="5" s="1"/>
  <c r="T469" i="5"/>
  <c r="U469" i="5" s="1"/>
  <c r="T468" i="5"/>
  <c r="U468" i="5" s="1"/>
  <c r="T467" i="5"/>
  <c r="U467" i="5" s="1"/>
  <c r="T466" i="5"/>
  <c r="U466" i="5" s="1"/>
  <c r="T465" i="5"/>
  <c r="U465" i="5" s="1"/>
  <c r="T464" i="5"/>
  <c r="U464" i="5" s="1"/>
  <c r="T463" i="5"/>
  <c r="U463" i="5" s="1"/>
  <c r="T462" i="5"/>
  <c r="U462" i="5" s="1"/>
  <c r="T461" i="5"/>
  <c r="U461" i="5" s="1"/>
  <c r="T460" i="5"/>
  <c r="U460" i="5" s="1"/>
  <c r="T459" i="5"/>
  <c r="U459" i="5" s="1"/>
  <c r="T458" i="5"/>
  <c r="U458" i="5" s="1"/>
  <c r="T457" i="5"/>
  <c r="U457" i="5" s="1"/>
  <c r="T456" i="5"/>
  <c r="U456" i="5" s="1"/>
  <c r="T455" i="5"/>
  <c r="U455" i="5" s="1"/>
  <c r="T454" i="5"/>
  <c r="U454" i="5" s="1"/>
  <c r="T453" i="5"/>
  <c r="U453" i="5" s="1"/>
  <c r="T452" i="5"/>
  <c r="U452" i="5" s="1"/>
  <c r="T451" i="5"/>
  <c r="U451" i="5" s="1"/>
  <c r="T450" i="5"/>
  <c r="U450" i="5" s="1"/>
  <c r="T449" i="5"/>
  <c r="U449" i="5" s="1"/>
  <c r="T448" i="5"/>
  <c r="U448" i="5" s="1"/>
  <c r="T447" i="5"/>
  <c r="U447" i="5" s="1"/>
  <c r="T446" i="5"/>
  <c r="U446" i="5" s="1"/>
  <c r="T445" i="5"/>
  <c r="U445" i="5" s="1"/>
  <c r="T444" i="5"/>
  <c r="U444" i="5" s="1"/>
  <c r="T443" i="5"/>
  <c r="U443" i="5" s="1"/>
  <c r="T442" i="5"/>
  <c r="U442" i="5" s="1"/>
  <c r="T441" i="5"/>
  <c r="U441" i="5" s="1"/>
  <c r="T440" i="5"/>
  <c r="U440" i="5" s="1"/>
  <c r="T439" i="5"/>
  <c r="U439" i="5" s="1"/>
  <c r="T438" i="5"/>
  <c r="U438" i="5" s="1"/>
  <c r="T437" i="5"/>
  <c r="U437" i="5" s="1"/>
  <c r="T436" i="5"/>
  <c r="U436" i="5" s="1"/>
  <c r="T435" i="5"/>
  <c r="U435" i="5" s="1"/>
  <c r="T434" i="5"/>
  <c r="U434" i="5" s="1"/>
  <c r="T433" i="5"/>
  <c r="U433" i="5" s="1"/>
  <c r="T432" i="5"/>
  <c r="U432" i="5" s="1"/>
  <c r="T431" i="5"/>
  <c r="U431" i="5" s="1"/>
  <c r="T430" i="5"/>
  <c r="U430" i="5" s="1"/>
  <c r="T429" i="5"/>
  <c r="U429" i="5" s="1"/>
  <c r="T428" i="5"/>
  <c r="U428" i="5" s="1"/>
  <c r="T427" i="5"/>
  <c r="U427" i="5" s="1"/>
  <c r="T426" i="5"/>
  <c r="U426" i="5" s="1"/>
  <c r="T425" i="5"/>
  <c r="U425" i="5" s="1"/>
  <c r="T424" i="5"/>
  <c r="U424" i="5" s="1"/>
  <c r="T423" i="5"/>
  <c r="U423" i="5" s="1"/>
  <c r="T422" i="5"/>
  <c r="U422" i="5" s="1"/>
  <c r="T421" i="5"/>
  <c r="U421" i="5" s="1"/>
  <c r="T420" i="5"/>
  <c r="U420" i="5" s="1"/>
  <c r="T419" i="5"/>
  <c r="U419" i="5" s="1"/>
  <c r="T418" i="5"/>
  <c r="U418" i="5" s="1"/>
  <c r="T417" i="5"/>
  <c r="U417" i="5" s="1"/>
  <c r="T416" i="5"/>
  <c r="U416" i="5" s="1"/>
  <c r="T415" i="5"/>
  <c r="U415" i="5" s="1"/>
  <c r="T414" i="5"/>
  <c r="U414" i="5" s="1"/>
  <c r="T413" i="5"/>
  <c r="U413" i="5" s="1"/>
  <c r="T412" i="5"/>
  <c r="U412" i="5" s="1"/>
  <c r="T411" i="5"/>
  <c r="U411" i="5" s="1"/>
  <c r="T410" i="5"/>
  <c r="U410" i="5" s="1"/>
  <c r="T409" i="5"/>
  <c r="U409" i="5" s="1"/>
  <c r="T408" i="5"/>
  <c r="U408" i="5" s="1"/>
  <c r="T407" i="5"/>
  <c r="U407" i="5" s="1"/>
  <c r="T406" i="5"/>
  <c r="U406" i="5" s="1"/>
  <c r="T405" i="5"/>
  <c r="U405" i="5" s="1"/>
  <c r="T404" i="5"/>
  <c r="U404" i="5" s="1"/>
  <c r="T403" i="5"/>
  <c r="U403" i="5" s="1"/>
  <c r="T402" i="5"/>
  <c r="U402" i="5" s="1"/>
  <c r="T401" i="5"/>
  <c r="U401" i="5" s="1"/>
  <c r="T400" i="5"/>
  <c r="U400" i="5" s="1"/>
  <c r="T399" i="5"/>
  <c r="U399" i="5" s="1"/>
  <c r="T398" i="5"/>
  <c r="U398" i="5" s="1"/>
  <c r="T397" i="5"/>
  <c r="U397" i="5" s="1"/>
  <c r="T396" i="5"/>
  <c r="U396" i="5" s="1"/>
  <c r="T395" i="5"/>
  <c r="U395" i="5" s="1"/>
  <c r="T394" i="5"/>
  <c r="U394" i="5" s="1"/>
  <c r="T393" i="5"/>
  <c r="U393" i="5" s="1"/>
  <c r="T392" i="5"/>
  <c r="U392" i="5" s="1"/>
  <c r="T391" i="5"/>
  <c r="U391" i="5" s="1"/>
  <c r="T390" i="5"/>
  <c r="U390" i="5" s="1"/>
  <c r="T389" i="5"/>
  <c r="U389" i="5" s="1"/>
  <c r="T388" i="5"/>
  <c r="U388" i="5" s="1"/>
  <c r="T387" i="5"/>
  <c r="U387" i="5" s="1"/>
  <c r="T386" i="5"/>
  <c r="U386" i="5" s="1"/>
  <c r="T385" i="5"/>
  <c r="U385" i="5" s="1"/>
  <c r="T384" i="5"/>
  <c r="U384" i="5" s="1"/>
  <c r="T383" i="5"/>
  <c r="U383" i="5" s="1"/>
  <c r="T382" i="5"/>
  <c r="U382" i="5" s="1"/>
  <c r="T381" i="5"/>
  <c r="U381" i="5" s="1"/>
  <c r="T380" i="5"/>
  <c r="U380" i="5" s="1"/>
  <c r="T379" i="5"/>
  <c r="U379" i="5" s="1"/>
  <c r="T378" i="5"/>
  <c r="U378" i="5" s="1"/>
  <c r="T377" i="5"/>
  <c r="U377" i="5" s="1"/>
  <c r="T376" i="5"/>
  <c r="U376" i="5" s="1"/>
  <c r="T375" i="5"/>
  <c r="U375" i="5" s="1"/>
  <c r="T374" i="5"/>
  <c r="U374" i="5" s="1"/>
  <c r="T373" i="5"/>
  <c r="U373" i="5" s="1"/>
  <c r="T372" i="5"/>
  <c r="U372" i="5" s="1"/>
  <c r="T371" i="5"/>
  <c r="U371" i="5" s="1"/>
  <c r="T370" i="5"/>
  <c r="U370" i="5" s="1"/>
  <c r="T369" i="5"/>
  <c r="U369" i="5" s="1"/>
  <c r="T368" i="5"/>
  <c r="U368" i="5" s="1"/>
  <c r="T367" i="5"/>
  <c r="U367" i="5" s="1"/>
  <c r="T366" i="5"/>
  <c r="U366" i="5" s="1"/>
  <c r="T365" i="5"/>
  <c r="U365" i="5" s="1"/>
  <c r="T364" i="5"/>
  <c r="U364" i="5" s="1"/>
  <c r="T363" i="5"/>
  <c r="U363" i="5" s="1"/>
  <c r="T362" i="5"/>
  <c r="U362" i="5" s="1"/>
  <c r="T361" i="5"/>
  <c r="U361" i="5" s="1"/>
  <c r="T360" i="5"/>
  <c r="U360" i="5" s="1"/>
  <c r="T359" i="5"/>
  <c r="U359" i="5" s="1"/>
  <c r="T358" i="5"/>
  <c r="U358" i="5" s="1"/>
  <c r="T357" i="5"/>
  <c r="U357" i="5" s="1"/>
  <c r="T356" i="5"/>
  <c r="U356" i="5" s="1"/>
  <c r="T355" i="5"/>
  <c r="U355" i="5" s="1"/>
  <c r="T354" i="5"/>
  <c r="U354" i="5" s="1"/>
  <c r="T353" i="5"/>
  <c r="U353" i="5" s="1"/>
  <c r="T352" i="5"/>
  <c r="U352" i="5" s="1"/>
  <c r="T351" i="5"/>
  <c r="U351" i="5" s="1"/>
  <c r="T350" i="5"/>
  <c r="U350" i="5" s="1"/>
  <c r="T349" i="5"/>
  <c r="U349" i="5" s="1"/>
  <c r="T348" i="5"/>
  <c r="U348" i="5" s="1"/>
  <c r="T347" i="5"/>
  <c r="U347" i="5" s="1"/>
  <c r="T346" i="5"/>
  <c r="U346" i="5" s="1"/>
  <c r="T345" i="5"/>
  <c r="U345" i="5" s="1"/>
  <c r="T344" i="5"/>
  <c r="U344" i="5" s="1"/>
  <c r="T343" i="5"/>
  <c r="U343" i="5" s="1"/>
  <c r="T342" i="5"/>
  <c r="U342" i="5" s="1"/>
  <c r="T341" i="5"/>
  <c r="U341" i="5" s="1"/>
  <c r="T340" i="5"/>
  <c r="U340" i="5" s="1"/>
  <c r="T339" i="5"/>
  <c r="U339" i="5" s="1"/>
  <c r="T338" i="5"/>
  <c r="U338" i="5" s="1"/>
  <c r="T337" i="5"/>
  <c r="U337" i="5" s="1"/>
  <c r="T336" i="5"/>
  <c r="U336" i="5" s="1"/>
  <c r="T335" i="5"/>
  <c r="U335" i="5" s="1"/>
  <c r="T334" i="5"/>
  <c r="U334" i="5" s="1"/>
  <c r="T333" i="5"/>
  <c r="U333" i="5" s="1"/>
  <c r="T332" i="5"/>
  <c r="U332" i="5" s="1"/>
  <c r="T331" i="5"/>
  <c r="U331" i="5" s="1"/>
  <c r="T330" i="5"/>
  <c r="U330" i="5" s="1"/>
  <c r="T329" i="5"/>
  <c r="U329" i="5" s="1"/>
  <c r="T328" i="5"/>
  <c r="U328" i="5" s="1"/>
  <c r="T327" i="5"/>
  <c r="U327" i="5" s="1"/>
  <c r="T326" i="5"/>
  <c r="U326" i="5" s="1"/>
  <c r="T325" i="5"/>
  <c r="U325" i="5" s="1"/>
  <c r="T324" i="5"/>
  <c r="U324" i="5" s="1"/>
  <c r="T323" i="5"/>
  <c r="U323" i="5" s="1"/>
  <c r="T322" i="5"/>
  <c r="U322" i="5" s="1"/>
  <c r="T321" i="5"/>
  <c r="U321" i="5" s="1"/>
  <c r="T320" i="5"/>
  <c r="U320" i="5" s="1"/>
  <c r="T319" i="5"/>
  <c r="U319" i="5" s="1"/>
  <c r="T318" i="5"/>
  <c r="U318" i="5" s="1"/>
  <c r="T317" i="5"/>
  <c r="U317" i="5" s="1"/>
  <c r="T316" i="5"/>
  <c r="U316" i="5" s="1"/>
  <c r="T315" i="5"/>
  <c r="U315" i="5" s="1"/>
  <c r="T314" i="5"/>
  <c r="U314" i="5" s="1"/>
  <c r="T313" i="5"/>
  <c r="U313" i="5" s="1"/>
  <c r="T312" i="5"/>
  <c r="U312" i="5" s="1"/>
  <c r="T311" i="5"/>
  <c r="U311" i="5" s="1"/>
  <c r="T310" i="5"/>
  <c r="U310" i="5" s="1"/>
  <c r="T309" i="5"/>
  <c r="U309" i="5" s="1"/>
  <c r="T308" i="5"/>
  <c r="U308" i="5" s="1"/>
  <c r="T307" i="5"/>
  <c r="U307" i="5" s="1"/>
  <c r="T306" i="5"/>
  <c r="U306" i="5" s="1"/>
  <c r="T305" i="5"/>
  <c r="U305" i="5" s="1"/>
  <c r="T304" i="5"/>
  <c r="U304" i="5" s="1"/>
  <c r="T303" i="5"/>
  <c r="U303" i="5" s="1"/>
  <c r="T302" i="5"/>
  <c r="U302" i="5" s="1"/>
  <c r="T301" i="5"/>
  <c r="U301" i="5" s="1"/>
  <c r="T300" i="5"/>
  <c r="U300" i="5" s="1"/>
  <c r="T299" i="5"/>
  <c r="U299" i="5" s="1"/>
  <c r="T298" i="5"/>
  <c r="U298" i="5" s="1"/>
  <c r="T297" i="5"/>
  <c r="U297" i="5" s="1"/>
  <c r="T296" i="5"/>
  <c r="U296" i="5" s="1"/>
  <c r="T295" i="5"/>
  <c r="U295" i="5" s="1"/>
  <c r="T294" i="5"/>
  <c r="U294" i="5" s="1"/>
  <c r="T293" i="5"/>
  <c r="U293" i="5" s="1"/>
  <c r="T292" i="5"/>
  <c r="U292" i="5" s="1"/>
  <c r="T291" i="5"/>
  <c r="U291" i="5" s="1"/>
  <c r="T290" i="5"/>
  <c r="U290" i="5" s="1"/>
  <c r="T289" i="5"/>
  <c r="U289" i="5" s="1"/>
  <c r="T288" i="5"/>
  <c r="U288" i="5" s="1"/>
  <c r="T287" i="5"/>
  <c r="U287" i="5" s="1"/>
  <c r="T286" i="5"/>
  <c r="U286" i="5" s="1"/>
  <c r="T285" i="5"/>
  <c r="U285" i="5" s="1"/>
  <c r="T284" i="5"/>
  <c r="U284" i="5" s="1"/>
  <c r="T283" i="5"/>
  <c r="U283" i="5" s="1"/>
  <c r="T282" i="5"/>
  <c r="U282" i="5" s="1"/>
  <c r="T281" i="5"/>
  <c r="U281" i="5" s="1"/>
  <c r="T280" i="5"/>
  <c r="U280" i="5" s="1"/>
  <c r="T279" i="5"/>
  <c r="U279" i="5" s="1"/>
  <c r="T278" i="5"/>
  <c r="U278" i="5" s="1"/>
  <c r="T277" i="5"/>
  <c r="U277" i="5" s="1"/>
  <c r="T276" i="5"/>
  <c r="U276" i="5" s="1"/>
  <c r="T275" i="5"/>
  <c r="U275" i="5" s="1"/>
  <c r="T274" i="5"/>
  <c r="U274" i="5" s="1"/>
  <c r="T273" i="5"/>
  <c r="U273" i="5" s="1"/>
  <c r="T272" i="5"/>
  <c r="U272" i="5" s="1"/>
  <c r="T271" i="5"/>
  <c r="U271" i="5" s="1"/>
  <c r="T270" i="5"/>
  <c r="U270" i="5" s="1"/>
  <c r="T269" i="5"/>
  <c r="U269" i="5" s="1"/>
  <c r="T268" i="5"/>
  <c r="U268" i="5" s="1"/>
  <c r="T267" i="5"/>
  <c r="U267" i="5" s="1"/>
  <c r="T266" i="5"/>
  <c r="U266" i="5" s="1"/>
  <c r="T265" i="5"/>
  <c r="U265" i="5" s="1"/>
  <c r="T264" i="5"/>
  <c r="U264" i="5" s="1"/>
  <c r="T263" i="5"/>
  <c r="U263" i="5" s="1"/>
  <c r="T262" i="5"/>
  <c r="U262" i="5" s="1"/>
  <c r="T261" i="5"/>
  <c r="U261" i="5" s="1"/>
  <c r="T260" i="5"/>
  <c r="U260" i="5" s="1"/>
  <c r="T259" i="5"/>
  <c r="U259" i="5" s="1"/>
  <c r="T258" i="5"/>
  <c r="U258" i="5" s="1"/>
  <c r="T257" i="5"/>
  <c r="U257" i="5" s="1"/>
  <c r="T256" i="5"/>
  <c r="U256" i="5" s="1"/>
  <c r="T255" i="5"/>
  <c r="U255" i="5" s="1"/>
  <c r="T254" i="5"/>
  <c r="U254" i="5" s="1"/>
  <c r="T253" i="5"/>
  <c r="U253" i="5" s="1"/>
  <c r="T252" i="5"/>
  <c r="U252" i="5" s="1"/>
  <c r="T251" i="5"/>
  <c r="U251" i="5" s="1"/>
  <c r="T250" i="5"/>
  <c r="U250" i="5" s="1"/>
  <c r="T249" i="5"/>
  <c r="U249" i="5" s="1"/>
  <c r="T248" i="5"/>
  <c r="U248" i="5" s="1"/>
  <c r="T247" i="5"/>
  <c r="U247" i="5" s="1"/>
  <c r="T246" i="5"/>
  <c r="U246" i="5" s="1"/>
  <c r="T245" i="5"/>
  <c r="U245" i="5" s="1"/>
  <c r="T244" i="5"/>
  <c r="U244" i="5" s="1"/>
  <c r="T243" i="5"/>
  <c r="U243" i="5" s="1"/>
  <c r="T242" i="5"/>
  <c r="U242" i="5" s="1"/>
  <c r="T241" i="5"/>
  <c r="U241" i="5" s="1"/>
  <c r="T240" i="5"/>
  <c r="U240" i="5" s="1"/>
  <c r="T239" i="5"/>
  <c r="U239" i="5" s="1"/>
  <c r="T238" i="5"/>
  <c r="U238" i="5" s="1"/>
  <c r="T237" i="5"/>
  <c r="U237" i="5" s="1"/>
  <c r="T236" i="5"/>
  <c r="U236" i="5" s="1"/>
  <c r="T235" i="5"/>
  <c r="U235" i="5" s="1"/>
  <c r="T234" i="5"/>
  <c r="U234" i="5" s="1"/>
  <c r="T233" i="5"/>
  <c r="U233" i="5" s="1"/>
  <c r="T232" i="5"/>
  <c r="U232" i="5" s="1"/>
  <c r="T231" i="5"/>
  <c r="U231" i="5" s="1"/>
  <c r="T230" i="5"/>
  <c r="U230" i="5" s="1"/>
  <c r="T229" i="5"/>
  <c r="U229" i="5" s="1"/>
  <c r="T228" i="5"/>
  <c r="U228" i="5" s="1"/>
  <c r="T227" i="5"/>
  <c r="U227" i="5" s="1"/>
  <c r="T226" i="5"/>
  <c r="U226" i="5" s="1"/>
  <c r="T225" i="5"/>
  <c r="U225" i="5" s="1"/>
  <c r="T224" i="5"/>
  <c r="U224" i="5" s="1"/>
  <c r="T223" i="5"/>
  <c r="U223" i="5" s="1"/>
  <c r="T222" i="5"/>
  <c r="U222" i="5" s="1"/>
  <c r="T221" i="5"/>
  <c r="U221" i="5" s="1"/>
  <c r="T220" i="5"/>
  <c r="U220" i="5" s="1"/>
  <c r="T219" i="5"/>
  <c r="U219" i="5" s="1"/>
  <c r="T218" i="5"/>
  <c r="U218" i="5" s="1"/>
  <c r="T217" i="5"/>
  <c r="U217" i="5" s="1"/>
  <c r="T216" i="5"/>
  <c r="U216" i="5" s="1"/>
  <c r="T215" i="5"/>
  <c r="U215" i="5" s="1"/>
  <c r="T214" i="5"/>
  <c r="U214" i="5" s="1"/>
  <c r="T213" i="5"/>
  <c r="U213" i="5" s="1"/>
  <c r="T212" i="5"/>
  <c r="U212" i="5" s="1"/>
  <c r="T211" i="5"/>
  <c r="U211" i="5" s="1"/>
  <c r="T210" i="5"/>
  <c r="U210" i="5" s="1"/>
  <c r="T209" i="5"/>
  <c r="U209" i="5" s="1"/>
  <c r="T208" i="5"/>
  <c r="U208" i="5" s="1"/>
  <c r="T207" i="5"/>
  <c r="U207" i="5" s="1"/>
  <c r="T206" i="5"/>
  <c r="U206" i="5" s="1"/>
  <c r="T205" i="5"/>
  <c r="U205" i="5" s="1"/>
  <c r="T204" i="5"/>
  <c r="U204" i="5" s="1"/>
  <c r="T203" i="5"/>
  <c r="U203" i="5" s="1"/>
  <c r="T202" i="5"/>
  <c r="U202" i="5" s="1"/>
  <c r="T201" i="5"/>
  <c r="U201" i="5" s="1"/>
  <c r="T200" i="5"/>
  <c r="U200" i="5" s="1"/>
  <c r="T199" i="5"/>
  <c r="U199" i="5" s="1"/>
  <c r="T198" i="5"/>
  <c r="U198" i="5" s="1"/>
  <c r="T197" i="5"/>
  <c r="U197" i="5" s="1"/>
  <c r="T196" i="5"/>
  <c r="U196" i="5" s="1"/>
  <c r="T195" i="5"/>
  <c r="U195" i="5" s="1"/>
  <c r="T194" i="5"/>
  <c r="U194" i="5" s="1"/>
  <c r="T193" i="5"/>
  <c r="U193" i="5" s="1"/>
  <c r="T192" i="5"/>
  <c r="U192" i="5" s="1"/>
  <c r="T191" i="5"/>
  <c r="U191" i="5" s="1"/>
  <c r="T190" i="5"/>
  <c r="U190" i="5" s="1"/>
  <c r="T189" i="5"/>
  <c r="U189" i="5" s="1"/>
  <c r="T188" i="5"/>
  <c r="U188" i="5" s="1"/>
  <c r="T187" i="5"/>
  <c r="U187" i="5" s="1"/>
  <c r="T186" i="5"/>
  <c r="U186" i="5" s="1"/>
  <c r="T185" i="5"/>
  <c r="U185" i="5" s="1"/>
  <c r="T184" i="5"/>
  <c r="U184" i="5" s="1"/>
  <c r="T183" i="5"/>
  <c r="U183" i="5" s="1"/>
  <c r="T182" i="5"/>
  <c r="U182" i="5" s="1"/>
  <c r="T181" i="5"/>
  <c r="U181" i="5" s="1"/>
  <c r="T180" i="5"/>
  <c r="U180" i="5" s="1"/>
  <c r="T179" i="5"/>
  <c r="U179" i="5" s="1"/>
  <c r="T178" i="5"/>
  <c r="U178" i="5" s="1"/>
  <c r="T177" i="5"/>
  <c r="U177" i="5" s="1"/>
  <c r="T176" i="5"/>
  <c r="U176" i="5" s="1"/>
  <c r="T175" i="5"/>
  <c r="U175" i="5" s="1"/>
  <c r="T174" i="5"/>
  <c r="U174" i="5" s="1"/>
  <c r="T173" i="5"/>
  <c r="U173" i="5" s="1"/>
  <c r="T172" i="5"/>
  <c r="U172" i="5" s="1"/>
  <c r="T171" i="5"/>
  <c r="U171" i="5" s="1"/>
  <c r="T170" i="5"/>
  <c r="U170" i="5" s="1"/>
  <c r="T169" i="5"/>
  <c r="U169" i="5" s="1"/>
  <c r="T168" i="5"/>
  <c r="U168" i="5" s="1"/>
  <c r="T167" i="5"/>
  <c r="U167" i="5" s="1"/>
  <c r="T166" i="5"/>
  <c r="U166" i="5" s="1"/>
  <c r="T165" i="5"/>
  <c r="U165" i="5" s="1"/>
  <c r="T164" i="5"/>
  <c r="U164" i="5" s="1"/>
  <c r="T163" i="5"/>
  <c r="U163" i="5" s="1"/>
  <c r="T162" i="5"/>
  <c r="U162" i="5" s="1"/>
  <c r="T161" i="5"/>
  <c r="U161" i="5" s="1"/>
  <c r="T160" i="5"/>
  <c r="U160" i="5" s="1"/>
  <c r="T159" i="5"/>
  <c r="U159" i="5" s="1"/>
  <c r="T158" i="5"/>
  <c r="U158" i="5" s="1"/>
  <c r="T157" i="5"/>
  <c r="U157" i="5" s="1"/>
  <c r="T156" i="5"/>
  <c r="U156" i="5" s="1"/>
  <c r="T155" i="5"/>
  <c r="U155" i="5" s="1"/>
  <c r="T154" i="5"/>
  <c r="U154" i="5" s="1"/>
  <c r="T153" i="5"/>
  <c r="U153" i="5" s="1"/>
  <c r="T152" i="5"/>
  <c r="U152" i="5" s="1"/>
  <c r="T151" i="5"/>
  <c r="U151" i="5" s="1"/>
  <c r="T150" i="5"/>
  <c r="U150" i="5" s="1"/>
  <c r="T149" i="5"/>
  <c r="U149" i="5" s="1"/>
  <c r="T148" i="5"/>
  <c r="U148" i="5" s="1"/>
  <c r="T147" i="5"/>
  <c r="U147" i="5" s="1"/>
  <c r="T146" i="5"/>
  <c r="U146" i="5" s="1"/>
  <c r="T145" i="5"/>
  <c r="U145" i="5" s="1"/>
  <c r="T144" i="5"/>
  <c r="U144" i="5" s="1"/>
  <c r="T143" i="5"/>
  <c r="U143" i="5" s="1"/>
  <c r="T142" i="5"/>
  <c r="U142" i="5" s="1"/>
  <c r="T141" i="5"/>
  <c r="U141" i="5" s="1"/>
  <c r="T140" i="5"/>
  <c r="U140" i="5" s="1"/>
  <c r="T139" i="5"/>
  <c r="U139" i="5" s="1"/>
  <c r="T138" i="5"/>
  <c r="U138" i="5" s="1"/>
  <c r="T137" i="5"/>
  <c r="U137" i="5" s="1"/>
  <c r="T136" i="5"/>
  <c r="U136" i="5" s="1"/>
  <c r="T135" i="5"/>
  <c r="U135" i="5" s="1"/>
  <c r="T134" i="5"/>
  <c r="U134" i="5" s="1"/>
  <c r="T133" i="5"/>
  <c r="U133" i="5" s="1"/>
  <c r="T132" i="5"/>
  <c r="U132" i="5" s="1"/>
  <c r="T131" i="5"/>
  <c r="U131" i="5" s="1"/>
  <c r="T130" i="5"/>
  <c r="U130" i="5" s="1"/>
  <c r="T129" i="5"/>
  <c r="U129" i="5" s="1"/>
  <c r="T128" i="5"/>
  <c r="U128" i="5" s="1"/>
  <c r="T127" i="5"/>
  <c r="U127" i="5" s="1"/>
  <c r="T126" i="5"/>
  <c r="U126" i="5" s="1"/>
  <c r="T125" i="5"/>
  <c r="U125" i="5" s="1"/>
  <c r="T124" i="5"/>
  <c r="U124" i="5" s="1"/>
  <c r="T123" i="5"/>
  <c r="U123" i="5" s="1"/>
  <c r="T122" i="5"/>
  <c r="U122" i="5" s="1"/>
  <c r="T121" i="5"/>
  <c r="U121" i="5" s="1"/>
  <c r="T120" i="5"/>
  <c r="U120" i="5" s="1"/>
  <c r="T119" i="5"/>
  <c r="U119" i="5" s="1"/>
  <c r="T118" i="5"/>
  <c r="U118" i="5" s="1"/>
  <c r="T117" i="5"/>
  <c r="U117" i="5" s="1"/>
  <c r="T116" i="5"/>
  <c r="U116" i="5" s="1"/>
  <c r="T115" i="5"/>
  <c r="U115" i="5" s="1"/>
  <c r="T114" i="5"/>
  <c r="U114" i="5" s="1"/>
  <c r="T113" i="5"/>
  <c r="U113" i="5" s="1"/>
  <c r="T112" i="5"/>
  <c r="U112" i="5" s="1"/>
  <c r="T111" i="5"/>
  <c r="U111" i="5" s="1"/>
  <c r="T110" i="5"/>
  <c r="U110" i="5" s="1"/>
  <c r="T109" i="5"/>
  <c r="U109" i="5" s="1"/>
  <c r="T108" i="5"/>
  <c r="U108" i="5" s="1"/>
  <c r="T107" i="5"/>
  <c r="U107" i="5" s="1"/>
  <c r="T106" i="5"/>
  <c r="U106" i="5" s="1"/>
  <c r="T105" i="5"/>
  <c r="U105" i="5" s="1"/>
  <c r="T104" i="5"/>
  <c r="U104" i="5" s="1"/>
  <c r="T103" i="5"/>
  <c r="U103" i="5" s="1"/>
  <c r="T102" i="5"/>
  <c r="U102" i="5" s="1"/>
  <c r="T101" i="5"/>
  <c r="U101" i="5" s="1"/>
  <c r="T100" i="5"/>
  <c r="U100" i="5" s="1"/>
  <c r="T99" i="5"/>
  <c r="U99" i="5" s="1"/>
  <c r="T98" i="5"/>
  <c r="U98" i="5" s="1"/>
  <c r="T97" i="5"/>
  <c r="U97" i="5" s="1"/>
  <c r="T96" i="5"/>
  <c r="U96" i="5" s="1"/>
  <c r="T95" i="5"/>
  <c r="U95" i="5" s="1"/>
  <c r="T94" i="5"/>
  <c r="U94" i="5" s="1"/>
  <c r="T93" i="5"/>
  <c r="U93" i="5" s="1"/>
  <c r="T92" i="5"/>
  <c r="U92" i="5" s="1"/>
  <c r="T91" i="5"/>
  <c r="U91" i="5" s="1"/>
  <c r="T90" i="5"/>
  <c r="U90" i="5" s="1"/>
  <c r="T89" i="5"/>
  <c r="U89" i="5" s="1"/>
  <c r="T88" i="5"/>
  <c r="U88" i="5" s="1"/>
  <c r="T87" i="5"/>
  <c r="U87" i="5" s="1"/>
  <c r="T86" i="5"/>
  <c r="U86" i="5" s="1"/>
  <c r="T85" i="5"/>
  <c r="U85" i="5" s="1"/>
  <c r="T84" i="5"/>
  <c r="U84" i="5" s="1"/>
  <c r="T83" i="5"/>
  <c r="U83" i="5" s="1"/>
  <c r="T82" i="5"/>
  <c r="U82" i="5" s="1"/>
  <c r="T81" i="5"/>
  <c r="U81" i="5" s="1"/>
  <c r="T80" i="5"/>
  <c r="U80" i="5" s="1"/>
  <c r="T79" i="5"/>
  <c r="U79" i="5" s="1"/>
  <c r="T78" i="5"/>
  <c r="U78" i="5" s="1"/>
  <c r="T77" i="5"/>
  <c r="U77" i="5" s="1"/>
  <c r="T76" i="5"/>
  <c r="U76" i="5" s="1"/>
  <c r="T75" i="5"/>
  <c r="U75" i="5" s="1"/>
  <c r="T74" i="5"/>
  <c r="U74" i="5" s="1"/>
  <c r="T73" i="5"/>
  <c r="U73" i="5" s="1"/>
  <c r="T72" i="5"/>
  <c r="U72" i="5" s="1"/>
  <c r="T71" i="5"/>
  <c r="U71" i="5" s="1"/>
  <c r="T70" i="5"/>
  <c r="U70" i="5" s="1"/>
  <c r="T69" i="5"/>
  <c r="U69" i="5" s="1"/>
  <c r="T68" i="5"/>
  <c r="U68" i="5" s="1"/>
  <c r="T67" i="5"/>
  <c r="U67" i="5" s="1"/>
  <c r="T66" i="5"/>
  <c r="U66" i="5" s="1"/>
  <c r="T65" i="5"/>
  <c r="U65" i="5" s="1"/>
  <c r="T64" i="5"/>
  <c r="U64" i="5" s="1"/>
  <c r="T63" i="5"/>
  <c r="U63" i="5" s="1"/>
  <c r="T62" i="5"/>
  <c r="U62" i="5" s="1"/>
  <c r="T61" i="5"/>
  <c r="U61" i="5" s="1"/>
  <c r="T60" i="5"/>
  <c r="U60" i="5" s="1"/>
  <c r="T59" i="5"/>
  <c r="U59" i="5" s="1"/>
  <c r="T58" i="5"/>
  <c r="U58" i="5" s="1"/>
  <c r="T57" i="5"/>
  <c r="U57" i="5" s="1"/>
  <c r="T56" i="5"/>
  <c r="U56" i="5" s="1"/>
  <c r="T55" i="5"/>
  <c r="U55" i="5" s="1"/>
  <c r="T54" i="5"/>
  <c r="U54" i="5" s="1"/>
  <c r="T53" i="5"/>
  <c r="U53" i="5" s="1"/>
  <c r="T52" i="5"/>
  <c r="U52" i="5" s="1"/>
  <c r="T51" i="5"/>
  <c r="U51" i="5" s="1"/>
  <c r="T50" i="5"/>
  <c r="U50" i="5" s="1"/>
  <c r="T49" i="5"/>
  <c r="U49" i="5" s="1"/>
  <c r="T48" i="5"/>
  <c r="U48" i="5" s="1"/>
  <c r="T47" i="5"/>
  <c r="U47" i="5" s="1"/>
  <c r="T46" i="5"/>
  <c r="U46" i="5" s="1"/>
  <c r="T45" i="5"/>
  <c r="U45" i="5" s="1"/>
  <c r="T44" i="5"/>
  <c r="U44" i="5" s="1"/>
  <c r="T43" i="5"/>
  <c r="U43" i="5" s="1"/>
  <c r="T42" i="5"/>
  <c r="U42" i="5" s="1"/>
  <c r="T41" i="5"/>
  <c r="U41" i="5" s="1"/>
  <c r="T40" i="5"/>
  <c r="U40" i="5" s="1"/>
  <c r="T39" i="5"/>
  <c r="U39" i="5" s="1"/>
  <c r="T38" i="5"/>
  <c r="U38" i="5" s="1"/>
  <c r="T37" i="5"/>
  <c r="U37" i="5" s="1"/>
  <c r="T36" i="5"/>
  <c r="U36" i="5" s="1"/>
  <c r="T35" i="5"/>
  <c r="U35" i="5" s="1"/>
  <c r="T34" i="5"/>
  <c r="U34" i="5" s="1"/>
  <c r="T33" i="5"/>
  <c r="U33" i="5" s="1"/>
  <c r="T32" i="5"/>
  <c r="U32" i="5" s="1"/>
  <c r="T31" i="5"/>
  <c r="U31" i="5" s="1"/>
  <c r="T30" i="5"/>
  <c r="U30" i="5" s="1"/>
  <c r="T29" i="5"/>
  <c r="U29" i="5" s="1"/>
  <c r="T28" i="5"/>
  <c r="U28" i="5" s="1"/>
  <c r="T27" i="5"/>
  <c r="U27" i="5" s="1"/>
  <c r="T26" i="5"/>
  <c r="U26" i="5" s="1"/>
  <c r="T25" i="5"/>
  <c r="U25" i="5" s="1"/>
  <c r="T24" i="5"/>
  <c r="U24" i="5" s="1"/>
  <c r="T23" i="5"/>
  <c r="U23" i="5" s="1"/>
  <c r="T22" i="5"/>
  <c r="U22" i="5" s="1"/>
  <c r="T21" i="5"/>
  <c r="U21" i="5" s="1"/>
  <c r="T20" i="5"/>
  <c r="U20" i="5" s="1"/>
  <c r="T19" i="5"/>
  <c r="U19" i="5" s="1"/>
  <c r="T18" i="5"/>
  <c r="U18" i="5" s="1"/>
  <c r="T17" i="5"/>
  <c r="U17" i="5" s="1"/>
  <c r="T16" i="5"/>
  <c r="T15" i="5"/>
  <c r="T14" i="5"/>
  <c r="T13" i="5"/>
  <c r="U13" i="5" s="1"/>
  <c r="T12" i="5"/>
  <c r="U12" i="5" s="1"/>
  <c r="T11" i="5"/>
  <c r="U11" i="5" s="1"/>
  <c r="T10" i="5"/>
  <c r="U10" i="5" s="1"/>
  <c r="T9" i="5"/>
  <c r="U9" i="5" s="1"/>
  <c r="T8" i="5"/>
  <c r="T7" i="5"/>
  <c r="U7" i="5" s="1"/>
  <c r="T6" i="5"/>
  <c r="U6" i="5" s="1"/>
  <c r="T5" i="5"/>
  <c r="T4" i="5"/>
  <c r="Z8" i="10" s="1"/>
  <c r="E119" i="4"/>
  <c r="B119" i="4"/>
  <c r="A119" i="4"/>
  <c r="H8" i="4"/>
  <c r="F8" i="4"/>
  <c r="B8" i="4"/>
  <c r="E7" i="4"/>
  <c r="B7" i="4"/>
  <c r="F6" i="4"/>
  <c r="B6" i="4"/>
  <c r="K122" i="3"/>
  <c r="E82" i="3" s="1"/>
  <c r="J122" i="3"/>
  <c r="I122" i="3"/>
  <c r="H122" i="3"/>
  <c r="G122" i="3"/>
  <c r="F122" i="3"/>
  <c r="E122" i="3"/>
  <c r="D122" i="3"/>
  <c r="C122" i="3"/>
  <c r="B122" i="3"/>
  <c r="K121" i="3"/>
  <c r="J121" i="3"/>
  <c r="E81" i="3" s="1"/>
  <c r="I121" i="3"/>
  <c r="H121" i="3"/>
  <c r="G121" i="3"/>
  <c r="F121" i="3"/>
  <c r="E121" i="3"/>
  <c r="D121" i="3"/>
  <c r="C121" i="3"/>
  <c r="B121" i="3"/>
  <c r="K120" i="3"/>
  <c r="J120" i="3"/>
  <c r="I120" i="3"/>
  <c r="E80" i="3" s="1"/>
  <c r="H120" i="3"/>
  <c r="G120" i="3"/>
  <c r="F120" i="3"/>
  <c r="E120" i="3"/>
  <c r="D120" i="3"/>
  <c r="C120" i="3"/>
  <c r="B120" i="3"/>
  <c r="K119" i="3"/>
  <c r="J119" i="3"/>
  <c r="I119" i="3"/>
  <c r="H119" i="3"/>
  <c r="E79" i="3" s="1"/>
  <c r="G119" i="3"/>
  <c r="F119" i="3"/>
  <c r="E119" i="3"/>
  <c r="D119" i="3"/>
  <c r="C119" i="3"/>
  <c r="B119" i="3"/>
  <c r="J118" i="3"/>
  <c r="J117" i="3"/>
  <c r="J116" i="3"/>
  <c r="J115" i="3"/>
  <c r="J114" i="3"/>
  <c r="J113" i="3"/>
  <c r="K109" i="3"/>
  <c r="D82" i="3" s="1"/>
  <c r="J109" i="3"/>
  <c r="I109" i="3"/>
  <c r="H109" i="3"/>
  <c r="G109" i="3"/>
  <c r="F109" i="3"/>
  <c r="E109" i="3"/>
  <c r="D109" i="3"/>
  <c r="C109" i="3"/>
  <c r="B109" i="3"/>
  <c r="K108" i="3"/>
  <c r="J108" i="3"/>
  <c r="D81" i="3" s="1"/>
  <c r="I108" i="3"/>
  <c r="H108" i="3"/>
  <c r="G108" i="3"/>
  <c r="F108" i="3"/>
  <c r="E108" i="3"/>
  <c r="D108" i="3"/>
  <c r="C108" i="3"/>
  <c r="B108" i="3"/>
  <c r="K107" i="3"/>
  <c r="J107" i="3"/>
  <c r="I107" i="3"/>
  <c r="D80" i="3" s="1"/>
  <c r="H107" i="3"/>
  <c r="G107" i="3"/>
  <c r="F107" i="3"/>
  <c r="E107" i="3"/>
  <c r="D107" i="3"/>
  <c r="C107" i="3"/>
  <c r="B107" i="3"/>
  <c r="K106" i="3"/>
  <c r="J106" i="3"/>
  <c r="I106" i="3"/>
  <c r="H106" i="3"/>
  <c r="D79" i="3" s="1"/>
  <c r="G106" i="3"/>
  <c r="F106" i="3"/>
  <c r="E106" i="3"/>
  <c r="D106" i="3"/>
  <c r="C106" i="3"/>
  <c r="B106" i="3"/>
  <c r="J105" i="3"/>
  <c r="J104" i="3"/>
  <c r="J103" i="3"/>
  <c r="J102" i="3"/>
  <c r="J101" i="3"/>
  <c r="J100" i="3"/>
  <c r="F82" i="3"/>
  <c r="C82" i="3"/>
  <c r="B82" i="3"/>
  <c r="F81" i="3"/>
  <c r="C81" i="3"/>
  <c r="B81" i="3"/>
  <c r="F80" i="3"/>
  <c r="C80" i="3"/>
  <c r="B80" i="3"/>
  <c r="F79" i="3"/>
  <c r="C79" i="3"/>
  <c r="B79" i="3"/>
  <c r="C78" i="3"/>
  <c r="B78" i="3"/>
  <c r="C77" i="3"/>
  <c r="B77" i="3"/>
  <c r="C76" i="3"/>
  <c r="B76" i="3"/>
  <c r="C75" i="3"/>
  <c r="B75" i="3"/>
  <c r="C74" i="3"/>
  <c r="B74" i="3"/>
  <c r="C73" i="3"/>
  <c r="B73" i="3"/>
  <c r="F56" i="2"/>
  <c r="E56" i="2"/>
  <c r="D56" i="2"/>
  <c r="B56" i="2"/>
  <c r="A56" i="2"/>
  <c r="F55" i="2"/>
  <c r="E55" i="2"/>
  <c r="D55" i="2"/>
  <c r="B55" i="2"/>
  <c r="A55" i="2"/>
  <c r="F54" i="2"/>
  <c r="E54" i="2"/>
  <c r="D54" i="2"/>
  <c r="B54" i="2"/>
  <c r="A54" i="2"/>
  <c r="F53" i="2"/>
  <c r="E53" i="2"/>
  <c r="D53" i="2"/>
  <c r="B53" i="2"/>
  <c r="A53" i="2"/>
  <c r="F52" i="2"/>
  <c r="E52" i="2"/>
  <c r="D52" i="2"/>
  <c r="B52" i="2"/>
  <c r="A52" i="2"/>
  <c r="H51" i="2"/>
  <c r="F51" i="2"/>
  <c r="E51" i="2"/>
  <c r="D51" i="2"/>
  <c r="B51" i="2"/>
  <c r="A51" i="2"/>
  <c r="E46" i="2"/>
  <c r="D46" i="2"/>
  <c r="C46" i="2"/>
  <c r="B46" i="2"/>
  <c r="E45" i="2"/>
  <c r="D45" i="2"/>
  <c r="C45" i="2"/>
  <c r="B45" i="2"/>
  <c r="E44" i="2"/>
  <c r="D44" i="2"/>
  <c r="C44" i="2"/>
  <c r="B44" i="2"/>
  <c r="E43" i="2"/>
  <c r="D43" i="2"/>
  <c r="C43" i="2"/>
  <c r="B43" i="2"/>
  <c r="B42" i="2"/>
  <c r="B41" i="2"/>
  <c r="B40" i="2"/>
  <c r="B39" i="2"/>
  <c r="B38" i="2"/>
  <c r="B37" i="2"/>
  <c r="I12" i="2"/>
  <c r="L11" i="2"/>
  <c r="I11" i="2"/>
  <c r="B11" i="2"/>
  <c r="E10" i="2"/>
  <c r="K4" i="2"/>
  <c r="A4" i="2"/>
  <c r="V503" i="8"/>
  <c r="G503" i="8"/>
  <c r="T503" i="8" s="1"/>
  <c r="U503" i="8" s="1"/>
  <c r="F503" i="8"/>
  <c r="C503" i="8"/>
  <c r="B503" i="8"/>
  <c r="V502" i="8"/>
  <c r="G502" i="8"/>
  <c r="T502" i="8" s="1"/>
  <c r="U502" i="8" s="1"/>
  <c r="F502" i="8"/>
  <c r="C502" i="8"/>
  <c r="B502" i="8"/>
  <c r="V501" i="8"/>
  <c r="G501" i="8"/>
  <c r="T501" i="8" s="1"/>
  <c r="U501" i="8" s="1"/>
  <c r="F501" i="8"/>
  <c r="C501" i="8"/>
  <c r="B501" i="8"/>
  <c r="V500" i="8"/>
  <c r="G500" i="8"/>
  <c r="T500" i="8" s="1"/>
  <c r="U500" i="8" s="1"/>
  <c r="F500" i="8"/>
  <c r="C500" i="8"/>
  <c r="B500" i="8"/>
  <c r="V499" i="8"/>
  <c r="G499" i="8"/>
  <c r="T499" i="8" s="1"/>
  <c r="U499" i="8" s="1"/>
  <c r="F499" i="8"/>
  <c r="C499" i="8"/>
  <c r="B499" i="8"/>
  <c r="V498" i="8"/>
  <c r="G498" i="8"/>
  <c r="T498" i="8" s="1"/>
  <c r="U498" i="8" s="1"/>
  <c r="F498" i="8"/>
  <c r="C498" i="8"/>
  <c r="B498" i="8"/>
  <c r="V497" i="8"/>
  <c r="G497" i="8"/>
  <c r="T497" i="8" s="1"/>
  <c r="U497" i="8" s="1"/>
  <c r="F497" i="8"/>
  <c r="C497" i="8"/>
  <c r="B497" i="8"/>
  <c r="V496" i="8"/>
  <c r="G496" i="8"/>
  <c r="T496" i="8" s="1"/>
  <c r="U496" i="8" s="1"/>
  <c r="F496" i="8"/>
  <c r="C496" i="8"/>
  <c r="B496" i="8"/>
  <c r="V495" i="8"/>
  <c r="G495" i="8"/>
  <c r="T495" i="8" s="1"/>
  <c r="U495" i="8" s="1"/>
  <c r="F495" i="8"/>
  <c r="C495" i="8"/>
  <c r="B495" i="8"/>
  <c r="V494" i="8"/>
  <c r="G494" i="8"/>
  <c r="T494" i="8" s="1"/>
  <c r="U494" i="8" s="1"/>
  <c r="F494" i="8"/>
  <c r="C494" i="8"/>
  <c r="B494" i="8"/>
  <c r="V493" i="8"/>
  <c r="G493" i="8"/>
  <c r="T493" i="8" s="1"/>
  <c r="U493" i="8" s="1"/>
  <c r="F493" i="8"/>
  <c r="C493" i="8"/>
  <c r="B493" i="8"/>
  <c r="V492" i="8"/>
  <c r="G492" i="8"/>
  <c r="T492" i="8" s="1"/>
  <c r="U492" i="8" s="1"/>
  <c r="F492" i="8"/>
  <c r="C492" i="8"/>
  <c r="B492" i="8"/>
  <c r="V491" i="8"/>
  <c r="G491" i="8"/>
  <c r="T491" i="8" s="1"/>
  <c r="U491" i="8" s="1"/>
  <c r="F491" i="8"/>
  <c r="C491" i="8"/>
  <c r="B491" i="8"/>
  <c r="V490" i="8"/>
  <c r="G490" i="8"/>
  <c r="T490" i="8" s="1"/>
  <c r="U490" i="8" s="1"/>
  <c r="F490" i="8"/>
  <c r="C490" i="8"/>
  <c r="B490" i="8"/>
  <c r="V489" i="8"/>
  <c r="G489" i="8"/>
  <c r="T489" i="8" s="1"/>
  <c r="U489" i="8" s="1"/>
  <c r="F489" i="8"/>
  <c r="C489" i="8"/>
  <c r="B489" i="8"/>
  <c r="V488" i="8"/>
  <c r="G488" i="8"/>
  <c r="T488" i="8" s="1"/>
  <c r="U488" i="8" s="1"/>
  <c r="F488" i="8"/>
  <c r="C488" i="8"/>
  <c r="B488" i="8"/>
  <c r="V487" i="8"/>
  <c r="G487" i="8"/>
  <c r="T487" i="8" s="1"/>
  <c r="U487" i="8" s="1"/>
  <c r="F487" i="8"/>
  <c r="C487" i="8"/>
  <c r="B487" i="8"/>
  <c r="V486" i="8"/>
  <c r="G486" i="8"/>
  <c r="T486" i="8" s="1"/>
  <c r="U486" i="8" s="1"/>
  <c r="F486" i="8"/>
  <c r="C486" i="8"/>
  <c r="B486" i="8"/>
  <c r="V485" i="8"/>
  <c r="G485" i="8"/>
  <c r="T485" i="8" s="1"/>
  <c r="U485" i="8" s="1"/>
  <c r="F485" i="8"/>
  <c r="C485" i="8"/>
  <c r="B485" i="8"/>
  <c r="V484" i="8"/>
  <c r="G484" i="8"/>
  <c r="T484" i="8" s="1"/>
  <c r="U484" i="8" s="1"/>
  <c r="F484" i="8"/>
  <c r="C484" i="8"/>
  <c r="B484" i="8"/>
  <c r="V483" i="8"/>
  <c r="G483" i="8"/>
  <c r="T483" i="8" s="1"/>
  <c r="U483" i="8" s="1"/>
  <c r="F483" i="8"/>
  <c r="C483" i="8"/>
  <c r="B483" i="8"/>
  <c r="V482" i="8"/>
  <c r="G482" i="8"/>
  <c r="T482" i="8" s="1"/>
  <c r="U482" i="8" s="1"/>
  <c r="F482" i="8"/>
  <c r="C482" i="8"/>
  <c r="B482" i="8"/>
  <c r="V481" i="8"/>
  <c r="G481" i="8"/>
  <c r="T481" i="8" s="1"/>
  <c r="U481" i="8" s="1"/>
  <c r="F481" i="8"/>
  <c r="C481" i="8"/>
  <c r="B481" i="8"/>
  <c r="V480" i="8"/>
  <c r="G480" i="8"/>
  <c r="T480" i="8" s="1"/>
  <c r="U480" i="8" s="1"/>
  <c r="F480" i="8"/>
  <c r="C480" i="8"/>
  <c r="B480" i="8"/>
  <c r="V479" i="8"/>
  <c r="G479" i="8"/>
  <c r="T479" i="8" s="1"/>
  <c r="U479" i="8" s="1"/>
  <c r="F479" i="8"/>
  <c r="C479" i="8"/>
  <c r="B479" i="8"/>
  <c r="V478" i="8"/>
  <c r="G478" i="8"/>
  <c r="T478" i="8" s="1"/>
  <c r="U478" i="8" s="1"/>
  <c r="F478" i="8"/>
  <c r="C478" i="8"/>
  <c r="B478" i="8"/>
  <c r="V477" i="8"/>
  <c r="G477" i="8"/>
  <c r="T477" i="8" s="1"/>
  <c r="U477" i="8" s="1"/>
  <c r="F477" i="8"/>
  <c r="C477" i="8"/>
  <c r="B477" i="8"/>
  <c r="V476" i="8"/>
  <c r="G476" i="8"/>
  <c r="T476" i="8" s="1"/>
  <c r="U476" i="8" s="1"/>
  <c r="F476" i="8"/>
  <c r="C476" i="8"/>
  <c r="B476" i="8"/>
  <c r="V475" i="8"/>
  <c r="G475" i="8"/>
  <c r="T475" i="8" s="1"/>
  <c r="U475" i="8" s="1"/>
  <c r="F475" i="8"/>
  <c r="C475" i="8"/>
  <c r="B475" i="8"/>
  <c r="V474" i="8"/>
  <c r="G474" i="8"/>
  <c r="T474" i="8" s="1"/>
  <c r="U474" i="8" s="1"/>
  <c r="F474" i="8"/>
  <c r="C474" i="8"/>
  <c r="B474" i="8"/>
  <c r="V473" i="8"/>
  <c r="G473" i="8"/>
  <c r="T473" i="8" s="1"/>
  <c r="U473" i="8" s="1"/>
  <c r="F473" i="8"/>
  <c r="C473" i="8"/>
  <c r="B473" i="8"/>
  <c r="V472" i="8"/>
  <c r="G472" i="8"/>
  <c r="T472" i="8" s="1"/>
  <c r="U472" i="8" s="1"/>
  <c r="F472" i="8"/>
  <c r="C472" i="8"/>
  <c r="B472" i="8"/>
  <c r="V471" i="8"/>
  <c r="G471" i="8"/>
  <c r="T471" i="8" s="1"/>
  <c r="U471" i="8" s="1"/>
  <c r="F471" i="8"/>
  <c r="C471" i="8"/>
  <c r="B471" i="8"/>
  <c r="V470" i="8"/>
  <c r="G470" i="8"/>
  <c r="T470" i="8" s="1"/>
  <c r="U470" i="8" s="1"/>
  <c r="F470" i="8"/>
  <c r="C470" i="8"/>
  <c r="B470" i="8"/>
  <c r="V469" i="8"/>
  <c r="G469" i="8"/>
  <c r="T469" i="8" s="1"/>
  <c r="U469" i="8" s="1"/>
  <c r="F469" i="8"/>
  <c r="C469" i="8"/>
  <c r="B469" i="8"/>
  <c r="V468" i="8"/>
  <c r="G468" i="8"/>
  <c r="T468" i="8" s="1"/>
  <c r="U468" i="8" s="1"/>
  <c r="F468" i="8"/>
  <c r="C468" i="8"/>
  <c r="B468" i="8"/>
  <c r="V467" i="8"/>
  <c r="G467" i="8"/>
  <c r="T467" i="8" s="1"/>
  <c r="U467" i="8" s="1"/>
  <c r="F467" i="8"/>
  <c r="C467" i="8"/>
  <c r="B467" i="8"/>
  <c r="V466" i="8"/>
  <c r="G466" i="8"/>
  <c r="T466" i="8" s="1"/>
  <c r="U466" i="8" s="1"/>
  <c r="F466" i="8"/>
  <c r="C466" i="8"/>
  <c r="B466" i="8"/>
  <c r="V465" i="8"/>
  <c r="G465" i="8"/>
  <c r="T465" i="8" s="1"/>
  <c r="U465" i="8" s="1"/>
  <c r="F465" i="8"/>
  <c r="C465" i="8"/>
  <c r="B465" i="8"/>
  <c r="V464" i="8"/>
  <c r="G464" i="8"/>
  <c r="T464" i="8" s="1"/>
  <c r="U464" i="8" s="1"/>
  <c r="F464" i="8"/>
  <c r="C464" i="8"/>
  <c r="B464" i="8"/>
  <c r="V463" i="8"/>
  <c r="G463" i="8"/>
  <c r="T463" i="8" s="1"/>
  <c r="U463" i="8" s="1"/>
  <c r="F463" i="8"/>
  <c r="C463" i="8"/>
  <c r="B463" i="8"/>
  <c r="V462" i="8"/>
  <c r="G462" i="8"/>
  <c r="T462" i="8" s="1"/>
  <c r="U462" i="8" s="1"/>
  <c r="F462" i="8"/>
  <c r="C462" i="8"/>
  <c r="B462" i="8"/>
  <c r="V461" i="8"/>
  <c r="G461" i="8"/>
  <c r="T461" i="8" s="1"/>
  <c r="U461" i="8" s="1"/>
  <c r="F461" i="8"/>
  <c r="C461" i="8"/>
  <c r="B461" i="8"/>
  <c r="V460" i="8"/>
  <c r="G460" i="8"/>
  <c r="T460" i="8" s="1"/>
  <c r="U460" i="8" s="1"/>
  <c r="F460" i="8"/>
  <c r="C460" i="8"/>
  <c r="B460" i="8"/>
  <c r="V459" i="8"/>
  <c r="G459" i="8"/>
  <c r="T459" i="8" s="1"/>
  <c r="U459" i="8" s="1"/>
  <c r="F459" i="8"/>
  <c r="C459" i="8"/>
  <c r="B459" i="8"/>
  <c r="V458" i="8"/>
  <c r="G458" i="8"/>
  <c r="T458" i="8" s="1"/>
  <c r="U458" i="8" s="1"/>
  <c r="F458" i="8"/>
  <c r="C458" i="8"/>
  <c r="B458" i="8"/>
  <c r="V457" i="8"/>
  <c r="G457" i="8"/>
  <c r="T457" i="8" s="1"/>
  <c r="U457" i="8" s="1"/>
  <c r="F457" i="8"/>
  <c r="C457" i="8"/>
  <c r="B457" i="8"/>
  <c r="V456" i="8"/>
  <c r="G456" i="8"/>
  <c r="T456" i="8" s="1"/>
  <c r="U456" i="8" s="1"/>
  <c r="F456" i="8"/>
  <c r="C456" i="8"/>
  <c r="B456" i="8"/>
  <c r="V455" i="8"/>
  <c r="G455" i="8"/>
  <c r="T455" i="8" s="1"/>
  <c r="U455" i="8" s="1"/>
  <c r="F455" i="8"/>
  <c r="C455" i="8"/>
  <c r="B455" i="8"/>
  <c r="V454" i="8"/>
  <c r="G454" i="8"/>
  <c r="T454" i="8" s="1"/>
  <c r="U454" i="8" s="1"/>
  <c r="F454" i="8"/>
  <c r="C454" i="8"/>
  <c r="B454" i="8"/>
  <c r="V453" i="8"/>
  <c r="G453" i="8"/>
  <c r="T453" i="8" s="1"/>
  <c r="U453" i="8" s="1"/>
  <c r="F453" i="8"/>
  <c r="C453" i="8"/>
  <c r="B453" i="8"/>
  <c r="V452" i="8"/>
  <c r="G452" i="8"/>
  <c r="T452" i="8" s="1"/>
  <c r="U452" i="8" s="1"/>
  <c r="F452" i="8"/>
  <c r="C452" i="8"/>
  <c r="B452" i="8"/>
  <c r="V451" i="8"/>
  <c r="G451" i="8"/>
  <c r="T451" i="8" s="1"/>
  <c r="U451" i="8" s="1"/>
  <c r="F451" i="8"/>
  <c r="C451" i="8"/>
  <c r="B451" i="8"/>
  <c r="V450" i="8"/>
  <c r="G450" i="8"/>
  <c r="T450" i="8" s="1"/>
  <c r="U450" i="8" s="1"/>
  <c r="F450" i="8"/>
  <c r="C450" i="8"/>
  <c r="B450" i="8"/>
  <c r="V449" i="8"/>
  <c r="G449" i="8"/>
  <c r="T449" i="8" s="1"/>
  <c r="U449" i="8" s="1"/>
  <c r="F449" i="8"/>
  <c r="C449" i="8"/>
  <c r="B449" i="8"/>
  <c r="V448" i="8"/>
  <c r="G448" i="8"/>
  <c r="T448" i="8" s="1"/>
  <c r="U448" i="8" s="1"/>
  <c r="F448" i="8"/>
  <c r="C448" i="8"/>
  <c r="B448" i="8"/>
  <c r="V447" i="8"/>
  <c r="G447" i="8"/>
  <c r="T447" i="8" s="1"/>
  <c r="U447" i="8" s="1"/>
  <c r="F447" i="8"/>
  <c r="C447" i="8"/>
  <c r="B447" i="8"/>
  <c r="V446" i="8"/>
  <c r="G446" i="8"/>
  <c r="T446" i="8" s="1"/>
  <c r="U446" i="8" s="1"/>
  <c r="F446" i="8"/>
  <c r="C446" i="8"/>
  <c r="B446" i="8"/>
  <c r="V445" i="8"/>
  <c r="G445" i="8"/>
  <c r="T445" i="8" s="1"/>
  <c r="U445" i="8" s="1"/>
  <c r="F445" i="8"/>
  <c r="C445" i="8"/>
  <c r="B445" i="8"/>
  <c r="V444" i="8"/>
  <c r="G444" i="8"/>
  <c r="T444" i="8" s="1"/>
  <c r="U444" i="8" s="1"/>
  <c r="F444" i="8"/>
  <c r="C444" i="8"/>
  <c r="B444" i="8"/>
  <c r="V443" i="8"/>
  <c r="G443" i="8"/>
  <c r="T443" i="8" s="1"/>
  <c r="U443" i="8" s="1"/>
  <c r="F443" i="8"/>
  <c r="C443" i="8"/>
  <c r="B443" i="8"/>
  <c r="V442" i="8"/>
  <c r="G442" i="8"/>
  <c r="T442" i="8" s="1"/>
  <c r="U442" i="8" s="1"/>
  <c r="F442" i="8"/>
  <c r="C442" i="8"/>
  <c r="B442" i="8"/>
  <c r="V441" i="8"/>
  <c r="G441" i="8"/>
  <c r="T441" i="8" s="1"/>
  <c r="U441" i="8" s="1"/>
  <c r="F441" i="8"/>
  <c r="C441" i="8"/>
  <c r="B441" i="8"/>
  <c r="V440" i="8"/>
  <c r="G440" i="8"/>
  <c r="T440" i="8" s="1"/>
  <c r="U440" i="8" s="1"/>
  <c r="F440" i="8"/>
  <c r="C440" i="8"/>
  <c r="B440" i="8"/>
  <c r="V439" i="8"/>
  <c r="G439" i="8"/>
  <c r="T439" i="8" s="1"/>
  <c r="U439" i="8" s="1"/>
  <c r="F439" i="8"/>
  <c r="C439" i="8"/>
  <c r="B439" i="8"/>
  <c r="V438" i="8"/>
  <c r="G438" i="8"/>
  <c r="T438" i="8" s="1"/>
  <c r="U438" i="8" s="1"/>
  <c r="F438" i="8"/>
  <c r="C438" i="8"/>
  <c r="B438" i="8"/>
  <c r="V437" i="8"/>
  <c r="G437" i="8"/>
  <c r="T437" i="8" s="1"/>
  <c r="U437" i="8" s="1"/>
  <c r="F437" i="8"/>
  <c r="C437" i="8"/>
  <c r="B437" i="8"/>
  <c r="V436" i="8"/>
  <c r="G436" i="8"/>
  <c r="T436" i="8" s="1"/>
  <c r="U436" i="8" s="1"/>
  <c r="F436" i="8"/>
  <c r="C436" i="8"/>
  <c r="B436" i="8"/>
  <c r="V435" i="8"/>
  <c r="G435" i="8"/>
  <c r="T435" i="8" s="1"/>
  <c r="U435" i="8" s="1"/>
  <c r="F435" i="8"/>
  <c r="C435" i="8"/>
  <c r="B435" i="8"/>
  <c r="V434" i="8"/>
  <c r="G434" i="8"/>
  <c r="T434" i="8" s="1"/>
  <c r="U434" i="8" s="1"/>
  <c r="F434" i="8"/>
  <c r="C434" i="8"/>
  <c r="B434" i="8"/>
  <c r="V433" i="8"/>
  <c r="G433" i="8"/>
  <c r="T433" i="8" s="1"/>
  <c r="U433" i="8" s="1"/>
  <c r="F433" i="8"/>
  <c r="C433" i="8"/>
  <c r="B433" i="8"/>
  <c r="V432" i="8"/>
  <c r="G432" i="8"/>
  <c r="T432" i="8" s="1"/>
  <c r="U432" i="8" s="1"/>
  <c r="F432" i="8"/>
  <c r="C432" i="8"/>
  <c r="B432" i="8"/>
  <c r="V431" i="8"/>
  <c r="G431" i="8"/>
  <c r="T431" i="8" s="1"/>
  <c r="U431" i="8" s="1"/>
  <c r="F431" i="8"/>
  <c r="C431" i="8"/>
  <c r="B431" i="8"/>
  <c r="V430" i="8"/>
  <c r="G430" i="8"/>
  <c r="T430" i="8" s="1"/>
  <c r="U430" i="8" s="1"/>
  <c r="F430" i="8"/>
  <c r="C430" i="8"/>
  <c r="B430" i="8"/>
  <c r="V429" i="8"/>
  <c r="G429" i="8"/>
  <c r="T429" i="8" s="1"/>
  <c r="U429" i="8" s="1"/>
  <c r="F429" i="8"/>
  <c r="C429" i="8"/>
  <c r="B429" i="8"/>
  <c r="V428" i="8"/>
  <c r="G428" i="8"/>
  <c r="T428" i="8" s="1"/>
  <c r="U428" i="8" s="1"/>
  <c r="F428" i="8"/>
  <c r="C428" i="8"/>
  <c r="B428" i="8"/>
  <c r="V427" i="8"/>
  <c r="G427" i="8"/>
  <c r="T427" i="8" s="1"/>
  <c r="U427" i="8" s="1"/>
  <c r="F427" i="8"/>
  <c r="C427" i="8"/>
  <c r="B427" i="8"/>
  <c r="V426" i="8"/>
  <c r="G426" i="8"/>
  <c r="T426" i="8" s="1"/>
  <c r="U426" i="8" s="1"/>
  <c r="F426" i="8"/>
  <c r="C426" i="8"/>
  <c r="B426" i="8"/>
  <c r="V425" i="8"/>
  <c r="G425" i="8"/>
  <c r="T425" i="8" s="1"/>
  <c r="U425" i="8" s="1"/>
  <c r="F425" i="8"/>
  <c r="C425" i="8"/>
  <c r="B425" i="8"/>
  <c r="V424" i="8"/>
  <c r="G424" i="8"/>
  <c r="T424" i="8" s="1"/>
  <c r="U424" i="8" s="1"/>
  <c r="F424" i="8"/>
  <c r="C424" i="8"/>
  <c r="B424" i="8"/>
  <c r="V423" i="8"/>
  <c r="G423" i="8"/>
  <c r="T423" i="8" s="1"/>
  <c r="U423" i="8" s="1"/>
  <c r="F423" i="8"/>
  <c r="C423" i="8"/>
  <c r="B423" i="8"/>
  <c r="V422" i="8"/>
  <c r="G422" i="8"/>
  <c r="T422" i="8" s="1"/>
  <c r="U422" i="8" s="1"/>
  <c r="F422" i="8"/>
  <c r="C422" i="8"/>
  <c r="B422" i="8"/>
  <c r="V421" i="8"/>
  <c r="G421" i="8"/>
  <c r="T421" i="8" s="1"/>
  <c r="U421" i="8" s="1"/>
  <c r="F421" i="8"/>
  <c r="C421" i="8"/>
  <c r="B421" i="8"/>
  <c r="V420" i="8"/>
  <c r="G420" i="8"/>
  <c r="T420" i="8" s="1"/>
  <c r="U420" i="8" s="1"/>
  <c r="F420" i="8"/>
  <c r="C420" i="8"/>
  <c r="B420" i="8"/>
  <c r="V419" i="8"/>
  <c r="G419" i="8"/>
  <c r="T419" i="8" s="1"/>
  <c r="U419" i="8" s="1"/>
  <c r="F419" i="8"/>
  <c r="C419" i="8"/>
  <c r="B419" i="8"/>
  <c r="V418" i="8"/>
  <c r="G418" i="8"/>
  <c r="T418" i="8" s="1"/>
  <c r="U418" i="8" s="1"/>
  <c r="F418" i="8"/>
  <c r="C418" i="8"/>
  <c r="B418" i="8"/>
  <c r="V417" i="8"/>
  <c r="G417" i="8"/>
  <c r="T417" i="8" s="1"/>
  <c r="U417" i="8" s="1"/>
  <c r="F417" i="8"/>
  <c r="C417" i="8"/>
  <c r="B417" i="8"/>
  <c r="V416" i="8"/>
  <c r="G416" i="8"/>
  <c r="T416" i="8" s="1"/>
  <c r="U416" i="8" s="1"/>
  <c r="F416" i="8"/>
  <c r="C416" i="8"/>
  <c r="B416" i="8"/>
  <c r="V415" i="8"/>
  <c r="G415" i="8"/>
  <c r="T415" i="8" s="1"/>
  <c r="U415" i="8" s="1"/>
  <c r="F415" i="8"/>
  <c r="C415" i="8"/>
  <c r="B415" i="8"/>
  <c r="V414" i="8"/>
  <c r="G414" i="8"/>
  <c r="T414" i="8" s="1"/>
  <c r="U414" i="8" s="1"/>
  <c r="F414" i="8"/>
  <c r="C414" i="8"/>
  <c r="B414" i="8"/>
  <c r="V413" i="8"/>
  <c r="G413" i="8"/>
  <c r="T413" i="8" s="1"/>
  <c r="U413" i="8" s="1"/>
  <c r="F413" i="8"/>
  <c r="C413" i="8"/>
  <c r="B413" i="8"/>
  <c r="V412" i="8"/>
  <c r="G412" i="8"/>
  <c r="T412" i="8" s="1"/>
  <c r="U412" i="8" s="1"/>
  <c r="F412" i="8"/>
  <c r="C412" i="8"/>
  <c r="B412" i="8"/>
  <c r="V411" i="8"/>
  <c r="G411" i="8"/>
  <c r="T411" i="8" s="1"/>
  <c r="U411" i="8" s="1"/>
  <c r="F411" i="8"/>
  <c r="C411" i="8"/>
  <c r="B411" i="8"/>
  <c r="V410" i="8"/>
  <c r="G410" i="8"/>
  <c r="T410" i="8" s="1"/>
  <c r="U410" i="8" s="1"/>
  <c r="F410" i="8"/>
  <c r="C410" i="8"/>
  <c r="B410" i="8"/>
  <c r="V409" i="8"/>
  <c r="G409" i="8"/>
  <c r="T409" i="8" s="1"/>
  <c r="U409" i="8" s="1"/>
  <c r="F409" i="8"/>
  <c r="C409" i="8"/>
  <c r="B409" i="8"/>
  <c r="V408" i="8"/>
  <c r="G408" i="8"/>
  <c r="T408" i="8" s="1"/>
  <c r="U408" i="8" s="1"/>
  <c r="F408" i="8"/>
  <c r="C408" i="8"/>
  <c r="B408" i="8"/>
  <c r="V407" i="8"/>
  <c r="G407" i="8"/>
  <c r="T407" i="8" s="1"/>
  <c r="U407" i="8" s="1"/>
  <c r="F407" i="8"/>
  <c r="C407" i="8"/>
  <c r="B407" i="8"/>
  <c r="V406" i="8"/>
  <c r="G406" i="8"/>
  <c r="T406" i="8" s="1"/>
  <c r="U406" i="8" s="1"/>
  <c r="F406" i="8"/>
  <c r="C406" i="8"/>
  <c r="B406" i="8"/>
  <c r="V405" i="8"/>
  <c r="G405" i="8"/>
  <c r="T405" i="8" s="1"/>
  <c r="U405" i="8" s="1"/>
  <c r="F405" i="8"/>
  <c r="C405" i="8"/>
  <c r="B405" i="8"/>
  <c r="V404" i="8"/>
  <c r="G404" i="8"/>
  <c r="T404" i="8" s="1"/>
  <c r="U404" i="8" s="1"/>
  <c r="F404" i="8"/>
  <c r="C404" i="8"/>
  <c r="B404" i="8"/>
  <c r="V403" i="8"/>
  <c r="G403" i="8"/>
  <c r="T403" i="8" s="1"/>
  <c r="U403" i="8" s="1"/>
  <c r="F403" i="8"/>
  <c r="C403" i="8"/>
  <c r="B403" i="8"/>
  <c r="V402" i="8"/>
  <c r="G402" i="8"/>
  <c r="T402" i="8" s="1"/>
  <c r="U402" i="8" s="1"/>
  <c r="F402" i="8"/>
  <c r="C402" i="8"/>
  <c r="B402" i="8"/>
  <c r="V401" i="8"/>
  <c r="G401" i="8"/>
  <c r="T401" i="8" s="1"/>
  <c r="U401" i="8" s="1"/>
  <c r="F401" i="8"/>
  <c r="C401" i="8"/>
  <c r="B401" i="8"/>
  <c r="V400" i="8"/>
  <c r="G400" i="8"/>
  <c r="T400" i="8" s="1"/>
  <c r="U400" i="8" s="1"/>
  <c r="F400" i="8"/>
  <c r="C400" i="8"/>
  <c r="B400" i="8"/>
  <c r="V399" i="8"/>
  <c r="G399" i="8"/>
  <c r="T399" i="8" s="1"/>
  <c r="U399" i="8" s="1"/>
  <c r="F399" i="8"/>
  <c r="C399" i="8"/>
  <c r="B399" i="8"/>
  <c r="V398" i="8"/>
  <c r="G398" i="8"/>
  <c r="T398" i="8" s="1"/>
  <c r="U398" i="8" s="1"/>
  <c r="F398" i="8"/>
  <c r="C398" i="8"/>
  <c r="B398" i="8"/>
  <c r="V397" i="8"/>
  <c r="G397" i="8"/>
  <c r="T397" i="8" s="1"/>
  <c r="U397" i="8" s="1"/>
  <c r="F397" i="8"/>
  <c r="C397" i="8"/>
  <c r="B397" i="8"/>
  <c r="V396" i="8"/>
  <c r="G396" i="8"/>
  <c r="T396" i="8" s="1"/>
  <c r="U396" i="8" s="1"/>
  <c r="F396" i="8"/>
  <c r="C396" i="8"/>
  <c r="B396" i="8"/>
  <c r="V395" i="8"/>
  <c r="G395" i="8"/>
  <c r="T395" i="8" s="1"/>
  <c r="U395" i="8" s="1"/>
  <c r="F395" i="8"/>
  <c r="C395" i="8"/>
  <c r="B395" i="8"/>
  <c r="V394" i="8"/>
  <c r="G394" i="8"/>
  <c r="T394" i="8" s="1"/>
  <c r="U394" i="8" s="1"/>
  <c r="F394" i="8"/>
  <c r="C394" i="8"/>
  <c r="B394" i="8"/>
  <c r="V393" i="8"/>
  <c r="G393" i="8"/>
  <c r="T393" i="8" s="1"/>
  <c r="U393" i="8" s="1"/>
  <c r="F393" i="8"/>
  <c r="C393" i="8"/>
  <c r="B393" i="8"/>
  <c r="V392" i="8"/>
  <c r="G392" i="8"/>
  <c r="T392" i="8" s="1"/>
  <c r="U392" i="8" s="1"/>
  <c r="F392" i="8"/>
  <c r="C392" i="8"/>
  <c r="B392" i="8"/>
  <c r="V391" i="8"/>
  <c r="G391" i="8"/>
  <c r="T391" i="8" s="1"/>
  <c r="U391" i="8" s="1"/>
  <c r="F391" i="8"/>
  <c r="C391" i="8"/>
  <c r="B391" i="8"/>
  <c r="V390" i="8"/>
  <c r="G390" i="8"/>
  <c r="T390" i="8" s="1"/>
  <c r="U390" i="8" s="1"/>
  <c r="F390" i="8"/>
  <c r="C390" i="8"/>
  <c r="B390" i="8"/>
  <c r="V389" i="8"/>
  <c r="G389" i="8"/>
  <c r="T389" i="8" s="1"/>
  <c r="U389" i="8" s="1"/>
  <c r="F389" i="8"/>
  <c r="C389" i="8"/>
  <c r="B389" i="8"/>
  <c r="V388" i="8"/>
  <c r="G388" i="8"/>
  <c r="T388" i="8" s="1"/>
  <c r="U388" i="8" s="1"/>
  <c r="F388" i="8"/>
  <c r="C388" i="8"/>
  <c r="B388" i="8"/>
  <c r="V387" i="8"/>
  <c r="G387" i="8"/>
  <c r="T387" i="8" s="1"/>
  <c r="U387" i="8" s="1"/>
  <c r="F387" i="8"/>
  <c r="C387" i="8"/>
  <c r="B387" i="8"/>
  <c r="V386" i="8"/>
  <c r="G386" i="8"/>
  <c r="T386" i="8" s="1"/>
  <c r="U386" i="8" s="1"/>
  <c r="F386" i="8"/>
  <c r="C386" i="8"/>
  <c r="B386" i="8"/>
  <c r="V385" i="8"/>
  <c r="G385" i="8"/>
  <c r="T385" i="8" s="1"/>
  <c r="U385" i="8" s="1"/>
  <c r="F385" i="8"/>
  <c r="C385" i="8"/>
  <c r="B385" i="8"/>
  <c r="V384" i="8"/>
  <c r="G384" i="8"/>
  <c r="T384" i="8" s="1"/>
  <c r="U384" i="8" s="1"/>
  <c r="F384" i="8"/>
  <c r="C384" i="8"/>
  <c r="B384" i="8"/>
  <c r="V383" i="8"/>
  <c r="G383" i="8"/>
  <c r="T383" i="8" s="1"/>
  <c r="U383" i="8" s="1"/>
  <c r="F383" i="8"/>
  <c r="C383" i="8"/>
  <c r="B383" i="8"/>
  <c r="V382" i="8"/>
  <c r="G382" i="8"/>
  <c r="T382" i="8" s="1"/>
  <c r="U382" i="8" s="1"/>
  <c r="F382" i="8"/>
  <c r="C382" i="8"/>
  <c r="B382" i="8"/>
  <c r="V381" i="8"/>
  <c r="G381" i="8"/>
  <c r="T381" i="8" s="1"/>
  <c r="U381" i="8" s="1"/>
  <c r="F381" i="8"/>
  <c r="C381" i="8"/>
  <c r="B381" i="8"/>
  <c r="V380" i="8"/>
  <c r="G380" i="8"/>
  <c r="T380" i="8" s="1"/>
  <c r="U380" i="8" s="1"/>
  <c r="F380" i="8"/>
  <c r="C380" i="8"/>
  <c r="B380" i="8"/>
  <c r="V379" i="8"/>
  <c r="G379" i="8"/>
  <c r="T379" i="8" s="1"/>
  <c r="U379" i="8" s="1"/>
  <c r="F379" i="8"/>
  <c r="C379" i="8"/>
  <c r="B379" i="8"/>
  <c r="V378" i="8"/>
  <c r="G378" i="8"/>
  <c r="T378" i="8" s="1"/>
  <c r="U378" i="8" s="1"/>
  <c r="F378" i="8"/>
  <c r="C378" i="8"/>
  <c r="B378" i="8"/>
  <c r="V377" i="8"/>
  <c r="G377" i="8"/>
  <c r="T377" i="8" s="1"/>
  <c r="U377" i="8" s="1"/>
  <c r="F377" i="8"/>
  <c r="C377" i="8"/>
  <c r="B377" i="8"/>
  <c r="V376" i="8"/>
  <c r="G376" i="8"/>
  <c r="T376" i="8" s="1"/>
  <c r="U376" i="8" s="1"/>
  <c r="F376" i="8"/>
  <c r="C376" i="8"/>
  <c r="B376" i="8"/>
  <c r="V375" i="8"/>
  <c r="G375" i="8"/>
  <c r="T375" i="8" s="1"/>
  <c r="U375" i="8" s="1"/>
  <c r="F375" i="8"/>
  <c r="C375" i="8"/>
  <c r="B375" i="8"/>
  <c r="V374" i="8"/>
  <c r="G374" i="8"/>
  <c r="T374" i="8" s="1"/>
  <c r="U374" i="8" s="1"/>
  <c r="F374" i="8"/>
  <c r="C374" i="8"/>
  <c r="B374" i="8"/>
  <c r="V373" i="8"/>
  <c r="G373" i="8"/>
  <c r="T373" i="8" s="1"/>
  <c r="U373" i="8" s="1"/>
  <c r="F373" i="8"/>
  <c r="C373" i="8"/>
  <c r="B373" i="8"/>
  <c r="V372" i="8"/>
  <c r="G372" i="8"/>
  <c r="T372" i="8" s="1"/>
  <c r="U372" i="8" s="1"/>
  <c r="F372" i="8"/>
  <c r="C372" i="8"/>
  <c r="B372" i="8"/>
  <c r="V371" i="8"/>
  <c r="G371" i="8"/>
  <c r="T371" i="8" s="1"/>
  <c r="U371" i="8" s="1"/>
  <c r="F371" i="8"/>
  <c r="C371" i="8"/>
  <c r="B371" i="8"/>
  <c r="V370" i="8"/>
  <c r="G370" i="8"/>
  <c r="T370" i="8" s="1"/>
  <c r="U370" i="8" s="1"/>
  <c r="F370" i="8"/>
  <c r="C370" i="8"/>
  <c r="B370" i="8"/>
  <c r="V369" i="8"/>
  <c r="G369" i="8"/>
  <c r="T369" i="8" s="1"/>
  <c r="U369" i="8" s="1"/>
  <c r="F369" i="8"/>
  <c r="C369" i="8"/>
  <c r="B369" i="8"/>
  <c r="V368" i="8"/>
  <c r="G368" i="8"/>
  <c r="T368" i="8" s="1"/>
  <c r="U368" i="8" s="1"/>
  <c r="F368" i="8"/>
  <c r="C368" i="8"/>
  <c r="B368" i="8"/>
  <c r="V367" i="8"/>
  <c r="G367" i="8"/>
  <c r="T367" i="8" s="1"/>
  <c r="U367" i="8" s="1"/>
  <c r="F367" i="8"/>
  <c r="C367" i="8"/>
  <c r="B367" i="8"/>
  <c r="V366" i="8"/>
  <c r="G366" i="8"/>
  <c r="T366" i="8" s="1"/>
  <c r="U366" i="8" s="1"/>
  <c r="F366" i="8"/>
  <c r="C366" i="8"/>
  <c r="B366" i="8"/>
  <c r="V365" i="8"/>
  <c r="G365" i="8"/>
  <c r="T365" i="8" s="1"/>
  <c r="U365" i="8" s="1"/>
  <c r="F365" i="8"/>
  <c r="C365" i="8"/>
  <c r="B365" i="8"/>
  <c r="V364" i="8"/>
  <c r="G364" i="8"/>
  <c r="T364" i="8" s="1"/>
  <c r="U364" i="8" s="1"/>
  <c r="F364" i="8"/>
  <c r="C364" i="8"/>
  <c r="B364" i="8"/>
  <c r="V363" i="8"/>
  <c r="G363" i="8"/>
  <c r="T363" i="8" s="1"/>
  <c r="U363" i="8" s="1"/>
  <c r="F363" i="8"/>
  <c r="C363" i="8"/>
  <c r="B363" i="8"/>
  <c r="V362" i="8"/>
  <c r="G362" i="8"/>
  <c r="T362" i="8" s="1"/>
  <c r="U362" i="8" s="1"/>
  <c r="F362" i="8"/>
  <c r="C362" i="8"/>
  <c r="B362" i="8"/>
  <c r="V361" i="8"/>
  <c r="G361" i="8"/>
  <c r="T361" i="8" s="1"/>
  <c r="U361" i="8" s="1"/>
  <c r="F361" i="8"/>
  <c r="C361" i="8"/>
  <c r="B361" i="8"/>
  <c r="V360" i="8"/>
  <c r="G360" i="8"/>
  <c r="T360" i="8" s="1"/>
  <c r="U360" i="8" s="1"/>
  <c r="F360" i="8"/>
  <c r="C360" i="8"/>
  <c r="B360" i="8"/>
  <c r="V359" i="8"/>
  <c r="G359" i="8"/>
  <c r="T359" i="8" s="1"/>
  <c r="U359" i="8" s="1"/>
  <c r="F359" i="8"/>
  <c r="C359" i="8"/>
  <c r="B359" i="8"/>
  <c r="V358" i="8"/>
  <c r="G358" i="8"/>
  <c r="T358" i="8" s="1"/>
  <c r="U358" i="8" s="1"/>
  <c r="F358" i="8"/>
  <c r="C358" i="8"/>
  <c r="B358" i="8"/>
  <c r="V357" i="8"/>
  <c r="G357" i="8"/>
  <c r="T357" i="8" s="1"/>
  <c r="U357" i="8" s="1"/>
  <c r="F357" i="8"/>
  <c r="C357" i="8"/>
  <c r="B357" i="8"/>
  <c r="V356" i="8"/>
  <c r="G356" i="8"/>
  <c r="T356" i="8" s="1"/>
  <c r="U356" i="8" s="1"/>
  <c r="F356" i="8"/>
  <c r="C356" i="8"/>
  <c r="B356" i="8"/>
  <c r="V355" i="8"/>
  <c r="G355" i="8"/>
  <c r="T355" i="8" s="1"/>
  <c r="U355" i="8" s="1"/>
  <c r="F355" i="8"/>
  <c r="C355" i="8"/>
  <c r="B355" i="8"/>
  <c r="V354" i="8"/>
  <c r="G354" i="8"/>
  <c r="T354" i="8" s="1"/>
  <c r="U354" i="8" s="1"/>
  <c r="F354" i="8"/>
  <c r="C354" i="8"/>
  <c r="B354" i="8"/>
  <c r="V353" i="8"/>
  <c r="G353" i="8"/>
  <c r="T353" i="8" s="1"/>
  <c r="U353" i="8" s="1"/>
  <c r="F353" i="8"/>
  <c r="C353" i="8"/>
  <c r="B353" i="8"/>
  <c r="V352" i="8"/>
  <c r="G352" i="8"/>
  <c r="T352" i="8" s="1"/>
  <c r="U352" i="8" s="1"/>
  <c r="F352" i="8"/>
  <c r="C352" i="8"/>
  <c r="B352" i="8"/>
  <c r="V351" i="8"/>
  <c r="G351" i="8"/>
  <c r="T351" i="8" s="1"/>
  <c r="U351" i="8" s="1"/>
  <c r="F351" i="8"/>
  <c r="C351" i="8"/>
  <c r="B351" i="8"/>
  <c r="V350" i="8"/>
  <c r="G350" i="8"/>
  <c r="T350" i="8" s="1"/>
  <c r="U350" i="8" s="1"/>
  <c r="F350" i="8"/>
  <c r="C350" i="8"/>
  <c r="B350" i="8"/>
  <c r="V349" i="8"/>
  <c r="G349" i="8"/>
  <c r="T349" i="8" s="1"/>
  <c r="U349" i="8" s="1"/>
  <c r="F349" i="8"/>
  <c r="C349" i="8"/>
  <c r="B349" i="8"/>
  <c r="V348" i="8"/>
  <c r="G348" i="8"/>
  <c r="T348" i="8" s="1"/>
  <c r="U348" i="8" s="1"/>
  <c r="F348" i="8"/>
  <c r="C348" i="8"/>
  <c r="B348" i="8"/>
  <c r="V347" i="8"/>
  <c r="G347" i="8"/>
  <c r="T347" i="8" s="1"/>
  <c r="U347" i="8" s="1"/>
  <c r="F347" i="8"/>
  <c r="C347" i="8"/>
  <c r="B347" i="8"/>
  <c r="V346" i="8"/>
  <c r="G346" i="8"/>
  <c r="T346" i="8" s="1"/>
  <c r="U346" i="8" s="1"/>
  <c r="F346" i="8"/>
  <c r="C346" i="8"/>
  <c r="B346" i="8"/>
  <c r="V345" i="8"/>
  <c r="G345" i="8"/>
  <c r="T345" i="8" s="1"/>
  <c r="U345" i="8" s="1"/>
  <c r="F345" i="8"/>
  <c r="C345" i="8"/>
  <c r="B345" i="8"/>
  <c r="V344" i="8"/>
  <c r="G344" i="8"/>
  <c r="T344" i="8" s="1"/>
  <c r="U344" i="8" s="1"/>
  <c r="F344" i="8"/>
  <c r="C344" i="8"/>
  <c r="B344" i="8"/>
  <c r="V343" i="8"/>
  <c r="G343" i="8"/>
  <c r="T343" i="8" s="1"/>
  <c r="U343" i="8" s="1"/>
  <c r="F343" i="8"/>
  <c r="C343" i="8"/>
  <c r="B343" i="8"/>
  <c r="V342" i="8"/>
  <c r="G342" i="8"/>
  <c r="T342" i="8" s="1"/>
  <c r="U342" i="8" s="1"/>
  <c r="F342" i="8"/>
  <c r="C342" i="8"/>
  <c r="B342" i="8"/>
  <c r="V341" i="8"/>
  <c r="G341" i="8"/>
  <c r="T341" i="8" s="1"/>
  <c r="U341" i="8" s="1"/>
  <c r="F341" i="8"/>
  <c r="C341" i="8"/>
  <c r="B341" i="8"/>
  <c r="V340" i="8"/>
  <c r="G340" i="8"/>
  <c r="T340" i="8" s="1"/>
  <c r="U340" i="8" s="1"/>
  <c r="F340" i="8"/>
  <c r="C340" i="8"/>
  <c r="B340" i="8"/>
  <c r="V339" i="8"/>
  <c r="G339" i="8"/>
  <c r="T339" i="8" s="1"/>
  <c r="U339" i="8" s="1"/>
  <c r="F339" i="8"/>
  <c r="C339" i="8"/>
  <c r="B339" i="8"/>
  <c r="V338" i="8"/>
  <c r="G338" i="8"/>
  <c r="T338" i="8" s="1"/>
  <c r="U338" i="8" s="1"/>
  <c r="F338" i="8"/>
  <c r="C338" i="8"/>
  <c r="B338" i="8"/>
  <c r="V337" i="8"/>
  <c r="G337" i="8"/>
  <c r="T337" i="8" s="1"/>
  <c r="U337" i="8" s="1"/>
  <c r="F337" i="8"/>
  <c r="C337" i="8"/>
  <c r="B337" i="8"/>
  <c r="V336" i="8"/>
  <c r="G336" i="8"/>
  <c r="T336" i="8" s="1"/>
  <c r="U336" i="8" s="1"/>
  <c r="F336" i="8"/>
  <c r="C336" i="8"/>
  <c r="B336" i="8"/>
  <c r="V335" i="8"/>
  <c r="G335" i="8"/>
  <c r="T335" i="8" s="1"/>
  <c r="U335" i="8" s="1"/>
  <c r="F335" i="8"/>
  <c r="C335" i="8"/>
  <c r="B335" i="8"/>
  <c r="V334" i="8"/>
  <c r="G334" i="8"/>
  <c r="T334" i="8" s="1"/>
  <c r="U334" i="8" s="1"/>
  <c r="F334" i="8"/>
  <c r="C334" i="8"/>
  <c r="B334" i="8"/>
  <c r="V333" i="8"/>
  <c r="G333" i="8"/>
  <c r="T333" i="8" s="1"/>
  <c r="U333" i="8" s="1"/>
  <c r="F333" i="8"/>
  <c r="C333" i="8"/>
  <c r="B333" i="8"/>
  <c r="V332" i="8"/>
  <c r="G332" i="8"/>
  <c r="T332" i="8" s="1"/>
  <c r="U332" i="8" s="1"/>
  <c r="F332" i="8"/>
  <c r="C332" i="8"/>
  <c r="B332" i="8"/>
  <c r="V331" i="8"/>
  <c r="G331" i="8"/>
  <c r="T331" i="8" s="1"/>
  <c r="U331" i="8" s="1"/>
  <c r="F331" i="8"/>
  <c r="C331" i="8"/>
  <c r="B331" i="8"/>
  <c r="V330" i="8"/>
  <c r="G330" i="8"/>
  <c r="T330" i="8" s="1"/>
  <c r="U330" i="8" s="1"/>
  <c r="F330" i="8"/>
  <c r="C330" i="8"/>
  <c r="B330" i="8"/>
  <c r="V329" i="8"/>
  <c r="G329" i="8"/>
  <c r="T329" i="8" s="1"/>
  <c r="U329" i="8" s="1"/>
  <c r="F329" i="8"/>
  <c r="C329" i="8"/>
  <c r="B329" i="8"/>
  <c r="V328" i="8"/>
  <c r="G328" i="8"/>
  <c r="T328" i="8" s="1"/>
  <c r="U328" i="8" s="1"/>
  <c r="F328" i="8"/>
  <c r="C328" i="8"/>
  <c r="B328" i="8"/>
  <c r="V327" i="8"/>
  <c r="G327" i="8"/>
  <c r="T327" i="8" s="1"/>
  <c r="U327" i="8" s="1"/>
  <c r="F327" i="8"/>
  <c r="C327" i="8"/>
  <c r="B327" i="8"/>
  <c r="V326" i="8"/>
  <c r="G326" i="8"/>
  <c r="T326" i="8" s="1"/>
  <c r="U326" i="8" s="1"/>
  <c r="F326" i="8"/>
  <c r="C326" i="8"/>
  <c r="B326" i="8"/>
  <c r="V325" i="8"/>
  <c r="G325" i="8"/>
  <c r="T325" i="8" s="1"/>
  <c r="U325" i="8" s="1"/>
  <c r="F325" i="8"/>
  <c r="C325" i="8"/>
  <c r="B325" i="8"/>
  <c r="V324" i="8"/>
  <c r="G324" i="8"/>
  <c r="T324" i="8" s="1"/>
  <c r="U324" i="8" s="1"/>
  <c r="F324" i="8"/>
  <c r="C324" i="8"/>
  <c r="B324" i="8"/>
  <c r="V323" i="8"/>
  <c r="G323" i="8"/>
  <c r="T323" i="8" s="1"/>
  <c r="U323" i="8" s="1"/>
  <c r="F323" i="8"/>
  <c r="C323" i="8"/>
  <c r="B323" i="8"/>
  <c r="V322" i="8"/>
  <c r="G322" i="8"/>
  <c r="T322" i="8" s="1"/>
  <c r="U322" i="8" s="1"/>
  <c r="F322" i="8"/>
  <c r="C322" i="8"/>
  <c r="B322" i="8"/>
  <c r="V321" i="8"/>
  <c r="G321" i="8"/>
  <c r="T321" i="8" s="1"/>
  <c r="U321" i="8" s="1"/>
  <c r="F321" i="8"/>
  <c r="C321" i="8"/>
  <c r="B321" i="8"/>
  <c r="V320" i="8"/>
  <c r="G320" i="8"/>
  <c r="T320" i="8" s="1"/>
  <c r="U320" i="8" s="1"/>
  <c r="F320" i="8"/>
  <c r="C320" i="8"/>
  <c r="B320" i="8"/>
  <c r="V319" i="8"/>
  <c r="G319" i="8"/>
  <c r="T319" i="8" s="1"/>
  <c r="U319" i="8" s="1"/>
  <c r="F319" i="8"/>
  <c r="C319" i="8"/>
  <c r="B319" i="8"/>
  <c r="V318" i="8"/>
  <c r="G318" i="8"/>
  <c r="T318" i="8" s="1"/>
  <c r="U318" i="8" s="1"/>
  <c r="F318" i="8"/>
  <c r="C318" i="8"/>
  <c r="B318" i="8"/>
  <c r="V317" i="8"/>
  <c r="G317" i="8"/>
  <c r="T317" i="8" s="1"/>
  <c r="U317" i="8" s="1"/>
  <c r="F317" i="8"/>
  <c r="C317" i="8"/>
  <c r="B317" i="8"/>
  <c r="V316" i="8"/>
  <c r="G316" i="8"/>
  <c r="T316" i="8" s="1"/>
  <c r="U316" i="8" s="1"/>
  <c r="F316" i="8"/>
  <c r="C316" i="8"/>
  <c r="B316" i="8"/>
  <c r="V315" i="8"/>
  <c r="G315" i="8"/>
  <c r="T315" i="8" s="1"/>
  <c r="U315" i="8" s="1"/>
  <c r="F315" i="8"/>
  <c r="C315" i="8"/>
  <c r="B315" i="8"/>
  <c r="V314" i="8"/>
  <c r="G314" i="8"/>
  <c r="T314" i="8" s="1"/>
  <c r="U314" i="8" s="1"/>
  <c r="F314" i="8"/>
  <c r="C314" i="8"/>
  <c r="B314" i="8"/>
  <c r="V313" i="8"/>
  <c r="G313" i="8"/>
  <c r="T313" i="8" s="1"/>
  <c r="U313" i="8" s="1"/>
  <c r="F313" i="8"/>
  <c r="C313" i="8"/>
  <c r="B313" i="8"/>
  <c r="V312" i="8"/>
  <c r="G312" i="8"/>
  <c r="T312" i="8" s="1"/>
  <c r="U312" i="8" s="1"/>
  <c r="F312" i="8"/>
  <c r="C312" i="8"/>
  <c r="B312" i="8"/>
  <c r="V311" i="8"/>
  <c r="G311" i="8"/>
  <c r="T311" i="8" s="1"/>
  <c r="U311" i="8" s="1"/>
  <c r="F311" i="8"/>
  <c r="C311" i="8"/>
  <c r="B311" i="8"/>
  <c r="V310" i="8"/>
  <c r="G310" i="8"/>
  <c r="T310" i="8" s="1"/>
  <c r="U310" i="8" s="1"/>
  <c r="F310" i="8"/>
  <c r="C310" i="8"/>
  <c r="B310" i="8"/>
  <c r="V309" i="8"/>
  <c r="G309" i="8"/>
  <c r="T309" i="8" s="1"/>
  <c r="U309" i="8" s="1"/>
  <c r="F309" i="8"/>
  <c r="C309" i="8"/>
  <c r="B309" i="8"/>
  <c r="V308" i="8"/>
  <c r="G308" i="8"/>
  <c r="T308" i="8" s="1"/>
  <c r="U308" i="8" s="1"/>
  <c r="F308" i="8"/>
  <c r="C308" i="8"/>
  <c r="B308" i="8"/>
  <c r="V307" i="8"/>
  <c r="G307" i="8"/>
  <c r="T307" i="8" s="1"/>
  <c r="U307" i="8" s="1"/>
  <c r="F307" i="8"/>
  <c r="C307" i="8"/>
  <c r="B307" i="8"/>
  <c r="V306" i="8"/>
  <c r="G306" i="8"/>
  <c r="T306" i="8" s="1"/>
  <c r="U306" i="8" s="1"/>
  <c r="F306" i="8"/>
  <c r="C306" i="8"/>
  <c r="B306" i="8"/>
  <c r="V305" i="8"/>
  <c r="G305" i="8"/>
  <c r="T305" i="8" s="1"/>
  <c r="U305" i="8" s="1"/>
  <c r="F305" i="8"/>
  <c r="C305" i="8"/>
  <c r="B305" i="8"/>
  <c r="V304" i="8"/>
  <c r="G304" i="8"/>
  <c r="T304" i="8" s="1"/>
  <c r="U304" i="8" s="1"/>
  <c r="F304" i="8"/>
  <c r="C304" i="8"/>
  <c r="B304" i="8"/>
  <c r="V303" i="8"/>
  <c r="G303" i="8"/>
  <c r="T303" i="8" s="1"/>
  <c r="U303" i="8" s="1"/>
  <c r="F303" i="8"/>
  <c r="C303" i="8"/>
  <c r="B303" i="8"/>
  <c r="V302" i="8"/>
  <c r="G302" i="8"/>
  <c r="T302" i="8" s="1"/>
  <c r="U302" i="8" s="1"/>
  <c r="F302" i="8"/>
  <c r="C302" i="8"/>
  <c r="B302" i="8"/>
  <c r="V301" i="8"/>
  <c r="G301" i="8"/>
  <c r="T301" i="8" s="1"/>
  <c r="U301" i="8" s="1"/>
  <c r="F301" i="8"/>
  <c r="C301" i="8"/>
  <c r="B301" i="8"/>
  <c r="V300" i="8"/>
  <c r="G300" i="8"/>
  <c r="T300" i="8" s="1"/>
  <c r="U300" i="8" s="1"/>
  <c r="F300" i="8"/>
  <c r="C300" i="8"/>
  <c r="B300" i="8"/>
  <c r="V299" i="8"/>
  <c r="G299" i="8"/>
  <c r="T299" i="8" s="1"/>
  <c r="U299" i="8" s="1"/>
  <c r="F299" i="8"/>
  <c r="C299" i="8"/>
  <c r="B299" i="8"/>
  <c r="V298" i="8"/>
  <c r="G298" i="8"/>
  <c r="T298" i="8" s="1"/>
  <c r="U298" i="8" s="1"/>
  <c r="F298" i="8"/>
  <c r="C298" i="8"/>
  <c r="B298" i="8"/>
  <c r="V297" i="8"/>
  <c r="G297" i="8"/>
  <c r="T297" i="8" s="1"/>
  <c r="U297" i="8" s="1"/>
  <c r="F297" i="8"/>
  <c r="C297" i="8"/>
  <c r="B297" i="8"/>
  <c r="V296" i="8"/>
  <c r="G296" i="8"/>
  <c r="T296" i="8" s="1"/>
  <c r="U296" i="8" s="1"/>
  <c r="F296" i="8"/>
  <c r="C296" i="8"/>
  <c r="B296" i="8"/>
  <c r="V295" i="8"/>
  <c r="G295" i="8"/>
  <c r="T295" i="8" s="1"/>
  <c r="U295" i="8" s="1"/>
  <c r="F295" i="8"/>
  <c r="C295" i="8"/>
  <c r="B295" i="8"/>
  <c r="V294" i="8"/>
  <c r="G294" i="8"/>
  <c r="T294" i="8" s="1"/>
  <c r="U294" i="8" s="1"/>
  <c r="F294" i="8"/>
  <c r="C294" i="8"/>
  <c r="B294" i="8"/>
  <c r="V293" i="8"/>
  <c r="G293" i="8"/>
  <c r="T293" i="8" s="1"/>
  <c r="U293" i="8" s="1"/>
  <c r="F293" i="8"/>
  <c r="C293" i="8"/>
  <c r="B293" i="8"/>
  <c r="V292" i="8"/>
  <c r="G292" i="8"/>
  <c r="T292" i="8" s="1"/>
  <c r="U292" i="8" s="1"/>
  <c r="F292" i="8"/>
  <c r="C292" i="8"/>
  <c r="B292" i="8"/>
  <c r="V291" i="8"/>
  <c r="G291" i="8"/>
  <c r="T291" i="8" s="1"/>
  <c r="U291" i="8" s="1"/>
  <c r="F291" i="8"/>
  <c r="C291" i="8"/>
  <c r="B291" i="8"/>
  <c r="V290" i="8"/>
  <c r="G290" i="8"/>
  <c r="T290" i="8" s="1"/>
  <c r="U290" i="8" s="1"/>
  <c r="F290" i="8"/>
  <c r="C290" i="8"/>
  <c r="B290" i="8"/>
  <c r="V289" i="8"/>
  <c r="G289" i="8"/>
  <c r="T289" i="8" s="1"/>
  <c r="U289" i="8" s="1"/>
  <c r="F289" i="8"/>
  <c r="C289" i="8"/>
  <c r="B289" i="8"/>
  <c r="V288" i="8"/>
  <c r="G288" i="8"/>
  <c r="T288" i="8" s="1"/>
  <c r="U288" i="8" s="1"/>
  <c r="F288" i="8"/>
  <c r="C288" i="8"/>
  <c r="B288" i="8"/>
  <c r="V287" i="8"/>
  <c r="G287" i="8"/>
  <c r="T287" i="8" s="1"/>
  <c r="U287" i="8" s="1"/>
  <c r="F287" i="8"/>
  <c r="C287" i="8"/>
  <c r="B287" i="8"/>
  <c r="V286" i="8"/>
  <c r="G286" i="8"/>
  <c r="T286" i="8" s="1"/>
  <c r="U286" i="8" s="1"/>
  <c r="F286" i="8"/>
  <c r="C286" i="8"/>
  <c r="B286" i="8"/>
  <c r="V285" i="8"/>
  <c r="G285" i="8"/>
  <c r="T285" i="8" s="1"/>
  <c r="U285" i="8" s="1"/>
  <c r="F285" i="8"/>
  <c r="C285" i="8"/>
  <c r="B285" i="8"/>
  <c r="V284" i="8"/>
  <c r="G284" i="8"/>
  <c r="T284" i="8" s="1"/>
  <c r="U284" i="8" s="1"/>
  <c r="F284" i="8"/>
  <c r="C284" i="8"/>
  <c r="B284" i="8"/>
  <c r="V283" i="8"/>
  <c r="G283" i="8"/>
  <c r="T283" i="8" s="1"/>
  <c r="U283" i="8" s="1"/>
  <c r="F283" i="8"/>
  <c r="C283" i="8"/>
  <c r="B283" i="8"/>
  <c r="V282" i="8"/>
  <c r="G282" i="8"/>
  <c r="T282" i="8" s="1"/>
  <c r="U282" i="8" s="1"/>
  <c r="F282" i="8"/>
  <c r="C282" i="8"/>
  <c r="B282" i="8"/>
  <c r="V281" i="8"/>
  <c r="G281" i="8"/>
  <c r="T281" i="8" s="1"/>
  <c r="U281" i="8" s="1"/>
  <c r="F281" i="8"/>
  <c r="C281" i="8"/>
  <c r="B281" i="8"/>
  <c r="V280" i="8"/>
  <c r="G280" i="8"/>
  <c r="T280" i="8" s="1"/>
  <c r="U280" i="8" s="1"/>
  <c r="F280" i="8"/>
  <c r="C280" i="8"/>
  <c r="B280" i="8"/>
  <c r="V279" i="8"/>
  <c r="G279" i="8"/>
  <c r="T279" i="8" s="1"/>
  <c r="U279" i="8" s="1"/>
  <c r="F279" i="8"/>
  <c r="C279" i="8"/>
  <c r="B279" i="8"/>
  <c r="V278" i="8"/>
  <c r="G278" i="8"/>
  <c r="T278" i="8" s="1"/>
  <c r="U278" i="8" s="1"/>
  <c r="F278" i="8"/>
  <c r="C278" i="8"/>
  <c r="B278" i="8"/>
  <c r="V277" i="8"/>
  <c r="G277" i="8"/>
  <c r="T277" i="8" s="1"/>
  <c r="U277" i="8" s="1"/>
  <c r="F277" i="8"/>
  <c r="C277" i="8"/>
  <c r="B277" i="8"/>
  <c r="V276" i="8"/>
  <c r="G276" i="8"/>
  <c r="T276" i="8" s="1"/>
  <c r="U276" i="8" s="1"/>
  <c r="F276" i="8"/>
  <c r="C276" i="8"/>
  <c r="B276" i="8"/>
  <c r="V275" i="8"/>
  <c r="G275" i="8"/>
  <c r="T275" i="8" s="1"/>
  <c r="U275" i="8" s="1"/>
  <c r="F275" i="8"/>
  <c r="C275" i="8"/>
  <c r="B275" i="8"/>
  <c r="V274" i="8"/>
  <c r="G274" i="8"/>
  <c r="T274" i="8" s="1"/>
  <c r="U274" i="8" s="1"/>
  <c r="F274" i="8"/>
  <c r="C274" i="8"/>
  <c r="B274" i="8"/>
  <c r="V273" i="8"/>
  <c r="G273" i="8"/>
  <c r="T273" i="8" s="1"/>
  <c r="U273" i="8" s="1"/>
  <c r="F273" i="8"/>
  <c r="C273" i="8"/>
  <c r="B273" i="8"/>
  <c r="V272" i="8"/>
  <c r="G272" i="8"/>
  <c r="T272" i="8" s="1"/>
  <c r="U272" i="8" s="1"/>
  <c r="F272" i="8"/>
  <c r="C272" i="8"/>
  <c r="B272" i="8"/>
  <c r="V271" i="8"/>
  <c r="G271" i="8"/>
  <c r="T271" i="8" s="1"/>
  <c r="U271" i="8" s="1"/>
  <c r="F271" i="8"/>
  <c r="C271" i="8"/>
  <c r="B271" i="8"/>
  <c r="V270" i="8"/>
  <c r="G270" i="8"/>
  <c r="T270" i="8" s="1"/>
  <c r="U270" i="8" s="1"/>
  <c r="F270" i="8"/>
  <c r="C270" i="8"/>
  <c r="B270" i="8"/>
  <c r="V269" i="8"/>
  <c r="G269" i="8"/>
  <c r="T269" i="8" s="1"/>
  <c r="U269" i="8" s="1"/>
  <c r="F269" i="8"/>
  <c r="C269" i="8"/>
  <c r="B269" i="8"/>
  <c r="V268" i="8"/>
  <c r="G268" i="8"/>
  <c r="T268" i="8" s="1"/>
  <c r="U268" i="8" s="1"/>
  <c r="F268" i="8"/>
  <c r="C268" i="8"/>
  <c r="B268" i="8"/>
  <c r="V267" i="8"/>
  <c r="G267" i="8"/>
  <c r="T267" i="8" s="1"/>
  <c r="U267" i="8" s="1"/>
  <c r="F267" i="8"/>
  <c r="C267" i="8"/>
  <c r="B267" i="8"/>
  <c r="V266" i="8"/>
  <c r="G266" i="8"/>
  <c r="T266" i="8" s="1"/>
  <c r="U266" i="8" s="1"/>
  <c r="F266" i="8"/>
  <c r="C266" i="8"/>
  <c r="B266" i="8"/>
  <c r="V265" i="8"/>
  <c r="G265" i="8"/>
  <c r="T265" i="8" s="1"/>
  <c r="U265" i="8" s="1"/>
  <c r="F265" i="8"/>
  <c r="C265" i="8"/>
  <c r="B265" i="8"/>
  <c r="V264" i="8"/>
  <c r="G264" i="8"/>
  <c r="T264" i="8" s="1"/>
  <c r="U264" i="8" s="1"/>
  <c r="F264" i="8"/>
  <c r="C264" i="8"/>
  <c r="B264" i="8"/>
  <c r="V263" i="8"/>
  <c r="G263" i="8"/>
  <c r="T263" i="8" s="1"/>
  <c r="U263" i="8" s="1"/>
  <c r="F263" i="8"/>
  <c r="C263" i="8"/>
  <c r="B263" i="8"/>
  <c r="V262" i="8"/>
  <c r="G262" i="8"/>
  <c r="T262" i="8" s="1"/>
  <c r="U262" i="8" s="1"/>
  <c r="F262" i="8"/>
  <c r="C262" i="8"/>
  <c r="B262" i="8"/>
  <c r="V261" i="8"/>
  <c r="G261" i="8"/>
  <c r="T261" i="8" s="1"/>
  <c r="U261" i="8" s="1"/>
  <c r="F261" i="8"/>
  <c r="C261" i="8"/>
  <c r="B261" i="8"/>
  <c r="V260" i="8"/>
  <c r="G260" i="8"/>
  <c r="T260" i="8" s="1"/>
  <c r="U260" i="8" s="1"/>
  <c r="F260" i="8"/>
  <c r="C260" i="8"/>
  <c r="B260" i="8"/>
  <c r="V259" i="8"/>
  <c r="G259" i="8"/>
  <c r="T259" i="8" s="1"/>
  <c r="U259" i="8" s="1"/>
  <c r="F259" i="8"/>
  <c r="C259" i="8"/>
  <c r="B259" i="8"/>
  <c r="V258" i="8"/>
  <c r="G258" i="8"/>
  <c r="T258" i="8" s="1"/>
  <c r="U258" i="8" s="1"/>
  <c r="F258" i="8"/>
  <c r="C258" i="8"/>
  <c r="B258" i="8"/>
  <c r="V257" i="8"/>
  <c r="G257" i="8"/>
  <c r="T257" i="8" s="1"/>
  <c r="U257" i="8" s="1"/>
  <c r="F257" i="8"/>
  <c r="C257" i="8"/>
  <c r="B257" i="8"/>
  <c r="V256" i="8"/>
  <c r="G256" i="8"/>
  <c r="T256" i="8" s="1"/>
  <c r="U256" i="8" s="1"/>
  <c r="F256" i="8"/>
  <c r="C256" i="8"/>
  <c r="B256" i="8"/>
  <c r="V255" i="8"/>
  <c r="G255" i="8"/>
  <c r="T255" i="8" s="1"/>
  <c r="U255" i="8" s="1"/>
  <c r="F255" i="8"/>
  <c r="C255" i="8"/>
  <c r="B255" i="8"/>
  <c r="V254" i="8"/>
  <c r="G254" i="8"/>
  <c r="T254" i="8" s="1"/>
  <c r="U254" i="8" s="1"/>
  <c r="F254" i="8"/>
  <c r="C254" i="8"/>
  <c r="B254" i="8"/>
  <c r="V253" i="8"/>
  <c r="G253" i="8"/>
  <c r="T253" i="8" s="1"/>
  <c r="U253" i="8" s="1"/>
  <c r="F253" i="8"/>
  <c r="C253" i="8"/>
  <c r="B253" i="8"/>
  <c r="V252" i="8"/>
  <c r="G252" i="8"/>
  <c r="T252" i="8" s="1"/>
  <c r="U252" i="8" s="1"/>
  <c r="F252" i="8"/>
  <c r="C252" i="8"/>
  <c r="B252" i="8"/>
  <c r="V251" i="8"/>
  <c r="G251" i="8"/>
  <c r="T251" i="8" s="1"/>
  <c r="U251" i="8" s="1"/>
  <c r="F251" i="8"/>
  <c r="C251" i="8"/>
  <c r="B251" i="8"/>
  <c r="V250" i="8"/>
  <c r="G250" i="8"/>
  <c r="T250" i="8" s="1"/>
  <c r="U250" i="8" s="1"/>
  <c r="F250" i="8"/>
  <c r="C250" i="8"/>
  <c r="B250" i="8"/>
  <c r="V249" i="8"/>
  <c r="G249" i="8"/>
  <c r="T249" i="8" s="1"/>
  <c r="U249" i="8" s="1"/>
  <c r="F249" i="8"/>
  <c r="C249" i="8"/>
  <c r="B249" i="8"/>
  <c r="V248" i="8"/>
  <c r="G248" i="8"/>
  <c r="T248" i="8" s="1"/>
  <c r="U248" i="8" s="1"/>
  <c r="F248" i="8"/>
  <c r="C248" i="8"/>
  <c r="B248" i="8"/>
  <c r="V247" i="8"/>
  <c r="G247" i="8"/>
  <c r="T247" i="8" s="1"/>
  <c r="U247" i="8" s="1"/>
  <c r="F247" i="8"/>
  <c r="C247" i="8"/>
  <c r="B247" i="8"/>
  <c r="V246" i="8"/>
  <c r="G246" i="8"/>
  <c r="T246" i="8" s="1"/>
  <c r="U246" i="8" s="1"/>
  <c r="F246" i="8"/>
  <c r="C246" i="8"/>
  <c r="B246" i="8"/>
  <c r="V245" i="8"/>
  <c r="G245" i="8"/>
  <c r="T245" i="8" s="1"/>
  <c r="U245" i="8" s="1"/>
  <c r="F245" i="8"/>
  <c r="C245" i="8"/>
  <c r="B245" i="8"/>
  <c r="V244" i="8"/>
  <c r="G244" i="8"/>
  <c r="T244" i="8" s="1"/>
  <c r="U244" i="8" s="1"/>
  <c r="F244" i="8"/>
  <c r="C244" i="8"/>
  <c r="B244" i="8"/>
  <c r="V243" i="8"/>
  <c r="G243" i="8"/>
  <c r="T243" i="8" s="1"/>
  <c r="U243" i="8" s="1"/>
  <c r="F243" i="8"/>
  <c r="C243" i="8"/>
  <c r="B243" i="8"/>
  <c r="V242" i="8"/>
  <c r="G242" i="8"/>
  <c r="T242" i="8" s="1"/>
  <c r="U242" i="8" s="1"/>
  <c r="F242" i="8"/>
  <c r="C242" i="8"/>
  <c r="B242" i="8"/>
  <c r="V241" i="8"/>
  <c r="G241" i="8"/>
  <c r="T241" i="8" s="1"/>
  <c r="U241" i="8" s="1"/>
  <c r="F241" i="8"/>
  <c r="C241" i="8"/>
  <c r="B241" i="8"/>
  <c r="V240" i="8"/>
  <c r="G240" i="8"/>
  <c r="T240" i="8" s="1"/>
  <c r="U240" i="8" s="1"/>
  <c r="F240" i="8"/>
  <c r="C240" i="8"/>
  <c r="B240" i="8"/>
  <c r="V239" i="8"/>
  <c r="G239" i="8"/>
  <c r="T239" i="8" s="1"/>
  <c r="U239" i="8" s="1"/>
  <c r="F239" i="8"/>
  <c r="C239" i="8"/>
  <c r="B239" i="8"/>
  <c r="V238" i="8"/>
  <c r="G238" i="8"/>
  <c r="T238" i="8" s="1"/>
  <c r="U238" i="8" s="1"/>
  <c r="F238" i="8"/>
  <c r="C238" i="8"/>
  <c r="B238" i="8"/>
  <c r="V237" i="8"/>
  <c r="G237" i="8"/>
  <c r="T237" i="8" s="1"/>
  <c r="U237" i="8" s="1"/>
  <c r="F237" i="8"/>
  <c r="C237" i="8"/>
  <c r="B237" i="8"/>
  <c r="V236" i="8"/>
  <c r="G236" i="8"/>
  <c r="T236" i="8" s="1"/>
  <c r="U236" i="8" s="1"/>
  <c r="F236" i="8"/>
  <c r="C236" i="8"/>
  <c r="B236" i="8"/>
  <c r="V235" i="8"/>
  <c r="G235" i="8"/>
  <c r="T235" i="8" s="1"/>
  <c r="U235" i="8" s="1"/>
  <c r="F235" i="8"/>
  <c r="C235" i="8"/>
  <c r="B235" i="8"/>
  <c r="V234" i="8"/>
  <c r="G234" i="8"/>
  <c r="T234" i="8" s="1"/>
  <c r="U234" i="8" s="1"/>
  <c r="F234" i="8"/>
  <c r="C234" i="8"/>
  <c r="B234" i="8"/>
  <c r="V233" i="8"/>
  <c r="G233" i="8"/>
  <c r="T233" i="8" s="1"/>
  <c r="U233" i="8" s="1"/>
  <c r="F233" i="8"/>
  <c r="C233" i="8"/>
  <c r="B233" i="8"/>
  <c r="V232" i="8"/>
  <c r="G232" i="8"/>
  <c r="T232" i="8" s="1"/>
  <c r="U232" i="8" s="1"/>
  <c r="F232" i="8"/>
  <c r="C232" i="8"/>
  <c r="B232" i="8"/>
  <c r="V231" i="8"/>
  <c r="G231" i="8"/>
  <c r="T231" i="8" s="1"/>
  <c r="U231" i="8" s="1"/>
  <c r="F231" i="8"/>
  <c r="C231" i="8"/>
  <c r="B231" i="8"/>
  <c r="V230" i="8"/>
  <c r="G230" i="8"/>
  <c r="T230" i="8" s="1"/>
  <c r="U230" i="8" s="1"/>
  <c r="F230" i="8"/>
  <c r="C230" i="8"/>
  <c r="B230" i="8"/>
  <c r="V229" i="8"/>
  <c r="G229" i="8"/>
  <c r="T229" i="8" s="1"/>
  <c r="U229" i="8" s="1"/>
  <c r="F229" i="8"/>
  <c r="C229" i="8"/>
  <c r="B229" i="8"/>
  <c r="V228" i="8"/>
  <c r="G228" i="8"/>
  <c r="T228" i="8" s="1"/>
  <c r="U228" i="8" s="1"/>
  <c r="F228" i="8"/>
  <c r="C228" i="8"/>
  <c r="B228" i="8"/>
  <c r="V227" i="8"/>
  <c r="G227" i="8"/>
  <c r="T227" i="8" s="1"/>
  <c r="U227" i="8" s="1"/>
  <c r="F227" i="8"/>
  <c r="C227" i="8"/>
  <c r="B227" i="8"/>
  <c r="V226" i="8"/>
  <c r="G226" i="8"/>
  <c r="T226" i="8" s="1"/>
  <c r="U226" i="8" s="1"/>
  <c r="F226" i="8"/>
  <c r="C226" i="8"/>
  <c r="B226" i="8"/>
  <c r="V225" i="8"/>
  <c r="G225" i="8"/>
  <c r="T225" i="8" s="1"/>
  <c r="U225" i="8" s="1"/>
  <c r="F225" i="8"/>
  <c r="C225" i="8"/>
  <c r="B225" i="8"/>
  <c r="V224" i="8"/>
  <c r="G224" i="8"/>
  <c r="T224" i="8" s="1"/>
  <c r="U224" i="8" s="1"/>
  <c r="F224" i="8"/>
  <c r="C224" i="8"/>
  <c r="B224" i="8"/>
  <c r="V223" i="8"/>
  <c r="G223" i="8"/>
  <c r="T223" i="8" s="1"/>
  <c r="U223" i="8" s="1"/>
  <c r="F223" i="8"/>
  <c r="C223" i="8"/>
  <c r="B223" i="8"/>
  <c r="V222" i="8"/>
  <c r="G222" i="8"/>
  <c r="T222" i="8" s="1"/>
  <c r="U222" i="8" s="1"/>
  <c r="F222" i="8"/>
  <c r="C222" i="8"/>
  <c r="B222" i="8"/>
  <c r="V221" i="8"/>
  <c r="G221" i="8"/>
  <c r="T221" i="8" s="1"/>
  <c r="U221" i="8" s="1"/>
  <c r="F221" i="8"/>
  <c r="C221" i="8"/>
  <c r="B221" i="8"/>
  <c r="V220" i="8"/>
  <c r="G220" i="8"/>
  <c r="T220" i="8" s="1"/>
  <c r="U220" i="8" s="1"/>
  <c r="F220" i="8"/>
  <c r="C220" i="8"/>
  <c r="B220" i="8"/>
  <c r="V219" i="8"/>
  <c r="G219" i="8"/>
  <c r="T219" i="8" s="1"/>
  <c r="U219" i="8" s="1"/>
  <c r="F219" i="8"/>
  <c r="C219" i="8"/>
  <c r="B219" i="8"/>
  <c r="V218" i="8"/>
  <c r="G218" i="8"/>
  <c r="T218" i="8" s="1"/>
  <c r="U218" i="8" s="1"/>
  <c r="F218" i="8"/>
  <c r="C218" i="8"/>
  <c r="B218" i="8"/>
  <c r="V217" i="8"/>
  <c r="G217" i="8"/>
  <c r="T217" i="8" s="1"/>
  <c r="U217" i="8" s="1"/>
  <c r="F217" i="8"/>
  <c r="C217" i="8"/>
  <c r="B217" i="8"/>
  <c r="V216" i="8"/>
  <c r="G216" i="8"/>
  <c r="T216" i="8" s="1"/>
  <c r="U216" i="8" s="1"/>
  <c r="F216" i="8"/>
  <c r="C216" i="8"/>
  <c r="B216" i="8"/>
  <c r="V215" i="8"/>
  <c r="G215" i="8"/>
  <c r="T215" i="8" s="1"/>
  <c r="U215" i="8" s="1"/>
  <c r="F215" i="8"/>
  <c r="C215" i="8"/>
  <c r="B215" i="8"/>
  <c r="V214" i="8"/>
  <c r="G214" i="8"/>
  <c r="T214" i="8" s="1"/>
  <c r="U214" i="8" s="1"/>
  <c r="F214" i="8"/>
  <c r="C214" i="8"/>
  <c r="B214" i="8"/>
  <c r="V213" i="8"/>
  <c r="G213" i="8"/>
  <c r="T213" i="8" s="1"/>
  <c r="U213" i="8" s="1"/>
  <c r="F213" i="8"/>
  <c r="C213" i="8"/>
  <c r="B213" i="8"/>
  <c r="V212" i="8"/>
  <c r="G212" i="8"/>
  <c r="T212" i="8" s="1"/>
  <c r="U212" i="8" s="1"/>
  <c r="F212" i="8"/>
  <c r="C212" i="8"/>
  <c r="B212" i="8"/>
  <c r="V211" i="8"/>
  <c r="G211" i="8"/>
  <c r="T211" i="8" s="1"/>
  <c r="U211" i="8" s="1"/>
  <c r="F211" i="8"/>
  <c r="C211" i="8"/>
  <c r="B211" i="8"/>
  <c r="V210" i="8"/>
  <c r="G210" i="8"/>
  <c r="T210" i="8" s="1"/>
  <c r="U210" i="8" s="1"/>
  <c r="F210" i="8"/>
  <c r="C210" i="8"/>
  <c r="B210" i="8"/>
  <c r="V209" i="8"/>
  <c r="G209" i="8"/>
  <c r="T209" i="8" s="1"/>
  <c r="U209" i="8" s="1"/>
  <c r="F209" i="8"/>
  <c r="C209" i="8"/>
  <c r="B209" i="8"/>
  <c r="V208" i="8"/>
  <c r="G208" i="8"/>
  <c r="T208" i="8" s="1"/>
  <c r="U208" i="8" s="1"/>
  <c r="F208" i="8"/>
  <c r="C208" i="8"/>
  <c r="B208" i="8"/>
  <c r="V207" i="8"/>
  <c r="G207" i="8"/>
  <c r="T207" i="8" s="1"/>
  <c r="U207" i="8" s="1"/>
  <c r="F207" i="8"/>
  <c r="C207" i="8"/>
  <c r="B207" i="8"/>
  <c r="V206" i="8"/>
  <c r="G206" i="8"/>
  <c r="T206" i="8" s="1"/>
  <c r="U206" i="8" s="1"/>
  <c r="F206" i="8"/>
  <c r="C206" i="8"/>
  <c r="B206" i="8"/>
  <c r="V205" i="8"/>
  <c r="G205" i="8"/>
  <c r="T205" i="8" s="1"/>
  <c r="U205" i="8" s="1"/>
  <c r="F205" i="8"/>
  <c r="C205" i="8"/>
  <c r="B205" i="8"/>
  <c r="V204" i="8"/>
  <c r="G204" i="8"/>
  <c r="T204" i="8" s="1"/>
  <c r="U204" i="8" s="1"/>
  <c r="F204" i="8"/>
  <c r="C204" i="8"/>
  <c r="B204" i="8"/>
  <c r="V203" i="8"/>
  <c r="G203" i="8"/>
  <c r="T203" i="8" s="1"/>
  <c r="U203" i="8" s="1"/>
  <c r="F203" i="8"/>
  <c r="C203" i="8"/>
  <c r="B203" i="8"/>
  <c r="V202" i="8"/>
  <c r="G202" i="8"/>
  <c r="T202" i="8" s="1"/>
  <c r="U202" i="8" s="1"/>
  <c r="F202" i="8"/>
  <c r="C202" i="8"/>
  <c r="B202" i="8"/>
  <c r="V201" i="8"/>
  <c r="G201" i="8"/>
  <c r="T201" i="8" s="1"/>
  <c r="U201" i="8" s="1"/>
  <c r="F201" i="8"/>
  <c r="C201" i="8"/>
  <c r="B201" i="8"/>
  <c r="V200" i="8"/>
  <c r="G200" i="8"/>
  <c r="T200" i="8" s="1"/>
  <c r="U200" i="8" s="1"/>
  <c r="F200" i="8"/>
  <c r="C200" i="8"/>
  <c r="B200" i="8"/>
  <c r="V199" i="8"/>
  <c r="G199" i="8"/>
  <c r="T199" i="8" s="1"/>
  <c r="U199" i="8" s="1"/>
  <c r="F199" i="8"/>
  <c r="C199" i="8"/>
  <c r="B199" i="8"/>
  <c r="V198" i="8"/>
  <c r="G198" i="8"/>
  <c r="T198" i="8" s="1"/>
  <c r="U198" i="8" s="1"/>
  <c r="F198" i="8"/>
  <c r="C198" i="8"/>
  <c r="B198" i="8"/>
  <c r="V197" i="8"/>
  <c r="G197" i="8"/>
  <c r="T197" i="8" s="1"/>
  <c r="U197" i="8" s="1"/>
  <c r="F197" i="8"/>
  <c r="C197" i="8"/>
  <c r="B197" i="8"/>
  <c r="V196" i="8"/>
  <c r="G196" i="8"/>
  <c r="T196" i="8" s="1"/>
  <c r="U196" i="8" s="1"/>
  <c r="F196" i="8"/>
  <c r="C196" i="8"/>
  <c r="B196" i="8"/>
  <c r="V195" i="8"/>
  <c r="G195" i="8"/>
  <c r="T195" i="8" s="1"/>
  <c r="U195" i="8" s="1"/>
  <c r="F195" i="8"/>
  <c r="C195" i="8"/>
  <c r="B195" i="8"/>
  <c r="V194" i="8"/>
  <c r="G194" i="8"/>
  <c r="T194" i="8" s="1"/>
  <c r="U194" i="8" s="1"/>
  <c r="F194" i="8"/>
  <c r="C194" i="8"/>
  <c r="B194" i="8"/>
  <c r="V193" i="8"/>
  <c r="G193" i="8"/>
  <c r="T193" i="8" s="1"/>
  <c r="U193" i="8" s="1"/>
  <c r="F193" i="8"/>
  <c r="C193" i="8"/>
  <c r="B193" i="8"/>
  <c r="V192" i="8"/>
  <c r="G192" i="8"/>
  <c r="T192" i="8" s="1"/>
  <c r="U192" i="8" s="1"/>
  <c r="F192" i="8"/>
  <c r="C192" i="8"/>
  <c r="B192" i="8"/>
  <c r="V191" i="8"/>
  <c r="G191" i="8"/>
  <c r="T191" i="8" s="1"/>
  <c r="U191" i="8" s="1"/>
  <c r="F191" i="8"/>
  <c r="C191" i="8"/>
  <c r="B191" i="8"/>
  <c r="V190" i="8"/>
  <c r="G190" i="8"/>
  <c r="T190" i="8" s="1"/>
  <c r="U190" i="8" s="1"/>
  <c r="F190" i="8"/>
  <c r="C190" i="8"/>
  <c r="B190" i="8"/>
  <c r="V189" i="8"/>
  <c r="G189" i="8"/>
  <c r="T189" i="8" s="1"/>
  <c r="U189" i="8" s="1"/>
  <c r="F189" i="8"/>
  <c r="C189" i="8"/>
  <c r="B189" i="8"/>
  <c r="V188" i="8"/>
  <c r="G188" i="8"/>
  <c r="T188" i="8" s="1"/>
  <c r="U188" i="8" s="1"/>
  <c r="F188" i="8"/>
  <c r="C188" i="8"/>
  <c r="B188" i="8"/>
  <c r="V187" i="8"/>
  <c r="G187" i="8"/>
  <c r="T187" i="8" s="1"/>
  <c r="U187" i="8" s="1"/>
  <c r="F187" i="8"/>
  <c r="C187" i="8"/>
  <c r="B187" i="8"/>
  <c r="V186" i="8"/>
  <c r="G186" i="8"/>
  <c r="T186" i="8" s="1"/>
  <c r="U186" i="8" s="1"/>
  <c r="F186" i="8"/>
  <c r="C186" i="8"/>
  <c r="B186" i="8"/>
  <c r="V185" i="8"/>
  <c r="G185" i="8"/>
  <c r="T185" i="8" s="1"/>
  <c r="U185" i="8" s="1"/>
  <c r="F185" i="8"/>
  <c r="C185" i="8"/>
  <c r="B185" i="8"/>
  <c r="V184" i="8"/>
  <c r="G184" i="8"/>
  <c r="T184" i="8" s="1"/>
  <c r="U184" i="8" s="1"/>
  <c r="F184" i="8"/>
  <c r="C184" i="8"/>
  <c r="B184" i="8"/>
  <c r="V183" i="8"/>
  <c r="G183" i="8"/>
  <c r="T183" i="8" s="1"/>
  <c r="U183" i="8" s="1"/>
  <c r="F183" i="8"/>
  <c r="C183" i="8"/>
  <c r="B183" i="8"/>
  <c r="V182" i="8"/>
  <c r="G182" i="8"/>
  <c r="T182" i="8" s="1"/>
  <c r="U182" i="8" s="1"/>
  <c r="F182" i="8"/>
  <c r="C182" i="8"/>
  <c r="B182" i="8"/>
  <c r="V181" i="8"/>
  <c r="G181" i="8"/>
  <c r="T181" i="8" s="1"/>
  <c r="U181" i="8" s="1"/>
  <c r="F181" i="8"/>
  <c r="C181" i="8"/>
  <c r="B181" i="8"/>
  <c r="V180" i="8"/>
  <c r="G180" i="8"/>
  <c r="T180" i="8" s="1"/>
  <c r="U180" i="8" s="1"/>
  <c r="F180" i="8"/>
  <c r="C180" i="8"/>
  <c r="B180" i="8"/>
  <c r="V179" i="8"/>
  <c r="G179" i="8"/>
  <c r="T179" i="8" s="1"/>
  <c r="U179" i="8" s="1"/>
  <c r="F179" i="8"/>
  <c r="C179" i="8"/>
  <c r="B179" i="8"/>
  <c r="V178" i="8"/>
  <c r="G178" i="8"/>
  <c r="T178" i="8" s="1"/>
  <c r="U178" i="8" s="1"/>
  <c r="F178" i="8"/>
  <c r="C178" i="8"/>
  <c r="B178" i="8"/>
  <c r="V177" i="8"/>
  <c r="G177" i="8"/>
  <c r="T177" i="8" s="1"/>
  <c r="U177" i="8" s="1"/>
  <c r="F177" i="8"/>
  <c r="C177" i="8"/>
  <c r="B177" i="8"/>
  <c r="V176" i="8"/>
  <c r="G176" i="8"/>
  <c r="T176" i="8" s="1"/>
  <c r="U176" i="8" s="1"/>
  <c r="F176" i="8"/>
  <c r="C176" i="8"/>
  <c r="B176" i="8"/>
  <c r="V175" i="8"/>
  <c r="G175" i="8"/>
  <c r="T175" i="8" s="1"/>
  <c r="U175" i="8" s="1"/>
  <c r="F175" i="8"/>
  <c r="C175" i="8"/>
  <c r="B175" i="8"/>
  <c r="V174" i="8"/>
  <c r="G174" i="8"/>
  <c r="T174" i="8" s="1"/>
  <c r="U174" i="8" s="1"/>
  <c r="F174" i="8"/>
  <c r="C174" i="8"/>
  <c r="B174" i="8"/>
  <c r="V173" i="8"/>
  <c r="G173" i="8"/>
  <c r="T173" i="8" s="1"/>
  <c r="U173" i="8" s="1"/>
  <c r="F173" i="8"/>
  <c r="C173" i="8"/>
  <c r="B173" i="8"/>
  <c r="V172" i="8"/>
  <c r="G172" i="8"/>
  <c r="T172" i="8" s="1"/>
  <c r="U172" i="8" s="1"/>
  <c r="F172" i="8"/>
  <c r="C172" i="8"/>
  <c r="B172" i="8"/>
  <c r="V171" i="8"/>
  <c r="G171" i="8"/>
  <c r="T171" i="8" s="1"/>
  <c r="U171" i="8" s="1"/>
  <c r="F171" i="8"/>
  <c r="C171" i="8"/>
  <c r="B171" i="8"/>
  <c r="V170" i="8"/>
  <c r="G170" i="8"/>
  <c r="T170" i="8" s="1"/>
  <c r="U170" i="8" s="1"/>
  <c r="F170" i="8"/>
  <c r="C170" i="8"/>
  <c r="B170" i="8"/>
  <c r="V169" i="8"/>
  <c r="G169" i="8"/>
  <c r="T169" i="8" s="1"/>
  <c r="U169" i="8" s="1"/>
  <c r="F169" i="8"/>
  <c r="C169" i="8"/>
  <c r="B169" i="8"/>
  <c r="V168" i="8"/>
  <c r="G168" i="8"/>
  <c r="T168" i="8" s="1"/>
  <c r="U168" i="8" s="1"/>
  <c r="F168" i="8"/>
  <c r="C168" i="8"/>
  <c r="B168" i="8"/>
  <c r="V167" i="8"/>
  <c r="G167" i="8"/>
  <c r="T167" i="8" s="1"/>
  <c r="U167" i="8" s="1"/>
  <c r="F167" i="8"/>
  <c r="C167" i="8"/>
  <c r="B167" i="8"/>
  <c r="V166" i="8"/>
  <c r="G166" i="8"/>
  <c r="T166" i="8" s="1"/>
  <c r="U166" i="8" s="1"/>
  <c r="F166" i="8"/>
  <c r="C166" i="8"/>
  <c r="B166" i="8"/>
  <c r="V165" i="8"/>
  <c r="G165" i="8"/>
  <c r="T165" i="8" s="1"/>
  <c r="U165" i="8" s="1"/>
  <c r="F165" i="8"/>
  <c r="C165" i="8"/>
  <c r="B165" i="8"/>
  <c r="V164" i="8"/>
  <c r="G164" i="8"/>
  <c r="T164" i="8" s="1"/>
  <c r="U164" i="8" s="1"/>
  <c r="F164" i="8"/>
  <c r="C164" i="8"/>
  <c r="B164" i="8"/>
  <c r="V163" i="8"/>
  <c r="G163" i="8"/>
  <c r="T163" i="8" s="1"/>
  <c r="U163" i="8" s="1"/>
  <c r="F163" i="8"/>
  <c r="C163" i="8"/>
  <c r="B163" i="8"/>
  <c r="V162" i="8"/>
  <c r="G162" i="8"/>
  <c r="T162" i="8" s="1"/>
  <c r="U162" i="8" s="1"/>
  <c r="F162" i="8"/>
  <c r="C162" i="8"/>
  <c r="B162" i="8"/>
  <c r="V161" i="8"/>
  <c r="G161" i="8"/>
  <c r="T161" i="8" s="1"/>
  <c r="U161" i="8" s="1"/>
  <c r="F161" i="8"/>
  <c r="C161" i="8"/>
  <c r="B161" i="8"/>
  <c r="V160" i="8"/>
  <c r="G160" i="8"/>
  <c r="T160" i="8" s="1"/>
  <c r="U160" i="8" s="1"/>
  <c r="F160" i="8"/>
  <c r="C160" i="8"/>
  <c r="B160" i="8"/>
  <c r="V159" i="8"/>
  <c r="G159" i="8"/>
  <c r="T159" i="8" s="1"/>
  <c r="U159" i="8" s="1"/>
  <c r="F159" i="8"/>
  <c r="C159" i="8"/>
  <c r="B159" i="8"/>
  <c r="V158" i="8"/>
  <c r="G158" i="8"/>
  <c r="T158" i="8" s="1"/>
  <c r="U158" i="8" s="1"/>
  <c r="F158" i="8"/>
  <c r="C158" i="8"/>
  <c r="B158" i="8"/>
  <c r="V157" i="8"/>
  <c r="G157" i="8"/>
  <c r="T157" i="8" s="1"/>
  <c r="U157" i="8" s="1"/>
  <c r="F157" i="8"/>
  <c r="C157" i="8"/>
  <c r="B157" i="8"/>
  <c r="V156" i="8"/>
  <c r="G156" i="8"/>
  <c r="T156" i="8" s="1"/>
  <c r="U156" i="8" s="1"/>
  <c r="F156" i="8"/>
  <c r="C156" i="8"/>
  <c r="B156" i="8"/>
  <c r="V155" i="8"/>
  <c r="G155" i="8"/>
  <c r="T155" i="8" s="1"/>
  <c r="U155" i="8" s="1"/>
  <c r="F155" i="8"/>
  <c r="C155" i="8"/>
  <c r="B155" i="8"/>
  <c r="V154" i="8"/>
  <c r="G154" i="8"/>
  <c r="T154" i="8" s="1"/>
  <c r="U154" i="8" s="1"/>
  <c r="F154" i="8"/>
  <c r="C154" i="8"/>
  <c r="B154" i="8"/>
  <c r="V153" i="8"/>
  <c r="G153" i="8"/>
  <c r="T153" i="8" s="1"/>
  <c r="U153" i="8" s="1"/>
  <c r="F153" i="8"/>
  <c r="C153" i="8"/>
  <c r="B153" i="8"/>
  <c r="V152" i="8"/>
  <c r="G152" i="8"/>
  <c r="T152" i="8" s="1"/>
  <c r="U152" i="8" s="1"/>
  <c r="F152" i="8"/>
  <c r="C152" i="8"/>
  <c r="B152" i="8"/>
  <c r="V151" i="8"/>
  <c r="G151" i="8"/>
  <c r="T151" i="8" s="1"/>
  <c r="U151" i="8" s="1"/>
  <c r="F151" i="8"/>
  <c r="C151" i="8"/>
  <c r="B151" i="8"/>
  <c r="V150" i="8"/>
  <c r="G150" i="8"/>
  <c r="T150" i="8" s="1"/>
  <c r="U150" i="8" s="1"/>
  <c r="F150" i="8"/>
  <c r="C150" i="8"/>
  <c r="B150" i="8"/>
  <c r="V149" i="8"/>
  <c r="G149" i="8"/>
  <c r="T149" i="8" s="1"/>
  <c r="U149" i="8" s="1"/>
  <c r="F149" i="8"/>
  <c r="C149" i="8"/>
  <c r="B149" i="8"/>
  <c r="V148" i="8"/>
  <c r="G148" i="8"/>
  <c r="T148" i="8" s="1"/>
  <c r="U148" i="8" s="1"/>
  <c r="F148" i="8"/>
  <c r="C148" i="8"/>
  <c r="B148" i="8"/>
  <c r="V147" i="8"/>
  <c r="G147" i="8"/>
  <c r="T147" i="8" s="1"/>
  <c r="U147" i="8" s="1"/>
  <c r="F147" i="8"/>
  <c r="C147" i="8"/>
  <c r="B147" i="8"/>
  <c r="V146" i="8"/>
  <c r="G146" i="8"/>
  <c r="T146" i="8" s="1"/>
  <c r="U146" i="8" s="1"/>
  <c r="F146" i="8"/>
  <c r="C146" i="8"/>
  <c r="B146" i="8"/>
  <c r="V145" i="8"/>
  <c r="G145" i="8"/>
  <c r="T145" i="8" s="1"/>
  <c r="U145" i="8" s="1"/>
  <c r="F145" i="8"/>
  <c r="C145" i="8"/>
  <c r="B145" i="8"/>
  <c r="V144" i="8"/>
  <c r="G144" i="8"/>
  <c r="T144" i="8" s="1"/>
  <c r="U144" i="8" s="1"/>
  <c r="F144" i="8"/>
  <c r="C144" i="8"/>
  <c r="B144" i="8"/>
  <c r="V143" i="8"/>
  <c r="G143" i="8"/>
  <c r="T143" i="8" s="1"/>
  <c r="U143" i="8" s="1"/>
  <c r="F143" i="8"/>
  <c r="C143" i="8"/>
  <c r="B143" i="8"/>
  <c r="V142" i="8"/>
  <c r="G142" i="8"/>
  <c r="T142" i="8" s="1"/>
  <c r="U142" i="8" s="1"/>
  <c r="F142" i="8"/>
  <c r="C142" i="8"/>
  <c r="B142" i="8"/>
  <c r="V141" i="8"/>
  <c r="G141" i="8"/>
  <c r="T141" i="8" s="1"/>
  <c r="U141" i="8" s="1"/>
  <c r="F141" i="8"/>
  <c r="C141" i="8"/>
  <c r="B141" i="8"/>
  <c r="V140" i="8"/>
  <c r="G140" i="8"/>
  <c r="T140" i="8" s="1"/>
  <c r="U140" i="8" s="1"/>
  <c r="F140" i="8"/>
  <c r="C140" i="8"/>
  <c r="B140" i="8"/>
  <c r="V139" i="8"/>
  <c r="G139" i="8"/>
  <c r="T139" i="8" s="1"/>
  <c r="U139" i="8" s="1"/>
  <c r="F139" i="8"/>
  <c r="C139" i="8"/>
  <c r="B139" i="8"/>
  <c r="V138" i="8"/>
  <c r="G138" i="8"/>
  <c r="T138" i="8" s="1"/>
  <c r="U138" i="8" s="1"/>
  <c r="F138" i="8"/>
  <c r="C138" i="8"/>
  <c r="B138" i="8"/>
  <c r="V137" i="8"/>
  <c r="G137" i="8"/>
  <c r="T137" i="8" s="1"/>
  <c r="U137" i="8" s="1"/>
  <c r="F137" i="8"/>
  <c r="C137" i="8"/>
  <c r="B137" i="8"/>
  <c r="V136" i="8"/>
  <c r="G136" i="8"/>
  <c r="T136" i="8" s="1"/>
  <c r="U136" i="8" s="1"/>
  <c r="F136" i="8"/>
  <c r="C136" i="8"/>
  <c r="B136" i="8"/>
  <c r="V135" i="8"/>
  <c r="G135" i="8"/>
  <c r="T135" i="8" s="1"/>
  <c r="U135" i="8" s="1"/>
  <c r="F135" i="8"/>
  <c r="C135" i="8"/>
  <c r="B135" i="8"/>
  <c r="V134" i="8"/>
  <c r="G134" i="8"/>
  <c r="T134" i="8" s="1"/>
  <c r="U134" i="8" s="1"/>
  <c r="F134" i="8"/>
  <c r="C134" i="8"/>
  <c r="B134" i="8"/>
  <c r="V133" i="8"/>
  <c r="G133" i="8"/>
  <c r="T133" i="8" s="1"/>
  <c r="U133" i="8" s="1"/>
  <c r="F133" i="8"/>
  <c r="C133" i="8"/>
  <c r="B133" i="8"/>
  <c r="V132" i="8"/>
  <c r="G132" i="8"/>
  <c r="T132" i="8" s="1"/>
  <c r="U132" i="8" s="1"/>
  <c r="F132" i="8"/>
  <c r="C132" i="8"/>
  <c r="B132" i="8"/>
  <c r="V131" i="8"/>
  <c r="G131" i="8"/>
  <c r="T131" i="8" s="1"/>
  <c r="U131" i="8" s="1"/>
  <c r="F131" i="8"/>
  <c r="C131" i="8"/>
  <c r="B131" i="8"/>
  <c r="V130" i="8"/>
  <c r="G130" i="8"/>
  <c r="T130" i="8" s="1"/>
  <c r="U130" i="8" s="1"/>
  <c r="F130" i="8"/>
  <c r="C130" i="8"/>
  <c r="B130" i="8"/>
  <c r="V129" i="8"/>
  <c r="G129" i="8"/>
  <c r="T129" i="8" s="1"/>
  <c r="U129" i="8" s="1"/>
  <c r="F129" i="8"/>
  <c r="C129" i="8"/>
  <c r="B129" i="8"/>
  <c r="V128" i="8"/>
  <c r="G128" i="8"/>
  <c r="T128" i="8" s="1"/>
  <c r="U128" i="8" s="1"/>
  <c r="F128" i="8"/>
  <c r="C128" i="8"/>
  <c r="B128" i="8"/>
  <c r="V127" i="8"/>
  <c r="G127" i="8"/>
  <c r="T127" i="8" s="1"/>
  <c r="U127" i="8" s="1"/>
  <c r="F127" i="8"/>
  <c r="C127" i="8"/>
  <c r="B127" i="8"/>
  <c r="V126" i="8"/>
  <c r="G126" i="8"/>
  <c r="T126" i="8" s="1"/>
  <c r="U126" i="8" s="1"/>
  <c r="F126" i="8"/>
  <c r="C126" i="8"/>
  <c r="B126" i="8"/>
  <c r="V125" i="8"/>
  <c r="G125" i="8"/>
  <c r="T125" i="8" s="1"/>
  <c r="U125" i="8" s="1"/>
  <c r="F125" i="8"/>
  <c r="C125" i="8"/>
  <c r="B125" i="8"/>
  <c r="V124" i="8"/>
  <c r="G124" i="8"/>
  <c r="T124" i="8" s="1"/>
  <c r="U124" i="8" s="1"/>
  <c r="F124" i="8"/>
  <c r="C124" i="8"/>
  <c r="B124" i="8"/>
  <c r="V123" i="8"/>
  <c r="G123" i="8"/>
  <c r="T123" i="8" s="1"/>
  <c r="U123" i="8" s="1"/>
  <c r="F123" i="8"/>
  <c r="C123" i="8"/>
  <c r="B123" i="8"/>
  <c r="V122" i="8"/>
  <c r="G122" i="8"/>
  <c r="T122" i="8" s="1"/>
  <c r="U122" i="8" s="1"/>
  <c r="F122" i="8"/>
  <c r="C122" i="8"/>
  <c r="B122" i="8"/>
  <c r="V121" i="8"/>
  <c r="G121" i="8"/>
  <c r="T121" i="8" s="1"/>
  <c r="U121" i="8" s="1"/>
  <c r="F121" i="8"/>
  <c r="C121" i="8"/>
  <c r="B121" i="8"/>
  <c r="V120" i="8"/>
  <c r="G120" i="8"/>
  <c r="T120" i="8" s="1"/>
  <c r="U120" i="8" s="1"/>
  <c r="F120" i="8"/>
  <c r="C120" i="8"/>
  <c r="B120" i="8"/>
  <c r="V119" i="8"/>
  <c r="G119" i="8"/>
  <c r="T119" i="8" s="1"/>
  <c r="U119" i="8" s="1"/>
  <c r="F119" i="8"/>
  <c r="C119" i="8"/>
  <c r="B119" i="8"/>
  <c r="V118" i="8"/>
  <c r="G118" i="8"/>
  <c r="T118" i="8" s="1"/>
  <c r="U118" i="8" s="1"/>
  <c r="F118" i="8"/>
  <c r="C118" i="8"/>
  <c r="B118" i="8"/>
  <c r="V117" i="8"/>
  <c r="G117" i="8"/>
  <c r="T117" i="8" s="1"/>
  <c r="U117" i="8" s="1"/>
  <c r="F117" i="8"/>
  <c r="C117" i="8"/>
  <c r="B117" i="8"/>
  <c r="V116" i="8"/>
  <c r="G116" i="8"/>
  <c r="T116" i="8" s="1"/>
  <c r="U116" i="8" s="1"/>
  <c r="F116" i="8"/>
  <c r="C116" i="8"/>
  <c r="B116" i="8"/>
  <c r="V115" i="8"/>
  <c r="G115" i="8"/>
  <c r="T115" i="8" s="1"/>
  <c r="U115" i="8" s="1"/>
  <c r="F115" i="8"/>
  <c r="C115" i="8"/>
  <c r="B115" i="8"/>
  <c r="V114" i="8"/>
  <c r="G114" i="8"/>
  <c r="T114" i="8" s="1"/>
  <c r="U114" i="8" s="1"/>
  <c r="F114" i="8"/>
  <c r="C114" i="8"/>
  <c r="B114" i="8"/>
  <c r="V113" i="8"/>
  <c r="G113" i="8"/>
  <c r="T113" i="8" s="1"/>
  <c r="U113" i="8" s="1"/>
  <c r="F113" i="8"/>
  <c r="C113" i="8"/>
  <c r="B113" i="8"/>
  <c r="V112" i="8"/>
  <c r="G112" i="8"/>
  <c r="T112" i="8" s="1"/>
  <c r="U112" i="8" s="1"/>
  <c r="F112" i="8"/>
  <c r="C112" i="8"/>
  <c r="B112" i="8"/>
  <c r="V111" i="8"/>
  <c r="G111" i="8"/>
  <c r="T111" i="8" s="1"/>
  <c r="U111" i="8" s="1"/>
  <c r="F111" i="8"/>
  <c r="C111" i="8"/>
  <c r="B111" i="8"/>
  <c r="V110" i="8"/>
  <c r="G110" i="8"/>
  <c r="T110" i="8" s="1"/>
  <c r="U110" i="8" s="1"/>
  <c r="F110" i="8"/>
  <c r="C110" i="8"/>
  <c r="B110" i="8"/>
  <c r="V109" i="8"/>
  <c r="G109" i="8"/>
  <c r="T109" i="8" s="1"/>
  <c r="U109" i="8" s="1"/>
  <c r="F109" i="8"/>
  <c r="C109" i="8"/>
  <c r="B109" i="8"/>
  <c r="V108" i="8"/>
  <c r="G108" i="8"/>
  <c r="T108" i="8" s="1"/>
  <c r="U108" i="8" s="1"/>
  <c r="F108" i="8"/>
  <c r="C108" i="8"/>
  <c r="B108" i="8"/>
  <c r="V107" i="8"/>
  <c r="G107" i="8"/>
  <c r="T107" i="8" s="1"/>
  <c r="U107" i="8" s="1"/>
  <c r="F107" i="8"/>
  <c r="C107" i="8"/>
  <c r="B107" i="8"/>
  <c r="V106" i="8"/>
  <c r="G106" i="8"/>
  <c r="T106" i="8" s="1"/>
  <c r="U106" i="8" s="1"/>
  <c r="F106" i="8"/>
  <c r="C106" i="8"/>
  <c r="B106" i="8"/>
  <c r="V105" i="8"/>
  <c r="G105" i="8"/>
  <c r="T105" i="8" s="1"/>
  <c r="U105" i="8" s="1"/>
  <c r="F105" i="8"/>
  <c r="C105" i="8"/>
  <c r="B105" i="8"/>
  <c r="V104" i="8"/>
  <c r="G104" i="8"/>
  <c r="T104" i="8" s="1"/>
  <c r="U104" i="8" s="1"/>
  <c r="F104" i="8"/>
  <c r="C104" i="8"/>
  <c r="B104" i="8"/>
  <c r="V103" i="8"/>
  <c r="G103" i="8"/>
  <c r="T103" i="8" s="1"/>
  <c r="U103" i="8" s="1"/>
  <c r="F103" i="8"/>
  <c r="C103" i="8"/>
  <c r="B103" i="8"/>
  <c r="V102" i="8"/>
  <c r="G102" i="8"/>
  <c r="T102" i="8" s="1"/>
  <c r="U102" i="8" s="1"/>
  <c r="F102" i="8"/>
  <c r="C102" i="8"/>
  <c r="B102" i="8"/>
  <c r="V101" i="8"/>
  <c r="G101" i="8"/>
  <c r="T101" i="8" s="1"/>
  <c r="U101" i="8" s="1"/>
  <c r="F101" i="8"/>
  <c r="C101" i="8"/>
  <c r="B101" i="8"/>
  <c r="V100" i="8"/>
  <c r="G100" i="8"/>
  <c r="T100" i="8" s="1"/>
  <c r="U100" i="8" s="1"/>
  <c r="F100" i="8"/>
  <c r="C100" i="8"/>
  <c r="B100" i="8"/>
  <c r="V99" i="8"/>
  <c r="G99" i="8"/>
  <c r="T99" i="8" s="1"/>
  <c r="U99" i="8" s="1"/>
  <c r="F99" i="8"/>
  <c r="C99" i="8"/>
  <c r="B99" i="8"/>
  <c r="V98" i="8"/>
  <c r="G98" i="8"/>
  <c r="T98" i="8" s="1"/>
  <c r="U98" i="8" s="1"/>
  <c r="F98" i="8"/>
  <c r="C98" i="8"/>
  <c r="B98" i="8"/>
  <c r="V97" i="8"/>
  <c r="G97" i="8"/>
  <c r="T97" i="8" s="1"/>
  <c r="U97" i="8" s="1"/>
  <c r="F97" i="8"/>
  <c r="C97" i="8"/>
  <c r="B97" i="8"/>
  <c r="V96" i="8"/>
  <c r="G96" i="8"/>
  <c r="T96" i="8" s="1"/>
  <c r="U96" i="8" s="1"/>
  <c r="F96" i="8"/>
  <c r="C96" i="8"/>
  <c r="B96" i="8"/>
  <c r="V95" i="8"/>
  <c r="G95" i="8"/>
  <c r="T95" i="8" s="1"/>
  <c r="U95" i="8" s="1"/>
  <c r="F95" i="8"/>
  <c r="C95" i="8"/>
  <c r="B95" i="8"/>
  <c r="V94" i="8"/>
  <c r="G94" i="8"/>
  <c r="T94" i="8" s="1"/>
  <c r="U94" i="8" s="1"/>
  <c r="F94" i="8"/>
  <c r="C94" i="8"/>
  <c r="B94" i="8"/>
  <c r="V93" i="8"/>
  <c r="G93" i="8"/>
  <c r="T93" i="8" s="1"/>
  <c r="U93" i="8" s="1"/>
  <c r="F93" i="8"/>
  <c r="C93" i="8"/>
  <c r="B93" i="8"/>
  <c r="V92" i="8"/>
  <c r="G92" i="8"/>
  <c r="T92" i="8" s="1"/>
  <c r="U92" i="8" s="1"/>
  <c r="F92" i="8"/>
  <c r="C92" i="8"/>
  <c r="B92" i="8"/>
  <c r="V91" i="8"/>
  <c r="G91" i="8"/>
  <c r="T91" i="8" s="1"/>
  <c r="U91" i="8" s="1"/>
  <c r="F91" i="8"/>
  <c r="C91" i="8"/>
  <c r="B91" i="8"/>
  <c r="V90" i="8"/>
  <c r="G90" i="8"/>
  <c r="T90" i="8" s="1"/>
  <c r="U90" i="8" s="1"/>
  <c r="F90" i="8"/>
  <c r="C90" i="8"/>
  <c r="B90" i="8"/>
  <c r="V89" i="8"/>
  <c r="G89" i="8"/>
  <c r="T89" i="8" s="1"/>
  <c r="U89" i="8" s="1"/>
  <c r="F89" i="8"/>
  <c r="C89" i="8"/>
  <c r="B89" i="8"/>
  <c r="V88" i="8"/>
  <c r="G88" i="8"/>
  <c r="T88" i="8" s="1"/>
  <c r="U88" i="8" s="1"/>
  <c r="F88" i="8"/>
  <c r="C88" i="8"/>
  <c r="B88" i="8"/>
  <c r="V87" i="8"/>
  <c r="G87" i="8"/>
  <c r="T87" i="8" s="1"/>
  <c r="U87" i="8" s="1"/>
  <c r="F87" i="8"/>
  <c r="C87" i="8"/>
  <c r="B87" i="8"/>
  <c r="V86" i="8"/>
  <c r="G86" i="8"/>
  <c r="T86" i="8" s="1"/>
  <c r="U86" i="8" s="1"/>
  <c r="F86" i="8"/>
  <c r="C86" i="8"/>
  <c r="B86" i="8"/>
  <c r="V85" i="8"/>
  <c r="G85" i="8"/>
  <c r="T85" i="8" s="1"/>
  <c r="U85" i="8" s="1"/>
  <c r="F85" i="8"/>
  <c r="C85" i="8"/>
  <c r="B85" i="8"/>
  <c r="V84" i="8"/>
  <c r="G84" i="8"/>
  <c r="T84" i="8" s="1"/>
  <c r="U84" i="8" s="1"/>
  <c r="F84" i="8"/>
  <c r="C84" i="8"/>
  <c r="B84" i="8"/>
  <c r="V83" i="8"/>
  <c r="G83" i="8"/>
  <c r="T83" i="8" s="1"/>
  <c r="U83" i="8" s="1"/>
  <c r="F83" i="8"/>
  <c r="C83" i="8"/>
  <c r="B83" i="8"/>
  <c r="V82" i="8"/>
  <c r="G82" i="8"/>
  <c r="T82" i="8" s="1"/>
  <c r="U82" i="8" s="1"/>
  <c r="F82" i="8"/>
  <c r="C82" i="8"/>
  <c r="B82" i="8"/>
  <c r="V81" i="8"/>
  <c r="G81" i="8"/>
  <c r="T81" i="8" s="1"/>
  <c r="U81" i="8" s="1"/>
  <c r="F81" i="8"/>
  <c r="C81" i="8"/>
  <c r="B81" i="8"/>
  <c r="V80" i="8"/>
  <c r="G80" i="8"/>
  <c r="T80" i="8" s="1"/>
  <c r="U80" i="8" s="1"/>
  <c r="F80" i="8"/>
  <c r="C80" i="8"/>
  <c r="B80" i="8"/>
  <c r="V79" i="8"/>
  <c r="G79" i="8"/>
  <c r="T79" i="8" s="1"/>
  <c r="U79" i="8" s="1"/>
  <c r="F79" i="8"/>
  <c r="C79" i="8"/>
  <c r="B79" i="8"/>
  <c r="V78" i="8"/>
  <c r="G78" i="8"/>
  <c r="T78" i="8" s="1"/>
  <c r="U78" i="8" s="1"/>
  <c r="F78" i="8"/>
  <c r="C78" i="8"/>
  <c r="B78" i="8"/>
  <c r="V77" i="8"/>
  <c r="G77" i="8"/>
  <c r="T77" i="8" s="1"/>
  <c r="U77" i="8" s="1"/>
  <c r="F77" i="8"/>
  <c r="C77" i="8"/>
  <c r="B77" i="8"/>
  <c r="V76" i="8"/>
  <c r="G76" i="8"/>
  <c r="T76" i="8" s="1"/>
  <c r="U76" i="8" s="1"/>
  <c r="F76" i="8"/>
  <c r="C76" i="8"/>
  <c r="B76" i="8"/>
  <c r="V75" i="8"/>
  <c r="G75" i="8"/>
  <c r="T75" i="8" s="1"/>
  <c r="U75" i="8" s="1"/>
  <c r="F75" i="8"/>
  <c r="C75" i="8"/>
  <c r="B75" i="8"/>
  <c r="V74" i="8"/>
  <c r="G74" i="8"/>
  <c r="T74" i="8" s="1"/>
  <c r="U74" i="8" s="1"/>
  <c r="F74" i="8"/>
  <c r="C74" i="8"/>
  <c r="B74" i="8"/>
  <c r="V73" i="8"/>
  <c r="G73" i="8"/>
  <c r="T73" i="8" s="1"/>
  <c r="U73" i="8" s="1"/>
  <c r="F73" i="8"/>
  <c r="C73" i="8"/>
  <c r="B73" i="8"/>
  <c r="V72" i="8"/>
  <c r="G72" i="8"/>
  <c r="T72" i="8" s="1"/>
  <c r="U72" i="8" s="1"/>
  <c r="F72" i="8"/>
  <c r="C72" i="8"/>
  <c r="B72" i="8"/>
  <c r="V71" i="8"/>
  <c r="G71" i="8"/>
  <c r="T71" i="8" s="1"/>
  <c r="U71" i="8" s="1"/>
  <c r="F71" i="8"/>
  <c r="C71" i="8"/>
  <c r="B71" i="8"/>
  <c r="V70" i="8"/>
  <c r="G70" i="8"/>
  <c r="T70" i="8" s="1"/>
  <c r="U70" i="8" s="1"/>
  <c r="F70" i="8"/>
  <c r="C70" i="8"/>
  <c r="B70" i="8"/>
  <c r="V69" i="8"/>
  <c r="G69" i="8"/>
  <c r="T69" i="8" s="1"/>
  <c r="U69" i="8" s="1"/>
  <c r="F69" i="8"/>
  <c r="C69" i="8"/>
  <c r="B69" i="8"/>
  <c r="V68" i="8"/>
  <c r="G68" i="8"/>
  <c r="T68" i="8" s="1"/>
  <c r="U68" i="8" s="1"/>
  <c r="F68" i="8"/>
  <c r="C68" i="8"/>
  <c r="B68" i="8"/>
  <c r="V67" i="8"/>
  <c r="G67" i="8"/>
  <c r="T67" i="8" s="1"/>
  <c r="U67" i="8" s="1"/>
  <c r="F67" i="8"/>
  <c r="C67" i="8"/>
  <c r="B67" i="8"/>
  <c r="V66" i="8"/>
  <c r="G66" i="8"/>
  <c r="T66" i="8" s="1"/>
  <c r="U66" i="8" s="1"/>
  <c r="F66" i="8"/>
  <c r="C66" i="8"/>
  <c r="B66" i="8"/>
  <c r="V65" i="8"/>
  <c r="G65" i="8"/>
  <c r="T65" i="8" s="1"/>
  <c r="U65" i="8" s="1"/>
  <c r="F65" i="8"/>
  <c r="C65" i="8"/>
  <c r="B65" i="8"/>
  <c r="V64" i="8"/>
  <c r="G64" i="8"/>
  <c r="T64" i="8" s="1"/>
  <c r="U64" i="8" s="1"/>
  <c r="F64" i="8"/>
  <c r="C64" i="8"/>
  <c r="B64" i="8"/>
  <c r="V63" i="8"/>
  <c r="G63" i="8"/>
  <c r="T63" i="8" s="1"/>
  <c r="U63" i="8" s="1"/>
  <c r="F63" i="8"/>
  <c r="C63" i="8"/>
  <c r="B63" i="8"/>
  <c r="V62" i="8"/>
  <c r="G62" i="8"/>
  <c r="T62" i="8" s="1"/>
  <c r="U62" i="8" s="1"/>
  <c r="F62" i="8"/>
  <c r="C62" i="8"/>
  <c r="B62" i="8"/>
  <c r="V61" i="8"/>
  <c r="G61" i="8"/>
  <c r="T61" i="8" s="1"/>
  <c r="U61" i="8" s="1"/>
  <c r="F61" i="8"/>
  <c r="C61" i="8"/>
  <c r="B61" i="8"/>
  <c r="V60" i="8"/>
  <c r="G60" i="8"/>
  <c r="T60" i="8" s="1"/>
  <c r="U60" i="8" s="1"/>
  <c r="F60" i="8"/>
  <c r="C60" i="8"/>
  <c r="B60" i="8"/>
  <c r="V59" i="8"/>
  <c r="G59" i="8"/>
  <c r="T59" i="8" s="1"/>
  <c r="U59" i="8" s="1"/>
  <c r="F59" i="8"/>
  <c r="C59" i="8"/>
  <c r="B59" i="8"/>
  <c r="V58" i="8"/>
  <c r="G58" i="8"/>
  <c r="T58" i="8" s="1"/>
  <c r="U58" i="8" s="1"/>
  <c r="F58" i="8"/>
  <c r="C58" i="8"/>
  <c r="B58" i="8"/>
  <c r="V57" i="8"/>
  <c r="G57" i="8"/>
  <c r="T57" i="8" s="1"/>
  <c r="U57" i="8" s="1"/>
  <c r="F57" i="8"/>
  <c r="C57" i="8"/>
  <c r="B57" i="8"/>
  <c r="V56" i="8"/>
  <c r="G56" i="8"/>
  <c r="T56" i="8" s="1"/>
  <c r="U56" i="8" s="1"/>
  <c r="F56" i="8"/>
  <c r="C56" i="8"/>
  <c r="B56" i="8"/>
  <c r="V55" i="8"/>
  <c r="G55" i="8"/>
  <c r="T55" i="8" s="1"/>
  <c r="U55" i="8" s="1"/>
  <c r="F55" i="8"/>
  <c r="C55" i="8"/>
  <c r="B55" i="8"/>
  <c r="V54" i="8"/>
  <c r="G54" i="8"/>
  <c r="T54" i="8" s="1"/>
  <c r="U54" i="8" s="1"/>
  <c r="F54" i="8"/>
  <c r="C54" i="8"/>
  <c r="B54" i="8"/>
  <c r="V53" i="8"/>
  <c r="G53" i="8"/>
  <c r="T53" i="8" s="1"/>
  <c r="U53" i="8" s="1"/>
  <c r="F53" i="8"/>
  <c r="C53" i="8"/>
  <c r="B53" i="8"/>
  <c r="V52" i="8"/>
  <c r="G52" i="8"/>
  <c r="T52" i="8" s="1"/>
  <c r="U52" i="8" s="1"/>
  <c r="F52" i="8"/>
  <c r="C52" i="8"/>
  <c r="B52" i="8"/>
  <c r="V51" i="8"/>
  <c r="G51" i="8"/>
  <c r="T51" i="8" s="1"/>
  <c r="U51" i="8" s="1"/>
  <c r="F51" i="8"/>
  <c r="C51" i="8"/>
  <c r="B51" i="8"/>
  <c r="V50" i="8"/>
  <c r="G50" i="8"/>
  <c r="T50" i="8" s="1"/>
  <c r="U50" i="8" s="1"/>
  <c r="F50" i="8"/>
  <c r="C50" i="8"/>
  <c r="B50" i="8"/>
  <c r="V49" i="8"/>
  <c r="G49" i="8"/>
  <c r="T49" i="8" s="1"/>
  <c r="U49" i="8" s="1"/>
  <c r="F49" i="8"/>
  <c r="C49" i="8"/>
  <c r="B49" i="8"/>
  <c r="V48" i="8"/>
  <c r="G48" i="8"/>
  <c r="T48" i="8" s="1"/>
  <c r="U48" i="8" s="1"/>
  <c r="F48" i="8"/>
  <c r="C48" i="8"/>
  <c r="B48" i="8"/>
  <c r="V47" i="8"/>
  <c r="F47" i="8"/>
  <c r="G47" i="8" s="1"/>
  <c r="T47" i="8" s="1"/>
  <c r="U47" i="8" s="1"/>
  <c r="C47" i="8"/>
  <c r="B47" i="8"/>
  <c r="V46" i="8"/>
  <c r="F46" i="8"/>
  <c r="G46" i="8" s="1"/>
  <c r="T46" i="8" s="1"/>
  <c r="C46" i="8"/>
  <c r="B46" i="8"/>
  <c r="V45" i="8"/>
  <c r="F45" i="8"/>
  <c r="G45" i="8" s="1"/>
  <c r="T45" i="8" s="1"/>
  <c r="U45" i="8" s="1"/>
  <c r="C45" i="8"/>
  <c r="B45" i="8"/>
  <c r="V44" i="8"/>
  <c r="F44" i="8"/>
  <c r="G44" i="8" s="1"/>
  <c r="T44" i="8" s="1"/>
  <c r="U44" i="8" s="1"/>
  <c r="C44" i="8"/>
  <c r="B44" i="8"/>
  <c r="V43" i="8"/>
  <c r="F43" i="8"/>
  <c r="G43" i="8" s="1"/>
  <c r="T43" i="8" s="1"/>
  <c r="U43" i="8" s="1"/>
  <c r="C43" i="8"/>
  <c r="B43" i="8"/>
  <c r="V42" i="8"/>
  <c r="F42" i="8"/>
  <c r="G42" i="8" s="1"/>
  <c r="T42" i="8" s="1"/>
  <c r="U42" i="8" s="1"/>
  <c r="C42" i="8"/>
  <c r="B42" i="8"/>
  <c r="V41" i="8"/>
  <c r="F41" i="8"/>
  <c r="G41" i="8" s="1"/>
  <c r="T41" i="8" s="1"/>
  <c r="U41" i="8" s="1"/>
  <c r="C41" i="8"/>
  <c r="B41" i="8"/>
  <c r="V40" i="8"/>
  <c r="F40" i="8"/>
  <c r="G40" i="8" s="1"/>
  <c r="T40" i="8" s="1"/>
  <c r="U40" i="8" s="1"/>
  <c r="C40" i="8"/>
  <c r="B40" i="8"/>
  <c r="V39" i="8"/>
  <c r="F39" i="8"/>
  <c r="G39" i="8" s="1"/>
  <c r="T39" i="8" s="1"/>
  <c r="U39" i="8" s="1"/>
  <c r="C39" i="8"/>
  <c r="B39" i="8"/>
  <c r="V38" i="8"/>
  <c r="F38" i="8"/>
  <c r="G38" i="8" s="1"/>
  <c r="T38" i="8" s="1"/>
  <c r="C38" i="8"/>
  <c r="B38" i="8"/>
  <c r="V37" i="8"/>
  <c r="F37" i="8"/>
  <c r="G37" i="8" s="1"/>
  <c r="T37" i="8" s="1"/>
  <c r="C37" i="8"/>
  <c r="B37" i="8"/>
  <c r="V36" i="8"/>
  <c r="F36" i="8"/>
  <c r="G36" i="8" s="1"/>
  <c r="T36" i="8" s="1"/>
  <c r="U36" i="8" s="1"/>
  <c r="C36" i="8"/>
  <c r="B36" i="8"/>
  <c r="V35" i="8"/>
  <c r="F35" i="8"/>
  <c r="G35" i="8" s="1"/>
  <c r="T35" i="8" s="1"/>
  <c r="U35" i="8" s="1"/>
  <c r="C35" i="8"/>
  <c r="B35" i="8"/>
  <c r="V34" i="8"/>
  <c r="F34" i="8"/>
  <c r="G34" i="8" s="1"/>
  <c r="T34" i="8" s="1"/>
  <c r="U34" i="8" s="1"/>
  <c r="C34" i="8"/>
  <c r="B34" i="8"/>
  <c r="V33" i="8"/>
  <c r="F33" i="8"/>
  <c r="G33" i="8" s="1"/>
  <c r="T33" i="8" s="1"/>
  <c r="U33" i="8" s="1"/>
  <c r="C33" i="8"/>
  <c r="B33" i="8"/>
  <c r="V32" i="8"/>
  <c r="F32" i="8"/>
  <c r="G32" i="8" s="1"/>
  <c r="T32" i="8" s="1"/>
  <c r="U32" i="8" s="1"/>
  <c r="C32" i="8"/>
  <c r="B32" i="8"/>
  <c r="V31" i="8"/>
  <c r="F31" i="8"/>
  <c r="G31" i="8" s="1"/>
  <c r="T31" i="8" s="1"/>
  <c r="U31" i="8" s="1"/>
  <c r="C31" i="8"/>
  <c r="B31" i="8"/>
  <c r="V30" i="8"/>
  <c r="F30" i="8"/>
  <c r="G30" i="8" s="1"/>
  <c r="T30" i="8" s="1"/>
  <c r="U30" i="8" s="1"/>
  <c r="C30" i="8"/>
  <c r="B30" i="8"/>
  <c r="V29" i="8"/>
  <c r="F29" i="8"/>
  <c r="G29" i="8" s="1"/>
  <c r="T29" i="8" s="1"/>
  <c r="U29" i="8" s="1"/>
  <c r="C29" i="8"/>
  <c r="B29" i="8"/>
  <c r="V28" i="8"/>
  <c r="F28" i="8"/>
  <c r="G28" i="8" s="1"/>
  <c r="T28" i="8" s="1"/>
  <c r="U28" i="8" s="1"/>
  <c r="C28" i="8"/>
  <c r="B28" i="8"/>
  <c r="V27" i="8"/>
  <c r="F27" i="8"/>
  <c r="G27" i="8" s="1"/>
  <c r="T27" i="8" s="1"/>
  <c r="U27" i="8" s="1"/>
  <c r="C27" i="8"/>
  <c r="B27" i="8"/>
  <c r="V26" i="8"/>
  <c r="F26" i="8"/>
  <c r="G26" i="8" s="1"/>
  <c r="T26" i="8" s="1"/>
  <c r="C26" i="8"/>
  <c r="B26" i="8"/>
  <c r="V25" i="8"/>
  <c r="F25" i="8"/>
  <c r="G25" i="8" s="1"/>
  <c r="T25" i="8" s="1"/>
  <c r="U25" i="8" s="1"/>
  <c r="C25" i="8"/>
  <c r="B25" i="8"/>
  <c r="V24" i="8"/>
  <c r="F24" i="8"/>
  <c r="G24" i="8" s="1"/>
  <c r="T24" i="8" s="1"/>
  <c r="U24" i="8" s="1"/>
  <c r="C24" i="8"/>
  <c r="B24" i="8"/>
  <c r="V23" i="8"/>
  <c r="F23" i="8"/>
  <c r="G23" i="8" s="1"/>
  <c r="T23" i="8" s="1"/>
  <c r="U23" i="8" s="1"/>
  <c r="C23" i="8"/>
  <c r="B23" i="8"/>
  <c r="V22" i="8"/>
  <c r="F22" i="8"/>
  <c r="G22" i="8" s="1"/>
  <c r="T22" i="8" s="1"/>
  <c r="U22" i="8" s="1"/>
  <c r="C22" i="8"/>
  <c r="B22" i="8"/>
  <c r="V21" i="8"/>
  <c r="F21" i="8"/>
  <c r="G21" i="8" s="1"/>
  <c r="T21" i="8" s="1"/>
  <c r="C21" i="8"/>
  <c r="B21" i="8"/>
  <c r="V20" i="8"/>
  <c r="F20" i="8"/>
  <c r="G20" i="8" s="1"/>
  <c r="T20" i="8" s="1"/>
  <c r="U20" i="8" s="1"/>
  <c r="C20" i="8"/>
  <c r="B20" i="8"/>
  <c r="V19" i="8"/>
  <c r="F19" i="8"/>
  <c r="G19" i="8" s="1"/>
  <c r="T19" i="8" s="1"/>
  <c r="U19" i="8" s="1"/>
  <c r="C19" i="8"/>
  <c r="B19" i="8"/>
  <c r="V18" i="8"/>
  <c r="F18" i="8"/>
  <c r="G18" i="8" s="1"/>
  <c r="T18" i="8" s="1"/>
  <c r="U18" i="8" s="1"/>
  <c r="C18" i="8"/>
  <c r="B18" i="8"/>
  <c r="V17" i="8"/>
  <c r="F17" i="8"/>
  <c r="G17" i="8" s="1"/>
  <c r="T17" i="8" s="1"/>
  <c r="U17" i="8" s="1"/>
  <c r="C17" i="8"/>
  <c r="B17" i="8"/>
  <c r="V16" i="8"/>
  <c r="F16" i="8"/>
  <c r="G16" i="8" s="1"/>
  <c r="T16" i="8" s="1"/>
  <c r="U16" i="8" s="1"/>
  <c r="C16" i="8"/>
  <c r="B16" i="8"/>
  <c r="V15" i="8"/>
  <c r="F15" i="8"/>
  <c r="G15" i="8" s="1"/>
  <c r="T15" i="8" s="1"/>
  <c r="C15" i="8"/>
  <c r="B15" i="8"/>
  <c r="V14" i="8"/>
  <c r="F14" i="8"/>
  <c r="G14" i="8" s="1"/>
  <c r="T14" i="8" s="1"/>
  <c r="U14" i="8" s="1"/>
  <c r="C14" i="8"/>
  <c r="B14" i="8"/>
  <c r="V13" i="8"/>
  <c r="F13" i="8"/>
  <c r="G13" i="8" s="1"/>
  <c r="T13" i="8" s="1"/>
  <c r="C13" i="8"/>
  <c r="B13" i="8"/>
  <c r="V12" i="8"/>
  <c r="F12" i="8"/>
  <c r="G12" i="8" s="1"/>
  <c r="T12" i="8" s="1"/>
  <c r="U12" i="8" s="1"/>
  <c r="C12" i="8"/>
  <c r="B12" i="8"/>
  <c r="V11" i="8"/>
  <c r="F11" i="8"/>
  <c r="G11" i="8" s="1"/>
  <c r="T11" i="8" s="1"/>
  <c r="U11" i="8" s="1"/>
  <c r="C11" i="8"/>
  <c r="B11" i="8"/>
  <c r="V10" i="8"/>
  <c r="F10" i="8"/>
  <c r="G10" i="8" s="1"/>
  <c r="T10" i="8" s="1"/>
  <c r="U10" i="8" s="1"/>
  <c r="C10" i="8"/>
  <c r="B10" i="8"/>
  <c r="V9" i="8"/>
  <c r="F9" i="8"/>
  <c r="G9" i="8" s="1"/>
  <c r="T9" i="8" s="1"/>
  <c r="U9" i="8" s="1"/>
  <c r="C9" i="8"/>
  <c r="B9" i="8"/>
  <c r="V8" i="8"/>
  <c r="F8" i="8"/>
  <c r="G8" i="8" s="1"/>
  <c r="T8" i="8" s="1"/>
  <c r="U8" i="8" s="1"/>
  <c r="C8" i="8"/>
  <c r="B8" i="8"/>
  <c r="V7" i="8"/>
  <c r="F7" i="8"/>
  <c r="G7" i="8" s="1"/>
  <c r="T7" i="8" s="1"/>
  <c r="U7" i="8" s="1"/>
  <c r="C7" i="8"/>
  <c r="B7" i="8"/>
  <c r="V6" i="8"/>
  <c r="F6" i="8"/>
  <c r="G6" i="8" s="1"/>
  <c r="T6" i="8" s="1"/>
  <c r="U6" i="8" s="1"/>
  <c r="C6" i="8"/>
  <c r="B6" i="8"/>
  <c r="V5" i="8"/>
  <c r="F5" i="8"/>
  <c r="G5" i="8" s="1"/>
  <c r="C5" i="8"/>
  <c r="B5" i="8"/>
  <c r="V4" i="8"/>
  <c r="F4" i="8"/>
  <c r="C4" i="8"/>
  <c r="B4" i="8"/>
  <c r="AL114" i="10" l="1"/>
  <c r="BI201" i="10"/>
  <c r="BJ201" i="10" s="1"/>
  <c r="BY105" i="10"/>
  <c r="C56" i="2"/>
  <c r="C119" i="4"/>
  <c r="C55" i="2"/>
  <c r="AL92" i="10"/>
  <c r="BI98" i="10"/>
  <c r="BJ98" i="10" s="1"/>
  <c r="AL109" i="10"/>
  <c r="AL191" i="10"/>
  <c r="BI113" i="10"/>
  <c r="BJ113" i="10" s="1"/>
  <c r="AL122" i="10"/>
  <c r="BI28" i="10"/>
  <c r="BJ28" i="10" s="1"/>
  <c r="BI164" i="10"/>
  <c r="BJ164" i="10" s="1"/>
  <c r="AL181" i="10"/>
  <c r="BI80" i="10"/>
  <c r="BJ80" i="10" s="1"/>
  <c r="BY8" i="10"/>
  <c r="BY63" i="10"/>
  <c r="AL144" i="10"/>
  <c r="C53" i="2"/>
  <c r="BI81" i="10"/>
  <c r="BJ81" i="10" s="1"/>
  <c r="AL93" i="10"/>
  <c r="BI110" i="10"/>
  <c r="BJ110" i="10" s="1"/>
  <c r="BI196" i="10"/>
  <c r="BJ196" i="10" s="1"/>
  <c r="BU91" i="10"/>
  <c r="BX91" i="10" s="1"/>
  <c r="BI127" i="10"/>
  <c r="BJ127" i="10" s="1"/>
  <c r="AL55" i="10"/>
  <c r="BI191" i="10"/>
  <c r="BJ191" i="10" s="1"/>
  <c r="BI71" i="10"/>
  <c r="BJ71" i="10" s="1"/>
  <c r="C52" i="2"/>
  <c r="BI40" i="10"/>
  <c r="BJ40" i="10" s="1"/>
  <c r="AL61" i="10"/>
  <c r="BI61" i="10"/>
  <c r="BJ61" i="10" s="1"/>
  <c r="BU79" i="10"/>
  <c r="BX79" i="10" s="1"/>
  <c r="BU101" i="10"/>
  <c r="BX101" i="10" s="1"/>
  <c r="BI165" i="10"/>
  <c r="BJ165" i="10" s="1"/>
  <c r="BU102" i="10"/>
  <c r="BX102" i="10" s="1"/>
  <c r="AL118" i="10"/>
  <c r="AJ119" i="10"/>
  <c r="AL119" i="10"/>
  <c r="AL138" i="10"/>
  <c r="BI66" i="10"/>
  <c r="BJ66" i="10" s="1"/>
  <c r="AL74" i="10"/>
  <c r="BI117" i="10"/>
  <c r="BJ117" i="10" s="1"/>
  <c r="BI52" i="10"/>
  <c r="BJ52" i="10" s="1"/>
  <c r="BU71" i="10"/>
  <c r="BX71" i="10" s="1"/>
  <c r="BU94" i="10"/>
  <c r="BX94" i="10" s="1"/>
  <c r="AL115" i="10"/>
  <c r="AL165" i="10"/>
  <c r="C51" i="2"/>
  <c r="BI59" i="10"/>
  <c r="BJ59" i="10" s="1"/>
  <c r="AL78" i="10"/>
  <c r="BY104" i="10"/>
  <c r="BI146" i="10"/>
  <c r="BJ146" i="10" s="1"/>
  <c r="BI188" i="10"/>
  <c r="BJ188" i="10" s="1"/>
  <c r="AL79" i="10"/>
  <c r="BU95" i="10"/>
  <c r="BX95" i="10" s="1"/>
  <c r="BI21" i="10"/>
  <c r="BI23" i="10"/>
  <c r="BJ23" i="10" s="1"/>
  <c r="AL70" i="10"/>
  <c r="BI141" i="10"/>
  <c r="BJ141" i="10" s="1"/>
  <c r="BI172" i="10"/>
  <c r="BJ172" i="10" s="1"/>
  <c r="AL203" i="10"/>
  <c r="BI42" i="10"/>
  <c r="BJ42" i="10" s="1"/>
  <c r="BI43" i="10"/>
  <c r="BJ43" i="10" s="1"/>
  <c r="BI84" i="10"/>
  <c r="BJ84" i="10" s="1"/>
  <c r="BI85" i="10"/>
  <c r="BJ85" i="10" s="1"/>
  <c r="BI86" i="10"/>
  <c r="BJ86" i="10" s="1"/>
  <c r="BI189" i="10"/>
  <c r="BJ189" i="10" s="1"/>
  <c r="BI95" i="10"/>
  <c r="BJ95" i="10" s="1"/>
  <c r="BI153" i="10"/>
  <c r="BJ153" i="10" s="1"/>
  <c r="AL62" i="10"/>
  <c r="BI136" i="10"/>
  <c r="BJ136" i="10" s="1"/>
  <c r="BI150" i="10"/>
  <c r="BJ150" i="10" s="1"/>
  <c r="BI169" i="10"/>
  <c r="BJ169" i="10" s="1"/>
  <c r="BI203" i="10"/>
  <c r="BJ203" i="10" s="1"/>
  <c r="C54" i="2"/>
  <c r="BI34" i="10"/>
  <c r="BJ34" i="10" s="1"/>
  <c r="BI60" i="10"/>
  <c r="BJ60" i="10" s="1"/>
  <c r="AL82" i="10"/>
  <c r="BU99" i="10"/>
  <c r="BX99" i="10" s="1"/>
  <c r="AL133" i="10"/>
  <c r="AL155" i="10"/>
  <c r="AL167" i="10"/>
  <c r="BI180" i="10"/>
  <c r="BJ180" i="10" s="1"/>
  <c r="BI202" i="10"/>
  <c r="BJ202" i="10" s="1"/>
  <c r="AL170" i="10"/>
  <c r="AJ170" i="10"/>
  <c r="BY15" i="10"/>
  <c r="BU15" i="10"/>
  <c r="BX15" i="10" s="1"/>
  <c r="BI83" i="10"/>
  <c r="BJ83" i="10" s="1"/>
  <c r="BU57" i="10"/>
  <c r="BX57" i="10" s="1"/>
  <c r="AL108" i="10"/>
  <c r="BU108" i="10"/>
  <c r="AJ108" i="10"/>
  <c r="AL182" i="10"/>
  <c r="BU92" i="10"/>
  <c r="AL90" i="10"/>
  <c r="BU58" i="10"/>
  <c r="BX58" i="10" s="1"/>
  <c r="BY58" i="10"/>
  <c r="BU73" i="10"/>
  <c r="BX73" i="10" s="1"/>
  <c r="AL83" i="10"/>
  <c r="BU88" i="10"/>
  <c r="BX88" i="10" s="1"/>
  <c r="BI27" i="10"/>
  <c r="BJ27" i="10" s="1"/>
  <c r="BU30" i="10"/>
  <c r="BX30" i="10" s="1"/>
  <c r="BI55" i="10"/>
  <c r="BJ55" i="10" s="1"/>
  <c r="AL69" i="10"/>
  <c r="BU81" i="10"/>
  <c r="BX81" i="10" s="1"/>
  <c r="AL104" i="10"/>
  <c r="BI124" i="10"/>
  <c r="BJ124" i="10" s="1"/>
  <c r="BI181" i="10"/>
  <c r="BJ181" i="10" s="1"/>
  <c r="AE3" i="11"/>
  <c r="U3" i="11" s="1"/>
  <c r="U2" i="11"/>
  <c r="M2" i="11"/>
  <c r="BI69" i="10"/>
  <c r="BJ69" i="10" s="1"/>
  <c r="BI46" i="10"/>
  <c r="BJ46" i="10" s="1"/>
  <c r="AL153" i="10"/>
  <c r="AJ160" i="10"/>
  <c r="AL160" i="10"/>
  <c r="AL189" i="10"/>
  <c r="AL193" i="10"/>
  <c r="BI5" i="10"/>
  <c r="BI116" i="10"/>
  <c r="BJ116" i="10" s="1"/>
  <c r="AL126" i="10"/>
  <c r="AJ126" i="10"/>
  <c r="AL196" i="10"/>
  <c r="BV76" i="10"/>
  <c r="CA76" i="10" s="1"/>
  <c r="BI173" i="10"/>
  <c r="BJ173" i="10" s="1"/>
  <c r="BI17" i="10"/>
  <c r="BI44" i="10"/>
  <c r="BJ44" i="10" s="1"/>
  <c r="BY62" i="10"/>
  <c r="BU62" i="10"/>
  <c r="BX62" i="10" s="1"/>
  <c r="BI75" i="10"/>
  <c r="BJ75" i="10" s="1"/>
  <c r="AL99" i="10"/>
  <c r="BI114" i="10"/>
  <c r="BJ114" i="10" s="1"/>
  <c r="BI160" i="10"/>
  <c r="BJ160" i="10" s="1"/>
  <c r="BI166" i="10"/>
  <c r="BJ166" i="10" s="1"/>
  <c r="CC11" i="10"/>
  <c r="A7" i="3"/>
  <c r="BI77" i="10"/>
  <c r="BJ77" i="10" s="1"/>
  <c r="BI108" i="10"/>
  <c r="BJ108" i="10" s="1"/>
  <c r="BI131" i="10"/>
  <c r="BJ131" i="10" s="1"/>
  <c r="BY20" i="10"/>
  <c r="AL54" i="10"/>
  <c r="AL81" i="10"/>
  <c r="BI120" i="10"/>
  <c r="BJ120" i="10" s="1"/>
  <c r="BI143" i="10"/>
  <c r="BJ143" i="10" s="1"/>
  <c r="BI157" i="10"/>
  <c r="BJ157" i="10" s="1"/>
  <c r="BI162" i="10"/>
  <c r="BJ162" i="10" s="1"/>
  <c r="BI47" i="10"/>
  <c r="BJ47" i="10" s="1"/>
  <c r="BI106" i="10"/>
  <c r="BJ106" i="10" s="1"/>
  <c r="BI198" i="10"/>
  <c r="BJ198" i="10" s="1"/>
  <c r="BI199" i="10"/>
  <c r="BJ199" i="10" s="1"/>
  <c r="BI31" i="10"/>
  <c r="BJ31" i="10" s="1"/>
  <c r="BI39" i="10"/>
  <c r="BJ39" i="10" s="1"/>
  <c r="BU69" i="10"/>
  <c r="BX69" i="10" s="1"/>
  <c r="BI122" i="10"/>
  <c r="BJ122" i="10" s="1"/>
  <c r="BI129" i="10"/>
  <c r="BJ129" i="10" s="1"/>
  <c r="BI137" i="10"/>
  <c r="BJ137" i="10" s="1"/>
  <c r="BI12" i="10"/>
  <c r="BI68" i="10"/>
  <c r="BJ68" i="10" s="1"/>
  <c r="BU80" i="10"/>
  <c r="BX80" i="10" s="1"/>
  <c r="BU83" i="10"/>
  <c r="BX83" i="10" s="1"/>
  <c r="BI93" i="10"/>
  <c r="BJ93" i="10" s="1"/>
  <c r="BU100" i="10"/>
  <c r="BX100" i="10" s="1"/>
  <c r="BI118" i="10"/>
  <c r="BJ118" i="10" s="1"/>
  <c r="BI152" i="10"/>
  <c r="BJ152" i="10" s="1"/>
  <c r="AJ181" i="10"/>
  <c r="BY59" i="10"/>
  <c r="AL67" i="10"/>
  <c r="BY75" i="10"/>
  <c r="AL87" i="10"/>
  <c r="AL88" i="10"/>
  <c r="AL96" i="10"/>
  <c r="AL107" i="10"/>
  <c r="BI154" i="10"/>
  <c r="BJ154" i="10" s="1"/>
  <c r="AL169" i="10"/>
  <c r="E138" i="4"/>
  <c r="B146" i="4"/>
  <c r="F143" i="4"/>
  <c r="C141" i="4"/>
  <c r="A139" i="4"/>
  <c r="D136" i="4"/>
  <c r="B141" i="4"/>
  <c r="F145" i="4"/>
  <c r="C143" i="4"/>
  <c r="A141" i="4"/>
  <c r="D138" i="4"/>
  <c r="B136" i="4"/>
  <c r="A146" i="4"/>
  <c r="E143" i="4"/>
  <c r="C136" i="4"/>
  <c r="E145" i="4"/>
  <c r="E135" i="4"/>
  <c r="A138" i="4"/>
  <c r="C140" i="4"/>
  <c r="E142" i="4"/>
  <c r="B145" i="4"/>
  <c r="G4" i="8"/>
  <c r="T4" i="8" s="1"/>
  <c r="F135" i="4"/>
  <c r="B138" i="4"/>
  <c r="D140" i="4"/>
  <c r="A143" i="4"/>
  <c r="C145" i="4"/>
  <c r="BU7" i="10"/>
  <c r="BX7" i="10" s="1"/>
  <c r="AL73" i="10"/>
  <c r="AJ73" i="10"/>
  <c r="BI142" i="10"/>
  <c r="BJ142" i="10" s="1"/>
  <c r="A136" i="4"/>
  <c r="C138" i="4"/>
  <c r="E140" i="4"/>
  <c r="B143" i="4"/>
  <c r="BU89" i="10"/>
  <c r="BX89" i="10" s="1"/>
  <c r="AL173" i="10"/>
  <c r="AJ173" i="10"/>
  <c r="AL184" i="10"/>
  <c r="AJ184" i="10"/>
  <c r="D145" i="4"/>
  <c r="D143" i="4"/>
  <c r="D141" i="4"/>
  <c r="D139" i="4"/>
  <c r="D137" i="4"/>
  <c r="D135" i="4"/>
  <c r="F146" i="4"/>
  <c r="F144" i="4"/>
  <c r="F142" i="4"/>
  <c r="F140" i="4"/>
  <c r="F138" i="4"/>
  <c r="F136" i="4"/>
  <c r="BI6" i="10"/>
  <c r="BI65" i="10"/>
  <c r="BJ65" i="10" s="1"/>
  <c r="BU103" i="10"/>
  <c r="AL110" i="10"/>
  <c r="AJ110" i="10"/>
  <c r="AL150" i="10"/>
  <c r="E136" i="4"/>
  <c r="B139" i="4"/>
  <c r="E141" i="4"/>
  <c r="A144" i="4"/>
  <c r="C146" i="4"/>
  <c r="C36" i="11"/>
  <c r="A137" i="4"/>
  <c r="C139" i="4"/>
  <c r="F141" i="4"/>
  <c r="B144" i="4"/>
  <c r="D146" i="4"/>
  <c r="BU43" i="10"/>
  <c r="BX43" i="10" s="1"/>
  <c r="BY43" i="10"/>
  <c r="BY78" i="10"/>
  <c r="AJ79" i="10"/>
  <c r="AL102" i="10"/>
  <c r="B137" i="4"/>
  <c r="E139" i="4"/>
  <c r="A142" i="4"/>
  <c r="C144" i="4"/>
  <c r="E146" i="4"/>
  <c r="A135" i="4"/>
  <c r="C137" i="4"/>
  <c r="F139" i="4"/>
  <c r="B142" i="4"/>
  <c r="D144" i="4"/>
  <c r="BI4" i="10"/>
  <c r="AL75" i="10"/>
  <c r="I57" i="11"/>
  <c r="BU37" i="10"/>
  <c r="BX37" i="10" s="1"/>
  <c r="BY37" i="10"/>
  <c r="AL50" i="10"/>
  <c r="AJ50" i="10"/>
  <c r="BU106" i="10"/>
  <c r="BX106" i="10" s="1"/>
  <c r="AJ165" i="10"/>
  <c r="B135" i="4"/>
  <c r="E137" i="4"/>
  <c r="A140" i="4"/>
  <c r="C142" i="4"/>
  <c r="E144" i="4"/>
  <c r="C135" i="4"/>
  <c r="F137" i="4"/>
  <c r="B140" i="4"/>
  <c r="D142" i="4"/>
  <c r="A145" i="4"/>
  <c r="BI149" i="10"/>
  <c r="BJ149" i="10" s="1"/>
  <c r="BY5" i="10"/>
  <c r="BI19" i="10"/>
  <c r="BI24" i="10"/>
  <c r="BJ24" i="10" s="1"/>
  <c r="BI30" i="10"/>
  <c r="BJ30" i="10" s="1"/>
  <c r="BI38" i="10"/>
  <c r="BJ38" i="10" s="1"/>
  <c r="BY42" i="10"/>
  <c r="AL43" i="10"/>
  <c r="BI51" i="10"/>
  <c r="BJ51" i="10" s="1"/>
  <c r="AL53" i="10"/>
  <c r="BI73" i="10"/>
  <c r="BJ73" i="10" s="1"/>
  <c r="BI89" i="10"/>
  <c r="BJ89" i="10" s="1"/>
  <c r="BY93" i="10"/>
  <c r="AL117" i="10"/>
  <c r="BI125" i="10"/>
  <c r="BJ125" i="10" s="1"/>
  <c r="BI135" i="10"/>
  <c r="BJ135" i="10" s="1"/>
  <c r="BI151" i="10"/>
  <c r="BJ151" i="10" s="1"/>
  <c r="BI155" i="10"/>
  <c r="BJ155" i="10" s="1"/>
  <c r="M80" i="11"/>
  <c r="BI13" i="10"/>
  <c r="CC13" i="10"/>
  <c r="BU6" i="10"/>
  <c r="BX6" i="10" s="1"/>
  <c r="BU10" i="10"/>
  <c r="BX10" i="10" s="1"/>
  <c r="BV49" i="10"/>
  <c r="CA49" i="10" s="1"/>
  <c r="AL63" i="10"/>
  <c r="AL68" i="10"/>
  <c r="BI74" i="10"/>
  <c r="BJ74" i="10" s="1"/>
  <c r="BI79" i="10"/>
  <c r="BJ79" i="10" s="1"/>
  <c r="BI123" i="10"/>
  <c r="BJ123" i="10" s="1"/>
  <c r="BI133" i="10"/>
  <c r="BJ133" i="10" s="1"/>
  <c r="CE5" i="10"/>
  <c r="BI9" i="10"/>
  <c r="BI33" i="10"/>
  <c r="BJ33" i="10" s="1"/>
  <c r="BU35" i="10"/>
  <c r="BX35" i="10" s="1"/>
  <c r="BI37" i="10"/>
  <c r="BJ37" i="10" s="1"/>
  <c r="BI67" i="10"/>
  <c r="BJ67" i="10" s="1"/>
  <c r="BI70" i="10"/>
  <c r="BJ70" i="10" s="1"/>
  <c r="BI72" i="10"/>
  <c r="BJ72" i="10" s="1"/>
  <c r="BV108" i="10"/>
  <c r="CA108" i="10" s="1"/>
  <c r="AL111" i="10"/>
  <c r="BI121" i="10"/>
  <c r="BJ121" i="10" s="1"/>
  <c r="AL124" i="10"/>
  <c r="AL176" i="10"/>
  <c r="Q46" i="11"/>
  <c r="CC6" i="10"/>
  <c r="CC10" i="10"/>
  <c r="BI41" i="10"/>
  <c r="BJ41" i="10" s="1"/>
  <c r="AL66" i="10"/>
  <c r="AJ81" i="10"/>
  <c r="AL95" i="10"/>
  <c r="AL101" i="10"/>
  <c r="BI109" i="10"/>
  <c r="BJ109" i="10" s="1"/>
  <c r="AL132" i="10"/>
  <c r="AL134" i="10"/>
  <c r="AL146" i="10"/>
  <c r="AL148" i="10"/>
  <c r="BI158" i="10"/>
  <c r="BJ158" i="10" s="1"/>
  <c r="BI174" i="10"/>
  <c r="BJ174" i="10" s="1"/>
  <c r="BI176" i="10"/>
  <c r="BJ176" i="10" s="1"/>
  <c r="AL179" i="10"/>
  <c r="BI186" i="10"/>
  <c r="BJ186" i="10" s="1"/>
  <c r="BI187" i="10"/>
  <c r="BJ187" i="10" s="1"/>
  <c r="AL192" i="10"/>
  <c r="AJ192" i="10"/>
  <c r="CC16" i="10"/>
  <c r="AL72" i="10"/>
  <c r="BI104" i="10"/>
  <c r="BJ104" i="10" s="1"/>
  <c r="BI128" i="10"/>
  <c r="BJ128" i="10" s="1"/>
  <c r="BI134" i="10"/>
  <c r="BJ134" i="10" s="1"/>
  <c r="AL137" i="10"/>
  <c r="BI138" i="10"/>
  <c r="BJ138" i="10" s="1"/>
  <c r="AL141" i="10"/>
  <c r="BI147" i="10"/>
  <c r="BJ147" i="10" s="1"/>
  <c r="AL175" i="10"/>
  <c r="AL177" i="10"/>
  <c r="AL188" i="10"/>
  <c r="AL198" i="10"/>
  <c r="AJ198" i="10"/>
  <c r="Q71" i="11"/>
  <c r="BI11" i="10"/>
  <c r="BI14" i="10"/>
  <c r="BI22" i="10"/>
  <c r="BJ22" i="10" s="1"/>
  <c r="BU23" i="10"/>
  <c r="BX23" i="10" s="1"/>
  <c r="BU41" i="10"/>
  <c r="BX41" i="10" s="1"/>
  <c r="AL45" i="10"/>
  <c r="AL48" i="10"/>
  <c r="BI48" i="10"/>
  <c r="BJ48" i="10" s="1"/>
  <c r="BU76" i="10"/>
  <c r="BX76" i="10" s="1"/>
  <c r="BI97" i="10"/>
  <c r="BJ97" i="10" s="1"/>
  <c r="BU98" i="10"/>
  <c r="BX98" i="10" s="1"/>
  <c r="AL105" i="10"/>
  <c r="BI130" i="10"/>
  <c r="BJ130" i="10" s="1"/>
  <c r="AL143" i="10"/>
  <c r="BI159" i="10"/>
  <c r="BJ159" i="10" s="1"/>
  <c r="AL171" i="10"/>
  <c r="AL180" i="10"/>
  <c r="AL190" i="10"/>
  <c r="C53" i="11"/>
  <c r="C16" i="11"/>
  <c r="C23" i="11"/>
  <c r="C2" i="11"/>
  <c r="C33" i="11"/>
  <c r="BI20" i="10"/>
  <c r="BI25" i="10"/>
  <c r="BJ25" i="10" s="1"/>
  <c r="BI45" i="10"/>
  <c r="BJ45" i="10" s="1"/>
  <c r="BI62" i="10"/>
  <c r="BJ62" i="10" s="1"/>
  <c r="BI115" i="10"/>
  <c r="BJ115" i="10" s="1"/>
  <c r="AL125" i="10"/>
  <c r="BI126" i="10"/>
  <c r="BJ126" i="10" s="1"/>
  <c r="BI132" i="10"/>
  <c r="BJ132" i="10" s="1"/>
  <c r="BI148" i="10"/>
  <c r="BJ148" i="10" s="1"/>
  <c r="BI161" i="10"/>
  <c r="BJ161" i="10" s="1"/>
  <c r="AL178" i="10"/>
  <c r="E72" i="11"/>
  <c r="O9" i="11"/>
  <c r="BU4" i="10"/>
  <c r="BX4" i="10" s="1"/>
  <c r="BI7" i="10"/>
  <c r="BJ7" i="10" s="1"/>
  <c r="BU17" i="10"/>
  <c r="BX17" i="10" s="1"/>
  <c r="BY19" i="10"/>
  <c r="BU24" i="10"/>
  <c r="BX24" i="10" s="1"/>
  <c r="BI29" i="10"/>
  <c r="BJ29" i="10" s="1"/>
  <c r="BI49" i="10"/>
  <c r="BJ49" i="10" s="1"/>
  <c r="BU64" i="10"/>
  <c r="BX64" i="10" s="1"/>
  <c r="BU74" i="10"/>
  <c r="BX74" i="10" s="1"/>
  <c r="BV83" i="10"/>
  <c r="CA83" i="10" s="1"/>
  <c r="BI103" i="10"/>
  <c r="BJ103" i="10" s="1"/>
  <c r="AJ107" i="10"/>
  <c r="AL139" i="10"/>
  <c r="BI171" i="10"/>
  <c r="BJ171" i="10" s="1"/>
  <c r="AJ172" i="10"/>
  <c r="AL172" i="10"/>
  <c r="BI10" i="10"/>
  <c r="BI8" i="10"/>
  <c r="BI56" i="10"/>
  <c r="BJ56" i="10" s="1"/>
  <c r="AL129" i="10"/>
  <c r="AL136" i="10"/>
  <c r="BI170" i="10"/>
  <c r="BJ170" i="10" s="1"/>
  <c r="BI185" i="10"/>
  <c r="BJ185" i="10" s="1"/>
  <c r="I79" i="11"/>
  <c r="M4" i="11"/>
  <c r="CC7" i="10"/>
  <c r="BI57" i="10"/>
  <c r="BJ57" i="10" s="1"/>
  <c r="BY72" i="10"/>
  <c r="BI76" i="10"/>
  <c r="BJ76" i="10" s="1"/>
  <c r="AL100" i="10"/>
  <c r="BI107" i="10"/>
  <c r="BJ107" i="10" s="1"/>
  <c r="BI111" i="10"/>
  <c r="BJ111" i="10" s="1"/>
  <c r="BI145" i="10"/>
  <c r="BJ145" i="10" s="1"/>
  <c r="BI184" i="10"/>
  <c r="BJ184" i="10" s="1"/>
  <c r="BI167" i="10"/>
  <c r="BJ167" i="10" s="1"/>
  <c r="C35" i="11"/>
  <c r="I72" i="11"/>
  <c r="M79" i="11"/>
  <c r="BI168" i="10"/>
  <c r="BJ168" i="10" s="1"/>
  <c r="BI177" i="10"/>
  <c r="BJ177" i="10" s="1"/>
  <c r="BI179" i="10"/>
  <c r="BJ179" i="10" s="1"/>
  <c r="BI190" i="10"/>
  <c r="BJ190" i="10" s="1"/>
  <c r="BI192" i="10"/>
  <c r="BJ192" i="10" s="1"/>
  <c r="AL201" i="10"/>
  <c r="S56" i="11"/>
  <c r="M18" i="11"/>
  <c r="G10" i="11"/>
  <c r="BI156" i="10"/>
  <c r="BJ156" i="10" s="1"/>
  <c r="BI195" i="10"/>
  <c r="BJ195" i="10" s="1"/>
  <c r="I81" i="11"/>
  <c r="BI87" i="10"/>
  <c r="BJ87" i="10" s="1"/>
  <c r="BI91" i="10"/>
  <c r="BJ91" i="10" s="1"/>
  <c r="AL98" i="10"/>
  <c r="BI100" i="10"/>
  <c r="BJ100" i="10" s="1"/>
  <c r="BI101" i="10"/>
  <c r="BJ101" i="10" s="1"/>
  <c r="AL116" i="10"/>
  <c r="BI119" i="10"/>
  <c r="BJ119" i="10" s="1"/>
  <c r="AL128" i="10"/>
  <c r="AL147" i="10"/>
  <c r="AL163" i="10"/>
  <c r="AL168" i="10"/>
  <c r="BI175" i="10"/>
  <c r="BJ175" i="10" s="1"/>
  <c r="BI194" i="10"/>
  <c r="BJ194" i="10" s="1"/>
  <c r="BI200" i="10"/>
  <c r="BJ200" i="10" s="1"/>
  <c r="T5" i="8"/>
  <c r="Z6" i="10"/>
  <c r="U8" i="5"/>
  <c r="Z16" i="10"/>
  <c r="BX78" i="10"/>
  <c r="BX72" i="10"/>
  <c r="BX86" i="10"/>
  <c r="BX75" i="10"/>
  <c r="BX63" i="10"/>
  <c r="BX22" i="10"/>
  <c r="BX8" i="10"/>
  <c r="BX19" i="10"/>
  <c r="BX36" i="10"/>
  <c r="BX28" i="10"/>
  <c r="BX21" i="10"/>
  <c r="BX13" i="10"/>
  <c r="BX42" i="10"/>
  <c r="Z18" i="10"/>
  <c r="U14" i="5"/>
  <c r="U4" i="5"/>
  <c r="Z70" i="10"/>
  <c r="U15" i="5"/>
  <c r="Z14" i="10"/>
  <c r="U5" i="5"/>
  <c r="Z105" i="10"/>
  <c r="U16" i="5"/>
  <c r="BX11" i="10"/>
  <c r="BX5" i="10"/>
  <c r="BI15" i="10"/>
  <c r="BI16" i="10"/>
  <c r="CC9" i="10"/>
  <c r="BY22" i="10"/>
  <c r="BX26" i="10"/>
  <c r="BX29" i="10"/>
  <c r="BI35" i="10"/>
  <c r="BJ35" i="10" s="1"/>
  <c r="AL86" i="10"/>
  <c r="CC5" i="10"/>
  <c r="BX14" i="10"/>
  <c r="BY26" i="10"/>
  <c r="BI32" i="10"/>
  <c r="BJ32" i="10" s="1"/>
  <c r="AL52" i="10"/>
  <c r="BU54" i="10"/>
  <c r="BX54" i="10" s="1"/>
  <c r="BY54" i="10"/>
  <c r="BX59" i="10"/>
  <c r="CC4" i="10"/>
  <c r="CC8" i="10"/>
  <c r="BY14" i="10"/>
  <c r="CC15" i="10"/>
  <c r="BI18" i="10"/>
  <c r="BY18" i="10"/>
  <c r="BY44" i="10"/>
  <c r="BY45" i="10"/>
  <c r="BI53" i="10"/>
  <c r="BJ53" i="10" s="1"/>
  <c r="AL57" i="10"/>
  <c r="AJ70" i="10"/>
  <c r="BU12" i="10"/>
  <c r="BX12" i="10" s="1"/>
  <c r="AL41" i="10"/>
  <c r="BU44" i="10"/>
  <c r="BX44" i="10" s="1"/>
  <c r="BU45" i="10"/>
  <c r="BX45" i="10" s="1"/>
  <c r="BU55" i="10"/>
  <c r="BX55" i="10" s="1"/>
  <c r="BY11" i="10"/>
  <c r="BY13" i="10"/>
  <c r="BY21" i="10"/>
  <c r="BU25" i="10"/>
  <c r="BX25" i="10" s="1"/>
  <c r="BY28" i="10"/>
  <c r="BU31" i="10"/>
  <c r="BX31" i="10" s="1"/>
  <c r="BI36" i="10"/>
  <c r="BJ36" i="10" s="1"/>
  <c r="AL44" i="10"/>
  <c r="AJ44" i="10"/>
  <c r="BY50" i="10"/>
  <c r="BX50" i="10"/>
  <c r="BI54" i="10"/>
  <c r="BJ54" i="10" s="1"/>
  <c r="BU61" i="10"/>
  <c r="BX61" i="10" s="1"/>
  <c r="CC14" i="10"/>
  <c r="BY46" i="10"/>
  <c r="BY48" i="10"/>
  <c r="BU48" i="10"/>
  <c r="BX48" i="10" s="1"/>
  <c r="BY51" i="10"/>
  <c r="AL56" i="10"/>
  <c r="AJ56" i="10"/>
  <c r="BX77" i="10"/>
  <c r="BU9" i="10"/>
  <c r="BX9" i="10" s="1"/>
  <c r="BY12" i="10"/>
  <c r="BU16" i="10"/>
  <c r="BX16" i="10" s="1"/>
  <c r="BX20" i="10"/>
  <c r="BI26" i="10"/>
  <c r="BJ26" i="10" s="1"/>
  <c r="BU27" i="10"/>
  <c r="BX27" i="10" s="1"/>
  <c r="BU38" i="10"/>
  <c r="BX38" i="10" s="1"/>
  <c r="AL46" i="10"/>
  <c r="BU46" i="10"/>
  <c r="BX46" i="10" s="1"/>
  <c r="BU51" i="10"/>
  <c r="BX51" i="10" s="1"/>
  <c r="AL156" i="10"/>
  <c r="AJ156" i="10"/>
  <c r="BY47" i="10"/>
  <c r="BU47" i="10"/>
  <c r="BX47" i="10" s="1"/>
  <c r="AL49" i="10"/>
  <c r="BY66" i="10"/>
  <c r="BU66" i="10"/>
  <c r="BX66" i="10" s="1"/>
  <c r="BI50" i="10"/>
  <c r="BJ50" i="10" s="1"/>
  <c r="BY52" i="10"/>
  <c r="BX52" i="10"/>
  <c r="AL58" i="10"/>
  <c r="AL59" i="10"/>
  <c r="AJ59" i="10"/>
  <c r="CC12" i="10"/>
  <c r="BY29" i="10"/>
  <c r="BY32" i="10"/>
  <c r="BU32" i="10"/>
  <c r="BX32" i="10" s="1"/>
  <c r="AL47" i="10"/>
  <c r="AL51" i="10"/>
  <c r="BV56" i="10"/>
  <c r="CA56" i="10" s="1"/>
  <c r="BU18" i="10"/>
  <c r="BX18" i="10" s="1"/>
  <c r="AL40" i="10"/>
  <c r="BY53" i="10"/>
  <c r="BU53" i="10"/>
  <c r="BX53" i="10" s="1"/>
  <c r="BU56" i="10"/>
  <c r="BX56" i="10" s="1"/>
  <c r="BX92" i="10"/>
  <c r="BY60" i="10"/>
  <c r="AJ62" i="10"/>
  <c r="BI63" i="10"/>
  <c r="BJ63" i="10" s="1"/>
  <c r="BY65" i="10"/>
  <c r="BU65" i="10"/>
  <c r="BX65" i="10" s="1"/>
  <c r="AL76" i="10"/>
  <c r="AJ76" i="10"/>
  <c r="BU39" i="10"/>
  <c r="BX39" i="10" s="1"/>
  <c r="BU40" i="10"/>
  <c r="BX40" i="10" s="1"/>
  <c r="AL42" i="10"/>
  <c r="BX49" i="10"/>
  <c r="AL85" i="10"/>
  <c r="BY49" i="10"/>
  <c r="BX60" i="10"/>
  <c r="BU33" i="10"/>
  <c r="BX33" i="10" s="1"/>
  <c r="BU34" i="10"/>
  <c r="BX34" i="10" s="1"/>
  <c r="AL60" i="10"/>
  <c r="AL64" i="10"/>
  <c r="AL65" i="10"/>
  <c r="AL71" i="10"/>
  <c r="BX90" i="10"/>
  <c r="BY90" i="10"/>
  <c r="AL94" i="10"/>
  <c r="AJ94" i="10"/>
  <c r="BY36" i="10"/>
  <c r="BY87" i="10"/>
  <c r="BU87" i="10"/>
  <c r="BX87" i="10" s="1"/>
  <c r="BY70" i="10"/>
  <c r="BX70" i="10"/>
  <c r="BU68" i="10"/>
  <c r="BX68" i="10" s="1"/>
  <c r="BI78" i="10"/>
  <c r="BJ78" i="10" s="1"/>
  <c r="AJ88" i="10"/>
  <c r="BI92" i="10"/>
  <c r="BJ92" i="10" s="1"/>
  <c r="BI82" i="10"/>
  <c r="BJ82" i="10" s="1"/>
  <c r="BI88" i="10"/>
  <c r="BJ88" i="10" s="1"/>
  <c r="BU67" i="10"/>
  <c r="BX67" i="10" s="1"/>
  <c r="BU84" i="10"/>
  <c r="BX84" i="10" s="1"/>
  <c r="BY84" i="10"/>
  <c r="AL84" i="10"/>
  <c r="AL97" i="10"/>
  <c r="AL91" i="10"/>
  <c r="BY82" i="10"/>
  <c r="BU82" i="10"/>
  <c r="BX82" i="10" s="1"/>
  <c r="AJ92" i="10"/>
  <c r="BX104" i="10"/>
  <c r="BI58" i="10"/>
  <c r="BJ58" i="10" s="1"/>
  <c r="BI64" i="10"/>
  <c r="BJ64" i="10" s="1"/>
  <c r="AL80" i="10"/>
  <c r="BI94" i="10"/>
  <c r="BJ94" i="10" s="1"/>
  <c r="AL89" i="10"/>
  <c r="BI102" i="10"/>
  <c r="BJ102" i="10" s="1"/>
  <c r="AL113" i="10"/>
  <c r="AJ113" i="10"/>
  <c r="AL127" i="10"/>
  <c r="BI140" i="10"/>
  <c r="BJ140" i="10" s="1"/>
  <c r="AL161" i="10"/>
  <c r="AJ161" i="10"/>
  <c r="BY96" i="10"/>
  <c r="AJ118" i="10"/>
  <c r="AL131" i="10"/>
  <c r="AJ131" i="10"/>
  <c r="AL174" i="10"/>
  <c r="AJ174" i="10"/>
  <c r="BI96" i="10"/>
  <c r="BJ96" i="10" s="1"/>
  <c r="BU97" i="10"/>
  <c r="BX97" i="10" s="1"/>
  <c r="BV107" i="10"/>
  <c r="CA107" i="10" s="1"/>
  <c r="BU107" i="10"/>
  <c r="BX107" i="10" s="1"/>
  <c r="BI112" i="10"/>
  <c r="BJ112" i="10" s="1"/>
  <c r="AL77" i="10"/>
  <c r="AL103" i="10"/>
  <c r="AL106" i="10"/>
  <c r="BY107" i="10"/>
  <c r="AL158" i="10"/>
  <c r="AJ158" i="10"/>
  <c r="BI99" i="10"/>
  <c r="BJ99" i="10" s="1"/>
  <c r="BI105" i="10"/>
  <c r="BJ105" i="10" s="1"/>
  <c r="AL120" i="10"/>
  <c r="BY77" i="10"/>
  <c r="BX85" i="10"/>
  <c r="AL112" i="10"/>
  <c r="AJ136" i="10"/>
  <c r="AL154" i="10"/>
  <c r="AL162" i="10"/>
  <c r="AJ162" i="10"/>
  <c r="AL164" i="10"/>
  <c r="BX103" i="10"/>
  <c r="AJ140" i="10"/>
  <c r="AL140" i="10"/>
  <c r="AJ145" i="10"/>
  <c r="AL145" i="10"/>
  <c r="AJ121" i="10"/>
  <c r="AL121" i="10"/>
  <c r="AL151" i="10"/>
  <c r="AJ151" i="10"/>
  <c r="BY85" i="10"/>
  <c r="BY86" i="10"/>
  <c r="BI90" i="10"/>
  <c r="BJ90" i="10" s="1"/>
  <c r="BU96" i="10"/>
  <c r="BX96" i="10" s="1"/>
  <c r="BX108" i="10"/>
  <c r="AL149" i="10"/>
  <c r="AJ149" i="10"/>
  <c r="AL187" i="10"/>
  <c r="AJ187" i="10"/>
  <c r="AL123" i="10"/>
  <c r="AL135" i="10"/>
  <c r="AL152" i="10"/>
  <c r="AL157" i="10"/>
  <c r="AL166" i="10"/>
  <c r="AL130" i="10"/>
  <c r="BI163" i="10"/>
  <c r="BJ163" i="10" s="1"/>
  <c r="BI197" i="10"/>
  <c r="BJ197" i="10" s="1"/>
  <c r="AL199" i="10"/>
  <c r="K140" i="11"/>
  <c r="K128" i="11"/>
  <c r="K116" i="11"/>
  <c r="K104" i="11"/>
  <c r="K133" i="11"/>
  <c r="K121" i="11"/>
  <c r="K109" i="11"/>
  <c r="K138" i="11"/>
  <c r="K126" i="11"/>
  <c r="K114" i="11"/>
  <c r="K102" i="11"/>
  <c r="K99" i="11"/>
  <c r="K96" i="11"/>
  <c r="K93" i="11"/>
  <c r="K90" i="11"/>
  <c r="K87" i="11"/>
  <c r="K84" i="11"/>
  <c r="K81" i="11"/>
  <c r="K78" i="11"/>
  <c r="K75" i="11"/>
  <c r="K72" i="11"/>
  <c r="K69" i="11"/>
  <c r="K66" i="11"/>
  <c r="K131" i="11"/>
  <c r="K119" i="11"/>
  <c r="K107" i="11"/>
  <c r="K136" i="11"/>
  <c r="K124" i="11"/>
  <c r="K112" i="11"/>
  <c r="K132" i="11"/>
  <c r="K120" i="11"/>
  <c r="K108" i="11"/>
  <c r="K137" i="11"/>
  <c r="K125" i="11"/>
  <c r="K113" i="11"/>
  <c r="K130" i="11"/>
  <c r="K118" i="11"/>
  <c r="K106" i="11"/>
  <c r="K101" i="11"/>
  <c r="K98" i="11"/>
  <c r="K95" i="11"/>
  <c r="K92" i="11"/>
  <c r="K89" i="11"/>
  <c r="K86" i="11"/>
  <c r="K83" i="11"/>
  <c r="K80" i="11"/>
  <c r="K77" i="11"/>
  <c r="K135" i="11"/>
  <c r="K123" i="11"/>
  <c r="K111" i="11"/>
  <c r="K94" i="11"/>
  <c r="K57" i="11"/>
  <c r="K48" i="11"/>
  <c r="K39" i="11"/>
  <c r="K30" i="11"/>
  <c r="K21" i="11"/>
  <c r="K141" i="11"/>
  <c r="K100" i="11"/>
  <c r="K76" i="11"/>
  <c r="K74" i="11"/>
  <c r="K139" i="11"/>
  <c r="K88" i="11"/>
  <c r="K129" i="11"/>
  <c r="K79" i="11"/>
  <c r="K73" i="11"/>
  <c r="K71" i="11"/>
  <c r="K60" i="11"/>
  <c r="K51" i="11"/>
  <c r="K42" i="11"/>
  <c r="K33" i="11"/>
  <c r="K24" i="11"/>
  <c r="K115" i="11"/>
  <c r="K63" i="11"/>
  <c r="K54" i="11"/>
  <c r="K45" i="11"/>
  <c r="K36" i="11"/>
  <c r="K27" i="11"/>
  <c r="K103" i="11"/>
  <c r="K68" i="11"/>
  <c r="K47" i="11"/>
  <c r="K44" i="11"/>
  <c r="K32" i="11"/>
  <c r="K19" i="11"/>
  <c r="K17" i="11"/>
  <c r="K134" i="11"/>
  <c r="K53" i="11"/>
  <c r="K46" i="11"/>
  <c r="K43" i="11"/>
  <c r="K3" i="11"/>
  <c r="K105" i="11"/>
  <c r="K91" i="11"/>
  <c r="K70" i="11"/>
  <c r="K56" i="11"/>
  <c r="K49" i="11"/>
  <c r="K22" i="11"/>
  <c r="K20" i="11"/>
  <c r="K62" i="11"/>
  <c r="K59" i="11"/>
  <c r="K18" i="11"/>
  <c r="K117" i="11"/>
  <c r="K65" i="11"/>
  <c r="K52" i="11"/>
  <c r="K12" i="11"/>
  <c r="K10" i="11"/>
  <c r="K122" i="11"/>
  <c r="K85" i="11"/>
  <c r="K58" i="11"/>
  <c r="K55" i="11"/>
  <c r="K127" i="11"/>
  <c r="K64" i="11"/>
  <c r="K61" i="11"/>
  <c r="K110" i="11"/>
  <c r="K82" i="11"/>
  <c r="K38" i="11"/>
  <c r="K35" i="11"/>
  <c r="K67" i="11"/>
  <c r="K7" i="11"/>
  <c r="K11" i="11"/>
  <c r="K2" i="11"/>
  <c r="K40" i="11"/>
  <c r="K16" i="11"/>
  <c r="K6" i="11"/>
  <c r="K23" i="11"/>
  <c r="K15" i="11"/>
  <c r="K5" i="11"/>
  <c r="K14" i="11"/>
  <c r="K9" i="11"/>
  <c r="K4" i="11"/>
  <c r="K97" i="11"/>
  <c r="K29" i="11"/>
  <c r="K13" i="11"/>
  <c r="K8" i="11"/>
  <c r="K50" i="11"/>
  <c r="K31" i="11"/>
  <c r="K26" i="11"/>
  <c r="K34" i="11"/>
  <c r="K37" i="11"/>
  <c r="K28" i="11"/>
  <c r="K41" i="11"/>
  <c r="K25" i="11"/>
  <c r="O29" i="11"/>
  <c r="AL183" i="10"/>
  <c r="AL194" i="10"/>
  <c r="BI178" i="10"/>
  <c r="BJ178" i="10" s="1"/>
  <c r="BI183" i="10"/>
  <c r="BJ183" i="10" s="1"/>
  <c r="E14" i="11"/>
  <c r="E67" i="11"/>
  <c r="E32" i="11"/>
  <c r="E15" i="11"/>
  <c r="E5" i="11"/>
  <c r="E19" i="11"/>
  <c r="E23" i="11"/>
  <c r="E10" i="11"/>
  <c r="BX93" i="10"/>
  <c r="BX105" i="10"/>
  <c r="AJ150" i="10"/>
  <c r="AJ155" i="10"/>
  <c r="AL159" i="10"/>
  <c r="S17" i="11"/>
  <c r="S11" i="11"/>
  <c r="AL202" i="10"/>
  <c r="O6" i="11"/>
  <c r="O4" i="11"/>
  <c r="O2" i="11"/>
  <c r="S95" i="11"/>
  <c r="AJ178" i="10"/>
  <c r="AJ193" i="10"/>
  <c r="AL195" i="10"/>
  <c r="E81" i="11"/>
  <c r="E82" i="11"/>
  <c r="AL200" i="10"/>
  <c r="BI139" i="10"/>
  <c r="BJ139" i="10" s="1"/>
  <c r="AL142" i="10"/>
  <c r="BI144" i="10"/>
  <c r="BJ144" i="10" s="1"/>
  <c r="AL186" i="10"/>
  <c r="BI193" i="10"/>
  <c r="BJ193" i="10" s="1"/>
  <c r="Q34" i="11"/>
  <c r="Q6" i="11"/>
  <c r="Q37" i="11"/>
  <c r="S22" i="11"/>
  <c r="S21" i="11"/>
  <c r="E47" i="11"/>
  <c r="G11" i="11"/>
  <c r="G14" i="11"/>
  <c r="G4" i="11"/>
  <c r="G12" i="11"/>
  <c r="C24" i="11"/>
  <c r="O103" i="11"/>
  <c r="M12" i="11"/>
  <c r="I135" i="11"/>
  <c r="I123" i="11"/>
  <c r="I111" i="11"/>
  <c r="I140" i="11"/>
  <c r="I128" i="11"/>
  <c r="I116" i="11"/>
  <c r="I104" i="11"/>
  <c r="I133" i="11"/>
  <c r="I121" i="11"/>
  <c r="I109" i="11"/>
  <c r="I138" i="11"/>
  <c r="I126" i="11"/>
  <c r="I114" i="11"/>
  <c r="I102" i="11"/>
  <c r="I99" i="11"/>
  <c r="I96" i="11"/>
  <c r="I131" i="11"/>
  <c r="I119" i="11"/>
  <c r="I107" i="11"/>
  <c r="I139" i="11"/>
  <c r="I127" i="11"/>
  <c r="I115" i="11"/>
  <c r="I103" i="11"/>
  <c r="I132" i="11"/>
  <c r="I120" i="11"/>
  <c r="I108" i="11"/>
  <c r="I137" i="11"/>
  <c r="I125" i="11"/>
  <c r="I113" i="11"/>
  <c r="I130" i="11"/>
  <c r="I118" i="11"/>
  <c r="I106" i="11"/>
  <c r="I101" i="11"/>
  <c r="I98" i="11"/>
  <c r="I95" i="11"/>
  <c r="I92" i="11"/>
  <c r="I89" i="11"/>
  <c r="I86" i="11"/>
  <c r="I83" i="11"/>
  <c r="I80" i="11"/>
  <c r="I77" i="11"/>
  <c r="I74" i="11"/>
  <c r="I71" i="11"/>
  <c r="I68" i="11"/>
  <c r="I65" i="11"/>
  <c r="I59" i="11"/>
  <c r="I50" i="11"/>
  <c r="I41" i="11"/>
  <c r="I32" i="11"/>
  <c r="I23" i="11"/>
  <c r="I18" i="11"/>
  <c r="I15" i="11"/>
  <c r="I12" i="11"/>
  <c r="I9" i="11"/>
  <c r="I6" i="11"/>
  <c r="I3" i="11"/>
  <c r="I94" i="11"/>
  <c r="I84" i="11"/>
  <c r="I141" i="11"/>
  <c r="I136" i="11"/>
  <c r="I100" i="11"/>
  <c r="I93" i="11"/>
  <c r="I76" i="11"/>
  <c r="I64" i="11"/>
  <c r="I55" i="11"/>
  <c r="I46" i="11"/>
  <c r="I37" i="11"/>
  <c r="I28" i="11"/>
  <c r="I134" i="11"/>
  <c r="I87" i="11"/>
  <c r="I66" i="11"/>
  <c r="I62" i="11"/>
  <c r="I53" i="11"/>
  <c r="I44" i="11"/>
  <c r="I35" i="11"/>
  <c r="I26" i="11"/>
  <c r="I19" i="11"/>
  <c r="I16" i="11"/>
  <c r="I13" i="11"/>
  <c r="I10" i="11"/>
  <c r="I7" i="11"/>
  <c r="I4" i="11"/>
  <c r="I117" i="11"/>
  <c r="I112" i="11"/>
  <c r="I91" i="11"/>
  <c r="I82" i="11"/>
  <c r="I70" i="11"/>
  <c r="I56" i="11"/>
  <c r="I47" i="11"/>
  <c r="I38" i="11"/>
  <c r="I29" i="11"/>
  <c r="I110" i="11"/>
  <c r="I105" i="11"/>
  <c r="I21" i="11"/>
  <c r="I97" i="11"/>
  <c r="I78" i="11"/>
  <c r="I40" i="11"/>
  <c r="I34" i="11"/>
  <c r="I5" i="11"/>
  <c r="I90" i="11"/>
  <c r="I43" i="11"/>
  <c r="I27" i="11"/>
  <c r="I88" i="11"/>
  <c r="I49" i="11"/>
  <c r="I36" i="11"/>
  <c r="I33" i="11"/>
  <c r="I30" i="11"/>
  <c r="I24" i="11"/>
  <c r="I124" i="11"/>
  <c r="I75" i="11"/>
  <c r="I45" i="11"/>
  <c r="I42" i="11"/>
  <c r="I39" i="11"/>
  <c r="I14" i="11"/>
  <c r="I69" i="11"/>
  <c r="I52" i="11"/>
  <c r="I122" i="11"/>
  <c r="I85" i="11"/>
  <c r="I73" i="11"/>
  <c r="I58" i="11"/>
  <c r="I48" i="11"/>
  <c r="I129" i="11"/>
  <c r="I61" i="11"/>
  <c r="I51" i="11"/>
  <c r="I2" i="11"/>
  <c r="I11" i="11"/>
  <c r="I60" i="11"/>
  <c r="I63" i="11"/>
  <c r="I20" i="11"/>
  <c r="I8" i="11"/>
  <c r="M9" i="11"/>
  <c r="I22" i="11"/>
  <c r="O56" i="11"/>
  <c r="C57" i="11"/>
  <c r="BI182" i="10"/>
  <c r="BJ182" i="10" s="1"/>
  <c r="C19" i="11"/>
  <c r="C38" i="11"/>
  <c r="AL185" i="10"/>
  <c r="Q43" i="11"/>
  <c r="C7" i="11"/>
  <c r="S136" i="11"/>
  <c r="S124" i="11"/>
  <c r="S112" i="11"/>
  <c r="S141" i="11"/>
  <c r="S129" i="11"/>
  <c r="S117" i="11"/>
  <c r="S105" i="11"/>
  <c r="S134" i="11"/>
  <c r="S122" i="11"/>
  <c r="S110" i="11"/>
  <c r="S100" i="11"/>
  <c r="S97" i="11"/>
  <c r="S94" i="11"/>
  <c r="S91" i="11"/>
  <c r="S88" i="11"/>
  <c r="S85" i="11"/>
  <c r="S82" i="11"/>
  <c r="S79" i="11"/>
  <c r="S76" i="11"/>
  <c r="S73" i="11"/>
  <c r="S70" i="11"/>
  <c r="S67" i="11"/>
  <c r="S64" i="11"/>
  <c r="S139" i="11"/>
  <c r="S127" i="11"/>
  <c r="S115" i="11"/>
  <c r="S103" i="11"/>
  <c r="S132" i="11"/>
  <c r="S120" i="11"/>
  <c r="S108" i="11"/>
  <c r="S140" i="11"/>
  <c r="S128" i="11"/>
  <c r="S116" i="11"/>
  <c r="S104" i="11"/>
  <c r="S133" i="11"/>
  <c r="S121" i="11"/>
  <c r="S109" i="11"/>
  <c r="S138" i="11"/>
  <c r="S126" i="11"/>
  <c r="S114" i="11"/>
  <c r="S102" i="11"/>
  <c r="S99" i="11"/>
  <c r="S96" i="11"/>
  <c r="S93" i="11"/>
  <c r="S90" i="11"/>
  <c r="S87" i="11"/>
  <c r="S84" i="11"/>
  <c r="S81" i="11"/>
  <c r="S78" i="11"/>
  <c r="S131" i="11"/>
  <c r="S119" i="11"/>
  <c r="S107" i="11"/>
  <c r="S80" i="11"/>
  <c r="S71" i="11"/>
  <c r="S137" i="11"/>
  <c r="S66" i="11"/>
  <c r="S58" i="11"/>
  <c r="S49" i="11"/>
  <c r="S40" i="11"/>
  <c r="S31" i="11"/>
  <c r="S130" i="11"/>
  <c r="S125" i="11"/>
  <c r="S98" i="11"/>
  <c r="S92" i="11"/>
  <c r="S72" i="11"/>
  <c r="S111" i="11"/>
  <c r="S106" i="11"/>
  <c r="S60" i="11"/>
  <c r="S50" i="11"/>
  <c r="S7" i="11"/>
  <c r="S5" i="11"/>
  <c r="S3" i="11"/>
  <c r="S101" i="11"/>
  <c r="S135" i="11"/>
  <c r="S113" i="11"/>
  <c r="S77" i="11"/>
  <c r="S62" i="11"/>
  <c r="S59" i="11"/>
  <c r="S36" i="11"/>
  <c r="S30" i="11"/>
  <c r="S24" i="11"/>
  <c r="S14" i="11"/>
  <c r="S12" i="11"/>
  <c r="S65" i="11"/>
  <c r="S45" i="11"/>
  <c r="S39" i="11"/>
  <c r="S33" i="11"/>
  <c r="S10" i="11"/>
  <c r="S75" i="11"/>
  <c r="S52" i="11"/>
  <c r="S42" i="11"/>
  <c r="S29" i="11"/>
  <c r="S26" i="11"/>
  <c r="S89" i="11"/>
  <c r="S86" i="11"/>
  <c r="S55" i="11"/>
  <c r="S48" i="11"/>
  <c r="S83" i="11"/>
  <c r="S74" i="11"/>
  <c r="S69" i="11"/>
  <c r="S61" i="11"/>
  <c r="S38" i="11"/>
  <c r="S123" i="11"/>
  <c r="S118" i="11"/>
  <c r="S68" i="11"/>
  <c r="S51" i="11"/>
  <c r="S47" i="11"/>
  <c r="S54" i="11"/>
  <c r="S44" i="11"/>
  <c r="S41" i="11"/>
  <c r="S63" i="11"/>
  <c r="S57" i="11"/>
  <c r="S28" i="11"/>
  <c r="S25" i="11"/>
  <c r="S9" i="11"/>
  <c r="S37" i="11"/>
  <c r="S35" i="11"/>
  <c r="S34" i="11"/>
  <c r="S32" i="11"/>
  <c r="S6" i="11"/>
  <c r="S2" i="11"/>
  <c r="S53" i="11"/>
  <c r="S16" i="11"/>
  <c r="S43" i="11"/>
  <c r="S23" i="11"/>
  <c r="S15" i="11"/>
  <c r="S46" i="11"/>
  <c r="S4" i="11"/>
  <c r="S27" i="11"/>
  <c r="S8" i="11"/>
  <c r="S20" i="11"/>
  <c r="S13" i="11"/>
  <c r="S19" i="11"/>
  <c r="C5" i="11"/>
  <c r="I17" i="11"/>
  <c r="S18" i="11"/>
  <c r="I54" i="11"/>
  <c r="M103" i="11"/>
  <c r="M71" i="11"/>
  <c r="M36" i="11"/>
  <c r="M33" i="11"/>
  <c r="M30" i="11"/>
  <c r="M39" i="11"/>
  <c r="M8" i="11"/>
  <c r="M48" i="11"/>
  <c r="M6" i="11"/>
  <c r="M5" i="11"/>
  <c r="M57" i="11"/>
  <c r="M25" i="11"/>
  <c r="M24" i="11"/>
  <c r="M10" i="11"/>
  <c r="M97" i="11"/>
  <c r="M60" i="11"/>
  <c r="M98" i="11"/>
  <c r="M63" i="11"/>
  <c r="M50" i="11"/>
  <c r="M7" i="11"/>
  <c r="M3" i="11"/>
  <c r="M45" i="11"/>
  <c r="M14" i="11"/>
  <c r="I31" i="11"/>
  <c r="M66" i="11"/>
  <c r="G141" i="11"/>
  <c r="AL197" i="10"/>
  <c r="C102" i="11"/>
  <c r="C96" i="11"/>
  <c r="C40" i="11"/>
  <c r="C34" i="11"/>
  <c r="C27" i="11"/>
  <c r="C39" i="11"/>
  <c r="C18" i="11"/>
  <c r="C20" i="11"/>
  <c r="C8" i="11"/>
  <c r="C3" i="11"/>
  <c r="C54" i="11"/>
  <c r="C44" i="11"/>
  <c r="C47" i="11"/>
  <c r="C6" i="11"/>
  <c r="C131" i="11"/>
  <c r="C22" i="11"/>
  <c r="C61" i="11"/>
  <c r="C28" i="11"/>
  <c r="C21" i="11"/>
  <c r="C9" i="11"/>
  <c r="C133" i="11"/>
  <c r="C51" i="11"/>
  <c r="O3" i="11"/>
  <c r="G15" i="11"/>
  <c r="I25" i="11"/>
  <c r="I67" i="11"/>
  <c r="E3" i="11"/>
  <c r="G13" i="11"/>
  <c r="E63" i="11"/>
  <c r="O38" i="11"/>
  <c r="O17" i="11"/>
  <c r="O7" i="11"/>
  <c r="O20" i="11"/>
  <c r="E60" i="11"/>
  <c r="E100" i="11"/>
  <c r="M27" i="11"/>
  <c r="O8" i="11"/>
  <c r="Q27" i="11"/>
  <c r="O50" i="11"/>
  <c r="E99" i="11"/>
  <c r="O132" i="11"/>
  <c r="G130" i="11"/>
  <c r="G118" i="11"/>
  <c r="G106" i="11"/>
  <c r="G101" i="11"/>
  <c r="G98" i="11"/>
  <c r="G95" i="11"/>
  <c r="G92" i="11"/>
  <c r="G89" i="11"/>
  <c r="G86" i="11"/>
  <c r="G83" i="11"/>
  <c r="G80" i="11"/>
  <c r="G77" i="11"/>
  <c r="G74" i="11"/>
  <c r="G71" i="11"/>
  <c r="G68" i="11"/>
  <c r="G65" i="11"/>
  <c r="G62" i="11"/>
  <c r="G59" i="11"/>
  <c r="G56" i="11"/>
  <c r="G53" i="11"/>
  <c r="G50" i="11"/>
  <c r="G47" i="11"/>
  <c r="G44" i="11"/>
  <c r="G41" i="11"/>
  <c r="G38" i="11"/>
  <c r="G35" i="11"/>
  <c r="G32" i="11"/>
  <c r="G29" i="11"/>
  <c r="G26" i="11"/>
  <c r="G23" i="11"/>
  <c r="G135" i="11"/>
  <c r="G123" i="11"/>
  <c r="G111" i="11"/>
  <c r="G140" i="11"/>
  <c r="G128" i="11"/>
  <c r="G116" i="11"/>
  <c r="G104" i="11"/>
  <c r="G133" i="11"/>
  <c r="G121" i="11"/>
  <c r="G109" i="11"/>
  <c r="G138" i="11"/>
  <c r="G126" i="11"/>
  <c r="G114" i="11"/>
  <c r="G102" i="11"/>
  <c r="G99" i="11"/>
  <c r="G96" i="11"/>
  <c r="G93" i="11"/>
  <c r="G90" i="11"/>
  <c r="G87" i="11"/>
  <c r="G84" i="11"/>
  <c r="G81" i="11"/>
  <c r="G78" i="11"/>
  <c r="G75" i="11"/>
  <c r="G72" i="11"/>
  <c r="G69" i="11"/>
  <c r="G66" i="11"/>
  <c r="G63" i="11"/>
  <c r="G60" i="11"/>
  <c r="G57" i="11"/>
  <c r="G54" i="11"/>
  <c r="G51" i="11"/>
  <c r="G48" i="11"/>
  <c r="G45" i="11"/>
  <c r="G42" i="11"/>
  <c r="G39" i="11"/>
  <c r="G36" i="11"/>
  <c r="G33" i="11"/>
  <c r="G30" i="11"/>
  <c r="G27" i="11"/>
  <c r="G24" i="11"/>
  <c r="G21" i="11"/>
  <c r="G134" i="11"/>
  <c r="G122" i="11"/>
  <c r="G110" i="11"/>
  <c r="G100" i="11"/>
  <c r="G97" i="11"/>
  <c r="G94" i="11"/>
  <c r="G91" i="11"/>
  <c r="G88" i="11"/>
  <c r="G139" i="11"/>
  <c r="G127" i="11"/>
  <c r="G115" i="11"/>
  <c r="G103" i="11"/>
  <c r="G132" i="11"/>
  <c r="G120" i="11"/>
  <c r="G108" i="11"/>
  <c r="G137" i="11"/>
  <c r="G125" i="11"/>
  <c r="G113" i="11"/>
  <c r="G105" i="11"/>
  <c r="G85" i="11"/>
  <c r="G67" i="11"/>
  <c r="G117" i="11"/>
  <c r="G112" i="11"/>
  <c r="G131" i="11"/>
  <c r="G129" i="11"/>
  <c r="G82" i="11"/>
  <c r="G61" i="11"/>
  <c r="G2" i="11"/>
  <c r="G79" i="11"/>
  <c r="G37" i="11"/>
  <c r="G31" i="11"/>
  <c r="G25" i="11"/>
  <c r="G9" i="11"/>
  <c r="G7" i="11"/>
  <c r="G136" i="11"/>
  <c r="G46" i="11"/>
  <c r="G40" i="11"/>
  <c r="G34" i="11"/>
  <c r="G5" i="11"/>
  <c r="G3" i="11"/>
  <c r="G76" i="11"/>
  <c r="G70" i="11"/>
  <c r="G43" i="11"/>
  <c r="G49" i="11"/>
  <c r="G22" i="11"/>
  <c r="G20" i="11"/>
  <c r="G107" i="11"/>
  <c r="G18" i="11"/>
  <c r="G124" i="11"/>
  <c r="G119" i="11"/>
  <c r="G55" i="11"/>
  <c r="G52" i="11"/>
  <c r="G73" i="11"/>
  <c r="G64" i="11"/>
  <c r="G58" i="11"/>
  <c r="G8" i="11"/>
  <c r="G6" i="11"/>
  <c r="Q3" i="11"/>
  <c r="E21" i="11"/>
  <c r="G28" i="11"/>
  <c r="Q98" i="11"/>
  <c r="M95" i="11"/>
  <c r="G16" i="11"/>
  <c r="E2" i="11"/>
  <c r="O10" i="11"/>
  <c r="E17" i="11"/>
  <c r="O53" i="11"/>
  <c r="Q131" i="11"/>
  <c r="Q119" i="11"/>
  <c r="Q107" i="11"/>
  <c r="Q136" i="11"/>
  <c r="Q124" i="11"/>
  <c r="Q112" i="11"/>
  <c r="Q141" i="11"/>
  <c r="Q129" i="11"/>
  <c r="Q117" i="11"/>
  <c r="Q105" i="11"/>
  <c r="Q134" i="11"/>
  <c r="Q122" i="11"/>
  <c r="Q110" i="11"/>
  <c r="Q100" i="11"/>
  <c r="Q97" i="11"/>
  <c r="Q139" i="11"/>
  <c r="Q127" i="11"/>
  <c r="Q115" i="11"/>
  <c r="Q103" i="11"/>
  <c r="Q135" i="11"/>
  <c r="Q123" i="11"/>
  <c r="Q111" i="11"/>
  <c r="Q140" i="11"/>
  <c r="Q128" i="11"/>
  <c r="Q116" i="11"/>
  <c r="Q104" i="11"/>
  <c r="Q133" i="11"/>
  <c r="Q121" i="11"/>
  <c r="Q109" i="11"/>
  <c r="Q138" i="11"/>
  <c r="Q126" i="11"/>
  <c r="Q114" i="11"/>
  <c r="Q102" i="11"/>
  <c r="Q99" i="11"/>
  <c r="Q96" i="11"/>
  <c r="Q93" i="11"/>
  <c r="Q90" i="11"/>
  <c r="Q87" i="11"/>
  <c r="Q84" i="11"/>
  <c r="Q81" i="11"/>
  <c r="Q78" i="11"/>
  <c r="Q75" i="11"/>
  <c r="Q72" i="11"/>
  <c r="Q69" i="11"/>
  <c r="Q66" i="11"/>
  <c r="Q101" i="11"/>
  <c r="Q89" i="11"/>
  <c r="Q88" i="11"/>
  <c r="Q62" i="11"/>
  <c r="Q53" i="11"/>
  <c r="Q44" i="11"/>
  <c r="Q35" i="11"/>
  <c r="Q26" i="11"/>
  <c r="Q19" i="11"/>
  <c r="Q16" i="11"/>
  <c r="Q13" i="11"/>
  <c r="Q10" i="11"/>
  <c r="Q7" i="11"/>
  <c r="Q4" i="11"/>
  <c r="Q80" i="11"/>
  <c r="Q137" i="11"/>
  <c r="Q132" i="11"/>
  <c r="Q79" i="11"/>
  <c r="Q73" i="11"/>
  <c r="Q60" i="11"/>
  <c r="Q51" i="11"/>
  <c r="Q42" i="11"/>
  <c r="Q33" i="11"/>
  <c r="Q83" i="11"/>
  <c r="Q68" i="11"/>
  <c r="Q56" i="11"/>
  <c r="Q47" i="11"/>
  <c r="Q38" i="11"/>
  <c r="Q29" i="11"/>
  <c r="Q20" i="11"/>
  <c r="Q17" i="11"/>
  <c r="Q14" i="11"/>
  <c r="Q11" i="11"/>
  <c r="Q8" i="11"/>
  <c r="Q5" i="11"/>
  <c r="Q2" i="11"/>
  <c r="Q118" i="11"/>
  <c r="Q113" i="11"/>
  <c r="Q108" i="11"/>
  <c r="Q85" i="11"/>
  <c r="Q67" i="11"/>
  <c r="Q59" i="11"/>
  <c r="Q50" i="11"/>
  <c r="Q41" i="11"/>
  <c r="Q32" i="11"/>
  <c r="Q106" i="11"/>
  <c r="Q130" i="11"/>
  <c r="Q63" i="11"/>
  <c r="Q57" i="11"/>
  <c r="Q28" i="11"/>
  <c r="Q25" i="11"/>
  <c r="Q9" i="11"/>
  <c r="Q95" i="11"/>
  <c r="Q94" i="11"/>
  <c r="Q92" i="11"/>
  <c r="Q91" i="11"/>
  <c r="Q70" i="11"/>
  <c r="Q49" i="11"/>
  <c r="Q22" i="11"/>
  <c r="Q18" i="11"/>
  <c r="Q77" i="11"/>
  <c r="Q76" i="11"/>
  <c r="Q36" i="11"/>
  <c r="Q30" i="11"/>
  <c r="Q24" i="11"/>
  <c r="Q12" i="11"/>
  <c r="Q65" i="11"/>
  <c r="Q45" i="11"/>
  <c r="Q39" i="11"/>
  <c r="Q52" i="11"/>
  <c r="Q125" i="11"/>
  <c r="Q120" i="11"/>
  <c r="Q86" i="11"/>
  <c r="Q58" i="11"/>
  <c r="Q55" i="11"/>
  <c r="Q48" i="11"/>
  <c r="Q82" i="11"/>
  <c r="Q74" i="11"/>
  <c r="Q64" i="11"/>
  <c r="Q61" i="11"/>
  <c r="Q23" i="11"/>
  <c r="Q21" i="11"/>
  <c r="Q15" i="11"/>
  <c r="Q54" i="11"/>
  <c r="E30" i="11"/>
  <c r="E31" i="11"/>
  <c r="E107" i="11"/>
  <c r="E73" i="11"/>
  <c r="E51" i="11"/>
  <c r="E38" i="11"/>
  <c r="E35" i="11"/>
  <c r="E8" i="11"/>
  <c r="E6" i="11"/>
  <c r="E93" i="11"/>
  <c r="E79" i="11"/>
  <c r="E71" i="11"/>
  <c r="E66" i="11"/>
  <c r="E50" i="11"/>
  <c r="E11" i="11"/>
  <c r="E114" i="11"/>
  <c r="E53" i="11"/>
  <c r="E9" i="11"/>
  <c r="E7" i="11"/>
  <c r="E91" i="11"/>
  <c r="E90" i="11"/>
  <c r="E87" i="11"/>
  <c r="E56" i="11"/>
  <c r="E27" i="11"/>
  <c r="E70" i="11"/>
  <c r="E62" i="11"/>
  <c r="E59" i="11"/>
  <c r="E36" i="11"/>
  <c r="E33" i="11"/>
  <c r="E24" i="11"/>
  <c r="E22" i="11"/>
  <c r="E20" i="11"/>
  <c r="E16" i="11"/>
  <c r="E65" i="11"/>
  <c r="E45" i="11"/>
  <c r="E42" i="11"/>
  <c r="E124" i="11"/>
  <c r="E119" i="11"/>
  <c r="E29" i="11"/>
  <c r="E26" i="11"/>
  <c r="E4" i="11"/>
  <c r="O5" i="11"/>
  <c r="E12" i="11"/>
  <c r="G17" i="11"/>
  <c r="E18" i="11"/>
  <c r="Q40" i="11"/>
  <c r="E41" i="11"/>
  <c r="E44" i="11"/>
  <c r="E54" i="11"/>
  <c r="O12" i="11"/>
  <c r="E13" i="11"/>
  <c r="G19" i="11"/>
  <c r="Q31" i="11"/>
  <c r="E102" i="11"/>
  <c r="O138" i="11"/>
  <c r="O126" i="11"/>
  <c r="O114" i="11"/>
  <c r="O102" i="11"/>
  <c r="O99" i="11"/>
  <c r="O96" i="11"/>
  <c r="O93" i="11"/>
  <c r="O90" i="11"/>
  <c r="O87" i="11"/>
  <c r="O84" i="11"/>
  <c r="O81" i="11"/>
  <c r="O78" i="11"/>
  <c r="O75" i="11"/>
  <c r="O72" i="11"/>
  <c r="O69" i="11"/>
  <c r="O66" i="11"/>
  <c r="O63" i="11"/>
  <c r="O60" i="11"/>
  <c r="O57" i="11"/>
  <c r="O54" i="11"/>
  <c r="O51" i="11"/>
  <c r="O48" i="11"/>
  <c r="O45" i="11"/>
  <c r="O42" i="11"/>
  <c r="O39" i="11"/>
  <c r="O36" i="11"/>
  <c r="O33" i="11"/>
  <c r="O30" i="11"/>
  <c r="O27" i="11"/>
  <c r="O24" i="11"/>
  <c r="O21" i="11"/>
  <c r="O131" i="11"/>
  <c r="O119" i="11"/>
  <c r="O107" i="11"/>
  <c r="O136" i="11"/>
  <c r="O124" i="11"/>
  <c r="O112" i="11"/>
  <c r="O141" i="11"/>
  <c r="O129" i="11"/>
  <c r="O117" i="11"/>
  <c r="O105" i="11"/>
  <c r="O134" i="11"/>
  <c r="O122" i="11"/>
  <c r="O110" i="11"/>
  <c r="O100" i="11"/>
  <c r="O97" i="11"/>
  <c r="O94" i="11"/>
  <c r="O91" i="11"/>
  <c r="O88" i="11"/>
  <c r="O85" i="11"/>
  <c r="O82" i="11"/>
  <c r="O79" i="11"/>
  <c r="O76" i="11"/>
  <c r="O73" i="11"/>
  <c r="O70" i="11"/>
  <c r="O67" i="11"/>
  <c r="O64" i="11"/>
  <c r="O61" i="11"/>
  <c r="O58" i="11"/>
  <c r="O55" i="11"/>
  <c r="O52" i="11"/>
  <c r="O49" i="11"/>
  <c r="O46" i="11"/>
  <c r="O43" i="11"/>
  <c r="O40" i="11"/>
  <c r="O37" i="11"/>
  <c r="O34" i="11"/>
  <c r="O31" i="11"/>
  <c r="O28" i="11"/>
  <c r="O25" i="11"/>
  <c r="O22" i="11"/>
  <c r="O130" i="11"/>
  <c r="O118" i="11"/>
  <c r="O106" i="11"/>
  <c r="O101" i="11"/>
  <c r="O98" i="11"/>
  <c r="O95" i="11"/>
  <c r="O92" i="11"/>
  <c r="O89" i="11"/>
  <c r="O135" i="11"/>
  <c r="O123" i="11"/>
  <c r="O111" i="11"/>
  <c r="O140" i="11"/>
  <c r="O128" i="11"/>
  <c r="O116" i="11"/>
  <c r="O104" i="11"/>
  <c r="O133" i="11"/>
  <c r="O121" i="11"/>
  <c r="O109" i="11"/>
  <c r="O139" i="11"/>
  <c r="O80" i="11"/>
  <c r="O71" i="11"/>
  <c r="O86" i="11"/>
  <c r="O65" i="11"/>
  <c r="O113" i="11"/>
  <c r="C10" i="11"/>
  <c r="O11" i="11"/>
  <c r="C12" i="11"/>
  <c r="O13" i="11"/>
  <c r="C14" i="11"/>
  <c r="O15" i="11"/>
  <c r="M17" i="11"/>
  <c r="M19" i="11"/>
  <c r="M21" i="11"/>
  <c r="O23" i="11"/>
  <c r="C26" i="11"/>
  <c r="C29" i="11"/>
  <c r="M32" i="11"/>
  <c r="O41" i="11"/>
  <c r="O44" i="11"/>
  <c r="M47" i="11"/>
  <c r="C48" i="11"/>
  <c r="C52" i="11"/>
  <c r="C55" i="11"/>
  <c r="M68" i="11"/>
  <c r="O19" i="11"/>
  <c r="O32" i="11"/>
  <c r="O35" i="11"/>
  <c r="M38" i="11"/>
  <c r="C42" i="11"/>
  <c r="C45" i="11"/>
  <c r="O47" i="11"/>
  <c r="M51" i="11"/>
  <c r="O68" i="11"/>
  <c r="C69" i="11"/>
  <c r="O74" i="11"/>
  <c r="M82" i="11"/>
  <c r="M83" i="11"/>
  <c r="C109" i="11"/>
  <c r="M120" i="11"/>
  <c r="M73" i="11"/>
  <c r="C75" i="11"/>
  <c r="O83" i="11"/>
  <c r="C84" i="11"/>
  <c r="M86" i="11"/>
  <c r="O108" i="11"/>
  <c r="O120" i="11"/>
  <c r="C121" i="11"/>
  <c r="O125" i="11"/>
  <c r="C126" i="11"/>
  <c r="O127" i="11"/>
  <c r="M26" i="11"/>
  <c r="M29" i="11"/>
  <c r="C30" i="11"/>
  <c r="C49" i="11"/>
  <c r="C62" i="11"/>
  <c r="C70" i="11"/>
  <c r="M85" i="11"/>
  <c r="M122" i="11"/>
  <c r="O26" i="11"/>
  <c r="M42" i="11"/>
  <c r="C43" i="11"/>
  <c r="C56" i="11"/>
  <c r="M65" i="11"/>
  <c r="M75" i="11"/>
  <c r="C76" i="11"/>
  <c r="C87" i="11"/>
  <c r="C90" i="11"/>
  <c r="C46" i="11"/>
  <c r="M59" i="11"/>
  <c r="O77" i="11"/>
  <c r="M115" i="11"/>
  <c r="O137" i="11"/>
  <c r="C132" i="11"/>
  <c r="C120" i="11"/>
  <c r="C108" i="11"/>
  <c r="C137" i="11"/>
  <c r="C125" i="11"/>
  <c r="C113" i="11"/>
  <c r="C130" i="11"/>
  <c r="C118" i="11"/>
  <c r="C106" i="11"/>
  <c r="C101" i="11"/>
  <c r="C98" i="11"/>
  <c r="C95" i="11"/>
  <c r="C92" i="11"/>
  <c r="C89" i="11"/>
  <c r="C86" i="11"/>
  <c r="C83" i="11"/>
  <c r="C80" i="11"/>
  <c r="C77" i="11"/>
  <c r="C74" i="11"/>
  <c r="C71" i="11"/>
  <c r="C68" i="11"/>
  <c r="C65" i="11"/>
  <c r="C135" i="11"/>
  <c r="C123" i="11"/>
  <c r="C111" i="11"/>
  <c r="C140" i="11"/>
  <c r="C128" i="11"/>
  <c r="C116" i="11"/>
  <c r="C104" i="11"/>
  <c r="C136" i="11"/>
  <c r="C124" i="11"/>
  <c r="C112" i="11"/>
  <c r="C141" i="11"/>
  <c r="C129" i="11"/>
  <c r="C117" i="11"/>
  <c r="C105" i="11"/>
  <c r="C134" i="11"/>
  <c r="C122" i="11"/>
  <c r="C110" i="11"/>
  <c r="C100" i="11"/>
  <c r="C97" i="11"/>
  <c r="C94" i="11"/>
  <c r="C91" i="11"/>
  <c r="C88" i="11"/>
  <c r="C85" i="11"/>
  <c r="C82" i="11"/>
  <c r="C79" i="11"/>
  <c r="C139" i="11"/>
  <c r="C127" i="11"/>
  <c r="C115" i="11"/>
  <c r="C103" i="11"/>
  <c r="C81" i="11"/>
  <c r="C72" i="11"/>
  <c r="C138" i="11"/>
  <c r="C67" i="11"/>
  <c r="C59" i="11"/>
  <c r="C50" i="11"/>
  <c r="C41" i="11"/>
  <c r="C32" i="11"/>
  <c r="C99" i="11"/>
  <c r="C93" i="11"/>
  <c r="C119" i="11"/>
  <c r="C114" i="11"/>
  <c r="C73" i="11"/>
  <c r="C107" i="11"/>
  <c r="C11" i="11"/>
  <c r="O14" i="11"/>
  <c r="M16" i="11"/>
  <c r="O18" i="11"/>
  <c r="C25" i="11"/>
  <c r="C31" i="11"/>
  <c r="C37" i="11"/>
  <c r="O59" i="11"/>
  <c r="O62" i="11"/>
  <c r="C66" i="11"/>
  <c r="C78" i="11"/>
  <c r="O115" i="11"/>
  <c r="E138" i="11"/>
  <c r="C13" i="11"/>
  <c r="C15" i="11"/>
  <c r="O16" i="11"/>
  <c r="C17" i="11"/>
  <c r="M20" i="11"/>
  <c r="M56" i="11"/>
  <c r="C60" i="11"/>
  <c r="C63" i="11"/>
  <c r="M70" i="11"/>
  <c r="M91" i="11"/>
  <c r="M92" i="11"/>
  <c r="M94" i="11"/>
  <c r="M133" i="11"/>
  <c r="M121" i="11"/>
  <c r="M109" i="11"/>
  <c r="M138" i="11"/>
  <c r="M126" i="11"/>
  <c r="M114" i="11"/>
  <c r="M102" i="11"/>
  <c r="M99" i="11"/>
  <c r="M96" i="11"/>
  <c r="M93" i="11"/>
  <c r="M90" i="11"/>
  <c r="M87" i="11"/>
  <c r="M84" i="11"/>
  <c r="M81" i="11"/>
  <c r="M78" i="11"/>
  <c r="M131" i="11"/>
  <c r="M119" i="11"/>
  <c r="M107" i="11"/>
  <c r="M136" i="11"/>
  <c r="M124" i="11"/>
  <c r="M112" i="11"/>
  <c r="M141" i="11"/>
  <c r="M129" i="11"/>
  <c r="M117" i="11"/>
  <c r="M105" i="11"/>
  <c r="M137" i="11"/>
  <c r="M125" i="11"/>
  <c r="M113" i="11"/>
  <c r="M130" i="11"/>
  <c r="M118" i="11"/>
  <c r="M106" i="11"/>
  <c r="M135" i="11"/>
  <c r="M123" i="11"/>
  <c r="M111" i="11"/>
  <c r="M140" i="11"/>
  <c r="M128" i="11"/>
  <c r="M116" i="11"/>
  <c r="M104" i="11"/>
  <c r="M100" i="11"/>
  <c r="M77" i="11"/>
  <c r="M76" i="11"/>
  <c r="M74" i="11"/>
  <c r="M69" i="11"/>
  <c r="M64" i="11"/>
  <c r="M55" i="11"/>
  <c r="M46" i="11"/>
  <c r="M37" i="11"/>
  <c r="M28" i="11"/>
  <c r="M139" i="11"/>
  <c r="M101" i="11"/>
  <c r="M89" i="11"/>
  <c r="M88" i="11"/>
  <c r="M134" i="11"/>
  <c r="M62" i="11"/>
  <c r="M53" i="11"/>
  <c r="M44" i="11"/>
  <c r="M35" i="11"/>
  <c r="M132" i="11"/>
  <c r="M127" i="11"/>
  <c r="M58" i="11"/>
  <c r="M49" i="11"/>
  <c r="M40" i="11"/>
  <c r="M31" i="11"/>
  <c r="M22" i="11"/>
  <c r="M110" i="11"/>
  <c r="M61" i="11"/>
  <c r="M52" i="11"/>
  <c r="M43" i="11"/>
  <c r="M34" i="11"/>
  <c r="M108" i="11"/>
  <c r="C4" i="11"/>
  <c r="M11" i="11"/>
  <c r="M13" i="11"/>
  <c r="M15" i="11"/>
  <c r="M23" i="11"/>
  <c r="M41" i="11"/>
  <c r="M54" i="11"/>
  <c r="C58" i="11"/>
  <c r="C64" i="11"/>
  <c r="M67" i="11"/>
  <c r="M72" i="11"/>
  <c r="E112" i="11"/>
  <c r="E40" i="11"/>
  <c r="E49" i="11"/>
  <c r="E58" i="11"/>
  <c r="E68" i="11"/>
  <c r="E75" i="11"/>
  <c r="E78" i="11"/>
  <c r="E96" i="11"/>
  <c r="E97" i="11"/>
  <c r="E28" i="11"/>
  <c r="E37" i="11"/>
  <c r="E46" i="11"/>
  <c r="E55" i="11"/>
  <c r="E64" i="11"/>
  <c r="E76" i="11"/>
  <c r="E88" i="11"/>
  <c r="E126" i="11"/>
  <c r="E131" i="11"/>
  <c r="E136" i="11"/>
  <c r="E39" i="11"/>
  <c r="E48" i="11"/>
  <c r="E57" i="11"/>
  <c r="E69" i="11"/>
  <c r="E74" i="11"/>
  <c r="E84" i="11"/>
  <c r="E94" i="11"/>
  <c r="E85" i="11"/>
  <c r="E137" i="11"/>
  <c r="E125" i="11"/>
  <c r="E113" i="11"/>
  <c r="E130" i="11"/>
  <c r="E118" i="11"/>
  <c r="E106" i="11"/>
  <c r="E101" i="11"/>
  <c r="E98" i="11"/>
  <c r="E95" i="11"/>
  <c r="E92" i="11"/>
  <c r="E89" i="11"/>
  <c r="E86" i="11"/>
  <c r="E83" i="11"/>
  <c r="E80" i="11"/>
  <c r="E77" i="11"/>
  <c r="E135" i="11"/>
  <c r="E123" i="11"/>
  <c r="E111" i="11"/>
  <c r="E140" i="11"/>
  <c r="E128" i="11"/>
  <c r="E116" i="11"/>
  <c r="E104" i="11"/>
  <c r="E133" i="11"/>
  <c r="E121" i="11"/>
  <c r="E109" i="11"/>
  <c r="E141" i="11"/>
  <c r="E129" i="11"/>
  <c r="E117" i="11"/>
  <c r="E105" i="11"/>
  <c r="E134" i="11"/>
  <c r="E122" i="11"/>
  <c r="E110" i="11"/>
  <c r="E139" i="11"/>
  <c r="E127" i="11"/>
  <c r="E115" i="11"/>
  <c r="E103" i="11"/>
  <c r="E132" i="11"/>
  <c r="E120" i="11"/>
  <c r="E108" i="11"/>
  <c r="E25" i="11"/>
  <c r="E34" i="11"/>
  <c r="E43" i="11"/>
  <c r="E52" i="11"/>
  <c r="E61" i="11"/>
  <c r="U5" i="8" l="1"/>
  <c r="AE4" i="11"/>
  <c r="AE5" i="11" s="1"/>
  <c r="U4" i="8"/>
  <c r="BZ32" i="10"/>
  <c r="U13" i="8"/>
  <c r="U15" i="8"/>
  <c r="BJ9" i="10"/>
  <c r="BJ13" i="10"/>
  <c r="H56" i="2"/>
  <c r="BW61" i="10"/>
  <c r="U37" i="8"/>
  <c r="K51" i="2"/>
  <c r="BZ8" i="10"/>
  <c r="D119" i="4"/>
  <c r="K56" i="2"/>
  <c r="BW32" i="10"/>
  <c r="BJ10" i="10"/>
  <c r="BZ22" i="10"/>
  <c r="BJ20" i="10"/>
  <c r="BZ55" i="10"/>
  <c r="BW47" i="10"/>
  <c r="BZ18" i="10"/>
  <c r="AA8" i="10"/>
  <c r="BZ91" i="10"/>
  <c r="BZ61" i="10"/>
  <c r="BW81" i="10"/>
  <c r="BW49" i="10"/>
  <c r="D129" i="4"/>
  <c r="D127" i="4"/>
  <c r="D125" i="4"/>
  <c r="D123" i="4"/>
  <c r="D121" i="4"/>
  <c r="F130" i="4"/>
  <c r="F128" i="4"/>
  <c r="A129" i="4"/>
  <c r="E126" i="4"/>
  <c r="D124" i="4"/>
  <c r="C122" i="4"/>
  <c r="E128" i="4"/>
  <c r="C124" i="4"/>
  <c r="B122" i="4"/>
  <c r="D126" i="4"/>
  <c r="D128" i="4"/>
  <c r="C126" i="4"/>
  <c r="B124" i="4"/>
  <c r="A122" i="4"/>
  <c r="E130" i="4"/>
  <c r="C128" i="4"/>
  <c r="B126" i="4"/>
  <c r="A124" i="4"/>
  <c r="F121" i="4"/>
  <c r="D130" i="4"/>
  <c r="B128" i="4"/>
  <c r="A126" i="4"/>
  <c r="F123" i="4"/>
  <c r="E121" i="4"/>
  <c r="B130" i="4"/>
  <c r="F127" i="4"/>
  <c r="E125" i="4"/>
  <c r="C123" i="4"/>
  <c r="B121" i="4"/>
  <c r="E127" i="4"/>
  <c r="C125" i="4"/>
  <c r="C130" i="4"/>
  <c r="A128" i="4"/>
  <c r="F125" i="4"/>
  <c r="E123" i="4"/>
  <c r="C121" i="4"/>
  <c r="F129" i="4"/>
  <c r="C127" i="4"/>
  <c r="B125" i="4"/>
  <c r="A123" i="4"/>
  <c r="F120" i="4"/>
  <c r="E129" i="4"/>
  <c r="B127" i="4"/>
  <c r="A125" i="4"/>
  <c r="F122" i="4"/>
  <c r="E120" i="4"/>
  <c r="C129" i="4"/>
  <c r="A127" i="4"/>
  <c r="F124" i="4"/>
  <c r="E122" i="4"/>
  <c r="B120" i="4"/>
  <c r="A130" i="4"/>
  <c r="B129" i="4"/>
  <c r="F126" i="4"/>
  <c r="E124" i="4"/>
  <c r="D122" i="4"/>
  <c r="A120" i="4"/>
  <c r="B123" i="4"/>
  <c r="A121" i="4"/>
  <c r="BZ47" i="10"/>
  <c r="BW50" i="10"/>
  <c r="C120" i="4"/>
  <c r="D120" i="4"/>
  <c r="BZ20" i="10"/>
  <c r="BW45" i="10"/>
  <c r="BZ29" i="10"/>
  <c r="BW16" i="10"/>
  <c r="BZ49" i="10"/>
  <c r="BW87" i="10"/>
  <c r="BW30" i="10"/>
  <c r="BW46" i="10"/>
  <c r="BZ44" i="10"/>
  <c r="AA105" i="10"/>
  <c r="AE6" i="11"/>
  <c r="U6" i="11" s="1"/>
  <c r="BZ98" i="10"/>
  <c r="BW82" i="10"/>
  <c r="BZ67" i="10"/>
  <c r="BZ31" i="10"/>
  <c r="BW55" i="10"/>
  <c r="BJ8" i="10"/>
  <c r="BZ52" i="10"/>
  <c r="BZ50" i="10"/>
  <c r="BZ11" i="10"/>
  <c r="BZ14" i="10"/>
  <c r="BJ15" i="10"/>
  <c r="BJ6" i="10"/>
  <c r="BJ5" i="10"/>
  <c r="U5" i="11"/>
  <c r="BW80" i="10"/>
  <c r="BZ70" i="10"/>
  <c r="BZ60" i="10"/>
  <c r="BZ56" i="10"/>
  <c r="BW38" i="10"/>
  <c r="BW70" i="10"/>
  <c r="BW48" i="10"/>
  <c r="BZ9" i="10"/>
  <c r="BJ12" i="10"/>
  <c r="BZ108" i="10"/>
  <c r="BW106" i="10"/>
  <c r="BZ92" i="10"/>
  <c r="BW107" i="10"/>
  <c r="BZ87" i="10"/>
  <c r="BW65" i="10"/>
  <c r="BW60" i="10"/>
  <c r="BZ45" i="10"/>
  <c r="BZ10" i="10"/>
  <c r="BW12" i="10"/>
  <c r="BW14" i="10"/>
  <c r="BJ17" i="10"/>
  <c r="BW100" i="10"/>
  <c r="BW40" i="10"/>
  <c r="BZ48" i="10"/>
  <c r="BZ54" i="10"/>
  <c r="BW56" i="10"/>
  <c r="BW28" i="10"/>
  <c r="BJ4" i="10"/>
  <c r="AA14" i="10"/>
  <c r="BZ104" i="10"/>
  <c r="BW97" i="10"/>
  <c r="BZ37" i="10"/>
  <c r="BZ90" i="10"/>
  <c r="BW29" i="10"/>
  <c r="BW39" i="10"/>
  <c r="BW9" i="10"/>
  <c r="BW31" i="10"/>
  <c r="BJ16" i="10"/>
  <c r="BJ14" i="10"/>
  <c r="BJ19" i="10"/>
  <c r="U38" i="8"/>
  <c r="BW88" i="10"/>
  <c r="BW96" i="10"/>
  <c r="BZ96" i="10"/>
  <c r="BZ65" i="10"/>
  <c r="BW18" i="10"/>
  <c r="BZ30" i="10"/>
  <c r="BZ51" i="10"/>
  <c r="BW27" i="10"/>
  <c r="BW54" i="10"/>
  <c r="BJ11" i="10"/>
  <c r="AA70" i="10"/>
  <c r="U21" i="8"/>
  <c r="U4" i="11"/>
  <c r="BW94" i="10"/>
  <c r="BZ82" i="10"/>
  <c r="BW90" i="10"/>
  <c r="BW53" i="10"/>
  <c r="BW44" i="10"/>
  <c r="BZ16" i="10"/>
  <c r="BZ26" i="10"/>
  <c r="BZ106" i="10"/>
  <c r="BZ105" i="10"/>
  <c r="BZ100" i="10"/>
  <c r="BZ99" i="10"/>
  <c r="BZ94" i="10"/>
  <c r="BW108" i="10"/>
  <c r="BW104" i="10"/>
  <c r="BZ95" i="10"/>
  <c r="BW103" i="10"/>
  <c r="BW102" i="10"/>
  <c r="BW101" i="10"/>
  <c r="BW92" i="10"/>
  <c r="BZ88" i="10"/>
  <c r="BZ78" i="10"/>
  <c r="BZ93" i="10"/>
  <c r="BZ89" i="10"/>
  <c r="BW83" i="10"/>
  <c r="BW93" i="10"/>
  <c r="BW89" i="10"/>
  <c r="BW105" i="10"/>
  <c r="BZ103" i="10"/>
  <c r="BZ102" i="10"/>
  <c r="BZ101" i="10"/>
  <c r="BW99" i="10"/>
  <c r="BZ85" i="10"/>
  <c r="BZ77" i="10"/>
  <c r="BZ74" i="10"/>
  <c r="BW69" i="10"/>
  <c r="BW98" i="10"/>
  <c r="BW78" i="10"/>
  <c r="BW64" i="10"/>
  <c r="BW59" i="10"/>
  <c r="BW58" i="10"/>
  <c r="BW57" i="10"/>
  <c r="BZ107" i="10"/>
  <c r="BZ81" i="10"/>
  <c r="BW72" i="10"/>
  <c r="BW86" i="10"/>
  <c r="BW85" i="10"/>
  <c r="BZ80" i="10"/>
  <c r="BW76" i="10"/>
  <c r="BZ83" i="10"/>
  <c r="BW75" i="10"/>
  <c r="BW73" i="10"/>
  <c r="BZ63" i="10"/>
  <c r="BZ69" i="10"/>
  <c r="BW95" i="10"/>
  <c r="BZ64" i="10"/>
  <c r="BZ97" i="10"/>
  <c r="BZ72" i="10"/>
  <c r="BW63" i="10"/>
  <c r="BW91" i="10"/>
  <c r="BZ76" i="10"/>
  <c r="BW62" i="10"/>
  <c r="BZ59" i="10"/>
  <c r="BZ79" i="10"/>
  <c r="BW74" i="10"/>
  <c r="BZ68" i="10"/>
  <c r="BW67" i="10"/>
  <c r="BZ75" i="10"/>
  <c r="BW84" i="10"/>
  <c r="BZ71" i="10"/>
  <c r="BZ62" i="10"/>
  <c r="BZ58" i="10"/>
  <c r="BW41" i="10"/>
  <c r="BZ40" i="10"/>
  <c r="BZ39" i="10"/>
  <c r="BW35" i="10"/>
  <c r="BZ19" i="10"/>
  <c r="BZ4" i="10"/>
  <c r="DB41" i="6"/>
  <c r="CP41" i="6"/>
  <c r="CD41" i="6"/>
  <c r="BR41" i="6"/>
  <c r="BF41" i="6"/>
  <c r="AT41" i="6"/>
  <c r="AH41" i="6"/>
  <c r="V41" i="6"/>
  <c r="J41" i="6"/>
  <c r="DA40" i="6"/>
  <c r="CO40" i="6"/>
  <c r="CC40" i="6"/>
  <c r="BQ40" i="6"/>
  <c r="BE40" i="6"/>
  <c r="AS40" i="6"/>
  <c r="AG40" i="6"/>
  <c r="BW52" i="10"/>
  <c r="BZ27" i="10"/>
  <c r="BW22" i="10"/>
  <c r="BZ7" i="10"/>
  <c r="BZ6" i="10"/>
  <c r="BZ5" i="10"/>
  <c r="BZ38" i="10"/>
  <c r="BZ34" i="10"/>
  <c r="BZ17" i="10"/>
  <c r="BW15" i="10"/>
  <c r="BW8" i="10"/>
  <c r="BZ57" i="10"/>
  <c r="BZ25" i="10"/>
  <c r="BZ23" i="10"/>
  <c r="BW19" i="10"/>
  <c r="BW4" i="10"/>
  <c r="BW51" i="10"/>
  <c r="BZ46" i="10"/>
  <c r="BW34" i="10"/>
  <c r="BW17" i="10"/>
  <c r="BZ12" i="10"/>
  <c r="BW11" i="10"/>
  <c r="BW10" i="10"/>
  <c r="BW7" i="10"/>
  <c r="BW6" i="10"/>
  <c r="BW5" i="10"/>
  <c r="BZ33" i="10"/>
  <c r="BW23" i="10"/>
  <c r="CW41" i="6"/>
  <c r="CK41" i="6"/>
  <c r="BY41" i="6"/>
  <c r="BM41" i="6"/>
  <c r="BA41" i="6"/>
  <c r="AO41" i="6"/>
  <c r="AC41" i="6"/>
  <c r="Q41" i="6"/>
  <c r="CV40" i="6"/>
  <c r="CJ40" i="6"/>
  <c r="BX40" i="6"/>
  <c r="BL40" i="6"/>
  <c r="AZ40" i="6"/>
  <c r="AN40" i="6"/>
  <c r="AB40" i="6"/>
  <c r="P40" i="6"/>
  <c r="CU39" i="6"/>
  <c r="CI39" i="6"/>
  <c r="BW39" i="6"/>
  <c r="BK39" i="6"/>
  <c r="AY39" i="6"/>
  <c r="AM39" i="6"/>
  <c r="AA39" i="6"/>
  <c r="O39" i="6"/>
  <c r="CT38" i="6"/>
  <c r="CH38" i="6"/>
  <c r="BV38" i="6"/>
  <c r="BJ38" i="6"/>
  <c r="AX38" i="6"/>
  <c r="AL38" i="6"/>
  <c r="Z38" i="6"/>
  <c r="N38" i="6"/>
  <c r="DE37" i="6"/>
  <c r="CS37" i="6"/>
  <c r="CG37" i="6"/>
  <c r="BU37" i="6"/>
  <c r="BI37" i="6"/>
  <c r="AW37" i="6"/>
  <c r="AK37" i="6"/>
  <c r="Y37" i="6"/>
  <c r="M37" i="6"/>
  <c r="DD36" i="6"/>
  <c r="CR36" i="6"/>
  <c r="CF36" i="6"/>
  <c r="BT36" i="6"/>
  <c r="BH36" i="6"/>
  <c r="AV36" i="6"/>
  <c r="AJ36" i="6"/>
  <c r="X36" i="6"/>
  <c r="L36" i="6"/>
  <c r="DC35" i="6"/>
  <c r="CQ35" i="6"/>
  <c r="CE35" i="6"/>
  <c r="BS35" i="6"/>
  <c r="BG35" i="6"/>
  <c r="AU35" i="6"/>
  <c r="AI35" i="6"/>
  <c r="W35" i="6"/>
  <c r="K35" i="6"/>
  <c r="AI33" i="10" s="1"/>
  <c r="DB34" i="6"/>
  <c r="CP34" i="6"/>
  <c r="CD34" i="6"/>
  <c r="BR34" i="6"/>
  <c r="BF34" i="6"/>
  <c r="AT34" i="6"/>
  <c r="AH34" i="6"/>
  <c r="V34" i="6"/>
  <c r="J34" i="6"/>
  <c r="BZ73" i="10"/>
  <c r="BZ28" i="10"/>
  <c r="BW25" i="10"/>
  <c r="BZ21" i="10"/>
  <c r="BW20" i="10"/>
  <c r="BZ13" i="10"/>
  <c r="BZ43" i="10"/>
  <c r="BW37" i="10"/>
  <c r="BZ36" i="10"/>
  <c r="BW33" i="10"/>
  <c r="CU41" i="6"/>
  <c r="CI41" i="6"/>
  <c r="BW41" i="6"/>
  <c r="BK41" i="6"/>
  <c r="AY41" i="6"/>
  <c r="AM41" i="6"/>
  <c r="AA41" i="6"/>
  <c r="O41" i="6"/>
  <c r="CT40" i="6"/>
  <c r="CH40" i="6"/>
  <c r="BV40" i="6"/>
  <c r="BJ40" i="6"/>
  <c r="AX40" i="6"/>
  <c r="AL40" i="6"/>
  <c r="Z40" i="6"/>
  <c r="N40" i="6"/>
  <c r="DE39" i="6"/>
  <c r="CS39" i="6"/>
  <c r="CG39" i="6"/>
  <c r="BU39" i="6"/>
  <c r="BI39" i="6"/>
  <c r="AW39" i="6"/>
  <c r="AK39" i="6"/>
  <c r="Y39" i="6"/>
  <c r="M39" i="6"/>
  <c r="DD38" i="6"/>
  <c r="CR38" i="6"/>
  <c r="CF38" i="6"/>
  <c r="BT38" i="6"/>
  <c r="BH38" i="6"/>
  <c r="AV38" i="6"/>
  <c r="AJ38" i="6"/>
  <c r="X38" i="6"/>
  <c r="L38" i="6"/>
  <c r="DC37" i="6"/>
  <c r="CQ37" i="6"/>
  <c r="CE37" i="6"/>
  <c r="BS37" i="6"/>
  <c r="BG37" i="6"/>
  <c r="AU37" i="6"/>
  <c r="AI37" i="6"/>
  <c r="W37" i="6"/>
  <c r="K37" i="6"/>
  <c r="AI35" i="10" s="1"/>
  <c r="DB36" i="6"/>
  <c r="CP36" i="6"/>
  <c r="CD36" i="6"/>
  <c r="BR36" i="6"/>
  <c r="BF36" i="6"/>
  <c r="AT36" i="6"/>
  <c r="AH36" i="6"/>
  <c r="V36" i="6"/>
  <c r="J36" i="6"/>
  <c r="DA35" i="6"/>
  <c r="CO35" i="6"/>
  <c r="CC35" i="6"/>
  <c r="BQ35" i="6"/>
  <c r="BE35" i="6"/>
  <c r="AS35" i="6"/>
  <c r="AG35" i="6"/>
  <c r="U35" i="6"/>
  <c r="I35" i="6"/>
  <c r="CZ34" i="6"/>
  <c r="CN34" i="6"/>
  <c r="CB34" i="6"/>
  <c r="BP34" i="6"/>
  <c r="BD34" i="6"/>
  <c r="AR34" i="6"/>
  <c r="AF34" i="6"/>
  <c r="T34" i="6"/>
  <c r="H34" i="6"/>
  <c r="CY33" i="6"/>
  <c r="CM33" i="6"/>
  <c r="CA33" i="6"/>
  <c r="BO33" i="6"/>
  <c r="BZ42" i="10"/>
  <c r="BZ24" i="10"/>
  <c r="BW21" i="10"/>
  <c r="BW13" i="10"/>
  <c r="BZ41" i="10"/>
  <c r="DD41" i="6"/>
  <c r="BZ35" i="10"/>
  <c r="BZ15" i="10"/>
  <c r="CO41" i="6"/>
  <c r="BZ41" i="6"/>
  <c r="BI41" i="6"/>
  <c r="AS41" i="6"/>
  <c r="AD41" i="6"/>
  <c r="M41" i="6"/>
  <c r="CZ40" i="6"/>
  <c r="CK40" i="6"/>
  <c r="BT40" i="6"/>
  <c r="BD40" i="6"/>
  <c r="AO40" i="6"/>
  <c r="X40" i="6"/>
  <c r="J40" i="6"/>
  <c r="CY39" i="6"/>
  <c r="CK39" i="6"/>
  <c r="BV39" i="6"/>
  <c r="BG39" i="6"/>
  <c r="AS39" i="6"/>
  <c r="AE39" i="6"/>
  <c r="Q39" i="6"/>
  <c r="DE38" i="6"/>
  <c r="CP38" i="6"/>
  <c r="CB38" i="6"/>
  <c r="BN38" i="6"/>
  <c r="AZ38" i="6"/>
  <c r="AK38" i="6"/>
  <c r="V38" i="6"/>
  <c r="H38" i="6"/>
  <c r="CW37" i="6"/>
  <c r="CI37" i="6"/>
  <c r="BT37" i="6"/>
  <c r="BE37" i="6"/>
  <c r="AQ37" i="6"/>
  <c r="AC37" i="6"/>
  <c r="O37" i="6"/>
  <c r="DC36" i="6"/>
  <c r="CN36" i="6"/>
  <c r="BZ36" i="6"/>
  <c r="BL36" i="6"/>
  <c r="AX36" i="6"/>
  <c r="AI36" i="6"/>
  <c r="T36" i="6"/>
  <c r="CU35" i="6"/>
  <c r="CG35" i="6"/>
  <c r="BR35" i="6"/>
  <c r="BC35" i="6"/>
  <c r="AO35" i="6"/>
  <c r="AA35" i="6"/>
  <c r="M35" i="6"/>
  <c r="DA34" i="6"/>
  <c r="CL34" i="6"/>
  <c r="BX34" i="6"/>
  <c r="BJ34" i="6"/>
  <c r="AV34" i="6"/>
  <c r="AG34" i="6"/>
  <c r="R34" i="6"/>
  <c r="CT33" i="6"/>
  <c r="CG33" i="6"/>
  <c r="BT33" i="6"/>
  <c r="BG33" i="6"/>
  <c r="AU33" i="6"/>
  <c r="AI33" i="6"/>
  <c r="W33" i="6"/>
  <c r="K33" i="6"/>
  <c r="AI31" i="10" s="1"/>
  <c r="DB32" i="6"/>
  <c r="CP32" i="6"/>
  <c r="CD32" i="6"/>
  <c r="BR32" i="6"/>
  <c r="BF32" i="6"/>
  <c r="AT32" i="6"/>
  <c r="DE41" i="6"/>
  <c r="CN41" i="6"/>
  <c r="BX41" i="6"/>
  <c r="BH41" i="6"/>
  <c r="AR41" i="6"/>
  <c r="AB41" i="6"/>
  <c r="L41" i="6"/>
  <c r="CY40" i="6"/>
  <c r="CI40" i="6"/>
  <c r="BS40" i="6"/>
  <c r="BC40" i="6"/>
  <c r="AM40" i="6"/>
  <c r="W40" i="6"/>
  <c r="I40" i="6"/>
  <c r="CX39" i="6"/>
  <c r="CJ39" i="6"/>
  <c r="BT39" i="6"/>
  <c r="BF39" i="6"/>
  <c r="AR39" i="6"/>
  <c r="AD39" i="6"/>
  <c r="P39" i="6"/>
  <c r="DC38" i="6"/>
  <c r="CO38" i="6"/>
  <c r="CA38" i="6"/>
  <c r="BM38" i="6"/>
  <c r="AY38" i="6"/>
  <c r="AI38" i="6"/>
  <c r="U38" i="6"/>
  <c r="G38" i="6"/>
  <c r="CV37" i="6"/>
  <c r="CH37" i="6"/>
  <c r="BR37" i="6"/>
  <c r="BD37" i="6"/>
  <c r="AP37" i="6"/>
  <c r="AB37" i="6"/>
  <c r="N37" i="6"/>
  <c r="DA36" i="6"/>
  <c r="CM36" i="6"/>
  <c r="BY36" i="6"/>
  <c r="BK36" i="6"/>
  <c r="AW36" i="6"/>
  <c r="AG36" i="6"/>
  <c r="S36" i="6"/>
  <c r="CT35" i="6"/>
  <c r="CF35" i="6"/>
  <c r="BP35" i="6"/>
  <c r="BB35" i="6"/>
  <c r="AN35" i="6"/>
  <c r="Z35" i="6"/>
  <c r="L35" i="6"/>
  <c r="CY34" i="6"/>
  <c r="CK34" i="6"/>
  <c r="BW34" i="6"/>
  <c r="BI34" i="6"/>
  <c r="AU34" i="6"/>
  <c r="AE34" i="6"/>
  <c r="Q34" i="6"/>
  <c r="CS33" i="6"/>
  <c r="CF33" i="6"/>
  <c r="BS33" i="6"/>
  <c r="BF33" i="6"/>
  <c r="AT33" i="6"/>
  <c r="AH33" i="6"/>
  <c r="V33" i="6"/>
  <c r="J33" i="6"/>
  <c r="DA32" i="6"/>
  <c r="CO32" i="6"/>
  <c r="CC32" i="6"/>
  <c r="BQ32" i="6"/>
  <c r="BE32" i="6"/>
  <c r="AS32" i="6"/>
  <c r="AG32" i="6"/>
  <c r="U32" i="6"/>
  <c r="I32" i="6"/>
  <c r="DC41" i="6"/>
  <c r="CM41" i="6"/>
  <c r="BV41" i="6"/>
  <c r="BG41" i="6"/>
  <c r="AQ41" i="6"/>
  <c r="Z41" i="6"/>
  <c r="CZ41" i="6"/>
  <c r="CJ41" i="6"/>
  <c r="BT41" i="6"/>
  <c r="BD41" i="6"/>
  <c r="AN41" i="6"/>
  <c r="X41" i="6"/>
  <c r="H41" i="6"/>
  <c r="CU40" i="6"/>
  <c r="CE40" i="6"/>
  <c r="BO40" i="6"/>
  <c r="AY40" i="6"/>
  <c r="AI40" i="6"/>
  <c r="T40" i="6"/>
  <c r="CT39" i="6"/>
  <c r="CE39" i="6"/>
  <c r="BQ39" i="6"/>
  <c r="BC39" i="6"/>
  <c r="AO39" i="6"/>
  <c r="Z39" i="6"/>
  <c r="K39" i="6"/>
  <c r="AI37" i="10" s="1"/>
  <c r="CZ38" i="6"/>
  <c r="CL38" i="6"/>
  <c r="BX38" i="6"/>
  <c r="BI38" i="6"/>
  <c r="AT38" i="6"/>
  <c r="AF38" i="6"/>
  <c r="R38" i="6"/>
  <c r="CR37" i="6"/>
  <c r="CC37" i="6"/>
  <c r="BO37" i="6"/>
  <c r="BA37" i="6"/>
  <c r="AM37" i="6"/>
  <c r="X37" i="6"/>
  <c r="I37" i="6"/>
  <c r="CX36" i="6"/>
  <c r="CJ36" i="6"/>
  <c r="BV36" i="6"/>
  <c r="BG36" i="6"/>
  <c r="AR36" i="6"/>
  <c r="AD36" i="6"/>
  <c r="P36" i="6"/>
  <c r="DE35" i="6"/>
  <c r="CP35" i="6"/>
  <c r="CA35" i="6"/>
  <c r="CY41" i="6"/>
  <c r="CH41" i="6"/>
  <c r="BS41" i="6"/>
  <c r="BC41" i="6"/>
  <c r="AL41" i="6"/>
  <c r="W41" i="6"/>
  <c r="G41" i="6"/>
  <c r="CS40" i="6"/>
  <c r="CD40" i="6"/>
  <c r="BN40" i="6"/>
  <c r="AW40" i="6"/>
  <c r="AH40" i="6"/>
  <c r="S40" i="6"/>
  <c r="CR39" i="6"/>
  <c r="CD39" i="6"/>
  <c r="BP39" i="6"/>
  <c r="BB39" i="6"/>
  <c r="AN39" i="6"/>
  <c r="X39" i="6"/>
  <c r="J39" i="6"/>
  <c r="CY38" i="6"/>
  <c r="CK38" i="6"/>
  <c r="BW38" i="6"/>
  <c r="BG38" i="6"/>
  <c r="AS38" i="6"/>
  <c r="AE38" i="6"/>
  <c r="Q38" i="6"/>
  <c r="CP37" i="6"/>
  <c r="CB37" i="6"/>
  <c r="BN37" i="6"/>
  <c r="AZ37" i="6"/>
  <c r="AL37" i="6"/>
  <c r="V37" i="6"/>
  <c r="H37" i="6"/>
  <c r="CW36" i="6"/>
  <c r="CI36" i="6"/>
  <c r="BU36" i="6"/>
  <c r="BE36" i="6"/>
  <c r="AQ36" i="6"/>
  <c r="AC36" i="6"/>
  <c r="O36" i="6"/>
  <c r="DD35" i="6"/>
  <c r="CN35" i="6"/>
  <c r="BZ35" i="6"/>
  <c r="BL35" i="6"/>
  <c r="AX35" i="6"/>
  <c r="AJ35" i="6"/>
  <c r="T35" i="6"/>
  <c r="CU34" i="6"/>
  <c r="CG34" i="6"/>
  <c r="BS34" i="6"/>
  <c r="BC34" i="6"/>
  <c r="AO34" i="6"/>
  <c r="AA34" i="6"/>
  <c r="M34" i="6"/>
  <c r="DB33" i="6"/>
  <c r="CO33" i="6"/>
  <c r="CB33" i="6"/>
  <c r="BN33" i="6"/>
  <c r="BB33" i="6"/>
  <c r="CX41" i="6"/>
  <c r="CG41" i="6"/>
  <c r="BQ41" i="6"/>
  <c r="BB41" i="6"/>
  <c r="AK41" i="6"/>
  <c r="U41" i="6"/>
  <c r="CR40" i="6"/>
  <c r="CB40" i="6"/>
  <c r="BM40" i="6"/>
  <c r="AV40" i="6"/>
  <c r="AF40" i="6"/>
  <c r="R40" i="6"/>
  <c r="CQ39" i="6"/>
  <c r="CC39" i="6"/>
  <c r="BO39" i="6"/>
  <c r="BA39" i="6"/>
  <c r="AL39" i="6"/>
  <c r="W39" i="6"/>
  <c r="I39" i="6"/>
  <c r="CX38" i="6"/>
  <c r="CT41" i="6"/>
  <c r="CE41" i="6"/>
  <c r="BO41" i="6"/>
  <c r="AX41" i="6"/>
  <c r="AI41" i="6"/>
  <c r="S41" i="6"/>
  <c r="DE40" i="6"/>
  <c r="CP40" i="6"/>
  <c r="BZ40" i="6"/>
  <c r="BI40" i="6"/>
  <c r="AT40" i="6"/>
  <c r="AD40" i="6"/>
  <c r="O40" i="6"/>
  <c r="DC39" i="6"/>
  <c r="CO39" i="6"/>
  <c r="CA39" i="6"/>
  <c r="BM39" i="6"/>
  <c r="AX39" i="6"/>
  <c r="AI39" i="6"/>
  <c r="U39" i="6"/>
  <c r="DA41" i="6"/>
  <c r="BN41" i="6"/>
  <c r="AE41" i="6"/>
  <c r="CX40" i="6"/>
  <c r="BR40" i="6"/>
  <c r="AK40" i="6"/>
  <c r="H40" i="6"/>
  <c r="CH39" i="6"/>
  <c r="BE39" i="6"/>
  <c r="AC39" i="6"/>
  <c r="CG38" i="6"/>
  <c r="BL38" i="6"/>
  <c r="AP38" i="6"/>
  <c r="T38" i="6"/>
  <c r="DA37" i="6"/>
  <c r="CF37" i="6"/>
  <c r="BK37" i="6"/>
  <c r="AO37" i="6"/>
  <c r="S37" i="6"/>
  <c r="CZ36" i="6"/>
  <c r="CE36" i="6"/>
  <c r="BJ36" i="6"/>
  <c r="AN36" i="6"/>
  <c r="R36" i="6"/>
  <c r="CY35" i="6"/>
  <c r="CD35" i="6"/>
  <c r="BJ35" i="6"/>
  <c r="AQ35" i="6"/>
  <c r="X35" i="6"/>
  <c r="CO34" i="6"/>
  <c r="BU34" i="6"/>
  <c r="BA34" i="6"/>
  <c r="AJ34" i="6"/>
  <c r="O34" i="6"/>
  <c r="CZ33" i="6"/>
  <c r="CI33" i="6"/>
  <c r="BQ33" i="6"/>
  <c r="AZ33" i="6"/>
  <c r="AL33" i="6"/>
  <c r="X33" i="6"/>
  <c r="H33" i="6"/>
  <c r="CW32" i="6"/>
  <c r="CI32" i="6"/>
  <c r="BU32" i="6"/>
  <c r="BG32" i="6"/>
  <c r="AQ32" i="6"/>
  <c r="AD32" i="6"/>
  <c r="Q32" i="6"/>
  <c r="CU31" i="6"/>
  <c r="CI31" i="6"/>
  <c r="BW31" i="6"/>
  <c r="BK31" i="6"/>
  <c r="AY31" i="6"/>
  <c r="AM31" i="6"/>
  <c r="AA31" i="6"/>
  <c r="O31" i="6"/>
  <c r="CT30" i="6"/>
  <c r="CH30" i="6"/>
  <c r="BV30" i="6"/>
  <c r="BJ30" i="6"/>
  <c r="AX30" i="6"/>
  <c r="AL30" i="6"/>
  <c r="Z30" i="6"/>
  <c r="N30" i="6"/>
  <c r="DE29" i="6"/>
  <c r="CS29" i="6"/>
  <c r="CG29" i="6"/>
  <c r="BU29" i="6"/>
  <c r="BI29" i="6"/>
  <c r="AW29" i="6"/>
  <c r="AK29" i="6"/>
  <c r="Y29" i="6"/>
  <c r="M29" i="6"/>
  <c r="DD28" i="6"/>
  <c r="CR28" i="6"/>
  <c r="CF28" i="6"/>
  <c r="BT28" i="6"/>
  <c r="BH28" i="6"/>
  <c r="AV28" i="6"/>
  <c r="AJ28" i="6"/>
  <c r="X28" i="6"/>
  <c r="L28" i="6"/>
  <c r="DC27" i="6"/>
  <c r="CQ27" i="6"/>
  <c r="CE27" i="6"/>
  <c r="BS27" i="6"/>
  <c r="BG27" i="6"/>
  <c r="AU27" i="6"/>
  <c r="AI27" i="6"/>
  <c r="W27" i="6"/>
  <c r="K27" i="6"/>
  <c r="AI25" i="10" s="1"/>
  <c r="CV41" i="6"/>
  <c r="BL41" i="6"/>
  <c r="Y41" i="6"/>
  <c r="CW40" i="6"/>
  <c r="BP40" i="6"/>
  <c r="AJ40" i="6"/>
  <c r="G40" i="6"/>
  <c r="CF39" i="6"/>
  <c r="BD39" i="6"/>
  <c r="AB39" i="6"/>
  <c r="DB38" i="6"/>
  <c r="CE38" i="6"/>
  <c r="BK38" i="6"/>
  <c r="AO38" i="6"/>
  <c r="S38" i="6"/>
  <c r="CZ37" i="6"/>
  <c r="CD37" i="6"/>
  <c r="BJ37" i="6"/>
  <c r="AN37" i="6"/>
  <c r="R37" i="6"/>
  <c r="CY36" i="6"/>
  <c r="CC36" i="6"/>
  <c r="BI36" i="6"/>
  <c r="AM36" i="6"/>
  <c r="Q36" i="6"/>
  <c r="CX35" i="6"/>
  <c r="CB35" i="6"/>
  <c r="BI35" i="6"/>
  <c r="AP35" i="6"/>
  <c r="V35" i="6"/>
  <c r="CM34" i="6"/>
  <c r="BT34" i="6"/>
  <c r="AZ34" i="6"/>
  <c r="AI34" i="6"/>
  <c r="N34" i="6"/>
  <c r="CX33" i="6"/>
  <c r="CH33" i="6"/>
  <c r="BP33" i="6"/>
  <c r="AY33" i="6"/>
  <c r="AK33" i="6"/>
  <c r="U33" i="6"/>
  <c r="G33" i="6"/>
  <c r="CV32" i="6"/>
  <c r="CH32" i="6"/>
  <c r="BT32" i="6"/>
  <c r="BD32" i="6"/>
  <c r="AP32" i="6"/>
  <c r="AC32" i="6"/>
  <c r="P32" i="6"/>
  <c r="CT31" i="6"/>
  <c r="CH31" i="6"/>
  <c r="BV31" i="6"/>
  <c r="BJ31" i="6"/>
  <c r="AX31" i="6"/>
  <c r="AL31" i="6"/>
  <c r="Z31" i="6"/>
  <c r="CS41" i="6"/>
  <c r="BJ41" i="6"/>
  <c r="T41" i="6"/>
  <c r="CQ40" i="6"/>
  <c r="BK40" i="6"/>
  <c r="AE40" i="6"/>
  <c r="DD39" i="6"/>
  <c r="CB39" i="6"/>
  <c r="AZ39" i="6"/>
  <c r="V39" i="6"/>
  <c r="DA38" i="6"/>
  <c r="CD38" i="6"/>
  <c r="BF38" i="6"/>
  <c r="AN38" i="6"/>
  <c r="P38" i="6"/>
  <c r="CY37" i="6"/>
  <c r="CA37" i="6"/>
  <c r="BH37" i="6"/>
  <c r="AJ37" i="6"/>
  <c r="Q37" i="6"/>
  <c r="CV36" i="6"/>
  <c r="CB36" i="6"/>
  <c r="BD36" i="6"/>
  <c r="AL36" i="6"/>
  <c r="N36" i="6"/>
  <c r="CW35" i="6"/>
  <c r="BY35" i="6"/>
  <c r="BH35" i="6"/>
  <c r="AM35" i="6"/>
  <c r="S35" i="6"/>
  <c r="DE34" i="6"/>
  <c r="CJ34" i="6"/>
  <c r="BQ34" i="6"/>
  <c r="AY34" i="6"/>
  <c r="AD34" i="6"/>
  <c r="CR41" i="6"/>
  <c r="BE41" i="6"/>
  <c r="R41" i="6"/>
  <c r="CN40" i="6"/>
  <c r="BH40" i="6"/>
  <c r="AC40" i="6"/>
  <c r="DB39" i="6"/>
  <c r="BZ39" i="6"/>
  <c r="AV39" i="6"/>
  <c r="T39" i="6"/>
  <c r="CW38" i="6"/>
  <c r="CC38" i="6"/>
  <c r="BE38" i="6"/>
  <c r="AM38" i="6"/>
  <c r="O38" i="6"/>
  <c r="CX37" i="6"/>
  <c r="BZ37" i="6"/>
  <c r="BF37" i="6"/>
  <c r="AH37" i="6"/>
  <c r="P37" i="6"/>
  <c r="CU36" i="6"/>
  <c r="CA36" i="6"/>
  <c r="BC36" i="6"/>
  <c r="AK36" i="6"/>
  <c r="M36" i="6"/>
  <c r="CV35" i="6"/>
  <c r="BX35" i="6"/>
  <c r="BF35" i="6"/>
  <c r="AL35" i="6"/>
  <c r="R35" i="6"/>
  <c r="DD34" i="6"/>
  <c r="CI34" i="6"/>
  <c r="BO34" i="6"/>
  <c r="AX34" i="6"/>
  <c r="AC34" i="6"/>
  <c r="K34" i="6"/>
  <c r="AI32" i="10" s="1"/>
  <c r="CV33" i="6"/>
  <c r="CD33" i="6"/>
  <c r="BL33" i="6"/>
  <c r="AW33" i="6"/>
  <c r="AG33" i="6"/>
  <c r="S33" i="6"/>
  <c r="CT32" i="6"/>
  <c r="CF32" i="6"/>
  <c r="BP32" i="6"/>
  <c r="BB32" i="6"/>
  <c r="AN32" i="6"/>
  <c r="AA32" i="6"/>
  <c r="N32" i="6"/>
  <c r="DD31" i="6"/>
  <c r="CR31" i="6"/>
  <c r="CF31" i="6"/>
  <c r="BT31" i="6"/>
  <c r="BH31" i="6"/>
  <c r="AV31" i="6"/>
  <c r="AJ31" i="6"/>
  <c r="X31" i="6"/>
  <c r="CQ41" i="6"/>
  <c r="AZ41" i="6"/>
  <c r="P41" i="6"/>
  <c r="CM40" i="6"/>
  <c r="BG40" i="6"/>
  <c r="AA40" i="6"/>
  <c r="DA39" i="6"/>
  <c r="BY39" i="6"/>
  <c r="AU39" i="6"/>
  <c r="S39" i="6"/>
  <c r="CV38" i="6"/>
  <c r="BZ38" i="6"/>
  <c r="BD38" i="6"/>
  <c r="AH38" i="6"/>
  <c r="M38" i="6"/>
  <c r="CU37" i="6"/>
  <c r="BY37" i="6"/>
  <c r="BC37" i="6"/>
  <c r="AG37" i="6"/>
  <c r="L37" i="6"/>
  <c r="CT36" i="6"/>
  <c r="BX36" i="6"/>
  <c r="BB36" i="6"/>
  <c r="AF36" i="6"/>
  <c r="K36" i="6"/>
  <c r="AI34" i="10" s="1"/>
  <c r="CS35" i="6"/>
  <c r="BW35" i="6"/>
  <c r="BD35" i="6"/>
  <c r="AK35" i="6"/>
  <c r="Q35" i="6"/>
  <c r="DC34" i="6"/>
  <c r="CH34" i="6"/>
  <c r="BN34" i="6"/>
  <c r="CL41" i="6"/>
  <c r="AW41" i="6"/>
  <c r="N41" i="6"/>
  <c r="CL40" i="6"/>
  <c r="BF40" i="6"/>
  <c r="Y40" i="6"/>
  <c r="CZ39" i="6"/>
  <c r="BX39" i="6"/>
  <c r="AT39" i="6"/>
  <c r="R39" i="6"/>
  <c r="CU38" i="6"/>
  <c r="BY38" i="6"/>
  <c r="BC38" i="6"/>
  <c r="AG38" i="6"/>
  <c r="K38" i="6"/>
  <c r="AI36" i="10" s="1"/>
  <c r="CT37" i="6"/>
  <c r="BX37" i="6"/>
  <c r="BB37" i="6"/>
  <c r="AF37" i="6"/>
  <c r="J37" i="6"/>
  <c r="CS36" i="6"/>
  <c r="BW36" i="6"/>
  <c r="BA36" i="6"/>
  <c r="AE36" i="6"/>
  <c r="I36" i="6"/>
  <c r="CR35" i="6"/>
  <c r="BV35" i="6"/>
  <c r="BA35" i="6"/>
  <c r="AH35" i="6"/>
  <c r="P35" i="6"/>
  <c r="CX34" i="6"/>
  <c r="CF34" i="6"/>
  <c r="BM34" i="6"/>
  <c r="AS34" i="6"/>
  <c r="Z34" i="6"/>
  <c r="G34" i="6"/>
  <c r="CR33" i="6"/>
  <c r="BZ33" i="6"/>
  <c r="BJ33" i="6"/>
  <c r="AS33" i="6"/>
  <c r="AE33" i="6"/>
  <c r="Q33" i="6"/>
  <c r="CR32" i="6"/>
  <c r="CB32" i="6"/>
  <c r="BN32" i="6"/>
  <c r="AZ32" i="6"/>
  <c r="AL32" i="6"/>
  <c r="Y32" i="6"/>
  <c r="L32" i="6"/>
  <c r="DB31" i="6"/>
  <c r="CP31" i="6"/>
  <c r="CD31" i="6"/>
  <c r="BR31" i="6"/>
  <c r="BF31" i="6"/>
  <c r="AT31" i="6"/>
  <c r="AH31" i="6"/>
  <c r="V31" i="6"/>
  <c r="J31" i="6"/>
  <c r="DA30" i="6"/>
  <c r="CO30" i="6"/>
  <c r="CC30" i="6"/>
  <c r="BQ30" i="6"/>
  <c r="BE30" i="6"/>
  <c r="AS30" i="6"/>
  <c r="AG30" i="6"/>
  <c r="U30" i="6"/>
  <c r="I30" i="6"/>
  <c r="CZ29" i="6"/>
  <c r="CN29" i="6"/>
  <c r="CB29" i="6"/>
  <c r="BP29" i="6"/>
  <c r="BD29" i="6"/>
  <c r="AR29" i="6"/>
  <c r="AF29" i="6"/>
  <c r="T29" i="6"/>
  <c r="H29" i="6"/>
  <c r="CY28" i="6"/>
  <c r="CM28" i="6"/>
  <c r="CA28" i="6"/>
  <c r="BO28" i="6"/>
  <c r="BC28" i="6"/>
  <c r="AQ28" i="6"/>
  <c r="AE28" i="6"/>
  <c r="S28" i="6"/>
  <c r="G28" i="6"/>
  <c r="CX27" i="6"/>
  <c r="CL27" i="6"/>
  <c r="BZ27" i="6"/>
  <c r="BN27" i="6"/>
  <c r="BB27" i="6"/>
  <c r="AP27" i="6"/>
  <c r="AD27" i="6"/>
  <c r="R27" i="6"/>
  <c r="CW26" i="6"/>
  <c r="CK26" i="6"/>
  <c r="BY26" i="6"/>
  <c r="BM26" i="6"/>
  <c r="BA26" i="6"/>
  <c r="AO26" i="6"/>
  <c r="AC26" i="6"/>
  <c r="Q26" i="6"/>
  <c r="CV25" i="6"/>
  <c r="CJ25" i="6"/>
  <c r="BX25" i="6"/>
  <c r="BL25" i="6"/>
  <c r="AZ25" i="6"/>
  <c r="AN25" i="6"/>
  <c r="AB25" i="6"/>
  <c r="P25" i="6"/>
  <c r="CU24" i="6"/>
  <c r="CI24" i="6"/>
  <c r="BW24" i="6"/>
  <c r="CF41" i="6"/>
  <c r="AV41" i="6"/>
  <c r="K41" i="6"/>
  <c r="AI39" i="10" s="1"/>
  <c r="CG40" i="6"/>
  <c r="BB40" i="6"/>
  <c r="V40" i="6"/>
  <c r="CW39" i="6"/>
  <c r="BS39" i="6"/>
  <c r="AQ39" i="6"/>
  <c r="N39" i="6"/>
  <c r="CS38" i="6"/>
  <c r="BU38" i="6"/>
  <c r="BB38" i="6"/>
  <c r="AD38" i="6"/>
  <c r="J38" i="6"/>
  <c r="CO37" i="6"/>
  <c r="BW37" i="6"/>
  <c r="AY37" i="6"/>
  <c r="AE37" i="6"/>
  <c r="G37" i="6"/>
  <c r="CQ36" i="6"/>
  <c r="BS36" i="6"/>
  <c r="AZ36" i="6"/>
  <c r="AB36" i="6"/>
  <c r="H36" i="6"/>
  <c r="CM35" i="6"/>
  <c r="BU35" i="6"/>
  <c r="AZ35" i="6"/>
  <c r="AF35" i="6"/>
  <c r="O35" i="6"/>
  <c r="CW34" i="6"/>
  <c r="CE34" i="6"/>
  <c r="BL34" i="6"/>
  <c r="AQ34" i="6"/>
  <c r="Y34" i="6"/>
  <c r="CQ33" i="6"/>
  <c r="BY33" i="6"/>
  <c r="BI33" i="6"/>
  <c r="AR33" i="6"/>
  <c r="AD33" i="6"/>
  <c r="P33" i="6"/>
  <c r="DE32" i="6"/>
  <c r="CQ32" i="6"/>
  <c r="CA32" i="6"/>
  <c r="BM32" i="6"/>
  <c r="AY32" i="6"/>
  <c r="AK32" i="6"/>
  <c r="X32" i="6"/>
  <c r="K32" i="6"/>
  <c r="AI30" i="10" s="1"/>
  <c r="DA31" i="6"/>
  <c r="CO31" i="6"/>
  <c r="CC31" i="6"/>
  <c r="BQ31" i="6"/>
  <c r="BE31" i="6"/>
  <c r="AS31" i="6"/>
  <c r="AG31" i="6"/>
  <c r="U31" i="6"/>
  <c r="I31" i="6"/>
  <c r="CZ30" i="6"/>
  <c r="CN30" i="6"/>
  <c r="CB30" i="6"/>
  <c r="BP30" i="6"/>
  <c r="BD30" i="6"/>
  <c r="AR30" i="6"/>
  <c r="AF30" i="6"/>
  <c r="T30" i="6"/>
  <c r="H30" i="6"/>
  <c r="CY29" i="6"/>
  <c r="CM29" i="6"/>
  <c r="CA29" i="6"/>
  <c r="BO29" i="6"/>
  <c r="BC29" i="6"/>
  <c r="AQ29" i="6"/>
  <c r="AE29" i="6"/>
  <c r="S29" i="6"/>
  <c r="G29" i="6"/>
  <c r="CX28" i="6"/>
  <c r="CL28" i="6"/>
  <c r="BZ28" i="6"/>
  <c r="BN28" i="6"/>
  <c r="BB28" i="6"/>
  <c r="AP28" i="6"/>
  <c r="AD28" i="6"/>
  <c r="R28" i="6"/>
  <c r="CC41" i="6"/>
  <c r="AU41" i="6"/>
  <c r="I41" i="6"/>
  <c r="CF40" i="6"/>
  <c r="BA40" i="6"/>
  <c r="U40" i="6"/>
  <c r="CV39" i="6"/>
  <c r="BR39" i="6"/>
  <c r="AP39" i="6"/>
  <c r="L39" i="6"/>
  <c r="CQ38" i="6"/>
  <c r="BS38" i="6"/>
  <c r="BA38" i="6"/>
  <c r="AC38" i="6"/>
  <c r="I38" i="6"/>
  <c r="CN37" i="6"/>
  <c r="BV37" i="6"/>
  <c r="AX37" i="6"/>
  <c r="AD37" i="6"/>
  <c r="CO36" i="6"/>
  <c r="BQ36" i="6"/>
  <c r="AY36" i="6"/>
  <c r="AA36" i="6"/>
  <c r="G36" i="6"/>
  <c r="CL35" i="6"/>
  <c r="BT35" i="6"/>
  <c r="AY35" i="6"/>
  <c r="AE35" i="6"/>
  <c r="N35" i="6"/>
  <c r="CV34" i="6"/>
  <c r="CC34" i="6"/>
  <c r="BK34" i="6"/>
  <c r="AP34" i="6"/>
  <c r="X34" i="6"/>
  <c r="CP33" i="6"/>
  <c r="BX33" i="6"/>
  <c r="BH33" i="6"/>
  <c r="AQ33" i="6"/>
  <c r="AC33" i="6"/>
  <c r="O33" i="6"/>
  <c r="DD32" i="6"/>
  <c r="CN32" i="6"/>
  <c r="BZ32" i="6"/>
  <c r="BL32" i="6"/>
  <c r="AX32" i="6"/>
  <c r="AJ32" i="6"/>
  <c r="W32" i="6"/>
  <c r="J32" i="6"/>
  <c r="CZ31" i="6"/>
  <c r="CN31" i="6"/>
  <c r="CB31" i="6"/>
  <c r="BP31" i="6"/>
  <c r="BD31" i="6"/>
  <c r="AR31" i="6"/>
  <c r="AF31" i="6"/>
  <c r="T31" i="6"/>
  <c r="H31" i="6"/>
  <c r="CY30" i="6"/>
  <c r="CM30" i="6"/>
  <c r="CA30" i="6"/>
  <c r="BO30" i="6"/>
  <c r="BC30" i="6"/>
  <c r="AQ30" i="6"/>
  <c r="CB41" i="6"/>
  <c r="AP41" i="6"/>
  <c r="CA40" i="6"/>
  <c r="AU40" i="6"/>
  <c r="Q40" i="6"/>
  <c r="CP39" i="6"/>
  <c r="BN39" i="6"/>
  <c r="AJ39" i="6"/>
  <c r="H39" i="6"/>
  <c r="CN38" i="6"/>
  <c r="BR38" i="6"/>
  <c r="AW38" i="6"/>
  <c r="AB38" i="6"/>
  <c r="CM37" i="6"/>
  <c r="BQ37" i="6"/>
  <c r="AV37" i="6"/>
  <c r="AA37" i="6"/>
  <c r="CL36" i="6"/>
  <c r="BP36" i="6"/>
  <c r="AU36" i="6"/>
  <c r="Z36" i="6"/>
  <c r="CK35" i="6"/>
  <c r="BO35" i="6"/>
  <c r="AW35" i="6"/>
  <c r="AD35" i="6"/>
  <c r="J35" i="6"/>
  <c r="CT34" i="6"/>
  <c r="CA34" i="6"/>
  <c r="BH34" i="6"/>
  <c r="AN34" i="6"/>
  <c r="W34" i="6"/>
  <c r="DE33" i="6"/>
  <c r="CN33" i="6"/>
  <c r="BW33" i="6"/>
  <c r="BE33" i="6"/>
  <c r="AP33" i="6"/>
  <c r="AB33" i="6"/>
  <c r="N33" i="6"/>
  <c r="DC32" i="6"/>
  <c r="CM32" i="6"/>
  <c r="BY32" i="6"/>
  <c r="BK32" i="6"/>
  <c r="AW32" i="6"/>
  <c r="AI32" i="6"/>
  <c r="V32" i="6"/>
  <c r="H32" i="6"/>
  <c r="CY31" i="6"/>
  <c r="CA41" i="6"/>
  <c r="AJ41" i="6"/>
  <c r="DD40" i="6"/>
  <c r="BY40" i="6"/>
  <c r="AR40" i="6"/>
  <c r="M40" i="6"/>
  <c r="CN39" i="6"/>
  <c r="BL39" i="6"/>
  <c r="AH39" i="6"/>
  <c r="G39" i="6"/>
  <c r="CM38" i="6"/>
  <c r="BQ38" i="6"/>
  <c r="AU38" i="6"/>
  <c r="AA38" i="6"/>
  <c r="CL37" i="6"/>
  <c r="BP37" i="6"/>
  <c r="AT37" i="6"/>
  <c r="Z37" i="6"/>
  <c r="CK36" i="6"/>
  <c r="BO36" i="6"/>
  <c r="AS36" i="6"/>
  <c r="Y36" i="6"/>
  <c r="CJ35" i="6"/>
  <c r="BN35" i="6"/>
  <c r="AV35" i="6"/>
  <c r="AC35" i="6"/>
  <c r="H35" i="6"/>
  <c r="CS34" i="6"/>
  <c r="BZ34" i="6"/>
  <c r="BG34" i="6"/>
  <c r="AM34" i="6"/>
  <c r="U34" i="6"/>
  <c r="DD33" i="6"/>
  <c r="CL33" i="6"/>
  <c r="BV33" i="6"/>
  <c r="BD33" i="6"/>
  <c r="AO33" i="6"/>
  <c r="AA33" i="6"/>
  <c r="M33" i="6"/>
  <c r="CZ32" i="6"/>
  <c r="CL32" i="6"/>
  <c r="BX32" i="6"/>
  <c r="BJ32" i="6"/>
  <c r="AV32" i="6"/>
  <c r="AH32" i="6"/>
  <c r="T32" i="6"/>
  <c r="G32" i="6"/>
  <c r="CX31" i="6"/>
  <c r="BU41" i="6"/>
  <c r="AG41" i="6"/>
  <c r="DC40" i="6"/>
  <c r="BW40" i="6"/>
  <c r="AQ40" i="6"/>
  <c r="L40" i="6"/>
  <c r="CM39" i="6"/>
  <c r="BJ39" i="6"/>
  <c r="AG39" i="6"/>
  <c r="CJ38" i="6"/>
  <c r="BP38" i="6"/>
  <c r="AR38" i="6"/>
  <c r="Y38" i="6"/>
  <c r="DD37" i="6"/>
  <c r="CK37" i="6"/>
  <c r="BM37" i="6"/>
  <c r="AS37" i="6"/>
  <c r="U37" i="6"/>
  <c r="CH36" i="6"/>
  <c r="BN36" i="6"/>
  <c r="AP36" i="6"/>
  <c r="W36" i="6"/>
  <c r="DB35" i="6"/>
  <c r="CI35" i="6"/>
  <c r="BM35" i="6"/>
  <c r="AT35" i="6"/>
  <c r="AB35" i="6"/>
  <c r="G35" i="6"/>
  <c r="BP41" i="6"/>
  <c r="AF41" i="6"/>
  <c r="DB40" i="6"/>
  <c r="BU40" i="6"/>
  <c r="AP40" i="6"/>
  <c r="K40" i="6"/>
  <c r="AI38" i="10" s="1"/>
  <c r="CL39" i="6"/>
  <c r="BH39" i="6"/>
  <c r="AF39" i="6"/>
  <c r="CI38" i="6"/>
  <c r="BO38" i="6"/>
  <c r="AQ38" i="6"/>
  <c r="W38" i="6"/>
  <c r="DB37" i="6"/>
  <c r="CJ37" i="6"/>
  <c r="BL37" i="6"/>
  <c r="AR37" i="6"/>
  <c r="T37" i="6"/>
  <c r="DE36" i="6"/>
  <c r="CG36" i="6"/>
  <c r="BM36" i="6"/>
  <c r="AO36" i="6"/>
  <c r="U36" i="6"/>
  <c r="CZ35" i="6"/>
  <c r="CH35" i="6"/>
  <c r="BK35" i="6"/>
  <c r="AR35" i="6"/>
  <c r="Y35" i="6"/>
  <c r="CQ34" i="6"/>
  <c r="BV34" i="6"/>
  <c r="BB34" i="6"/>
  <c r="AK34" i="6"/>
  <c r="P34" i="6"/>
  <c r="DA33" i="6"/>
  <c r="CJ33" i="6"/>
  <c r="BR33" i="6"/>
  <c r="BA33" i="6"/>
  <c r="AM33" i="6"/>
  <c r="Y33" i="6"/>
  <c r="I33" i="6"/>
  <c r="CX32" i="6"/>
  <c r="CJ32" i="6"/>
  <c r="BV32" i="6"/>
  <c r="BH32" i="6"/>
  <c r="AR32" i="6"/>
  <c r="AE32" i="6"/>
  <c r="R32" i="6"/>
  <c r="CV31" i="6"/>
  <c r="CJ31" i="6"/>
  <c r="BX31" i="6"/>
  <c r="BL31" i="6"/>
  <c r="AZ31" i="6"/>
  <c r="BY34" i="6"/>
  <c r="CE33" i="6"/>
  <c r="T33" i="6"/>
  <c r="BS32" i="6"/>
  <c r="O32" i="6"/>
  <c r="CE31" i="6"/>
  <c r="BB31" i="6"/>
  <c r="AC31" i="6"/>
  <c r="G31" i="6"/>
  <c r="CS30" i="6"/>
  <c r="BZ30" i="6"/>
  <c r="BI30" i="6"/>
  <c r="AP30" i="6"/>
  <c r="AA30" i="6"/>
  <c r="K30" i="6"/>
  <c r="AI28" i="10" s="1"/>
  <c r="CW29" i="6"/>
  <c r="CH29" i="6"/>
  <c r="BR29" i="6"/>
  <c r="BA29" i="6"/>
  <c r="AL29" i="6"/>
  <c r="V29" i="6"/>
  <c r="CS28" i="6"/>
  <c r="CC28" i="6"/>
  <c r="BL28" i="6"/>
  <c r="AW28" i="6"/>
  <c r="AG28" i="6"/>
  <c r="P28" i="6"/>
  <c r="DE27" i="6"/>
  <c r="CP27" i="6"/>
  <c r="CB27" i="6"/>
  <c r="BM27" i="6"/>
  <c r="AY27" i="6"/>
  <c r="BE34" i="6"/>
  <c r="CC33" i="6"/>
  <c r="R33" i="6"/>
  <c r="AW34" i="6"/>
  <c r="BU33" i="6"/>
  <c r="L33" i="6"/>
  <c r="BI32" i="6"/>
  <c r="BZ31" i="6"/>
  <c r="AW31" i="6"/>
  <c r="Y31" i="6"/>
  <c r="CQ30" i="6"/>
  <c r="BX30" i="6"/>
  <c r="BG30" i="6"/>
  <c r="AN30" i="6"/>
  <c r="X30" i="6"/>
  <c r="G30" i="6"/>
  <c r="CU29" i="6"/>
  <c r="CE29" i="6"/>
  <c r="BN29" i="6"/>
  <c r="AY29" i="6"/>
  <c r="AI29" i="6"/>
  <c r="R29" i="6"/>
  <c r="CP28" i="6"/>
  <c r="BY28" i="6"/>
  <c r="BJ28" i="6"/>
  <c r="AT28" i="6"/>
  <c r="AC28" i="6"/>
  <c r="N28" i="6"/>
  <c r="DB27" i="6"/>
  <c r="CN27" i="6"/>
  <c r="BY27" i="6"/>
  <c r="BK27" i="6"/>
  <c r="AW27" i="6"/>
  <c r="AH27" i="6"/>
  <c r="T27" i="6"/>
  <c r="CU26" i="6"/>
  <c r="CH26" i="6"/>
  <c r="BU26" i="6"/>
  <c r="BH26" i="6"/>
  <c r="AU26" i="6"/>
  <c r="AH26" i="6"/>
  <c r="U26" i="6"/>
  <c r="H26" i="6"/>
  <c r="CX25" i="6"/>
  <c r="CK25" i="6"/>
  <c r="BW25" i="6"/>
  <c r="BJ25" i="6"/>
  <c r="AW25" i="6"/>
  <c r="AJ25" i="6"/>
  <c r="W25" i="6"/>
  <c r="J25" i="6"/>
  <c r="CZ24" i="6"/>
  <c r="CM24" i="6"/>
  <c r="BZ24" i="6"/>
  <c r="BM24" i="6"/>
  <c r="BA24" i="6"/>
  <c r="AO24" i="6"/>
  <c r="AC24" i="6"/>
  <c r="Q24" i="6"/>
  <c r="CV23" i="6"/>
  <c r="CJ23" i="6"/>
  <c r="BX23" i="6"/>
  <c r="BL23" i="6"/>
  <c r="AZ23" i="6"/>
  <c r="AN23" i="6"/>
  <c r="AB23" i="6"/>
  <c r="P23" i="6"/>
  <c r="CU22" i="6"/>
  <c r="CI22" i="6"/>
  <c r="BW22" i="6"/>
  <c r="BK22" i="6"/>
  <c r="AY22" i="6"/>
  <c r="AM22" i="6"/>
  <c r="AA22" i="6"/>
  <c r="O22" i="6"/>
  <c r="CT21" i="6"/>
  <c r="CH21" i="6"/>
  <c r="BV21" i="6"/>
  <c r="BJ21" i="6"/>
  <c r="AX21" i="6"/>
  <c r="AL21" i="6"/>
  <c r="AL34" i="6"/>
  <c r="BM33" i="6"/>
  <c r="BC32" i="6"/>
  <c r="DE31" i="6"/>
  <c r="BY31" i="6"/>
  <c r="AU31" i="6"/>
  <c r="W31" i="6"/>
  <c r="CP30" i="6"/>
  <c r="BW30" i="6"/>
  <c r="BF30" i="6"/>
  <c r="AM30" i="6"/>
  <c r="W30" i="6"/>
  <c r="CT29" i="6"/>
  <c r="CD29" i="6"/>
  <c r="BM29" i="6"/>
  <c r="AX29" i="6"/>
  <c r="AH29" i="6"/>
  <c r="Q29" i="6"/>
  <c r="AB34" i="6"/>
  <c r="BK33" i="6"/>
  <c r="BA32" i="6"/>
  <c r="DC31" i="6"/>
  <c r="BU31" i="6"/>
  <c r="AQ31" i="6"/>
  <c r="S31" i="6"/>
  <c r="DE30" i="6"/>
  <c r="CL30" i="6"/>
  <c r="BU30" i="6"/>
  <c r="BB30" i="6"/>
  <c r="AK30" i="6"/>
  <c r="V30" i="6"/>
  <c r="CR29" i="6"/>
  <c r="CC29" i="6"/>
  <c r="BL29" i="6"/>
  <c r="AV29" i="6"/>
  <c r="AG29" i="6"/>
  <c r="P29" i="6"/>
  <c r="DC28" i="6"/>
  <c r="S34" i="6"/>
  <c r="BC33" i="6"/>
  <c r="CY32" i="6"/>
  <c r="AU32" i="6"/>
  <c r="CW31" i="6"/>
  <c r="BS31" i="6"/>
  <c r="AP31" i="6"/>
  <c r="R31" i="6"/>
  <c r="DD30" i="6"/>
  <c r="CK30" i="6"/>
  <c r="BT30" i="6"/>
  <c r="BA30" i="6"/>
  <c r="AJ30" i="6"/>
  <c r="S30" i="6"/>
  <c r="CQ29" i="6"/>
  <c r="BZ29" i="6"/>
  <c r="BK29" i="6"/>
  <c r="AU29" i="6"/>
  <c r="AD29" i="6"/>
  <c r="O29" i="6"/>
  <c r="DB28" i="6"/>
  <c r="CK28" i="6"/>
  <c r="BV28" i="6"/>
  <c r="BF28" i="6"/>
  <c r="AO28" i="6"/>
  <c r="Z28" i="6"/>
  <c r="J28" i="6"/>
  <c r="CY27" i="6"/>
  <c r="CJ27" i="6"/>
  <c r="BV27" i="6"/>
  <c r="BH27" i="6"/>
  <c r="AS27" i="6"/>
  <c r="AE27" i="6"/>
  <c r="P27" i="6"/>
  <c r="DE26" i="6"/>
  <c r="CR26" i="6"/>
  <c r="CE26" i="6"/>
  <c r="BR26" i="6"/>
  <c r="BE26" i="6"/>
  <c r="AR26" i="6"/>
  <c r="AE26" i="6"/>
  <c r="R26" i="6"/>
  <c r="CT25" i="6"/>
  <c r="CG25" i="6"/>
  <c r="BT25" i="6"/>
  <c r="BG25" i="6"/>
  <c r="AT25" i="6"/>
  <c r="AG25" i="6"/>
  <c r="T25" i="6"/>
  <c r="G25" i="6"/>
  <c r="CW24" i="6"/>
  <c r="CJ24" i="6"/>
  <c r="BV24" i="6"/>
  <c r="BJ24" i="6"/>
  <c r="AX24" i="6"/>
  <c r="AL24" i="6"/>
  <c r="Z24" i="6"/>
  <c r="N24" i="6"/>
  <c r="DE23" i="6"/>
  <c r="CS23" i="6"/>
  <c r="CG23" i="6"/>
  <c r="BU23" i="6"/>
  <c r="BI23" i="6"/>
  <c r="AW23" i="6"/>
  <c r="AK23" i="6"/>
  <c r="Y23" i="6"/>
  <c r="M23" i="6"/>
  <c r="DD22" i="6"/>
  <c r="CR22" i="6"/>
  <c r="CF22" i="6"/>
  <c r="BT22" i="6"/>
  <c r="BH22" i="6"/>
  <c r="AV22" i="6"/>
  <c r="AJ22" i="6"/>
  <c r="X22" i="6"/>
  <c r="L22" i="6"/>
  <c r="DC21" i="6"/>
  <c r="CQ21" i="6"/>
  <c r="CE21" i="6"/>
  <c r="BS21" i="6"/>
  <c r="BG21" i="6"/>
  <c r="AU21" i="6"/>
  <c r="AI21" i="6"/>
  <c r="W21" i="6"/>
  <c r="K21" i="6"/>
  <c r="AI19" i="10" s="1"/>
  <c r="DB20" i="6"/>
  <c r="CP20" i="6"/>
  <c r="CD20" i="6"/>
  <c r="BR20" i="6"/>
  <c r="BF20" i="6"/>
  <c r="AT20" i="6"/>
  <c r="L34" i="6"/>
  <c r="AX33" i="6"/>
  <c r="CU32" i="6"/>
  <c r="AO32" i="6"/>
  <c r="CS31" i="6"/>
  <c r="BO31" i="6"/>
  <c r="AO31" i="6"/>
  <c r="Q31" i="6"/>
  <c r="DC30" i="6"/>
  <c r="CJ30" i="6"/>
  <c r="BS30" i="6"/>
  <c r="AZ30" i="6"/>
  <c r="AI30" i="6"/>
  <c r="R30" i="6"/>
  <c r="CP29" i="6"/>
  <c r="BY29" i="6"/>
  <c r="BJ29" i="6"/>
  <c r="AT29" i="6"/>
  <c r="AC29" i="6"/>
  <c r="N29" i="6"/>
  <c r="DA28" i="6"/>
  <c r="CJ28" i="6"/>
  <c r="BU28" i="6"/>
  <c r="BE28" i="6"/>
  <c r="AN28" i="6"/>
  <c r="Y28" i="6"/>
  <c r="I28" i="6"/>
  <c r="CW27" i="6"/>
  <c r="CI27" i="6"/>
  <c r="BU27" i="6"/>
  <c r="BF27" i="6"/>
  <c r="AR27" i="6"/>
  <c r="AC27" i="6"/>
  <c r="O27" i="6"/>
  <c r="DD26" i="6"/>
  <c r="CQ26" i="6"/>
  <c r="CD26" i="6"/>
  <c r="BQ26" i="6"/>
  <c r="BD26" i="6"/>
  <c r="AQ26" i="6"/>
  <c r="AD26" i="6"/>
  <c r="P26" i="6"/>
  <c r="CS25" i="6"/>
  <c r="CF25" i="6"/>
  <c r="BS25" i="6"/>
  <c r="BF25" i="6"/>
  <c r="AS25" i="6"/>
  <c r="AF25" i="6"/>
  <c r="S25" i="6"/>
  <c r="CV24" i="6"/>
  <c r="CH24" i="6"/>
  <c r="BU24" i="6"/>
  <c r="BI24" i="6"/>
  <c r="AW24" i="6"/>
  <c r="AK24" i="6"/>
  <c r="Y24" i="6"/>
  <c r="M24" i="6"/>
  <c r="DD23" i="6"/>
  <c r="CR23" i="6"/>
  <c r="CF23" i="6"/>
  <c r="BT23" i="6"/>
  <c r="BH23" i="6"/>
  <c r="AV23" i="6"/>
  <c r="AJ23" i="6"/>
  <c r="X23" i="6"/>
  <c r="L23" i="6"/>
  <c r="DC22" i="6"/>
  <c r="CQ22" i="6"/>
  <c r="CE22" i="6"/>
  <c r="BS22" i="6"/>
  <c r="BG22" i="6"/>
  <c r="AU22" i="6"/>
  <c r="AI22" i="6"/>
  <c r="W22" i="6"/>
  <c r="K22" i="6"/>
  <c r="AI20" i="10" s="1"/>
  <c r="DB21" i="6"/>
  <c r="CP21" i="6"/>
  <c r="CD21" i="6"/>
  <c r="BR21" i="6"/>
  <c r="BF21" i="6"/>
  <c r="AT21" i="6"/>
  <c r="AH21" i="6"/>
  <c r="V21" i="6"/>
  <c r="J21" i="6"/>
  <c r="DA20" i="6"/>
  <c r="CO20" i="6"/>
  <c r="CC20" i="6"/>
  <c r="I34" i="6"/>
  <c r="AV33" i="6"/>
  <c r="CS32" i="6"/>
  <c r="AM32" i="6"/>
  <c r="CQ31" i="6"/>
  <c r="BN31" i="6"/>
  <c r="AN31" i="6"/>
  <c r="P31" i="6"/>
  <c r="DB30" i="6"/>
  <c r="CI30" i="6"/>
  <c r="BR30" i="6"/>
  <c r="AY30" i="6"/>
  <c r="AH30" i="6"/>
  <c r="Q30" i="6"/>
  <c r="DD29" i="6"/>
  <c r="CO29" i="6"/>
  <c r="BX29" i="6"/>
  <c r="BH29" i="6"/>
  <c r="AS29" i="6"/>
  <c r="AB29" i="6"/>
  <c r="L29" i="6"/>
  <c r="CZ28" i="6"/>
  <c r="CI28" i="6"/>
  <c r="BS28" i="6"/>
  <c r="BD28" i="6"/>
  <c r="AM28" i="6"/>
  <c r="W28" i="6"/>
  <c r="H28" i="6"/>
  <c r="CV27" i="6"/>
  <c r="CH27" i="6"/>
  <c r="BT27" i="6"/>
  <c r="BE27" i="6"/>
  <c r="AQ27" i="6"/>
  <c r="AB27" i="6"/>
  <c r="N27" i="6"/>
  <c r="DC26" i="6"/>
  <c r="CP26" i="6"/>
  <c r="CC26" i="6"/>
  <c r="BP26" i="6"/>
  <c r="BC26" i="6"/>
  <c r="AP26" i="6"/>
  <c r="AB26" i="6"/>
  <c r="O26" i="6"/>
  <c r="DE25" i="6"/>
  <c r="CR25" i="6"/>
  <c r="CE25" i="6"/>
  <c r="BR25" i="6"/>
  <c r="BE25" i="6"/>
  <c r="AR25" i="6"/>
  <c r="AE25" i="6"/>
  <c r="R25" i="6"/>
  <c r="CT24" i="6"/>
  <c r="CG24" i="6"/>
  <c r="BT24" i="6"/>
  <c r="BH24" i="6"/>
  <c r="AV24" i="6"/>
  <c r="AJ24" i="6"/>
  <c r="X24" i="6"/>
  <c r="L24" i="6"/>
  <c r="DC23" i="6"/>
  <c r="CQ23" i="6"/>
  <c r="CE23" i="6"/>
  <c r="BS23" i="6"/>
  <c r="BG23" i="6"/>
  <c r="AU23" i="6"/>
  <c r="AI23" i="6"/>
  <c r="W23" i="6"/>
  <c r="K23" i="6"/>
  <c r="AI21" i="10" s="1"/>
  <c r="DB22" i="6"/>
  <c r="CP22" i="6"/>
  <c r="CD22" i="6"/>
  <c r="BR22" i="6"/>
  <c r="BF22" i="6"/>
  <c r="AT22" i="6"/>
  <c r="AH22" i="6"/>
  <c r="V22" i="6"/>
  <c r="J22" i="6"/>
  <c r="DA21" i="6"/>
  <c r="DC33" i="6"/>
  <c r="AN33" i="6"/>
  <c r="CK32" i="6"/>
  <c r="AF32" i="6"/>
  <c r="CM31" i="6"/>
  <c r="BM31" i="6"/>
  <c r="AK31" i="6"/>
  <c r="N31" i="6"/>
  <c r="CX30" i="6"/>
  <c r="CG30" i="6"/>
  <c r="BN30" i="6"/>
  <c r="AW30" i="6"/>
  <c r="AE30" i="6"/>
  <c r="P30" i="6"/>
  <c r="DC29" i="6"/>
  <c r="CL29" i="6"/>
  <c r="BW29" i="6"/>
  <c r="BG29" i="6"/>
  <c r="AP29" i="6"/>
  <c r="AA29" i="6"/>
  <c r="K29" i="6"/>
  <c r="AI27" i="10" s="1"/>
  <c r="CW28" i="6"/>
  <c r="CH28" i="6"/>
  <c r="CW33" i="6"/>
  <c r="AJ33" i="6"/>
  <c r="CG32" i="6"/>
  <c r="AB32" i="6"/>
  <c r="CL31" i="6"/>
  <c r="BI31" i="6"/>
  <c r="AI31" i="6"/>
  <c r="M31" i="6"/>
  <c r="CW30" i="6"/>
  <c r="CF30" i="6"/>
  <c r="BM30" i="6"/>
  <c r="AV30" i="6"/>
  <c r="AD30" i="6"/>
  <c r="O30" i="6"/>
  <c r="DB29" i="6"/>
  <c r="CK29" i="6"/>
  <c r="BV29" i="6"/>
  <c r="BF29" i="6"/>
  <c r="AO29" i="6"/>
  <c r="Z29" i="6"/>
  <c r="J29" i="6"/>
  <c r="CV28" i="6"/>
  <c r="CU33" i="6"/>
  <c r="AF33" i="6"/>
  <c r="CE32" i="6"/>
  <c r="Z32" i="6"/>
  <c r="CK31" i="6"/>
  <c r="BG31" i="6"/>
  <c r="AE31" i="6"/>
  <c r="L31" i="6"/>
  <c r="CV30" i="6"/>
  <c r="CE30" i="6"/>
  <c r="BL30" i="6"/>
  <c r="AU30" i="6"/>
  <c r="AC30" i="6"/>
  <c r="M30" i="6"/>
  <c r="DA29" i="6"/>
  <c r="CJ29" i="6"/>
  <c r="BT29" i="6"/>
  <c r="CR34" i="6"/>
  <c r="CK33" i="6"/>
  <c r="Z33" i="6"/>
  <c r="BW32" i="6"/>
  <c r="S32" i="6"/>
  <c r="CG31" i="6"/>
  <c r="BC31" i="6"/>
  <c r="AD31" i="6"/>
  <c r="K31" i="6"/>
  <c r="AI29" i="10" s="1"/>
  <c r="CU30" i="6"/>
  <c r="CD30" i="6"/>
  <c r="BK30" i="6"/>
  <c r="AT30" i="6"/>
  <c r="AB30" i="6"/>
  <c r="L30" i="6"/>
  <c r="CX29" i="6"/>
  <c r="CI29" i="6"/>
  <c r="BS29" i="6"/>
  <c r="BB29" i="6"/>
  <c r="AM29" i="6"/>
  <c r="W29" i="6"/>
  <c r="CT28" i="6"/>
  <c r="CD28" i="6"/>
  <c r="M32" i="6"/>
  <c r="CF29" i="6"/>
  <c r="CQ28" i="6"/>
  <c r="BK28" i="6"/>
  <c r="AI28" i="6"/>
  <c r="CM27" i="6"/>
  <c r="BO27" i="6"/>
  <c r="AN27" i="6"/>
  <c r="U27" i="6"/>
  <c r="DA26" i="6"/>
  <c r="CI26" i="6"/>
  <c r="BN26" i="6"/>
  <c r="AV26" i="6"/>
  <c r="Z26" i="6"/>
  <c r="I26" i="6"/>
  <c r="CP25" i="6"/>
  <c r="BY25" i="6"/>
  <c r="BC25" i="6"/>
  <c r="AK25" i="6"/>
  <c r="O25" i="6"/>
  <c r="DA24" i="6"/>
  <c r="CE24" i="6"/>
  <c r="BN24" i="6"/>
  <c r="AT24" i="6"/>
  <c r="AD24" i="6"/>
  <c r="J24" i="6"/>
  <c r="CW23" i="6"/>
  <c r="CC23" i="6"/>
  <c r="BM23" i="6"/>
  <c r="AS23" i="6"/>
  <c r="AC23" i="6"/>
  <c r="I23" i="6"/>
  <c r="CV22" i="6"/>
  <c r="CB22" i="6"/>
  <c r="BL22" i="6"/>
  <c r="AR22" i="6"/>
  <c r="AB22" i="6"/>
  <c r="H22" i="6"/>
  <c r="CU21" i="6"/>
  <c r="CC21" i="6"/>
  <c r="BN21" i="6"/>
  <c r="AY21" i="6"/>
  <c r="AG21" i="6"/>
  <c r="S21" i="6"/>
  <c r="CT20" i="6"/>
  <c r="CF20" i="6"/>
  <c r="BQ20" i="6"/>
  <c r="BD20" i="6"/>
  <c r="AQ20" i="6"/>
  <c r="AE20" i="6"/>
  <c r="S20" i="6"/>
  <c r="G20" i="6"/>
  <c r="CX19" i="6"/>
  <c r="CL19" i="6"/>
  <c r="BZ19" i="6"/>
  <c r="BN19" i="6"/>
  <c r="BB19" i="6"/>
  <c r="AP19" i="6"/>
  <c r="AD19" i="6"/>
  <c r="CA31" i="6"/>
  <c r="BQ29" i="6"/>
  <c r="CO28" i="6"/>
  <c r="BI28" i="6"/>
  <c r="AH28" i="6"/>
  <c r="CK27" i="6"/>
  <c r="BL27" i="6"/>
  <c r="AM27" i="6"/>
  <c r="S27" i="6"/>
  <c r="CZ26" i="6"/>
  <c r="CG26" i="6"/>
  <c r="BL26" i="6"/>
  <c r="AT26" i="6"/>
  <c r="Y26" i="6"/>
  <c r="G26" i="6"/>
  <c r="CO25" i="6"/>
  <c r="BV25" i="6"/>
  <c r="BB25" i="6"/>
  <c r="AI25" i="6"/>
  <c r="N25" i="6"/>
  <c r="CY24" i="6"/>
  <c r="CD24" i="6"/>
  <c r="BL24" i="6"/>
  <c r="AS24" i="6"/>
  <c r="AB24" i="6"/>
  <c r="I24" i="6"/>
  <c r="CU23" i="6"/>
  <c r="CB23" i="6"/>
  <c r="BK23" i="6"/>
  <c r="AR23" i="6"/>
  <c r="AA23" i="6"/>
  <c r="H23" i="6"/>
  <c r="CT22" i="6"/>
  <c r="CA22" i="6"/>
  <c r="BJ22" i="6"/>
  <c r="AQ22" i="6"/>
  <c r="Z22" i="6"/>
  <c r="G22" i="6"/>
  <c r="CS21" i="6"/>
  <c r="CB21" i="6"/>
  <c r="BM21" i="6"/>
  <c r="AW21" i="6"/>
  <c r="AF21" i="6"/>
  <c r="R21" i="6"/>
  <c r="CS20" i="6"/>
  <c r="CE20" i="6"/>
  <c r="BP20" i="6"/>
  <c r="BC20" i="6"/>
  <c r="AP20" i="6"/>
  <c r="AD20" i="6"/>
  <c r="R20" i="6"/>
  <c r="CW19" i="6"/>
  <c r="CK19" i="6"/>
  <c r="BY19" i="6"/>
  <c r="BM19" i="6"/>
  <c r="BA19" i="6"/>
  <c r="AO19" i="6"/>
  <c r="AC19" i="6"/>
  <c r="Q19" i="6"/>
  <c r="CV18" i="6"/>
  <c r="CJ18" i="6"/>
  <c r="BX18" i="6"/>
  <c r="BL18" i="6"/>
  <c r="AZ18" i="6"/>
  <c r="AN18" i="6"/>
  <c r="AB18" i="6"/>
  <c r="P18" i="6"/>
  <c r="CU17" i="6"/>
  <c r="CI17" i="6"/>
  <c r="BW17" i="6"/>
  <c r="BK17" i="6"/>
  <c r="AY17" i="6"/>
  <c r="AM17" i="6"/>
  <c r="AA17" i="6"/>
  <c r="O17" i="6"/>
  <c r="CT16" i="6"/>
  <c r="CH16" i="6"/>
  <c r="BV16" i="6"/>
  <c r="BJ16" i="6"/>
  <c r="AX16" i="6"/>
  <c r="AL16" i="6"/>
  <c r="Z16" i="6"/>
  <c r="N16" i="6"/>
  <c r="DE15" i="6"/>
  <c r="CS15" i="6"/>
  <c r="CG15" i="6"/>
  <c r="BU15" i="6"/>
  <c r="BI15" i="6"/>
  <c r="AW15" i="6"/>
  <c r="AK15" i="6"/>
  <c r="Y15" i="6"/>
  <c r="M15" i="6"/>
  <c r="DD14" i="6"/>
  <c r="CR14" i="6"/>
  <c r="CF14" i="6"/>
  <c r="BT14" i="6"/>
  <c r="BH14" i="6"/>
  <c r="AV14" i="6"/>
  <c r="AJ14" i="6"/>
  <c r="X14" i="6"/>
  <c r="L14" i="6"/>
  <c r="DC13" i="6"/>
  <c r="CQ13" i="6"/>
  <c r="CE13" i="6"/>
  <c r="BS13" i="6"/>
  <c r="BG13" i="6"/>
  <c r="AU13" i="6"/>
  <c r="AI13" i="6"/>
  <c r="W13" i="6"/>
  <c r="K13" i="6"/>
  <c r="AI11" i="10" s="1"/>
  <c r="DB12" i="6"/>
  <c r="CP12" i="6"/>
  <c r="CD12" i="6"/>
  <c r="BR12" i="6"/>
  <c r="BF12" i="6"/>
  <c r="AT12" i="6"/>
  <c r="AH12" i="6"/>
  <c r="V12" i="6"/>
  <c r="J12" i="6"/>
  <c r="DA11" i="6"/>
  <c r="CO11" i="6"/>
  <c r="CC11" i="6"/>
  <c r="BQ11" i="6"/>
  <c r="BE11" i="6"/>
  <c r="AS11" i="6"/>
  <c r="AG11" i="6"/>
  <c r="U11" i="6"/>
  <c r="I11" i="6"/>
  <c r="CZ10" i="6"/>
  <c r="CN10" i="6"/>
  <c r="CB10" i="6"/>
  <c r="BP10" i="6"/>
  <c r="BD10" i="6"/>
  <c r="AR10" i="6"/>
  <c r="AF10" i="6"/>
  <c r="T10" i="6"/>
  <c r="H10" i="6"/>
  <c r="CY9" i="6"/>
  <c r="CM9" i="6"/>
  <c r="CA9" i="6"/>
  <c r="BO9" i="6"/>
  <c r="BC9" i="6"/>
  <c r="AQ9" i="6"/>
  <c r="AE9" i="6"/>
  <c r="S9" i="6"/>
  <c r="G9" i="6"/>
  <c r="CX8" i="6"/>
  <c r="CL8" i="6"/>
  <c r="BZ8" i="6"/>
  <c r="BN8" i="6"/>
  <c r="BB8" i="6"/>
  <c r="AP8" i="6"/>
  <c r="AD8" i="6"/>
  <c r="R8" i="6"/>
  <c r="BA31" i="6"/>
  <c r="BE29" i="6"/>
  <c r="CN28" i="6"/>
  <c r="BG28" i="6"/>
  <c r="AF28" i="6"/>
  <c r="CG27" i="6"/>
  <c r="BJ27" i="6"/>
  <c r="AL27" i="6"/>
  <c r="Q27" i="6"/>
  <c r="CY26" i="6"/>
  <c r="CF26" i="6"/>
  <c r="BK26" i="6"/>
  <c r="AS26" i="6"/>
  <c r="X26" i="6"/>
  <c r="CN25" i="6"/>
  <c r="BU25" i="6"/>
  <c r="BA25" i="6"/>
  <c r="AH25" i="6"/>
  <c r="M25" i="6"/>
  <c r="CX24" i="6"/>
  <c r="CC24" i="6"/>
  <c r="BK24" i="6"/>
  <c r="AR24" i="6"/>
  <c r="AA24" i="6"/>
  <c r="H24" i="6"/>
  <c r="CT23" i="6"/>
  <c r="CA23" i="6"/>
  <c r="BJ23" i="6"/>
  <c r="AQ23" i="6"/>
  <c r="Z23" i="6"/>
  <c r="G23" i="6"/>
  <c r="CS22" i="6"/>
  <c r="BZ22" i="6"/>
  <c r="BI22" i="6"/>
  <c r="AP22" i="6"/>
  <c r="Y22" i="6"/>
  <c r="CR21" i="6"/>
  <c r="CA21" i="6"/>
  <c r="BL21" i="6"/>
  <c r="AV21" i="6"/>
  <c r="AE21" i="6"/>
  <c r="Q21" i="6"/>
  <c r="CR20" i="6"/>
  <c r="CB20" i="6"/>
  <c r="BO20" i="6"/>
  <c r="BB20" i="6"/>
  <c r="AO20" i="6"/>
  <c r="AC20" i="6"/>
  <c r="Q20" i="6"/>
  <c r="CV19" i="6"/>
  <c r="CJ19" i="6"/>
  <c r="BX19" i="6"/>
  <c r="BL19" i="6"/>
  <c r="AZ19" i="6"/>
  <c r="AN19" i="6"/>
  <c r="AB19" i="6"/>
  <c r="P19" i="6"/>
  <c r="CU18" i="6"/>
  <c r="CI18" i="6"/>
  <c r="BW18" i="6"/>
  <c r="BK18" i="6"/>
  <c r="AY18" i="6"/>
  <c r="AM18" i="6"/>
  <c r="AA18" i="6"/>
  <c r="O18" i="6"/>
  <c r="CT17" i="6"/>
  <c r="CH17" i="6"/>
  <c r="BV17" i="6"/>
  <c r="BJ17" i="6"/>
  <c r="AB31" i="6"/>
  <c r="AZ29" i="6"/>
  <c r="CG28" i="6"/>
  <c r="BA28" i="6"/>
  <c r="AB28" i="6"/>
  <c r="CF27" i="6"/>
  <c r="BI27" i="6"/>
  <c r="AK27" i="6"/>
  <c r="M27" i="6"/>
  <c r="CX26" i="6"/>
  <c r="CB26" i="6"/>
  <c r="BJ26" i="6"/>
  <c r="AN26" i="6"/>
  <c r="W26" i="6"/>
  <c r="DD25" i="6"/>
  <c r="CM25" i="6"/>
  <c r="BQ25" i="6"/>
  <c r="AY25" i="6"/>
  <c r="AD25" i="6"/>
  <c r="L25" i="6"/>
  <c r="CS24" i="6"/>
  <c r="CB24" i="6"/>
  <c r="BG24" i="6"/>
  <c r="AQ24" i="6"/>
  <c r="W24" i="6"/>
  <c r="G24" i="6"/>
  <c r="CP23" i="6"/>
  <c r="BZ23" i="6"/>
  <c r="BF23" i="6"/>
  <c r="AP23" i="6"/>
  <c r="V23" i="6"/>
  <c r="CO22" i="6"/>
  <c r="BY22" i="6"/>
  <c r="BE22" i="6"/>
  <c r="AO22" i="6"/>
  <c r="AN29" i="6"/>
  <c r="CE28" i="6"/>
  <c r="AZ28" i="6"/>
  <c r="AA28" i="6"/>
  <c r="DD27" i="6"/>
  <c r="CD27" i="6"/>
  <c r="BD27" i="6"/>
  <c r="AJ27" i="6"/>
  <c r="L27" i="6"/>
  <c r="CV26" i="6"/>
  <c r="CA26" i="6"/>
  <c r="BI26" i="6"/>
  <c r="AM26" i="6"/>
  <c r="V26" i="6"/>
  <c r="DC25" i="6"/>
  <c r="CL25" i="6"/>
  <c r="BP25" i="6"/>
  <c r="AX25" i="6"/>
  <c r="AC25" i="6"/>
  <c r="K25" i="6"/>
  <c r="AI23" i="10" s="1"/>
  <c r="CR24" i="6"/>
  <c r="CA24" i="6"/>
  <c r="BF24" i="6"/>
  <c r="AP24" i="6"/>
  <c r="V24" i="6"/>
  <c r="CO23" i="6"/>
  <c r="BY23" i="6"/>
  <c r="BE23" i="6"/>
  <c r="AO23" i="6"/>
  <c r="U23" i="6"/>
  <c r="CN22" i="6"/>
  <c r="BX22" i="6"/>
  <c r="BD22" i="6"/>
  <c r="AN22" i="6"/>
  <c r="T22" i="6"/>
  <c r="CN21" i="6"/>
  <c r="BY21" i="6"/>
  <c r="BI21" i="6"/>
  <c r="AR21" i="6"/>
  <c r="AC21" i="6"/>
  <c r="CR30" i="6"/>
  <c r="AJ29" i="6"/>
  <c r="CB28" i="6"/>
  <c r="AY28" i="6"/>
  <c r="V28" i="6"/>
  <c r="DA27" i="6"/>
  <c r="CC27" i="6"/>
  <c r="BC27" i="6"/>
  <c r="AG27" i="6"/>
  <c r="J27" i="6"/>
  <c r="CT26" i="6"/>
  <c r="BZ26" i="6"/>
  <c r="BG26" i="6"/>
  <c r="AL26" i="6"/>
  <c r="T26" i="6"/>
  <c r="DB25" i="6"/>
  <c r="CI25" i="6"/>
  <c r="BO25" i="6"/>
  <c r="AV25" i="6"/>
  <c r="AA25" i="6"/>
  <c r="I25" i="6"/>
  <c r="CQ24" i="6"/>
  <c r="BY24" i="6"/>
  <c r="BE24" i="6"/>
  <c r="AN24" i="6"/>
  <c r="U24" i="6"/>
  <c r="CN23" i="6"/>
  <c r="BW23" i="6"/>
  <c r="BD23" i="6"/>
  <c r="AM23" i="6"/>
  <c r="T23" i="6"/>
  <c r="CM22" i="6"/>
  <c r="BV22" i="6"/>
  <c r="BC22" i="6"/>
  <c r="AL22" i="6"/>
  <c r="S22" i="6"/>
  <c r="DE21" i="6"/>
  <c r="CM21" i="6"/>
  <c r="BX21" i="6"/>
  <c r="BH21" i="6"/>
  <c r="AQ21" i="6"/>
  <c r="AB21" i="6"/>
  <c r="N21" i="6"/>
  <c r="DC20" i="6"/>
  <c r="CM20" i="6"/>
  <c r="BY20" i="6"/>
  <c r="BL20" i="6"/>
  <c r="AY20" i="6"/>
  <c r="AL20" i="6"/>
  <c r="Z20" i="6"/>
  <c r="N20" i="6"/>
  <c r="DE19" i="6"/>
  <c r="CS19" i="6"/>
  <c r="CG19" i="6"/>
  <c r="BU19" i="6"/>
  <c r="BI19" i="6"/>
  <c r="AW19" i="6"/>
  <c r="AK19" i="6"/>
  <c r="Y19" i="6"/>
  <c r="M19" i="6"/>
  <c r="DD18" i="6"/>
  <c r="CR18" i="6"/>
  <c r="CF18" i="6"/>
  <c r="BT18" i="6"/>
  <c r="BH18" i="6"/>
  <c r="AV18" i="6"/>
  <c r="AJ18" i="6"/>
  <c r="X18" i="6"/>
  <c r="L18" i="6"/>
  <c r="DC17" i="6"/>
  <c r="CQ17" i="6"/>
  <c r="CE17" i="6"/>
  <c r="BS17" i="6"/>
  <c r="BG17" i="6"/>
  <c r="AU17" i="6"/>
  <c r="AI17" i="6"/>
  <c r="W17" i="6"/>
  <c r="K17" i="6"/>
  <c r="AI15" i="10" s="1"/>
  <c r="DB16" i="6"/>
  <c r="CP16" i="6"/>
  <c r="CD16" i="6"/>
  <c r="BR16" i="6"/>
  <c r="BF16" i="6"/>
  <c r="AT16" i="6"/>
  <c r="AH16" i="6"/>
  <c r="V16" i="6"/>
  <c r="J16" i="6"/>
  <c r="DA15" i="6"/>
  <c r="CO15" i="6"/>
  <c r="CC15" i="6"/>
  <c r="BQ15" i="6"/>
  <c r="BE15" i="6"/>
  <c r="AS15" i="6"/>
  <c r="AG15" i="6"/>
  <c r="U15" i="6"/>
  <c r="I15" i="6"/>
  <c r="CZ14" i="6"/>
  <c r="CN14" i="6"/>
  <c r="CB14" i="6"/>
  <c r="BP14" i="6"/>
  <c r="BD14" i="6"/>
  <c r="AR14" i="6"/>
  <c r="AF14" i="6"/>
  <c r="T14" i="6"/>
  <c r="H14" i="6"/>
  <c r="CY13" i="6"/>
  <c r="CM13" i="6"/>
  <c r="CA13" i="6"/>
  <c r="BO13" i="6"/>
  <c r="BC13" i="6"/>
  <c r="AQ13" i="6"/>
  <c r="AE13" i="6"/>
  <c r="S13" i="6"/>
  <c r="G13" i="6"/>
  <c r="CX12" i="6"/>
  <c r="CL12" i="6"/>
  <c r="BZ12" i="6"/>
  <c r="BN12" i="6"/>
  <c r="BB12" i="6"/>
  <c r="AP12" i="6"/>
  <c r="AD12" i="6"/>
  <c r="R12" i="6"/>
  <c r="CW11" i="6"/>
  <c r="CK11" i="6"/>
  <c r="BY11" i="6"/>
  <c r="BM11" i="6"/>
  <c r="BA11" i="6"/>
  <c r="AO11" i="6"/>
  <c r="AC11" i="6"/>
  <c r="Q11" i="6"/>
  <c r="CV10" i="6"/>
  <c r="CJ10" i="6"/>
  <c r="BX10" i="6"/>
  <c r="BL10" i="6"/>
  <c r="AZ10" i="6"/>
  <c r="AN10" i="6"/>
  <c r="AB10" i="6"/>
  <c r="P10" i="6"/>
  <c r="BY30" i="6"/>
  <c r="X29" i="6"/>
  <c r="BX28" i="6"/>
  <c r="AX28" i="6"/>
  <c r="U28" i="6"/>
  <c r="CZ27" i="6"/>
  <c r="CA27" i="6"/>
  <c r="BA27" i="6"/>
  <c r="AF27" i="6"/>
  <c r="I27" i="6"/>
  <c r="CS26" i="6"/>
  <c r="BX26" i="6"/>
  <c r="BF26" i="6"/>
  <c r="AK26" i="6"/>
  <c r="S26" i="6"/>
  <c r="DA25" i="6"/>
  <c r="CH25" i="6"/>
  <c r="BN25" i="6"/>
  <c r="AU25" i="6"/>
  <c r="Z25" i="6"/>
  <c r="H25" i="6"/>
  <c r="CP24" i="6"/>
  <c r="BX24" i="6"/>
  <c r="BD24" i="6"/>
  <c r="AM24" i="6"/>
  <c r="T24" i="6"/>
  <c r="CM23" i="6"/>
  <c r="BV23" i="6"/>
  <c r="BC23" i="6"/>
  <c r="AL23" i="6"/>
  <c r="S23" i="6"/>
  <c r="DE22" i="6"/>
  <c r="CL22" i="6"/>
  <c r="BU22" i="6"/>
  <c r="BB22" i="6"/>
  <c r="AK22" i="6"/>
  <c r="R22" i="6"/>
  <c r="DD21" i="6"/>
  <c r="CL21" i="6"/>
  <c r="BW21" i="6"/>
  <c r="BE21" i="6"/>
  <c r="AP21" i="6"/>
  <c r="AA21" i="6"/>
  <c r="M21" i="6"/>
  <c r="CZ20" i="6"/>
  <c r="CL20" i="6"/>
  <c r="BX20" i="6"/>
  <c r="BK20" i="6"/>
  <c r="AX20" i="6"/>
  <c r="AK20" i="6"/>
  <c r="Y20" i="6"/>
  <c r="M20" i="6"/>
  <c r="DD19" i="6"/>
  <c r="CR19" i="6"/>
  <c r="CF19" i="6"/>
  <c r="BT19" i="6"/>
  <c r="BH19" i="6"/>
  <c r="AV19" i="6"/>
  <c r="AJ19" i="6"/>
  <c r="X19" i="6"/>
  <c r="L19" i="6"/>
  <c r="DC18" i="6"/>
  <c r="CQ18" i="6"/>
  <c r="CE18" i="6"/>
  <c r="BS18" i="6"/>
  <c r="BG18" i="6"/>
  <c r="AU18" i="6"/>
  <c r="AI18" i="6"/>
  <c r="W18" i="6"/>
  <c r="K18" i="6"/>
  <c r="AI16" i="10" s="1"/>
  <c r="DB17" i="6"/>
  <c r="CP17" i="6"/>
  <c r="CD17" i="6"/>
  <c r="BR17" i="6"/>
  <c r="BF17" i="6"/>
  <c r="AT17" i="6"/>
  <c r="AH17" i="6"/>
  <c r="V17" i="6"/>
  <c r="J17" i="6"/>
  <c r="DA16" i="6"/>
  <c r="CO16" i="6"/>
  <c r="CC16" i="6"/>
  <c r="BQ16" i="6"/>
  <c r="BE16" i="6"/>
  <c r="AS16" i="6"/>
  <c r="AG16" i="6"/>
  <c r="U16" i="6"/>
  <c r="I16" i="6"/>
  <c r="CZ15" i="6"/>
  <c r="CN15" i="6"/>
  <c r="CB15" i="6"/>
  <c r="BP15" i="6"/>
  <c r="BD15" i="6"/>
  <c r="AR15" i="6"/>
  <c r="AF15" i="6"/>
  <c r="T15" i="6"/>
  <c r="H15" i="6"/>
  <c r="CY14" i="6"/>
  <c r="CM14" i="6"/>
  <c r="CA14" i="6"/>
  <c r="BO14" i="6"/>
  <c r="BC14" i="6"/>
  <c r="AQ14" i="6"/>
  <c r="AE14" i="6"/>
  <c r="S14" i="6"/>
  <c r="G14" i="6"/>
  <c r="CX13" i="6"/>
  <c r="CL13" i="6"/>
  <c r="BZ13" i="6"/>
  <c r="BN13" i="6"/>
  <c r="BB13" i="6"/>
  <c r="AP13" i="6"/>
  <c r="AD13" i="6"/>
  <c r="R13" i="6"/>
  <c r="CW12" i="6"/>
  <c r="CK12" i="6"/>
  <c r="BY12" i="6"/>
  <c r="BM12" i="6"/>
  <c r="BA12" i="6"/>
  <c r="AO12" i="6"/>
  <c r="AC12" i="6"/>
  <c r="Q12" i="6"/>
  <c r="CV11" i="6"/>
  <c r="CJ11" i="6"/>
  <c r="BX11" i="6"/>
  <c r="BL11" i="6"/>
  <c r="AZ11" i="6"/>
  <c r="AN11" i="6"/>
  <c r="AB11" i="6"/>
  <c r="P11" i="6"/>
  <c r="CU10" i="6"/>
  <c r="CI10" i="6"/>
  <c r="BW10" i="6"/>
  <c r="BK10" i="6"/>
  <c r="AY10" i="6"/>
  <c r="AM10" i="6"/>
  <c r="AA10" i="6"/>
  <c r="O10" i="6"/>
  <c r="CT9" i="6"/>
  <c r="CH9" i="6"/>
  <c r="BV9" i="6"/>
  <c r="BJ9" i="6"/>
  <c r="AX9" i="6"/>
  <c r="AL9" i="6"/>
  <c r="Z9" i="6"/>
  <c r="N9" i="6"/>
  <c r="DE8" i="6"/>
  <c r="CS8" i="6"/>
  <c r="CG8" i="6"/>
  <c r="BU8" i="6"/>
  <c r="BI8" i="6"/>
  <c r="AW8" i="6"/>
  <c r="AK8" i="6"/>
  <c r="Y8" i="6"/>
  <c r="M8" i="6"/>
  <c r="DD7" i="6"/>
  <c r="CR7" i="6"/>
  <c r="CF7" i="6"/>
  <c r="BT7" i="6"/>
  <c r="BH7" i="6"/>
  <c r="AV7" i="6"/>
  <c r="AJ7" i="6"/>
  <c r="X7" i="6"/>
  <c r="L7" i="6"/>
  <c r="DC6" i="6"/>
  <c r="BH30" i="6"/>
  <c r="U29" i="6"/>
  <c r="BW28" i="6"/>
  <c r="AU28" i="6"/>
  <c r="T28" i="6"/>
  <c r="CU27" i="6"/>
  <c r="BX27" i="6"/>
  <c r="AZ27" i="6"/>
  <c r="AA27" i="6"/>
  <c r="H27" i="6"/>
  <c r="CO26" i="6"/>
  <c r="BW26" i="6"/>
  <c r="BB26" i="6"/>
  <c r="AJ26" i="6"/>
  <c r="N26" i="6"/>
  <c r="CZ25" i="6"/>
  <c r="CD25" i="6"/>
  <c r="BM25" i="6"/>
  <c r="AQ25" i="6"/>
  <c r="Y25" i="6"/>
  <c r="CO24" i="6"/>
  <c r="BS24" i="6"/>
  <c r="BC24" i="6"/>
  <c r="AI24" i="6"/>
  <c r="S24" i="6"/>
  <c r="DB23" i="6"/>
  <c r="CL23" i="6"/>
  <c r="BR23" i="6"/>
  <c r="BB23" i="6"/>
  <c r="AH23" i="6"/>
  <c r="R23" i="6"/>
  <c r="DA22" i="6"/>
  <c r="CK22" i="6"/>
  <c r="BQ22" i="6"/>
  <c r="BA22" i="6"/>
  <c r="AG22" i="6"/>
  <c r="Q22" i="6"/>
  <c r="CZ21" i="6"/>
  <c r="CK21" i="6"/>
  <c r="BU21" i="6"/>
  <c r="BD21" i="6"/>
  <c r="AO21" i="6"/>
  <c r="Z21" i="6"/>
  <c r="L21" i="6"/>
  <c r="CY20" i="6"/>
  <c r="CK20" i="6"/>
  <c r="BW20" i="6"/>
  <c r="BJ20" i="6"/>
  <c r="AW20" i="6"/>
  <c r="AJ20" i="6"/>
  <c r="X20" i="6"/>
  <c r="L20" i="6"/>
  <c r="DC19" i="6"/>
  <c r="CQ19" i="6"/>
  <c r="CE19" i="6"/>
  <c r="BS19" i="6"/>
  <c r="BG19" i="6"/>
  <c r="AU19" i="6"/>
  <c r="AI19" i="6"/>
  <c r="W19" i="6"/>
  <c r="K19" i="6"/>
  <c r="AI17" i="10" s="1"/>
  <c r="DB18" i="6"/>
  <c r="CP18" i="6"/>
  <c r="CD18" i="6"/>
  <c r="BR18" i="6"/>
  <c r="BF18" i="6"/>
  <c r="AT18" i="6"/>
  <c r="AH18" i="6"/>
  <c r="V18" i="6"/>
  <c r="J18" i="6"/>
  <c r="DA17" i="6"/>
  <c r="CO17" i="6"/>
  <c r="CC17" i="6"/>
  <c r="BQ17" i="6"/>
  <c r="BE17" i="6"/>
  <c r="AS17" i="6"/>
  <c r="AG17" i="6"/>
  <c r="U17" i="6"/>
  <c r="I17" i="6"/>
  <c r="CZ16" i="6"/>
  <c r="CN16" i="6"/>
  <c r="CB16" i="6"/>
  <c r="BP16" i="6"/>
  <c r="BD16" i="6"/>
  <c r="AR16" i="6"/>
  <c r="AF16" i="6"/>
  <c r="T16" i="6"/>
  <c r="H16" i="6"/>
  <c r="CY15" i="6"/>
  <c r="CM15" i="6"/>
  <c r="CA15" i="6"/>
  <c r="BO15" i="6"/>
  <c r="BC15" i="6"/>
  <c r="AQ15" i="6"/>
  <c r="AE15" i="6"/>
  <c r="S15" i="6"/>
  <c r="G15" i="6"/>
  <c r="CX14" i="6"/>
  <c r="CL14" i="6"/>
  <c r="BZ14" i="6"/>
  <c r="BN14" i="6"/>
  <c r="BB14" i="6"/>
  <c r="AP14" i="6"/>
  <c r="AD14" i="6"/>
  <c r="R14" i="6"/>
  <c r="CW13" i="6"/>
  <c r="CK13" i="6"/>
  <c r="BY13" i="6"/>
  <c r="BM13" i="6"/>
  <c r="BA13" i="6"/>
  <c r="AO13" i="6"/>
  <c r="AC13" i="6"/>
  <c r="Q13" i="6"/>
  <c r="CV12" i="6"/>
  <c r="CJ12" i="6"/>
  <c r="BX12" i="6"/>
  <c r="BL12" i="6"/>
  <c r="AZ12" i="6"/>
  <c r="AN12" i="6"/>
  <c r="AB12" i="6"/>
  <c r="P12" i="6"/>
  <c r="CU11" i="6"/>
  <c r="CI11" i="6"/>
  <c r="BW11" i="6"/>
  <c r="BK11" i="6"/>
  <c r="AY11" i="6"/>
  <c r="AO30" i="6"/>
  <c r="I29" i="6"/>
  <c r="BR28" i="6"/>
  <c r="AS28" i="6"/>
  <c r="Q28" i="6"/>
  <c r="CT27" i="6"/>
  <c r="BW27" i="6"/>
  <c r="AX27" i="6"/>
  <c r="Z27" i="6"/>
  <c r="G27" i="6"/>
  <c r="CN26" i="6"/>
  <c r="BV26" i="6"/>
  <c r="AZ26" i="6"/>
  <c r="AI26" i="6"/>
  <c r="M26" i="6"/>
  <c r="CY25" i="6"/>
  <c r="CC25" i="6"/>
  <c r="BK25" i="6"/>
  <c r="AP25" i="6"/>
  <c r="X25" i="6"/>
  <c r="DE24" i="6"/>
  <c r="CN24" i="6"/>
  <c r="BR24" i="6"/>
  <c r="BB24" i="6"/>
  <c r="AH24" i="6"/>
  <c r="R24" i="6"/>
  <c r="DA23" i="6"/>
  <c r="CK23" i="6"/>
  <c r="BQ23" i="6"/>
  <c r="BA23" i="6"/>
  <c r="AG23" i="6"/>
  <c r="Q23" i="6"/>
  <c r="CZ22" i="6"/>
  <c r="CJ22" i="6"/>
  <c r="BP22" i="6"/>
  <c r="AZ22" i="6"/>
  <c r="AF22" i="6"/>
  <c r="P22" i="6"/>
  <c r="CY21" i="6"/>
  <c r="CJ21" i="6"/>
  <c r="BT21" i="6"/>
  <c r="BC21" i="6"/>
  <c r="AN21" i="6"/>
  <c r="Y21" i="6"/>
  <c r="I21" i="6"/>
  <c r="CX20" i="6"/>
  <c r="CJ20" i="6"/>
  <c r="BV20" i="6"/>
  <c r="BI20" i="6"/>
  <c r="AV20" i="6"/>
  <c r="AI20" i="6"/>
  <c r="W20" i="6"/>
  <c r="K20" i="6"/>
  <c r="AI18" i="10" s="1"/>
  <c r="DB19" i="6"/>
  <c r="CP19" i="6"/>
  <c r="CD19" i="6"/>
  <c r="BR19" i="6"/>
  <c r="BF19" i="6"/>
  <c r="AT19" i="6"/>
  <c r="AH19" i="6"/>
  <c r="V19" i="6"/>
  <c r="J19" i="6"/>
  <c r="DA18" i="6"/>
  <c r="CO18" i="6"/>
  <c r="CC18" i="6"/>
  <c r="BQ18" i="6"/>
  <c r="BE18" i="6"/>
  <c r="AS18" i="6"/>
  <c r="AG18" i="6"/>
  <c r="U18" i="6"/>
  <c r="I18" i="6"/>
  <c r="CZ17" i="6"/>
  <c r="CN17" i="6"/>
  <c r="CB17" i="6"/>
  <c r="BP17" i="6"/>
  <c r="BD17" i="6"/>
  <c r="Y30" i="6"/>
  <c r="BQ28" i="6"/>
  <c r="AR28" i="6"/>
  <c r="O28" i="6"/>
  <c r="CS27" i="6"/>
  <c r="BR27" i="6"/>
  <c r="AV27" i="6"/>
  <c r="Y27" i="6"/>
  <c r="CM26" i="6"/>
  <c r="BT26" i="6"/>
  <c r="AY26" i="6"/>
  <c r="AG26" i="6"/>
  <c r="L26" i="6"/>
  <c r="CW25" i="6"/>
  <c r="CB25" i="6"/>
  <c r="BI25" i="6"/>
  <c r="AO25" i="6"/>
  <c r="V25" i="6"/>
  <c r="DD24" i="6"/>
  <c r="CL24" i="6"/>
  <c r="BQ24" i="6"/>
  <c r="AZ24" i="6"/>
  <c r="AG24" i="6"/>
  <c r="P24" i="6"/>
  <c r="CZ23" i="6"/>
  <c r="CI23" i="6"/>
  <c r="BP23" i="6"/>
  <c r="AY23" i="6"/>
  <c r="AF23" i="6"/>
  <c r="O23" i="6"/>
  <c r="CY22" i="6"/>
  <c r="CH22" i="6"/>
  <c r="BO22" i="6"/>
  <c r="AX22" i="6"/>
  <c r="AE22" i="6"/>
  <c r="N22" i="6"/>
  <c r="CX21" i="6"/>
  <c r="CI21" i="6"/>
  <c r="BQ21" i="6"/>
  <c r="BB21" i="6"/>
  <c r="AM21" i="6"/>
  <c r="X21" i="6"/>
  <c r="H21" i="6"/>
  <c r="CW20" i="6"/>
  <c r="CI20" i="6"/>
  <c r="BU20" i="6"/>
  <c r="BH20" i="6"/>
  <c r="AU20" i="6"/>
  <c r="AH20" i="6"/>
  <c r="V20" i="6"/>
  <c r="J20" i="6"/>
  <c r="DA19" i="6"/>
  <c r="CO19" i="6"/>
  <c r="CC19" i="6"/>
  <c r="BQ19" i="6"/>
  <c r="BE19" i="6"/>
  <c r="AS19" i="6"/>
  <c r="AG19" i="6"/>
  <c r="U19" i="6"/>
  <c r="I19" i="6"/>
  <c r="CZ18" i="6"/>
  <c r="CN18" i="6"/>
  <c r="CB18" i="6"/>
  <c r="BP18" i="6"/>
  <c r="BD18" i="6"/>
  <c r="AR18" i="6"/>
  <c r="AF18" i="6"/>
  <c r="T18" i="6"/>
  <c r="H18" i="6"/>
  <c r="CY17" i="6"/>
  <c r="CM17" i="6"/>
  <c r="CA17" i="6"/>
  <c r="BO17" i="6"/>
  <c r="BC17" i="6"/>
  <c r="J30" i="6"/>
  <c r="DE28" i="6"/>
  <c r="BP28" i="6"/>
  <c r="AL28" i="6"/>
  <c r="M28" i="6"/>
  <c r="CR27" i="6"/>
  <c r="BQ27" i="6"/>
  <c r="AT27" i="6"/>
  <c r="X27" i="6"/>
  <c r="CL26" i="6"/>
  <c r="BS26" i="6"/>
  <c r="AX26" i="6"/>
  <c r="AF26" i="6"/>
  <c r="K26" i="6"/>
  <c r="AI24" i="10" s="1"/>
  <c r="CU25" i="6"/>
  <c r="CA25" i="6"/>
  <c r="BH25" i="6"/>
  <c r="AM25" i="6"/>
  <c r="U25" i="6"/>
  <c r="DC24" i="6"/>
  <c r="CK24" i="6"/>
  <c r="BP24" i="6"/>
  <c r="AY24" i="6"/>
  <c r="AF24" i="6"/>
  <c r="O24" i="6"/>
  <c r="CY23" i="6"/>
  <c r="CH23" i="6"/>
  <c r="BO23" i="6"/>
  <c r="AX23" i="6"/>
  <c r="AE23" i="6"/>
  <c r="N23" i="6"/>
  <c r="CX22" i="6"/>
  <c r="CG22" i="6"/>
  <c r="BN22" i="6"/>
  <c r="AW22" i="6"/>
  <c r="AD22" i="6"/>
  <c r="M22" i="6"/>
  <c r="CW21" i="6"/>
  <c r="CG21" i="6"/>
  <c r="BP21" i="6"/>
  <c r="BA21" i="6"/>
  <c r="AK21" i="6"/>
  <c r="U21" i="6"/>
  <c r="G21" i="6"/>
  <c r="CV20" i="6"/>
  <c r="CH20" i="6"/>
  <c r="BT20" i="6"/>
  <c r="BG20" i="6"/>
  <c r="AS20" i="6"/>
  <c r="AG20" i="6"/>
  <c r="U20" i="6"/>
  <c r="I20" i="6"/>
  <c r="CZ19" i="6"/>
  <c r="CN19" i="6"/>
  <c r="CB19" i="6"/>
  <c r="BP19" i="6"/>
  <c r="BD19" i="6"/>
  <c r="AR19" i="6"/>
  <c r="AF19" i="6"/>
  <c r="T19" i="6"/>
  <c r="H19" i="6"/>
  <c r="CY18" i="6"/>
  <c r="CM18" i="6"/>
  <c r="CA18" i="6"/>
  <c r="BO18" i="6"/>
  <c r="BC18" i="6"/>
  <c r="AQ18" i="6"/>
  <c r="BO32" i="6"/>
  <c r="CV29" i="6"/>
  <c r="CU28" i="6"/>
  <c r="BM28" i="6"/>
  <c r="AK28" i="6"/>
  <c r="K28" i="6"/>
  <c r="AI26" i="10" s="1"/>
  <c r="CO27" i="6"/>
  <c r="BP27" i="6"/>
  <c r="AO27" i="6"/>
  <c r="V27" i="6"/>
  <c r="DB26" i="6"/>
  <c r="CJ26" i="6"/>
  <c r="BO26" i="6"/>
  <c r="AW26" i="6"/>
  <c r="AA26" i="6"/>
  <c r="J26" i="6"/>
  <c r="CQ25" i="6"/>
  <c r="BZ25" i="6"/>
  <c r="BD25" i="6"/>
  <c r="AL25" i="6"/>
  <c r="Q25" i="6"/>
  <c r="DB24" i="6"/>
  <c r="CF24" i="6"/>
  <c r="BO24" i="6"/>
  <c r="AU24" i="6"/>
  <c r="AE24" i="6"/>
  <c r="K24" i="6"/>
  <c r="AI22" i="10" s="1"/>
  <c r="CX23" i="6"/>
  <c r="CD23" i="6"/>
  <c r="BN23" i="6"/>
  <c r="AT23" i="6"/>
  <c r="AD23" i="6"/>
  <c r="J23" i="6"/>
  <c r="CW22" i="6"/>
  <c r="CC22" i="6"/>
  <c r="BM22" i="6"/>
  <c r="AS22" i="6"/>
  <c r="AC22" i="6"/>
  <c r="I22" i="6"/>
  <c r="CV21" i="6"/>
  <c r="CF21" i="6"/>
  <c r="BO21" i="6"/>
  <c r="AZ21" i="6"/>
  <c r="AJ21" i="6"/>
  <c r="T21" i="6"/>
  <c r="CU20" i="6"/>
  <c r="CG20" i="6"/>
  <c r="BS20" i="6"/>
  <c r="BE20" i="6"/>
  <c r="AR20" i="6"/>
  <c r="AF20" i="6"/>
  <c r="T20" i="6"/>
  <c r="H20" i="6"/>
  <c r="CA20" i="6"/>
  <c r="BK19" i="6"/>
  <c r="R19" i="6"/>
  <c r="CK18" i="6"/>
  <c r="BA18" i="6"/>
  <c r="S18" i="6"/>
  <c r="CV17" i="6"/>
  <c r="BT17" i="6"/>
  <c r="AR17" i="6"/>
  <c r="AB17" i="6"/>
  <c r="H17" i="6"/>
  <c r="CU16" i="6"/>
  <c r="CA16" i="6"/>
  <c r="BK16" i="6"/>
  <c r="AQ16" i="6"/>
  <c r="AA16" i="6"/>
  <c r="G16" i="6"/>
  <c r="CT15" i="6"/>
  <c r="BZ15" i="6"/>
  <c r="BJ15" i="6"/>
  <c r="AP15" i="6"/>
  <c r="Z15" i="6"/>
  <c r="CS14" i="6"/>
  <c r="BY14" i="6"/>
  <c r="BI14" i="6"/>
  <c r="AO14" i="6"/>
  <c r="Y14" i="6"/>
  <c r="CR13" i="6"/>
  <c r="BX13" i="6"/>
  <c r="BH13" i="6"/>
  <c r="AN13" i="6"/>
  <c r="X13" i="6"/>
  <c r="CQ12" i="6"/>
  <c r="BW12" i="6"/>
  <c r="BG12" i="6"/>
  <c r="AM12" i="6"/>
  <c r="W12" i="6"/>
  <c r="CP11" i="6"/>
  <c r="BV11" i="6"/>
  <c r="BF11" i="6"/>
  <c r="AM11" i="6"/>
  <c r="X11" i="6"/>
  <c r="H11" i="6"/>
  <c r="CT10" i="6"/>
  <c r="CE10" i="6"/>
  <c r="BO10" i="6"/>
  <c r="AX10" i="6"/>
  <c r="AI10" i="6"/>
  <c r="S10" i="6"/>
  <c r="CR9" i="6"/>
  <c r="CD9" i="6"/>
  <c r="BP9" i="6"/>
  <c r="BA9" i="6"/>
  <c r="AM9" i="6"/>
  <c r="X9" i="6"/>
  <c r="J9" i="6"/>
  <c r="CY8" i="6"/>
  <c r="CJ8" i="6"/>
  <c r="BV8" i="6"/>
  <c r="BG8" i="6"/>
  <c r="AS8" i="6"/>
  <c r="AE8" i="6"/>
  <c r="P8" i="6"/>
  <c r="DE7" i="6"/>
  <c r="CQ7" i="6"/>
  <c r="CD7" i="6"/>
  <c r="BQ7" i="6"/>
  <c r="CO21" i="6"/>
  <c r="BZ20" i="6"/>
  <c r="BJ19" i="6"/>
  <c r="O19" i="6"/>
  <c r="CH18" i="6"/>
  <c r="AX18" i="6"/>
  <c r="R18" i="6"/>
  <c r="CS17" i="6"/>
  <c r="BN17" i="6"/>
  <c r="AQ17" i="6"/>
  <c r="Z17" i="6"/>
  <c r="G17" i="6"/>
  <c r="CS16" i="6"/>
  <c r="BZ16" i="6"/>
  <c r="BI16" i="6"/>
  <c r="AP16" i="6"/>
  <c r="Y16" i="6"/>
  <c r="CR15" i="6"/>
  <c r="BY15" i="6"/>
  <c r="BH15" i="6"/>
  <c r="AO15" i="6"/>
  <c r="X15" i="6"/>
  <c r="CQ14" i="6"/>
  <c r="BX14" i="6"/>
  <c r="BG14" i="6"/>
  <c r="AN14" i="6"/>
  <c r="W14" i="6"/>
  <c r="CP13" i="6"/>
  <c r="BW13" i="6"/>
  <c r="BF13" i="6"/>
  <c r="AM13" i="6"/>
  <c r="V13" i="6"/>
  <c r="CO12" i="6"/>
  <c r="BV12" i="6"/>
  <c r="BE12" i="6"/>
  <c r="AL12" i="6"/>
  <c r="U12" i="6"/>
  <c r="DE11" i="6"/>
  <c r="CN11" i="6"/>
  <c r="BU11" i="6"/>
  <c r="BD11" i="6"/>
  <c r="AL11" i="6"/>
  <c r="W11" i="6"/>
  <c r="G11" i="6"/>
  <c r="CS10" i="6"/>
  <c r="CD10" i="6"/>
  <c r="BN10" i="6"/>
  <c r="AW10" i="6"/>
  <c r="AH10" i="6"/>
  <c r="R10" i="6"/>
  <c r="DE9" i="6"/>
  <c r="CQ9" i="6"/>
  <c r="CC9" i="6"/>
  <c r="BN9" i="6"/>
  <c r="AZ9" i="6"/>
  <c r="AK9" i="6"/>
  <c r="W9" i="6"/>
  <c r="I9" i="6"/>
  <c r="CW8" i="6"/>
  <c r="CI8" i="6"/>
  <c r="BT8" i="6"/>
  <c r="BF8" i="6"/>
  <c r="AR8" i="6"/>
  <c r="AC8" i="6"/>
  <c r="O8" i="6"/>
  <c r="DC7" i="6"/>
  <c r="CP7" i="6"/>
  <c r="CC7" i="6"/>
  <c r="BZ21" i="6"/>
  <c r="BN20" i="6"/>
  <c r="CY19" i="6"/>
  <c r="BC19" i="6"/>
  <c r="N19" i="6"/>
  <c r="CG18" i="6"/>
  <c r="AW18" i="6"/>
  <c r="Q18" i="6"/>
  <c r="CR17" i="6"/>
  <c r="BM17" i="6"/>
  <c r="AP17" i="6"/>
  <c r="Y17" i="6"/>
  <c r="CR16" i="6"/>
  <c r="BY16" i="6"/>
  <c r="BH16" i="6"/>
  <c r="AO16" i="6"/>
  <c r="X16" i="6"/>
  <c r="CQ15" i="6"/>
  <c r="BX15" i="6"/>
  <c r="BG15" i="6"/>
  <c r="AN15" i="6"/>
  <c r="W15" i="6"/>
  <c r="CP14" i="6"/>
  <c r="BW14" i="6"/>
  <c r="BF14" i="6"/>
  <c r="AM14" i="6"/>
  <c r="V14" i="6"/>
  <c r="CO13" i="6"/>
  <c r="BV13" i="6"/>
  <c r="BE13" i="6"/>
  <c r="AL13" i="6"/>
  <c r="U13" i="6"/>
  <c r="DE12" i="6"/>
  <c r="CN12" i="6"/>
  <c r="BU12" i="6"/>
  <c r="BD12" i="6"/>
  <c r="AK12" i="6"/>
  <c r="T12" i="6"/>
  <c r="DD11" i="6"/>
  <c r="CM11" i="6"/>
  <c r="BT11" i="6"/>
  <c r="BC11" i="6"/>
  <c r="AK11" i="6"/>
  <c r="V11" i="6"/>
  <c r="CR10" i="6"/>
  <c r="CC10" i="6"/>
  <c r="BM10" i="6"/>
  <c r="AV10" i="6"/>
  <c r="AG10" i="6"/>
  <c r="Q10" i="6"/>
  <c r="DD9" i="6"/>
  <c r="CP9" i="6"/>
  <c r="CB9" i="6"/>
  <c r="BM9" i="6"/>
  <c r="AY9" i="6"/>
  <c r="AJ9" i="6"/>
  <c r="V9" i="6"/>
  <c r="BK21" i="6"/>
  <c r="BM20" i="6"/>
  <c r="CU19" i="6"/>
  <c r="AY19" i="6"/>
  <c r="G19" i="6"/>
  <c r="BZ18" i="6"/>
  <c r="AP18" i="6"/>
  <c r="N18" i="6"/>
  <c r="CL17" i="6"/>
  <c r="BL17" i="6"/>
  <c r="AO17" i="6"/>
  <c r="X17" i="6"/>
  <c r="CQ16" i="6"/>
  <c r="BX16" i="6"/>
  <c r="BG16" i="6"/>
  <c r="AN16" i="6"/>
  <c r="W16" i="6"/>
  <c r="CP15" i="6"/>
  <c r="BW15" i="6"/>
  <c r="BF15" i="6"/>
  <c r="AM15" i="6"/>
  <c r="V15" i="6"/>
  <c r="CO14" i="6"/>
  <c r="BV14" i="6"/>
  <c r="BE14" i="6"/>
  <c r="AL14" i="6"/>
  <c r="U14" i="6"/>
  <c r="DE13" i="6"/>
  <c r="CN13" i="6"/>
  <c r="BU13" i="6"/>
  <c r="BD13" i="6"/>
  <c r="AK13" i="6"/>
  <c r="T13" i="6"/>
  <c r="DD12" i="6"/>
  <c r="CM12" i="6"/>
  <c r="BT12" i="6"/>
  <c r="BC12" i="6"/>
  <c r="AJ12" i="6"/>
  <c r="S12" i="6"/>
  <c r="DC11" i="6"/>
  <c r="CL11" i="6"/>
  <c r="BS11" i="6"/>
  <c r="BB11" i="6"/>
  <c r="AJ11" i="6"/>
  <c r="T11" i="6"/>
  <c r="CQ10" i="6"/>
  <c r="CA10" i="6"/>
  <c r="BJ10" i="6"/>
  <c r="AU10" i="6"/>
  <c r="AE10" i="6"/>
  <c r="N10" i="6"/>
  <c r="DC9" i="6"/>
  <c r="CO9" i="6"/>
  <c r="BZ9" i="6"/>
  <c r="BL9" i="6"/>
  <c r="AW9" i="6"/>
  <c r="AI9" i="6"/>
  <c r="U9" i="6"/>
  <c r="CU8" i="6"/>
  <c r="CF8" i="6"/>
  <c r="BR8" i="6"/>
  <c r="BD8" i="6"/>
  <c r="AO8" i="6"/>
  <c r="AA8" i="6"/>
  <c r="L8" i="6"/>
  <c r="DA7" i="6"/>
  <c r="CN7" i="6"/>
  <c r="CA7" i="6"/>
  <c r="BN7" i="6"/>
  <c r="BA7" i="6"/>
  <c r="AN7" i="6"/>
  <c r="AA7" i="6"/>
  <c r="N7" i="6"/>
  <c r="DD6" i="6"/>
  <c r="CQ6" i="6"/>
  <c r="CE6" i="6"/>
  <c r="BS6" i="6"/>
  <c r="BG6" i="6"/>
  <c r="AU6" i="6"/>
  <c r="AI6" i="6"/>
  <c r="AS21" i="6"/>
  <c r="BA20" i="6"/>
  <c r="CT19" i="6"/>
  <c r="AX19" i="6"/>
  <c r="BY18" i="6"/>
  <c r="AO18" i="6"/>
  <c r="M18" i="6"/>
  <c r="CK17" i="6"/>
  <c r="BI17" i="6"/>
  <c r="AN17" i="6"/>
  <c r="T17" i="6"/>
  <c r="CM16" i="6"/>
  <c r="BW16" i="6"/>
  <c r="BC16" i="6"/>
  <c r="AM16" i="6"/>
  <c r="S16" i="6"/>
  <c r="CL15" i="6"/>
  <c r="BV15" i="6"/>
  <c r="BB15" i="6"/>
  <c r="AL15" i="6"/>
  <c r="R15" i="6"/>
  <c r="DE14" i="6"/>
  <c r="CK14" i="6"/>
  <c r="BU14" i="6"/>
  <c r="BA14" i="6"/>
  <c r="AK14" i="6"/>
  <c r="Q14" i="6"/>
  <c r="DD13" i="6"/>
  <c r="CJ13" i="6"/>
  <c r="BT13" i="6"/>
  <c r="AZ13" i="6"/>
  <c r="AJ13" i="6"/>
  <c r="P13" i="6"/>
  <c r="DC12" i="6"/>
  <c r="CI12" i="6"/>
  <c r="BS12" i="6"/>
  <c r="AY12" i="6"/>
  <c r="AI12" i="6"/>
  <c r="O12" i="6"/>
  <c r="DB11" i="6"/>
  <c r="CH11" i="6"/>
  <c r="BR11" i="6"/>
  <c r="AX11" i="6"/>
  <c r="AI11" i="6"/>
  <c r="S11" i="6"/>
  <c r="DE10" i="6"/>
  <c r="CP10" i="6"/>
  <c r="BZ10" i="6"/>
  <c r="BI10" i="6"/>
  <c r="AT10" i="6"/>
  <c r="AD10" i="6"/>
  <c r="M10" i="6"/>
  <c r="DB9" i="6"/>
  <c r="CN9" i="6"/>
  <c r="BY9" i="6"/>
  <c r="BK9" i="6"/>
  <c r="AV9" i="6"/>
  <c r="AH9" i="6"/>
  <c r="T9" i="6"/>
  <c r="CT8" i="6"/>
  <c r="CE8" i="6"/>
  <c r="BQ8" i="6"/>
  <c r="BC8" i="6"/>
  <c r="AN8" i="6"/>
  <c r="Z8" i="6"/>
  <c r="K8" i="6"/>
  <c r="AI6" i="10" s="1"/>
  <c r="CZ7" i="6"/>
  <c r="CM7" i="6"/>
  <c r="BZ7" i="6"/>
  <c r="BM7" i="6"/>
  <c r="AZ7" i="6"/>
  <c r="AM7" i="6"/>
  <c r="Z7" i="6"/>
  <c r="M7" i="6"/>
  <c r="DB6" i="6"/>
  <c r="CP6" i="6"/>
  <c r="CD6" i="6"/>
  <c r="BR6" i="6"/>
  <c r="BF6" i="6"/>
  <c r="AT6" i="6"/>
  <c r="AH6" i="6"/>
  <c r="V6" i="6"/>
  <c r="J6" i="6"/>
  <c r="AD21" i="6"/>
  <c r="AZ20" i="6"/>
  <c r="CM19" i="6"/>
  <c r="AQ19" i="6"/>
  <c r="BV18" i="6"/>
  <c r="AL18" i="6"/>
  <c r="G18" i="6"/>
  <c r="CJ17" i="6"/>
  <c r="BH17" i="6"/>
  <c r="AL17" i="6"/>
  <c r="S17" i="6"/>
  <c r="DE16" i="6"/>
  <c r="CL16" i="6"/>
  <c r="BU16" i="6"/>
  <c r="BB16" i="6"/>
  <c r="AK16" i="6"/>
  <c r="R16" i="6"/>
  <c r="DD15" i="6"/>
  <c r="CK15" i="6"/>
  <c r="BT15" i="6"/>
  <c r="BA15" i="6"/>
  <c r="AJ15" i="6"/>
  <c r="Q15" i="6"/>
  <c r="DC14" i="6"/>
  <c r="CJ14" i="6"/>
  <c r="BS14" i="6"/>
  <c r="AZ14" i="6"/>
  <c r="AI14" i="6"/>
  <c r="P14" i="6"/>
  <c r="DB13" i="6"/>
  <c r="CI13" i="6"/>
  <c r="BR13" i="6"/>
  <c r="AY13" i="6"/>
  <c r="AH13" i="6"/>
  <c r="O13" i="6"/>
  <c r="DA12" i="6"/>
  <c r="CH12" i="6"/>
  <c r="BQ12" i="6"/>
  <c r="AX12" i="6"/>
  <c r="AG12" i="6"/>
  <c r="N12" i="6"/>
  <c r="CZ11" i="6"/>
  <c r="CG11" i="6"/>
  <c r="BP11" i="6"/>
  <c r="AW11" i="6"/>
  <c r="AH11" i="6"/>
  <c r="R11" i="6"/>
  <c r="DD10" i="6"/>
  <c r="CO10" i="6"/>
  <c r="BY10" i="6"/>
  <c r="BH10" i="6"/>
  <c r="AS10" i="6"/>
  <c r="AC10" i="6"/>
  <c r="L10" i="6"/>
  <c r="DA9" i="6"/>
  <c r="CL9" i="6"/>
  <c r="BX9" i="6"/>
  <c r="BI9" i="6"/>
  <c r="AU9" i="6"/>
  <c r="AG9" i="6"/>
  <c r="R9" i="6"/>
  <c r="CR8" i="6"/>
  <c r="CD8" i="6"/>
  <c r="BP8" i="6"/>
  <c r="BA8" i="6"/>
  <c r="AM8" i="6"/>
  <c r="X8" i="6"/>
  <c r="J8" i="6"/>
  <c r="CY7" i="6"/>
  <c r="CL7" i="6"/>
  <c r="BY7" i="6"/>
  <c r="BL7" i="6"/>
  <c r="AY7" i="6"/>
  <c r="AL7" i="6"/>
  <c r="Y7" i="6"/>
  <c r="K7" i="6"/>
  <c r="AI5" i="10" s="1"/>
  <c r="DA6" i="6"/>
  <c r="CO6" i="6"/>
  <c r="CC6" i="6"/>
  <c r="BQ6" i="6"/>
  <c r="BE6" i="6"/>
  <c r="AS6" i="6"/>
  <c r="AG6" i="6"/>
  <c r="U6" i="6"/>
  <c r="I6" i="6"/>
  <c r="P21" i="6"/>
  <c r="AN20" i="6"/>
  <c r="CI19" i="6"/>
  <c r="AM19" i="6"/>
  <c r="DE18" i="6"/>
  <c r="BU18" i="6"/>
  <c r="AK18" i="6"/>
  <c r="CG17" i="6"/>
  <c r="BB17" i="6"/>
  <c r="AK17" i="6"/>
  <c r="R17" i="6"/>
  <c r="DD16" i="6"/>
  <c r="CK16" i="6"/>
  <c r="BT16" i="6"/>
  <c r="BA16" i="6"/>
  <c r="AJ16" i="6"/>
  <c r="Q16" i="6"/>
  <c r="DC15" i="6"/>
  <c r="CJ15" i="6"/>
  <c r="BS15" i="6"/>
  <c r="AZ15" i="6"/>
  <c r="AI15" i="6"/>
  <c r="P15" i="6"/>
  <c r="DB14" i="6"/>
  <c r="CI14" i="6"/>
  <c r="BR14" i="6"/>
  <c r="AY14" i="6"/>
  <c r="AH14" i="6"/>
  <c r="O14" i="6"/>
  <c r="DA13" i="6"/>
  <c r="CH13" i="6"/>
  <c r="BQ13" i="6"/>
  <c r="AX13" i="6"/>
  <c r="AG13" i="6"/>
  <c r="N13" i="6"/>
  <c r="CZ12" i="6"/>
  <c r="CG12" i="6"/>
  <c r="BP12" i="6"/>
  <c r="AW12" i="6"/>
  <c r="AF12" i="6"/>
  <c r="M12" i="6"/>
  <c r="CY11" i="6"/>
  <c r="CF11" i="6"/>
  <c r="BO11" i="6"/>
  <c r="AV11" i="6"/>
  <c r="AF11" i="6"/>
  <c r="O11" i="6"/>
  <c r="DC10" i="6"/>
  <c r="CM10" i="6"/>
  <c r="BV10" i="6"/>
  <c r="BG10" i="6"/>
  <c r="AQ10" i="6"/>
  <c r="Z10" i="6"/>
  <c r="K10" i="6"/>
  <c r="AI8" i="10" s="1"/>
  <c r="CZ9" i="6"/>
  <c r="CK9" i="6"/>
  <c r="BW9" i="6"/>
  <c r="BH9" i="6"/>
  <c r="AT9" i="6"/>
  <c r="AF9" i="6"/>
  <c r="Q9" i="6"/>
  <c r="CQ8" i="6"/>
  <c r="CC8" i="6"/>
  <c r="BO8" i="6"/>
  <c r="AZ8" i="6"/>
  <c r="AL8" i="6"/>
  <c r="W8" i="6"/>
  <c r="I8" i="6"/>
  <c r="CX7" i="6"/>
  <c r="CK7" i="6"/>
  <c r="BX7" i="6"/>
  <c r="BK7" i="6"/>
  <c r="AX7" i="6"/>
  <c r="AK7" i="6"/>
  <c r="W7" i="6"/>
  <c r="J7" i="6"/>
  <c r="CZ6" i="6"/>
  <c r="CN6" i="6"/>
  <c r="CB6" i="6"/>
  <c r="BP6" i="6"/>
  <c r="BD6" i="6"/>
  <c r="AR6" i="6"/>
  <c r="AF6" i="6"/>
  <c r="T6" i="6"/>
  <c r="H6" i="6"/>
  <c r="O21" i="6"/>
  <c r="AM20" i="6"/>
  <c r="CH19" i="6"/>
  <c r="AL19" i="6"/>
  <c r="CX18" i="6"/>
  <c r="BN18" i="6"/>
  <c r="AE18" i="6"/>
  <c r="CF17" i="6"/>
  <c r="BA17" i="6"/>
  <c r="AJ17" i="6"/>
  <c r="Q17" i="6"/>
  <c r="DC16" i="6"/>
  <c r="CJ16" i="6"/>
  <c r="BS16" i="6"/>
  <c r="AZ16" i="6"/>
  <c r="AI16" i="6"/>
  <c r="P16" i="6"/>
  <c r="DB15" i="6"/>
  <c r="CI15" i="6"/>
  <c r="BR15" i="6"/>
  <c r="AY15" i="6"/>
  <c r="AH15" i="6"/>
  <c r="O15" i="6"/>
  <c r="DA14" i="6"/>
  <c r="CH14" i="6"/>
  <c r="BQ14" i="6"/>
  <c r="AX14" i="6"/>
  <c r="AG14" i="6"/>
  <c r="N14" i="6"/>
  <c r="CZ13" i="6"/>
  <c r="CG13" i="6"/>
  <c r="BP13" i="6"/>
  <c r="AW13" i="6"/>
  <c r="AF13" i="6"/>
  <c r="M13" i="6"/>
  <c r="CY12" i="6"/>
  <c r="CF12" i="6"/>
  <c r="BO12" i="6"/>
  <c r="AV12" i="6"/>
  <c r="AE12" i="6"/>
  <c r="L12" i="6"/>
  <c r="CX11" i="6"/>
  <c r="CE11" i="6"/>
  <c r="BN11" i="6"/>
  <c r="AU11" i="6"/>
  <c r="AE11" i="6"/>
  <c r="N11" i="6"/>
  <c r="DB10" i="6"/>
  <c r="CL10" i="6"/>
  <c r="BU10" i="6"/>
  <c r="BF10" i="6"/>
  <c r="AP10" i="6"/>
  <c r="Y10" i="6"/>
  <c r="J10" i="6"/>
  <c r="CX9" i="6"/>
  <c r="CJ9" i="6"/>
  <c r="BU9" i="6"/>
  <c r="BG9" i="6"/>
  <c r="AS9" i="6"/>
  <c r="AD9" i="6"/>
  <c r="P9" i="6"/>
  <c r="DD8" i="6"/>
  <c r="CP8" i="6"/>
  <c r="CB8" i="6"/>
  <c r="BM8" i="6"/>
  <c r="AY8" i="6"/>
  <c r="AJ8" i="6"/>
  <c r="V8" i="6"/>
  <c r="H8" i="6"/>
  <c r="CW7" i="6"/>
  <c r="CJ7" i="6"/>
  <c r="BW7" i="6"/>
  <c r="BJ7" i="6"/>
  <c r="AW7" i="6"/>
  <c r="AI7" i="6"/>
  <c r="V7" i="6"/>
  <c r="I7" i="6"/>
  <c r="CY6" i="6"/>
  <c r="CM6" i="6"/>
  <c r="CA6" i="6"/>
  <c r="BO6" i="6"/>
  <c r="BC6" i="6"/>
  <c r="AQ6" i="6"/>
  <c r="AE6" i="6"/>
  <c r="S6" i="6"/>
  <c r="G6" i="6"/>
  <c r="DE20" i="6"/>
  <c r="AB20" i="6"/>
  <c r="CA19" i="6"/>
  <c r="AE19" i="6"/>
  <c r="CW18" i="6"/>
  <c r="BM18" i="6"/>
  <c r="AD18" i="6"/>
  <c r="DE17" i="6"/>
  <c r="BZ17" i="6"/>
  <c r="AZ17" i="6"/>
  <c r="AF17" i="6"/>
  <c r="P17" i="6"/>
  <c r="CY16" i="6"/>
  <c r="CI16" i="6"/>
  <c r="BO16" i="6"/>
  <c r="AY16" i="6"/>
  <c r="AE16" i="6"/>
  <c r="O16" i="6"/>
  <c r="CX15" i="6"/>
  <c r="CH15" i="6"/>
  <c r="BN15" i="6"/>
  <c r="AX15" i="6"/>
  <c r="AD15" i="6"/>
  <c r="N15" i="6"/>
  <c r="CW14" i="6"/>
  <c r="CG14" i="6"/>
  <c r="BM14" i="6"/>
  <c r="AW14" i="6"/>
  <c r="AC14" i="6"/>
  <c r="M14" i="6"/>
  <c r="CV13" i="6"/>
  <c r="CF13" i="6"/>
  <c r="BL13" i="6"/>
  <c r="AV13" i="6"/>
  <c r="AB13" i="6"/>
  <c r="L13" i="6"/>
  <c r="CU12" i="6"/>
  <c r="CE12" i="6"/>
  <c r="BK12" i="6"/>
  <c r="AU12" i="6"/>
  <c r="AA12" i="6"/>
  <c r="K12" i="6"/>
  <c r="AI10" i="10" s="1"/>
  <c r="CT11" i="6"/>
  <c r="CD11" i="6"/>
  <c r="BJ11" i="6"/>
  <c r="AT11" i="6"/>
  <c r="AD11" i="6"/>
  <c r="M11" i="6"/>
  <c r="DA10" i="6"/>
  <c r="CK10" i="6"/>
  <c r="BT10" i="6"/>
  <c r="BE10" i="6"/>
  <c r="AO10" i="6"/>
  <c r="X10" i="6"/>
  <c r="I10" i="6"/>
  <c r="CW9" i="6"/>
  <c r="CI9" i="6"/>
  <c r="BT9" i="6"/>
  <c r="BF9" i="6"/>
  <c r="AR9" i="6"/>
  <c r="AC9" i="6"/>
  <c r="O9" i="6"/>
  <c r="DC8" i="6"/>
  <c r="CO8" i="6"/>
  <c r="CA8" i="6"/>
  <c r="BL8" i="6"/>
  <c r="AX8" i="6"/>
  <c r="AI8" i="6"/>
  <c r="U8" i="6"/>
  <c r="DD20" i="6"/>
  <c r="AA20" i="6"/>
  <c r="BW19" i="6"/>
  <c r="AA19" i="6"/>
  <c r="CT18" i="6"/>
  <c r="BJ18" i="6"/>
  <c r="AC18" i="6"/>
  <c r="DD17" i="6"/>
  <c r="BY17" i="6"/>
  <c r="AX17" i="6"/>
  <c r="AE17" i="6"/>
  <c r="N17" i="6"/>
  <c r="CX16" i="6"/>
  <c r="CG16" i="6"/>
  <c r="BN16" i="6"/>
  <c r="AW16" i="6"/>
  <c r="AD16" i="6"/>
  <c r="M16" i="6"/>
  <c r="CW15" i="6"/>
  <c r="CF15" i="6"/>
  <c r="BM15" i="6"/>
  <c r="AV15" i="6"/>
  <c r="AC15" i="6"/>
  <c r="L15" i="6"/>
  <c r="CV14" i="6"/>
  <c r="CE14" i="6"/>
  <c r="BL14" i="6"/>
  <c r="AU14" i="6"/>
  <c r="AB14" i="6"/>
  <c r="K14" i="6"/>
  <c r="AI12" i="10" s="1"/>
  <c r="CU13" i="6"/>
  <c r="CD13" i="6"/>
  <c r="BK13" i="6"/>
  <c r="AT13" i="6"/>
  <c r="AA13" i="6"/>
  <c r="J13" i="6"/>
  <c r="CT12" i="6"/>
  <c r="CC12" i="6"/>
  <c r="BJ12" i="6"/>
  <c r="AS12" i="6"/>
  <c r="Z12" i="6"/>
  <c r="I12" i="6"/>
  <c r="CS11" i="6"/>
  <c r="CB11" i="6"/>
  <c r="BI11" i="6"/>
  <c r="AR11" i="6"/>
  <c r="AA11" i="6"/>
  <c r="L11" i="6"/>
  <c r="CY10" i="6"/>
  <c r="CH10" i="6"/>
  <c r="BS10" i="6"/>
  <c r="BC10" i="6"/>
  <c r="AL10" i="6"/>
  <c r="W10" i="6"/>
  <c r="G10" i="6"/>
  <c r="CV9" i="6"/>
  <c r="CG9" i="6"/>
  <c r="BS9" i="6"/>
  <c r="BE9" i="6"/>
  <c r="AP9" i="6"/>
  <c r="AB9" i="6"/>
  <c r="M9" i="6"/>
  <c r="DB8" i="6"/>
  <c r="CN8" i="6"/>
  <c r="BY8" i="6"/>
  <c r="BK8" i="6"/>
  <c r="AV8" i="6"/>
  <c r="AH8" i="6"/>
  <c r="T8" i="6"/>
  <c r="CU7" i="6"/>
  <c r="CH7" i="6"/>
  <c r="BU7" i="6"/>
  <c r="BG7" i="6"/>
  <c r="AT7" i="6"/>
  <c r="AG7" i="6"/>
  <c r="T7" i="6"/>
  <c r="G7" i="6"/>
  <c r="CW6" i="6"/>
  <c r="CK6" i="6"/>
  <c r="BY6" i="6"/>
  <c r="BM6" i="6"/>
  <c r="BA6" i="6"/>
  <c r="AO6" i="6"/>
  <c r="AC6" i="6"/>
  <c r="Q6" i="6"/>
  <c r="CQ20" i="6"/>
  <c r="P20" i="6"/>
  <c r="BV19" i="6"/>
  <c r="Z19" i="6"/>
  <c r="CS18" i="6"/>
  <c r="BI18" i="6"/>
  <c r="Z18" i="6"/>
  <c r="CX17" i="6"/>
  <c r="BX17" i="6"/>
  <c r="AW17" i="6"/>
  <c r="AD17" i="6"/>
  <c r="M17" i="6"/>
  <c r="CW16" i="6"/>
  <c r="CF16" i="6"/>
  <c r="BM16" i="6"/>
  <c r="AV16" i="6"/>
  <c r="AC16" i="6"/>
  <c r="L16" i="6"/>
  <c r="CV15" i="6"/>
  <c r="CE15" i="6"/>
  <c r="BL15" i="6"/>
  <c r="AU15" i="6"/>
  <c r="AB15" i="6"/>
  <c r="K15" i="6"/>
  <c r="AI13" i="10" s="1"/>
  <c r="CU14" i="6"/>
  <c r="CD14" i="6"/>
  <c r="BK14" i="6"/>
  <c r="AT14" i="6"/>
  <c r="AA14" i="6"/>
  <c r="J14" i="6"/>
  <c r="CT13" i="6"/>
  <c r="CC13" i="6"/>
  <c r="BJ13" i="6"/>
  <c r="AS13" i="6"/>
  <c r="Z13" i="6"/>
  <c r="I13" i="6"/>
  <c r="CS12" i="6"/>
  <c r="CB12" i="6"/>
  <c r="BI12" i="6"/>
  <c r="AR12" i="6"/>
  <c r="Y12" i="6"/>
  <c r="H12" i="6"/>
  <c r="CR11" i="6"/>
  <c r="CA11" i="6"/>
  <c r="BH11" i="6"/>
  <c r="AQ11" i="6"/>
  <c r="Z11" i="6"/>
  <c r="K11" i="6"/>
  <c r="AI9" i="10" s="1"/>
  <c r="CX10" i="6"/>
  <c r="CG10" i="6"/>
  <c r="BR10" i="6"/>
  <c r="BB10" i="6"/>
  <c r="AK10" i="6"/>
  <c r="V10" i="6"/>
  <c r="CU9" i="6"/>
  <c r="CF9" i="6"/>
  <c r="BR9" i="6"/>
  <c r="BD9" i="6"/>
  <c r="AO9" i="6"/>
  <c r="AA9" i="6"/>
  <c r="L9" i="6"/>
  <c r="DA8" i="6"/>
  <c r="CM8" i="6"/>
  <c r="BX8" i="6"/>
  <c r="BJ8" i="6"/>
  <c r="AU8" i="6"/>
  <c r="AG8" i="6"/>
  <c r="S8" i="6"/>
  <c r="CT7" i="6"/>
  <c r="CG7" i="6"/>
  <c r="BS7" i="6"/>
  <c r="BF7" i="6"/>
  <c r="AS7" i="6"/>
  <c r="AF7" i="6"/>
  <c r="S7" i="6"/>
  <c r="U22" i="6"/>
  <c r="CN20" i="6"/>
  <c r="O20" i="6"/>
  <c r="BO19" i="6"/>
  <c r="S19" i="6"/>
  <c r="CL18" i="6"/>
  <c r="BB18" i="6"/>
  <c r="Y18" i="6"/>
  <c r="CW17" i="6"/>
  <c r="BU17" i="6"/>
  <c r="AV17" i="6"/>
  <c r="AC17" i="6"/>
  <c r="L17" i="6"/>
  <c r="CV16" i="6"/>
  <c r="CE16" i="6"/>
  <c r="BL16" i="6"/>
  <c r="AU16" i="6"/>
  <c r="AB16" i="6"/>
  <c r="K16" i="6"/>
  <c r="AI14" i="10" s="1"/>
  <c r="CU15" i="6"/>
  <c r="CD15" i="6"/>
  <c r="BK15" i="6"/>
  <c r="AT15" i="6"/>
  <c r="AA15" i="6"/>
  <c r="J15" i="6"/>
  <c r="CT14" i="6"/>
  <c r="CC14" i="6"/>
  <c r="BJ14" i="6"/>
  <c r="AS14" i="6"/>
  <c r="Z14" i="6"/>
  <c r="I14" i="6"/>
  <c r="CS13" i="6"/>
  <c r="CB13" i="6"/>
  <c r="BI13" i="6"/>
  <c r="AR13" i="6"/>
  <c r="Y13" i="6"/>
  <c r="H13" i="6"/>
  <c r="CR12" i="6"/>
  <c r="CA12" i="6"/>
  <c r="BH12" i="6"/>
  <c r="AQ12" i="6"/>
  <c r="X12" i="6"/>
  <c r="G12" i="6"/>
  <c r="CQ11" i="6"/>
  <c r="BZ11" i="6"/>
  <c r="BG11" i="6"/>
  <c r="AP11" i="6"/>
  <c r="Y11" i="6"/>
  <c r="J11" i="6"/>
  <c r="CW10" i="6"/>
  <c r="CF10" i="6"/>
  <c r="BQ10" i="6"/>
  <c r="BA10" i="6"/>
  <c r="AJ10" i="6"/>
  <c r="U10" i="6"/>
  <c r="CS9" i="6"/>
  <c r="CE9" i="6"/>
  <c r="BQ9" i="6"/>
  <c r="BB9" i="6"/>
  <c r="AN9" i="6"/>
  <c r="Y9" i="6"/>
  <c r="K9" i="6"/>
  <c r="AI7" i="10" s="1"/>
  <c r="CZ8" i="6"/>
  <c r="CK8" i="6"/>
  <c r="BW8" i="6"/>
  <c r="BH8" i="6"/>
  <c r="AT8" i="6"/>
  <c r="AF8" i="6"/>
  <c r="Q8" i="6"/>
  <c r="CS7" i="6"/>
  <c r="CE7" i="6"/>
  <c r="BR7" i="6"/>
  <c r="BE7" i="6"/>
  <c r="AR7" i="6"/>
  <c r="AE7" i="6"/>
  <c r="R7" i="6"/>
  <c r="CU6" i="6"/>
  <c r="CV8" i="6"/>
  <c r="CB7" i="6"/>
  <c r="AH7" i="6"/>
  <c r="CX6" i="6"/>
  <c r="BX6" i="6"/>
  <c r="AZ6" i="6"/>
  <c r="AB6" i="6"/>
  <c r="K6" i="6"/>
  <c r="CH8" i="6"/>
  <c r="BV7" i="6"/>
  <c r="AD7" i="6"/>
  <c r="CV6" i="6"/>
  <c r="BW6" i="6"/>
  <c r="AY6" i="6"/>
  <c r="AA6" i="6"/>
  <c r="BS8" i="6"/>
  <c r="BP7" i="6"/>
  <c r="AC7" i="6"/>
  <c r="CT6" i="6"/>
  <c r="BV6" i="6"/>
  <c r="AX6" i="6"/>
  <c r="Z6" i="6"/>
  <c r="BE8" i="6"/>
  <c r="BO7" i="6"/>
  <c r="AB7" i="6"/>
  <c r="CS6" i="6"/>
  <c r="BU6" i="6"/>
  <c r="AW6" i="6"/>
  <c r="Y6" i="6"/>
  <c r="AQ8" i="6"/>
  <c r="BI7" i="6"/>
  <c r="U7" i="6"/>
  <c r="CR6" i="6"/>
  <c r="BT6" i="6"/>
  <c r="AV6" i="6"/>
  <c r="X6" i="6"/>
  <c r="AB8" i="6"/>
  <c r="BD7" i="6"/>
  <c r="Q7" i="6"/>
  <c r="CL6" i="6"/>
  <c r="BN6" i="6"/>
  <c r="AP6" i="6"/>
  <c r="W6" i="6"/>
  <c r="N8" i="6"/>
  <c r="BC7" i="6"/>
  <c r="P7" i="6"/>
  <c r="CJ6" i="6"/>
  <c r="BL6" i="6"/>
  <c r="AN6" i="6"/>
  <c r="R6" i="6"/>
  <c r="G8" i="6"/>
  <c r="BB7" i="6"/>
  <c r="O7" i="6"/>
  <c r="CI6" i="6"/>
  <c r="BK6" i="6"/>
  <c r="AM6" i="6"/>
  <c r="P6" i="6"/>
  <c r="DB7" i="6"/>
  <c r="AU7" i="6"/>
  <c r="H7" i="6"/>
  <c r="CH6" i="6"/>
  <c r="BJ6" i="6"/>
  <c r="AL6" i="6"/>
  <c r="O6" i="6"/>
  <c r="CV7" i="6"/>
  <c r="AQ7" i="6"/>
  <c r="CG6" i="6"/>
  <c r="BI6" i="6"/>
  <c r="AK6" i="6"/>
  <c r="N6" i="6"/>
  <c r="CO7" i="6"/>
  <c r="AP7" i="6"/>
  <c r="CF6" i="6"/>
  <c r="BH6" i="6"/>
  <c r="AJ6" i="6"/>
  <c r="M6" i="6"/>
  <c r="H9" i="6"/>
  <c r="CI7" i="6"/>
  <c r="AO7" i="6"/>
  <c r="DE6" i="6"/>
  <c r="BZ6" i="6"/>
  <c r="BB6" i="6"/>
  <c r="AD6" i="6"/>
  <c r="L6" i="6"/>
  <c r="AA16" i="10"/>
  <c r="U46" i="8"/>
  <c r="BZ86" i="10"/>
  <c r="BW77" i="10"/>
  <c r="BW71" i="10"/>
  <c r="BW79" i="10"/>
  <c r="BW36" i="10"/>
  <c r="BW43" i="10"/>
  <c r="BW26" i="10"/>
  <c r="BZ66" i="10"/>
  <c r="BJ18" i="10"/>
  <c r="BJ21" i="10"/>
  <c r="M62" i="2"/>
  <c r="J62" i="2"/>
  <c r="H62" i="2"/>
  <c r="D62" i="2"/>
  <c r="D63" i="2"/>
  <c r="A62" i="2"/>
  <c r="M63" i="2"/>
  <c r="L63" i="2"/>
  <c r="J63" i="2"/>
  <c r="H63" i="2"/>
  <c r="A63" i="2"/>
  <c r="L62" i="2"/>
  <c r="BZ84" i="10"/>
  <c r="BW68" i="10"/>
  <c r="BW24" i="10"/>
  <c r="BW42" i="10"/>
  <c r="BZ53" i="10"/>
  <c r="BW66" i="10"/>
  <c r="D114" i="4"/>
  <c r="H112" i="4"/>
  <c r="D111" i="4"/>
  <c r="H109" i="4"/>
  <c r="D108" i="4"/>
  <c r="H106" i="4"/>
  <c r="D105" i="4"/>
  <c r="H103" i="4"/>
  <c r="D102" i="4"/>
  <c r="H100" i="4"/>
  <c r="D99" i="4"/>
  <c r="H97" i="4"/>
  <c r="D96" i="4"/>
  <c r="H94" i="4"/>
  <c r="D93" i="4"/>
  <c r="H91" i="4"/>
  <c r="D90" i="4"/>
  <c r="B114" i="4"/>
  <c r="F112" i="4"/>
  <c r="B111" i="4"/>
  <c r="F109" i="4"/>
  <c r="B108" i="4"/>
  <c r="F106" i="4"/>
  <c r="B105" i="4"/>
  <c r="F103" i="4"/>
  <c r="B102" i="4"/>
  <c r="F100" i="4"/>
  <c r="B99" i="4"/>
  <c r="F97" i="4"/>
  <c r="B96" i="4"/>
  <c r="F94" i="4"/>
  <c r="B93" i="4"/>
  <c r="F91" i="4"/>
  <c r="B90" i="4"/>
  <c r="C114" i="4"/>
  <c r="D112" i="4"/>
  <c r="F110" i="4"/>
  <c r="H108" i="4"/>
  <c r="B107" i="4"/>
  <c r="C105" i="4"/>
  <c r="D103" i="4"/>
  <c r="F101" i="4"/>
  <c r="H99" i="4"/>
  <c r="B98" i="4"/>
  <c r="C96" i="4"/>
  <c r="D94" i="4"/>
  <c r="F92" i="4"/>
  <c r="H90" i="4"/>
  <c r="H113" i="4"/>
  <c r="B112" i="4"/>
  <c r="D110" i="4"/>
  <c r="F108" i="4"/>
  <c r="G106" i="4"/>
  <c r="H104" i="4"/>
  <c r="B103" i="4"/>
  <c r="D101" i="4"/>
  <c r="F99" i="4"/>
  <c r="G97" i="4"/>
  <c r="H95" i="4"/>
  <c r="B94" i="4"/>
  <c r="D92" i="4"/>
  <c r="F90" i="4"/>
  <c r="F113" i="4"/>
  <c r="H111" i="4"/>
  <c r="B110" i="4"/>
  <c r="C108" i="4"/>
  <c r="D106" i="4"/>
  <c r="F104" i="4"/>
  <c r="H102" i="4"/>
  <c r="B101" i="4"/>
  <c r="C99" i="4"/>
  <c r="D97" i="4"/>
  <c r="F95" i="4"/>
  <c r="H93" i="4"/>
  <c r="B92" i="4"/>
  <c r="C90" i="4"/>
  <c r="H114" i="4"/>
  <c r="B113" i="4"/>
  <c r="C111" i="4"/>
  <c r="D109" i="4"/>
  <c r="F107" i="4"/>
  <c r="H105" i="4"/>
  <c r="B104" i="4"/>
  <c r="C102" i="4"/>
  <c r="D100" i="4"/>
  <c r="F98" i="4"/>
  <c r="H96" i="4"/>
  <c r="B95" i="4"/>
  <c r="C93" i="4"/>
  <c r="D91" i="4"/>
  <c r="F114" i="4"/>
  <c r="G112" i="4"/>
  <c r="H110" i="4"/>
  <c r="B109" i="4"/>
  <c r="D107" i="4"/>
  <c r="F105" i="4"/>
  <c r="G103" i="4"/>
  <c r="H101" i="4"/>
  <c r="B100" i="4"/>
  <c r="D98" i="4"/>
  <c r="F96" i="4"/>
  <c r="G94" i="4"/>
  <c r="H92" i="4"/>
  <c r="B91" i="4"/>
  <c r="C112" i="4"/>
  <c r="C109" i="4"/>
  <c r="B106" i="4"/>
  <c r="A103" i="4"/>
  <c r="A100" i="4"/>
  <c r="A97" i="4"/>
  <c r="G93" i="4"/>
  <c r="G90" i="4"/>
  <c r="A112" i="4"/>
  <c r="A109" i="4"/>
  <c r="A106" i="4"/>
  <c r="G102" i="4"/>
  <c r="G99" i="4"/>
  <c r="G96" i="4"/>
  <c r="F93" i="4"/>
  <c r="E90" i="4"/>
  <c r="G111" i="4"/>
  <c r="G108" i="4"/>
  <c r="G105" i="4"/>
  <c r="F102" i="4"/>
  <c r="E99" i="4"/>
  <c r="E96" i="4"/>
  <c r="E93" i="4"/>
  <c r="A90" i="4"/>
  <c r="G114" i="4"/>
  <c r="F111" i="4"/>
  <c r="E108" i="4"/>
  <c r="E105" i="4"/>
  <c r="E102" i="4"/>
  <c r="A99" i="4"/>
  <c r="A96" i="4"/>
  <c r="A93" i="4"/>
  <c r="E114" i="4"/>
  <c r="E111" i="4"/>
  <c r="A108" i="4"/>
  <c r="A105" i="4"/>
  <c r="A102" i="4"/>
  <c r="H98" i="4"/>
  <c r="G95" i="4"/>
  <c r="G92" i="4"/>
  <c r="A114" i="4"/>
  <c r="A111" i="4"/>
  <c r="H107" i="4"/>
  <c r="G104" i="4"/>
  <c r="G101" i="4"/>
  <c r="G98" i="4"/>
  <c r="E95" i="4"/>
  <c r="E92" i="4"/>
  <c r="G113" i="4"/>
  <c r="G110" i="4"/>
  <c r="G107" i="4"/>
  <c r="E104" i="4"/>
  <c r="E101" i="4"/>
  <c r="E98" i="4"/>
  <c r="D95" i="4"/>
  <c r="C92" i="4"/>
  <c r="D113" i="4"/>
  <c r="C110" i="4"/>
  <c r="C107" i="4"/>
  <c r="C104" i="4"/>
  <c r="A101" i="4"/>
  <c r="A98" i="4"/>
  <c r="A95" i="4"/>
  <c r="G91" i="4"/>
  <c r="C113" i="4"/>
  <c r="A110" i="4"/>
  <c r="A107" i="4"/>
  <c r="A104" i="4"/>
  <c r="G100" i="4"/>
  <c r="E97" i="4"/>
  <c r="E94" i="4"/>
  <c r="E91" i="4"/>
  <c r="A113" i="4"/>
  <c r="G109" i="4"/>
  <c r="E106" i="4"/>
  <c r="E103" i="4"/>
  <c r="E100" i="4"/>
  <c r="C97" i="4"/>
  <c r="C94" i="4"/>
  <c r="C91" i="4"/>
  <c r="E112" i="4"/>
  <c r="E109" i="4"/>
  <c r="C106" i="4"/>
  <c r="C103" i="4"/>
  <c r="C100" i="4"/>
  <c r="B97" i="4"/>
  <c r="A94" i="4"/>
  <c r="A91" i="4"/>
  <c r="E113" i="4"/>
  <c r="E110" i="4"/>
  <c r="E107" i="4"/>
  <c r="D104" i="4"/>
  <c r="C101" i="4"/>
  <c r="A92" i="4"/>
  <c r="C98" i="4"/>
  <c r="C95" i="4"/>
  <c r="AA18" i="10"/>
  <c r="AA6" i="10"/>
  <c r="D11" i="2"/>
  <c r="F12" i="2"/>
  <c r="F11" i="2"/>
  <c r="U26" i="8"/>
  <c r="J64" i="2" l="1"/>
  <c r="AE7" i="11"/>
  <c r="H64" i="2"/>
  <c r="M64" i="2"/>
  <c r="A64" i="2"/>
  <c r="L64" i="2"/>
  <c r="D64" i="2"/>
  <c r="L65" i="2"/>
  <c r="S27" i="10"/>
  <c r="BV27" i="10"/>
  <c r="CA27" i="10" s="1"/>
  <c r="AU27" i="10"/>
  <c r="AT27" i="10"/>
  <c r="AV27" i="10" s="1"/>
  <c r="AW27" i="10" s="1"/>
  <c r="AX27" i="10" s="1"/>
  <c r="S85" i="10"/>
  <c r="AU85" i="10"/>
  <c r="BV85" i="10"/>
  <c r="CA85" i="10" s="1"/>
  <c r="AT85" i="10"/>
  <c r="AV85" i="10" s="1"/>
  <c r="S45" i="10"/>
  <c r="AT45" i="10"/>
  <c r="AV45" i="10" s="1"/>
  <c r="AU45" i="10"/>
  <c r="BV45" i="10"/>
  <c r="CA45" i="10" s="1"/>
  <c r="S74" i="10"/>
  <c r="BV74" i="10"/>
  <c r="CA74" i="10" s="1"/>
  <c r="AT74" i="10"/>
  <c r="AV74" i="10" s="1"/>
  <c r="AU74" i="10"/>
  <c r="AU88" i="10"/>
  <c r="S88" i="10"/>
  <c r="BV88" i="10"/>
  <c r="CA88" i="10" s="1"/>
  <c r="AT88" i="10"/>
  <c r="AV88" i="10" s="1"/>
  <c r="BV65" i="10"/>
  <c r="CA65" i="10" s="1"/>
  <c r="S65" i="10"/>
  <c r="AT65" i="10"/>
  <c r="AV65" i="10" s="1"/>
  <c r="AU65" i="10"/>
  <c r="S54" i="10"/>
  <c r="AT54" i="10"/>
  <c r="AV54" i="10" s="1"/>
  <c r="BV54" i="10"/>
  <c r="CA54" i="10" s="1"/>
  <c r="AU54" i="10"/>
  <c r="S43" i="10"/>
  <c r="E100" i="3"/>
  <c r="E113" i="3"/>
  <c r="AU43" i="10"/>
  <c r="BV43" i="10"/>
  <c r="CA43" i="10" s="1"/>
  <c r="AT43" i="10"/>
  <c r="AV43" i="10" s="1"/>
  <c r="S80" i="10"/>
  <c r="AT80" i="10"/>
  <c r="AV80" i="10" s="1"/>
  <c r="AU80" i="10"/>
  <c r="BV80" i="10"/>
  <c r="CA80" i="10" s="1"/>
  <c r="D114" i="3"/>
  <c r="D101" i="3"/>
  <c r="DI27" i="6"/>
  <c r="DH27" i="6"/>
  <c r="DG27" i="6"/>
  <c r="DF27" i="6"/>
  <c r="DH23" i="6"/>
  <c r="DI23" i="6"/>
  <c r="DG23" i="6"/>
  <c r="DF23" i="6"/>
  <c r="DH20" i="6"/>
  <c r="DG20" i="6"/>
  <c r="DF20" i="6"/>
  <c r="DI20" i="6"/>
  <c r="K104" i="3"/>
  <c r="K117" i="3"/>
  <c r="AL32" i="10"/>
  <c r="AJ32" i="10"/>
  <c r="D118" i="3"/>
  <c r="D105" i="3"/>
  <c r="DH40" i="6"/>
  <c r="DF40" i="6"/>
  <c r="DI40" i="6"/>
  <c r="DG40" i="6"/>
  <c r="L66" i="2"/>
  <c r="D65" i="2"/>
  <c r="M66" i="2"/>
  <c r="AT51" i="10"/>
  <c r="AV51" i="10" s="1"/>
  <c r="S51" i="10"/>
  <c r="F113" i="3"/>
  <c r="F100" i="3"/>
  <c r="BV51" i="10"/>
  <c r="CA51" i="10" s="1"/>
  <c r="AU51" i="10"/>
  <c r="S11" i="10"/>
  <c r="BV11" i="10"/>
  <c r="CA11" i="10" s="1"/>
  <c r="AT11" i="10"/>
  <c r="AV11" i="10" s="1"/>
  <c r="AU11" i="10"/>
  <c r="S69" i="10"/>
  <c r="BV69" i="10"/>
  <c r="CA69" i="10" s="1"/>
  <c r="AT69" i="10"/>
  <c r="AV69" i="10" s="1"/>
  <c r="AU69" i="10"/>
  <c r="S23" i="10"/>
  <c r="BV23" i="10"/>
  <c r="CA23" i="10" s="1"/>
  <c r="AU23" i="10"/>
  <c r="AT23" i="10"/>
  <c r="AV23" i="10" s="1"/>
  <c r="G115" i="3"/>
  <c r="G102" i="3"/>
  <c r="S86" i="10"/>
  <c r="AU86" i="10"/>
  <c r="BV86" i="10"/>
  <c r="CA86" i="10" s="1"/>
  <c r="AT86" i="10"/>
  <c r="AV86" i="10" s="1"/>
  <c r="DH10" i="6"/>
  <c r="DG10" i="6"/>
  <c r="DI10" i="6"/>
  <c r="DF10" i="6"/>
  <c r="S100" i="10"/>
  <c r="BV100" i="10"/>
  <c r="CA100" i="10" s="1"/>
  <c r="AU100" i="10"/>
  <c r="AT100" i="10"/>
  <c r="AV100" i="10" s="1"/>
  <c r="AU77" i="10"/>
  <c r="BV77" i="10"/>
  <c r="CA77" i="10" s="1"/>
  <c r="S77" i="10"/>
  <c r="AT77" i="10"/>
  <c r="AV77" i="10" s="1"/>
  <c r="D115" i="3"/>
  <c r="E75" i="3" s="1"/>
  <c r="D102" i="3"/>
  <c r="D75" i="3" s="1"/>
  <c r="S66" i="10"/>
  <c r="AU66" i="10"/>
  <c r="AT66" i="10"/>
  <c r="AV66" i="10" s="1"/>
  <c r="BV66" i="10"/>
  <c r="CA66" i="10" s="1"/>
  <c r="S55" i="10"/>
  <c r="AU55" i="10"/>
  <c r="AT55" i="10"/>
  <c r="AV55" i="10" s="1"/>
  <c r="AW55" i="10" s="1"/>
  <c r="AX55" i="10" s="1"/>
  <c r="BV55" i="10"/>
  <c r="CA55" i="10" s="1"/>
  <c r="S92" i="10"/>
  <c r="BV92" i="10"/>
  <c r="CA92" i="10" s="1"/>
  <c r="AU92" i="10"/>
  <c r="AT92" i="10"/>
  <c r="AV92" i="10" s="1"/>
  <c r="DI11" i="6"/>
  <c r="DH11" i="6"/>
  <c r="DG11" i="6"/>
  <c r="DF11" i="6"/>
  <c r="DI13" i="6"/>
  <c r="DH13" i="6"/>
  <c r="DG13" i="6"/>
  <c r="DF13" i="6"/>
  <c r="AJ15" i="10"/>
  <c r="AL15" i="10"/>
  <c r="I117" i="3"/>
  <c r="I104" i="3"/>
  <c r="AJ28" i="10"/>
  <c r="AL28" i="10"/>
  <c r="DH32" i="6"/>
  <c r="DF32" i="6"/>
  <c r="DI32" i="6"/>
  <c r="DG32" i="6"/>
  <c r="AJ30" i="10"/>
  <c r="AL30" i="10"/>
  <c r="DG33" i="6"/>
  <c r="DF33" i="6"/>
  <c r="DI33" i="6"/>
  <c r="DH33" i="6"/>
  <c r="AJ33" i="10"/>
  <c r="AL33" i="10"/>
  <c r="AE9" i="11"/>
  <c r="AE11" i="11" s="1"/>
  <c r="U9" i="11" s="1"/>
  <c r="S75" i="10"/>
  <c r="BV75" i="10"/>
  <c r="CA75" i="10" s="1"/>
  <c r="H113" i="3"/>
  <c r="H100" i="3"/>
  <c r="AU75" i="10"/>
  <c r="AT75" i="10"/>
  <c r="AV75" i="10" s="1"/>
  <c r="S34" i="10"/>
  <c r="BV34" i="10"/>
  <c r="CA34" i="10" s="1"/>
  <c r="AU34" i="10"/>
  <c r="D113" i="3"/>
  <c r="D100" i="3"/>
  <c r="AT34" i="10"/>
  <c r="AV34" i="10" s="1"/>
  <c r="AU13" i="10"/>
  <c r="AT13" i="10"/>
  <c r="AV13" i="10" s="1"/>
  <c r="S13" i="10"/>
  <c r="BV13" i="10"/>
  <c r="CA13" i="10" s="1"/>
  <c r="AU93" i="10"/>
  <c r="S93" i="10"/>
  <c r="AT93" i="10"/>
  <c r="AV93" i="10" s="1"/>
  <c r="AW93" i="10" s="1"/>
  <c r="BV93" i="10"/>
  <c r="CA93" i="10" s="1"/>
  <c r="AU47" i="10"/>
  <c r="S47" i="10"/>
  <c r="AT47" i="10"/>
  <c r="AV47" i="10" s="1"/>
  <c r="BV47" i="10"/>
  <c r="CA47" i="10" s="1"/>
  <c r="AL7" i="10"/>
  <c r="AJ7" i="10"/>
  <c r="S98" i="10"/>
  <c r="AT98" i="10"/>
  <c r="AV98" i="10" s="1"/>
  <c r="BV98" i="10"/>
  <c r="CA98" i="10" s="1"/>
  <c r="AU98" i="10"/>
  <c r="AJ12" i="10"/>
  <c r="AL12" i="10"/>
  <c r="S89" i="10"/>
  <c r="AT89" i="10"/>
  <c r="AV89" i="10" s="1"/>
  <c r="BV89" i="10"/>
  <c r="CA89" i="10" s="1"/>
  <c r="AU89" i="10"/>
  <c r="AJ8" i="10"/>
  <c r="BV78" i="10"/>
  <c r="CA78" i="10" s="1"/>
  <c r="S78" i="10"/>
  <c r="AU78" i="10"/>
  <c r="AT78" i="10"/>
  <c r="AV78" i="10" s="1"/>
  <c r="DH18" i="6"/>
  <c r="DG18" i="6"/>
  <c r="DI18" i="6"/>
  <c r="DF18" i="6"/>
  <c r="B115" i="3"/>
  <c r="B102" i="3"/>
  <c r="AT67" i="10"/>
  <c r="AV67" i="10" s="1"/>
  <c r="AW67" i="10" s="1"/>
  <c r="AX67" i="10" s="1"/>
  <c r="AU67" i="10"/>
  <c r="BV67" i="10"/>
  <c r="CA67" i="10" s="1"/>
  <c r="S67" i="10"/>
  <c r="AJ6" i="10"/>
  <c r="L28" i="2"/>
  <c r="J28" i="2"/>
  <c r="AU105" i="10"/>
  <c r="AT105" i="10"/>
  <c r="AV105" i="10" s="1"/>
  <c r="AW105" i="10" s="1"/>
  <c r="AX105" i="10" s="1"/>
  <c r="S105" i="10"/>
  <c r="K113" i="3"/>
  <c r="K100" i="3"/>
  <c r="BV105" i="10"/>
  <c r="AJ24" i="10"/>
  <c r="AL24" i="10"/>
  <c r="DI26" i="6"/>
  <c r="DH26" i="6"/>
  <c r="DG26" i="6"/>
  <c r="DF26" i="6"/>
  <c r="E117" i="3"/>
  <c r="E104" i="3"/>
  <c r="H103" i="3"/>
  <c r="H116" i="3"/>
  <c r="AJ38" i="10"/>
  <c r="AL38" i="10"/>
  <c r="C105" i="3"/>
  <c r="C118" i="3"/>
  <c r="DG39" i="6"/>
  <c r="DI39" i="6"/>
  <c r="DH39" i="6"/>
  <c r="DF39" i="6"/>
  <c r="DI36" i="6"/>
  <c r="DH36" i="6"/>
  <c r="DG36" i="6"/>
  <c r="DF36" i="6"/>
  <c r="B118" i="3"/>
  <c r="B105" i="3"/>
  <c r="AJ34" i="10"/>
  <c r="AL34" i="10"/>
  <c r="S106" i="10"/>
  <c r="AU106" i="10"/>
  <c r="BV106" i="10"/>
  <c r="CA106" i="10" s="1"/>
  <c r="AT106" i="10"/>
  <c r="AV106" i="10" s="1"/>
  <c r="AW106" i="10" s="1"/>
  <c r="AX106" i="10" s="1"/>
  <c r="BV58" i="10"/>
  <c r="CA58" i="10" s="1"/>
  <c r="S58" i="10"/>
  <c r="AT58" i="10"/>
  <c r="AV58" i="10" s="1"/>
  <c r="G100" i="3"/>
  <c r="G113" i="3"/>
  <c r="AU58" i="10"/>
  <c r="S36" i="10"/>
  <c r="BV36" i="10"/>
  <c r="CA36" i="10" s="1"/>
  <c r="AU36" i="10"/>
  <c r="AT36" i="10"/>
  <c r="AV36" i="10" s="1"/>
  <c r="BV71" i="10"/>
  <c r="CA71" i="10" s="1"/>
  <c r="S71" i="10"/>
  <c r="AT71" i="10"/>
  <c r="AV71" i="10" s="1"/>
  <c r="AU71" i="10"/>
  <c r="BV8" i="10"/>
  <c r="S8" i="10"/>
  <c r="AT8" i="10"/>
  <c r="AV8" i="10" s="1"/>
  <c r="AW8" i="10" s="1"/>
  <c r="AX8" i="10" s="1"/>
  <c r="AU8" i="10"/>
  <c r="AI4" i="10"/>
  <c r="DI7" i="6"/>
  <c r="DH7" i="6"/>
  <c r="DG7" i="6"/>
  <c r="DF7" i="6"/>
  <c r="S101" i="10"/>
  <c r="BV101" i="10"/>
  <c r="CA101" i="10" s="1"/>
  <c r="AT101" i="10"/>
  <c r="AV101" i="10" s="1"/>
  <c r="AU101" i="10"/>
  <c r="S90" i="10"/>
  <c r="AU90" i="10"/>
  <c r="AT90" i="10"/>
  <c r="AV90" i="10" s="1"/>
  <c r="BV90" i="10"/>
  <c r="CA90" i="10" s="1"/>
  <c r="S79" i="10"/>
  <c r="AT79" i="10"/>
  <c r="AV79" i="10" s="1"/>
  <c r="AU79" i="10"/>
  <c r="BV79" i="10"/>
  <c r="CA79" i="10" s="1"/>
  <c r="C114" i="3"/>
  <c r="E74" i="3" s="1"/>
  <c r="C101" i="3"/>
  <c r="D74" i="3" s="1"/>
  <c r="AJ26" i="10"/>
  <c r="AL26" i="10"/>
  <c r="DI15" i="6"/>
  <c r="DH15" i="6"/>
  <c r="DG15" i="6"/>
  <c r="DF15" i="6"/>
  <c r="AL17" i="10"/>
  <c r="AJ17" i="10"/>
  <c r="DI14" i="6"/>
  <c r="DH14" i="6"/>
  <c r="DG14" i="6"/>
  <c r="DF14" i="6"/>
  <c r="AL16" i="10"/>
  <c r="AJ16" i="10"/>
  <c r="AJ23" i="10"/>
  <c r="AL23" i="10"/>
  <c r="DF9" i="6"/>
  <c r="DG9" i="6"/>
  <c r="DI9" i="6"/>
  <c r="DH9" i="6"/>
  <c r="AL11" i="10"/>
  <c r="AJ11" i="10"/>
  <c r="DG22" i="6"/>
  <c r="DI22" i="6"/>
  <c r="DH22" i="6"/>
  <c r="DF22" i="6"/>
  <c r="AJ21" i="10"/>
  <c r="AL21" i="10"/>
  <c r="I103" i="3"/>
  <c r="I116" i="3"/>
  <c r="AJ36" i="10"/>
  <c r="AL36" i="10"/>
  <c r="D66" i="2"/>
  <c r="S82" i="10"/>
  <c r="AT82" i="10"/>
  <c r="AV82" i="10" s="1"/>
  <c r="AU82" i="10"/>
  <c r="BV82" i="10"/>
  <c r="CA82" i="10" s="1"/>
  <c r="AU60" i="10"/>
  <c r="AT60" i="10"/>
  <c r="AV60" i="10" s="1"/>
  <c r="AW60" i="10" s="1"/>
  <c r="AX60" i="10" s="1"/>
  <c r="S60" i="10"/>
  <c r="BV60" i="10"/>
  <c r="CA60" i="10" s="1"/>
  <c r="S20" i="10"/>
  <c r="C100" i="3"/>
  <c r="C113" i="3"/>
  <c r="AU20" i="10"/>
  <c r="AT20" i="10"/>
  <c r="AV20" i="10" s="1"/>
  <c r="BV20" i="10"/>
  <c r="CA20" i="10" s="1"/>
  <c r="S95" i="10"/>
  <c r="BV95" i="10"/>
  <c r="CA95" i="10" s="1"/>
  <c r="AU95" i="10"/>
  <c r="AT95" i="10"/>
  <c r="AV95" i="10" s="1"/>
  <c r="S25" i="10"/>
  <c r="AU25" i="10"/>
  <c r="AT25" i="10"/>
  <c r="AV25" i="10" s="1"/>
  <c r="BV25" i="10"/>
  <c r="CA25" i="10" s="1"/>
  <c r="G101" i="3"/>
  <c r="G114" i="3"/>
  <c r="S102" i="10"/>
  <c r="BV102" i="10"/>
  <c r="CA102" i="10" s="1"/>
  <c r="AU102" i="10"/>
  <c r="AT102" i="10"/>
  <c r="AV102" i="10" s="1"/>
  <c r="S91" i="10"/>
  <c r="AU91" i="10"/>
  <c r="AT91" i="10"/>
  <c r="AV91" i="10" s="1"/>
  <c r="BV91" i="10"/>
  <c r="CA91" i="10" s="1"/>
  <c r="S104" i="10"/>
  <c r="AU104" i="10"/>
  <c r="AT104" i="10"/>
  <c r="AV104" i="10" s="1"/>
  <c r="BV104" i="10"/>
  <c r="CA104" i="10" s="1"/>
  <c r="C115" i="3"/>
  <c r="C102" i="3"/>
  <c r="E116" i="3"/>
  <c r="E76" i="3" s="1"/>
  <c r="E103" i="3"/>
  <c r="D76" i="3" s="1"/>
  <c r="DF30" i="6"/>
  <c r="DH30" i="6"/>
  <c r="DG30" i="6"/>
  <c r="DI30" i="6"/>
  <c r="B117" i="3"/>
  <c r="B104" i="3"/>
  <c r="G117" i="3"/>
  <c r="G104" i="3"/>
  <c r="F118" i="3"/>
  <c r="F105" i="3"/>
  <c r="AJ31" i="10"/>
  <c r="AL31" i="10"/>
  <c r="U7" i="11"/>
  <c r="S84" i="10"/>
  <c r="AU84" i="10"/>
  <c r="AT84" i="10"/>
  <c r="AV84" i="10" s="1"/>
  <c r="I113" i="3"/>
  <c r="I100" i="3"/>
  <c r="BV84" i="10"/>
  <c r="CA84" i="10" s="1"/>
  <c r="S39" i="10"/>
  <c r="AT39" i="10"/>
  <c r="AV39" i="10" s="1"/>
  <c r="AU39" i="10"/>
  <c r="BV39" i="10"/>
  <c r="CA39" i="10" s="1"/>
  <c r="S49" i="10"/>
  <c r="AT49" i="10"/>
  <c r="AV49" i="10" s="1"/>
  <c r="AU49" i="10"/>
  <c r="S4" i="10"/>
  <c r="DI6" i="6"/>
  <c r="DH6" i="6"/>
  <c r="DG6" i="6"/>
  <c r="DF6" i="6"/>
  <c r="B113" i="3"/>
  <c r="E73" i="3" s="1"/>
  <c r="B100" i="3"/>
  <c r="D73" i="3" s="1"/>
  <c r="AU4" i="10"/>
  <c r="AT4" i="10"/>
  <c r="BV4" i="10"/>
  <c r="AJ5" i="10"/>
  <c r="L27" i="2"/>
  <c r="J27" i="2"/>
  <c r="AL5" i="10"/>
  <c r="S103" i="10"/>
  <c r="AU103" i="10"/>
  <c r="BV103" i="10"/>
  <c r="CA103" i="10" s="1"/>
  <c r="AT103" i="10"/>
  <c r="AV103" i="10" s="1"/>
  <c r="AJ18" i="10"/>
  <c r="AL18" i="10"/>
  <c r="D117" i="3"/>
  <c r="D104" i="3"/>
  <c r="H117" i="3"/>
  <c r="H104" i="3"/>
  <c r="DH28" i="6"/>
  <c r="DF28" i="6"/>
  <c r="DI28" i="6"/>
  <c r="DG28" i="6"/>
  <c r="DF38" i="6"/>
  <c r="DG38" i="6"/>
  <c r="DI38" i="6"/>
  <c r="DH38" i="6"/>
  <c r="E118" i="3"/>
  <c r="E105" i="3"/>
  <c r="S63" i="10"/>
  <c r="BV63" i="10"/>
  <c r="CA63" i="10" s="1"/>
  <c r="AU63" i="10"/>
  <c r="AT63" i="10"/>
  <c r="AV63" i="10" s="1"/>
  <c r="S22" i="10"/>
  <c r="BV22" i="10"/>
  <c r="CA22" i="10" s="1"/>
  <c r="AT22" i="10"/>
  <c r="AV22" i="10" s="1"/>
  <c r="AU22" i="10"/>
  <c r="BV73" i="10"/>
  <c r="CA73" i="10" s="1"/>
  <c r="S73" i="10"/>
  <c r="AT73" i="10"/>
  <c r="AV73" i="10" s="1"/>
  <c r="AU73" i="10"/>
  <c r="BV16" i="10"/>
  <c r="S16" i="10"/>
  <c r="AU16" i="10"/>
  <c r="AT16" i="10"/>
  <c r="AV16" i="10" s="1"/>
  <c r="K114" i="3"/>
  <c r="K101" i="3"/>
  <c r="AJ22" i="10"/>
  <c r="AL22" i="10"/>
  <c r="K115" i="3"/>
  <c r="K102" i="3"/>
  <c r="AJ29" i="10"/>
  <c r="AL29" i="10"/>
  <c r="F117" i="3"/>
  <c r="E77" i="3" s="1"/>
  <c r="F104" i="3"/>
  <c r="D77" i="3" s="1"/>
  <c r="DG37" i="6"/>
  <c r="DF37" i="6"/>
  <c r="DI37" i="6"/>
  <c r="DH37" i="6"/>
  <c r="DI34" i="6"/>
  <c r="DG34" i="6"/>
  <c r="DF34" i="6"/>
  <c r="DH34" i="6"/>
  <c r="I118" i="3"/>
  <c r="I105" i="3"/>
  <c r="AJ37" i="10"/>
  <c r="AL37" i="10"/>
  <c r="H118" i="3"/>
  <c r="H105" i="3"/>
  <c r="K118" i="3"/>
  <c r="K105" i="3"/>
  <c r="B42" i="3"/>
  <c r="F40" i="3"/>
  <c r="B39" i="3"/>
  <c r="F37" i="3"/>
  <c r="B36" i="3"/>
  <c r="F34" i="3"/>
  <c r="B33" i="3"/>
  <c r="H41" i="3"/>
  <c r="D40" i="3"/>
  <c r="H38" i="3"/>
  <c r="D37" i="3"/>
  <c r="H35" i="3"/>
  <c r="D34" i="3"/>
  <c r="C40" i="3"/>
  <c r="C37" i="3"/>
  <c r="C34" i="3"/>
  <c r="F41" i="3"/>
  <c r="B40" i="3"/>
  <c r="F38" i="3"/>
  <c r="B37" i="3"/>
  <c r="F35" i="3"/>
  <c r="B34" i="3"/>
  <c r="D42" i="3"/>
  <c r="H40" i="3"/>
  <c r="D39" i="3"/>
  <c r="H37" i="3"/>
  <c r="D36" i="3"/>
  <c r="H34" i="3"/>
  <c r="D33" i="3"/>
  <c r="A41" i="3"/>
  <c r="C38" i="3"/>
  <c r="E35" i="3"/>
  <c r="C33" i="3"/>
  <c r="B38" i="3"/>
  <c r="D35" i="3"/>
  <c r="A33" i="3"/>
  <c r="H42" i="3"/>
  <c r="E40" i="3"/>
  <c r="A38" i="3"/>
  <c r="C35" i="3"/>
  <c r="A40" i="3"/>
  <c r="B35" i="3"/>
  <c r="F42" i="3"/>
  <c r="H39" i="3"/>
  <c r="E37" i="3"/>
  <c r="A35" i="3"/>
  <c r="A34" i="3"/>
  <c r="E42" i="3"/>
  <c r="A37" i="3"/>
  <c r="A42" i="3"/>
  <c r="C42" i="3"/>
  <c r="F39" i="3"/>
  <c r="H36" i="3"/>
  <c r="E34" i="3"/>
  <c r="E39" i="3"/>
  <c r="E41" i="3"/>
  <c r="C39" i="3"/>
  <c r="F36" i="3"/>
  <c r="H33" i="3"/>
  <c r="D41" i="3"/>
  <c r="A39" i="3"/>
  <c r="E36" i="3"/>
  <c r="C41" i="3"/>
  <c r="E38" i="3"/>
  <c r="C36" i="3"/>
  <c r="F33" i="3"/>
  <c r="B41" i="3"/>
  <c r="D38" i="3"/>
  <c r="A36" i="3"/>
  <c r="E33" i="3"/>
  <c r="E18" i="2"/>
  <c r="C16" i="2"/>
  <c r="D16" i="2" s="1"/>
  <c r="B15" i="2"/>
  <c r="E20" i="2"/>
  <c r="C18" i="2"/>
  <c r="D18" i="2" s="1"/>
  <c r="B17" i="2"/>
  <c r="A16" i="2"/>
  <c r="C19" i="2"/>
  <c r="D19" i="2" s="1"/>
  <c r="B18" i="2"/>
  <c r="A17" i="2"/>
  <c r="C20" i="2"/>
  <c r="D20" i="2" s="1"/>
  <c r="B19" i="2"/>
  <c r="A18" i="2"/>
  <c r="E16" i="2"/>
  <c r="A15" i="2"/>
  <c r="B20" i="2"/>
  <c r="A20" i="2"/>
  <c r="B16" i="2"/>
  <c r="E19" i="2"/>
  <c r="A19" i="2"/>
  <c r="E17" i="2"/>
  <c r="C17" i="2"/>
  <c r="D17" i="2" s="1"/>
  <c r="E15" i="2"/>
  <c r="C15" i="2"/>
  <c r="D15" i="2" s="1"/>
  <c r="A65" i="2"/>
  <c r="H66" i="2"/>
  <c r="S10" i="10"/>
  <c r="BV10" i="10"/>
  <c r="CA10" i="10" s="1"/>
  <c r="AU10" i="10"/>
  <c r="AT10" i="10"/>
  <c r="AV10" i="10" s="1"/>
  <c r="S12" i="10"/>
  <c r="AT12" i="10"/>
  <c r="AV12" i="10" s="1"/>
  <c r="AU12" i="10"/>
  <c r="BV12" i="10"/>
  <c r="CA12" i="10" s="1"/>
  <c r="S87" i="10"/>
  <c r="AU87" i="10"/>
  <c r="AT87" i="10"/>
  <c r="AV87" i="10" s="1"/>
  <c r="BV87" i="10"/>
  <c r="CA87" i="10" s="1"/>
  <c r="S46" i="10"/>
  <c r="AT46" i="10"/>
  <c r="AV46" i="10" s="1"/>
  <c r="AW46" i="10" s="1"/>
  <c r="AX46" i="10" s="1"/>
  <c r="AU46" i="10"/>
  <c r="BV46" i="10"/>
  <c r="CA46" i="10" s="1"/>
  <c r="AU99" i="10"/>
  <c r="AT99" i="10"/>
  <c r="AV99" i="10" s="1"/>
  <c r="S99" i="10"/>
  <c r="BV99" i="10"/>
  <c r="CA99" i="10" s="1"/>
  <c r="AL9" i="10"/>
  <c r="AJ9" i="10"/>
  <c r="AJ13" i="10"/>
  <c r="AL13" i="10"/>
  <c r="AT14" i="10"/>
  <c r="AV14" i="10" s="1"/>
  <c r="AW14" i="10" s="1"/>
  <c r="AX14" i="10" s="1"/>
  <c r="S14" i="10"/>
  <c r="BV14" i="10"/>
  <c r="AU14" i="10"/>
  <c r="AU28" i="10"/>
  <c r="AT28" i="10"/>
  <c r="AV28" i="10" s="1"/>
  <c r="S28" i="10"/>
  <c r="BV28" i="10"/>
  <c r="CA28" i="10" s="1"/>
  <c r="S5" i="10"/>
  <c r="BV5" i="10"/>
  <c r="CA5" i="10" s="1"/>
  <c r="AU5" i="10"/>
  <c r="AT5" i="10"/>
  <c r="AV5" i="10" s="1"/>
  <c r="D103" i="3"/>
  <c r="D116" i="3"/>
  <c r="DH25" i="6"/>
  <c r="DG25" i="6"/>
  <c r="DF25" i="6"/>
  <c r="DI25" i="6"/>
  <c r="DG31" i="6"/>
  <c r="DF31" i="6"/>
  <c r="DH31" i="6"/>
  <c r="DI31" i="6"/>
  <c r="AJ25" i="10"/>
  <c r="AL25" i="10"/>
  <c r="H65" i="2"/>
  <c r="S33" i="10"/>
  <c r="BV33" i="10"/>
  <c r="CA33" i="10" s="1"/>
  <c r="AT33" i="10"/>
  <c r="AV33" i="10" s="1"/>
  <c r="AU33" i="10"/>
  <c r="S35" i="10"/>
  <c r="BV35" i="10"/>
  <c r="CA35" i="10" s="1"/>
  <c r="AU35" i="10"/>
  <c r="AT35" i="10"/>
  <c r="AV35" i="10" s="1"/>
  <c r="DI8" i="6"/>
  <c r="DH8" i="6"/>
  <c r="DG8" i="6"/>
  <c r="DF8" i="6"/>
  <c r="AU70" i="10"/>
  <c r="AT70" i="10"/>
  <c r="AV70" i="10" s="1"/>
  <c r="S70" i="10"/>
  <c r="BV70" i="10"/>
  <c r="AU24" i="10"/>
  <c r="S24" i="10"/>
  <c r="BV24" i="10"/>
  <c r="CA24" i="10" s="1"/>
  <c r="AT24" i="10"/>
  <c r="AV24" i="10" s="1"/>
  <c r="AT26" i="10"/>
  <c r="AV26" i="10" s="1"/>
  <c r="S26" i="10"/>
  <c r="AU26" i="10"/>
  <c r="BV26" i="10"/>
  <c r="CA26" i="10" s="1"/>
  <c r="S40" i="10"/>
  <c r="AT40" i="10"/>
  <c r="AV40" i="10" s="1"/>
  <c r="BV40" i="10"/>
  <c r="CA40" i="10" s="1"/>
  <c r="AU40" i="10"/>
  <c r="S17" i="10"/>
  <c r="AU17" i="10"/>
  <c r="BV17" i="10"/>
  <c r="CA17" i="10" s="1"/>
  <c r="AT17" i="10"/>
  <c r="AV17" i="10" s="1"/>
  <c r="AW17" i="10" s="1"/>
  <c r="AX17" i="10" s="1"/>
  <c r="S6" i="10"/>
  <c r="BV6" i="10"/>
  <c r="AT6" i="10"/>
  <c r="AV6" i="10" s="1"/>
  <c r="AW6" i="10" s="1"/>
  <c r="AX6" i="10" s="1"/>
  <c r="AU6" i="10"/>
  <c r="BV32" i="10"/>
  <c r="CA32" i="10" s="1"/>
  <c r="AT32" i="10"/>
  <c r="AV32" i="10" s="1"/>
  <c r="S32" i="10"/>
  <c r="AU32" i="10"/>
  <c r="DF21" i="6"/>
  <c r="DI21" i="6"/>
  <c r="DG21" i="6"/>
  <c r="DH21" i="6"/>
  <c r="F114" i="3"/>
  <c r="F101" i="3"/>
  <c r="DG24" i="6"/>
  <c r="DI24" i="6"/>
  <c r="DH24" i="6"/>
  <c r="DF24" i="6"/>
  <c r="B116" i="3"/>
  <c r="B103" i="3"/>
  <c r="I115" i="3"/>
  <c r="I102" i="3"/>
  <c r="AJ27" i="10"/>
  <c r="AL27" i="10"/>
  <c r="AJ19" i="10"/>
  <c r="AL19" i="10"/>
  <c r="DI35" i="6"/>
  <c r="DH35" i="6"/>
  <c r="DG35" i="6"/>
  <c r="DF35" i="6"/>
  <c r="G118" i="3"/>
  <c r="E78" i="3" s="1"/>
  <c r="G105" i="3"/>
  <c r="D78" i="3" s="1"/>
  <c r="M65" i="2"/>
  <c r="J65" i="2"/>
  <c r="S57" i="10"/>
  <c r="BV57" i="10"/>
  <c r="CA57" i="10" s="1"/>
  <c r="AU57" i="10"/>
  <c r="AT57" i="10"/>
  <c r="AV57" i="10" s="1"/>
  <c r="AU59" i="10"/>
  <c r="BV59" i="10"/>
  <c r="CA59" i="10" s="1"/>
  <c r="S59" i="10"/>
  <c r="AT59" i="10"/>
  <c r="AV59" i="10" s="1"/>
  <c r="S15" i="10"/>
  <c r="BV15" i="10"/>
  <c r="CA15" i="10" s="1"/>
  <c r="AU15" i="10"/>
  <c r="AT15" i="10"/>
  <c r="AV15" i="10" s="1"/>
  <c r="S94" i="10"/>
  <c r="AT94" i="10"/>
  <c r="AV94" i="10" s="1"/>
  <c r="AU94" i="10"/>
  <c r="BV94" i="10"/>
  <c r="CA94" i="10" s="1"/>
  <c r="S48" i="10"/>
  <c r="AU48" i="10"/>
  <c r="BV48" i="10"/>
  <c r="CA48" i="10" s="1"/>
  <c r="AT48" i="10"/>
  <c r="AV48" i="10" s="1"/>
  <c r="DI12" i="6"/>
  <c r="DH12" i="6"/>
  <c r="DG12" i="6"/>
  <c r="DF12" i="6"/>
  <c r="B114" i="3"/>
  <c r="B101" i="3"/>
  <c r="AL14" i="10"/>
  <c r="AJ14" i="10"/>
  <c r="F115" i="3"/>
  <c r="F102" i="3"/>
  <c r="S38" i="10"/>
  <c r="AT38" i="10"/>
  <c r="AV38" i="10" s="1"/>
  <c r="AW38" i="10" s="1"/>
  <c r="AX38" i="10" s="1"/>
  <c r="AU38" i="10"/>
  <c r="BV38" i="10"/>
  <c r="CA38" i="10" s="1"/>
  <c r="AU52" i="10"/>
  <c r="AT52" i="10"/>
  <c r="AV52" i="10" s="1"/>
  <c r="AW52" i="10" s="1"/>
  <c r="AX52" i="10" s="1"/>
  <c r="S52" i="10"/>
  <c r="BV52" i="10"/>
  <c r="CA52" i="10" s="1"/>
  <c r="AT29" i="10"/>
  <c r="AV29" i="10" s="1"/>
  <c r="S29" i="10"/>
  <c r="BV29" i="10"/>
  <c r="CA29" i="10" s="1"/>
  <c r="AU29" i="10"/>
  <c r="AT18" i="10"/>
  <c r="AV18" i="10" s="1"/>
  <c r="S18" i="10"/>
  <c r="BV18" i="10"/>
  <c r="AU18" i="10"/>
  <c r="S7" i="10"/>
  <c r="AT7" i="10"/>
  <c r="AV7" i="10" s="1"/>
  <c r="AU7" i="10"/>
  <c r="BV7" i="10"/>
  <c r="CA7" i="10" s="1"/>
  <c r="I101" i="3"/>
  <c r="I114" i="3"/>
  <c r="S44" i="10"/>
  <c r="AU44" i="10"/>
  <c r="AT44" i="10"/>
  <c r="AV44" i="10" s="1"/>
  <c r="AW44" i="10" s="1"/>
  <c r="AX44" i="10" s="1"/>
  <c r="BV44" i="10"/>
  <c r="CA44" i="10" s="1"/>
  <c r="DG17" i="6"/>
  <c r="DF17" i="6"/>
  <c r="DI17" i="6"/>
  <c r="DH17" i="6"/>
  <c r="E115" i="3"/>
  <c r="E102" i="3"/>
  <c r="C116" i="3"/>
  <c r="C103" i="3"/>
  <c r="E114" i="3"/>
  <c r="E101" i="3"/>
  <c r="G116" i="3"/>
  <c r="G103" i="3"/>
  <c r="J66" i="2"/>
  <c r="S81" i="10"/>
  <c r="AU81" i="10"/>
  <c r="AT81" i="10"/>
  <c r="AV81" i="10" s="1"/>
  <c r="BV81" i="10"/>
  <c r="CA81" i="10" s="1"/>
  <c r="S83" i="10"/>
  <c r="AT83" i="10"/>
  <c r="AV83" i="10" s="1"/>
  <c r="AU83" i="10"/>
  <c r="S37" i="10"/>
  <c r="BV37" i="10"/>
  <c r="CA37" i="10" s="1"/>
  <c r="AU37" i="10"/>
  <c r="AT37" i="10"/>
  <c r="AV37" i="10" s="1"/>
  <c r="AW37" i="10" s="1"/>
  <c r="AX37" i="10" s="1"/>
  <c r="S72" i="10"/>
  <c r="BV72" i="10"/>
  <c r="CA72" i="10" s="1"/>
  <c r="AU72" i="10"/>
  <c r="AT72" i="10"/>
  <c r="AV72" i="10" s="1"/>
  <c r="S50" i="10"/>
  <c r="AT50" i="10"/>
  <c r="AV50" i="10" s="1"/>
  <c r="AU50" i="10"/>
  <c r="BV50" i="10"/>
  <c r="CA50" i="10" s="1"/>
  <c r="S64" i="10"/>
  <c r="AU64" i="10"/>
  <c r="AT64" i="10"/>
  <c r="AV64" i="10" s="1"/>
  <c r="BV64" i="10"/>
  <c r="CA64" i="10" s="1"/>
  <c r="S41" i="10"/>
  <c r="AU41" i="10"/>
  <c r="AT41" i="10"/>
  <c r="AV41" i="10" s="1"/>
  <c r="BV41" i="10"/>
  <c r="CA41" i="10" s="1"/>
  <c r="S30" i="10"/>
  <c r="AT30" i="10"/>
  <c r="AV30" i="10" s="1"/>
  <c r="BV30" i="10"/>
  <c r="CA30" i="10" s="1"/>
  <c r="AU30" i="10"/>
  <c r="S19" i="10"/>
  <c r="BV19" i="10"/>
  <c r="CA19" i="10" s="1"/>
  <c r="AU19" i="10"/>
  <c r="AT19" i="10"/>
  <c r="AV19" i="10" s="1"/>
  <c r="AW19" i="10" s="1"/>
  <c r="AX19" i="10" s="1"/>
  <c r="S56" i="10"/>
  <c r="AT56" i="10"/>
  <c r="AV56" i="10" s="1"/>
  <c r="AU56" i="10"/>
  <c r="H115" i="3"/>
  <c r="H102" i="3"/>
  <c r="F103" i="3"/>
  <c r="F116" i="3"/>
  <c r="H114" i="3"/>
  <c r="H101" i="3"/>
  <c r="DI29" i="6"/>
  <c r="DH29" i="6"/>
  <c r="DG29" i="6"/>
  <c r="DF29" i="6"/>
  <c r="A66" i="2"/>
  <c r="BV9" i="10"/>
  <c r="CA9" i="10" s="1"/>
  <c r="S9" i="10"/>
  <c r="AU9" i="10"/>
  <c r="AT9" i="10"/>
  <c r="AV9" i="10" s="1"/>
  <c r="S61" i="10"/>
  <c r="AU61" i="10"/>
  <c r="AT61" i="10"/>
  <c r="AV61" i="10" s="1"/>
  <c r="BV61" i="10"/>
  <c r="CA61" i="10" s="1"/>
  <c r="S21" i="10"/>
  <c r="AT21" i="10"/>
  <c r="AV21" i="10" s="1"/>
  <c r="AU21" i="10"/>
  <c r="BV21" i="10"/>
  <c r="CA21" i="10" s="1"/>
  <c r="S97" i="10"/>
  <c r="AT97" i="10"/>
  <c r="AV97" i="10" s="1"/>
  <c r="BV97" i="10"/>
  <c r="CA97" i="10" s="1"/>
  <c r="AU97" i="10"/>
  <c r="S96" i="10"/>
  <c r="AT96" i="10"/>
  <c r="AV96" i="10" s="1"/>
  <c r="AU96" i="10"/>
  <c r="BV96" i="10"/>
  <c r="CA96" i="10" s="1"/>
  <c r="AU62" i="10"/>
  <c r="AT62" i="10"/>
  <c r="AV62" i="10" s="1"/>
  <c r="S62" i="10"/>
  <c r="BV62" i="10"/>
  <c r="CA62" i="10" s="1"/>
  <c r="AL10" i="10"/>
  <c r="AJ10" i="10"/>
  <c r="S76" i="10"/>
  <c r="AU76" i="10"/>
  <c r="AT76" i="10"/>
  <c r="AV76" i="10" s="1"/>
  <c r="AU53" i="10"/>
  <c r="AT53" i="10"/>
  <c r="AV53" i="10" s="1"/>
  <c r="AW53" i="10" s="1"/>
  <c r="AX53" i="10" s="1"/>
  <c r="S53" i="10"/>
  <c r="BV53" i="10"/>
  <c r="CA53" i="10" s="1"/>
  <c r="S42" i="10"/>
  <c r="AU42" i="10"/>
  <c r="AT42" i="10"/>
  <c r="AV42" i="10" s="1"/>
  <c r="AW42" i="10" s="1"/>
  <c r="AX42" i="10" s="1"/>
  <c r="BV42" i="10"/>
  <c r="CA42" i="10" s="1"/>
  <c r="BV31" i="10"/>
  <c r="CA31" i="10" s="1"/>
  <c r="S31" i="10"/>
  <c r="AT31" i="10"/>
  <c r="AV31" i="10" s="1"/>
  <c r="AU31" i="10"/>
  <c r="S68" i="10"/>
  <c r="AU68" i="10"/>
  <c r="AT68" i="10"/>
  <c r="AV68" i="10" s="1"/>
  <c r="BV68" i="10"/>
  <c r="CA68" i="10" s="1"/>
  <c r="DI19" i="6"/>
  <c r="DH19" i="6"/>
  <c r="DG19" i="6"/>
  <c r="DF19" i="6"/>
  <c r="DF16" i="6"/>
  <c r="DI16" i="6"/>
  <c r="DH16" i="6"/>
  <c r="DG16" i="6"/>
  <c r="K103" i="3"/>
  <c r="K116" i="3"/>
  <c r="AL20" i="10"/>
  <c r="AJ20" i="10"/>
  <c r="C117" i="3"/>
  <c r="C104" i="3"/>
  <c r="AJ39" i="10"/>
  <c r="AL39" i="10"/>
  <c r="DI41" i="6"/>
  <c r="DG41" i="6"/>
  <c r="DF41" i="6"/>
  <c r="DH41" i="6"/>
  <c r="AL35" i="10"/>
  <c r="AJ35" i="10"/>
  <c r="AW73" i="10" l="1"/>
  <c r="AW49" i="10"/>
  <c r="AW7" i="10"/>
  <c r="AW22" i="10"/>
  <c r="G40" i="3"/>
  <c r="AW69" i="10"/>
  <c r="AW45" i="10"/>
  <c r="AW77" i="10"/>
  <c r="AW74" i="10"/>
  <c r="AW34" i="10"/>
  <c r="AW29" i="10"/>
  <c r="AW64" i="10"/>
  <c r="AW18" i="10"/>
  <c r="AW32" i="10"/>
  <c r="AW40" i="10"/>
  <c r="AW84" i="10"/>
  <c r="AW66" i="10"/>
  <c r="AW31" i="10"/>
  <c r="AW9" i="10"/>
  <c r="AW50" i="10"/>
  <c r="AW94" i="10"/>
  <c r="AW5" i="10"/>
  <c r="G38" i="3"/>
  <c r="AW75" i="10"/>
  <c r="AW20" i="10"/>
  <c r="AW21" i="10"/>
  <c r="AW48" i="10"/>
  <c r="AW59" i="10"/>
  <c r="G36" i="3"/>
  <c r="AW25" i="10"/>
  <c r="AW13" i="10"/>
  <c r="AW61" i="10"/>
  <c r="G41" i="3"/>
  <c r="C40" i="2"/>
  <c r="AW80" i="10"/>
  <c r="AW95" i="10"/>
  <c r="AW23" i="10"/>
  <c r="AW30" i="10"/>
  <c r="AW43" i="10"/>
  <c r="CA8" i="10"/>
  <c r="AW58" i="10"/>
  <c r="AW97" i="10"/>
  <c r="AW72" i="10"/>
  <c r="AW81" i="10"/>
  <c r="AW15" i="10"/>
  <c r="C39" i="2"/>
  <c r="AW56" i="10"/>
  <c r="D39" i="2"/>
  <c r="AW78" i="10"/>
  <c r="AW62" i="10"/>
  <c r="AW104" i="10"/>
  <c r="AW36" i="10"/>
  <c r="AW98" i="10"/>
  <c r="T9" i="10"/>
  <c r="AD9" i="10"/>
  <c r="T19" i="10"/>
  <c r="AD19" i="10"/>
  <c r="AD64" i="10"/>
  <c r="T64" i="10"/>
  <c r="T37" i="10"/>
  <c r="AD37" i="10"/>
  <c r="CA70" i="10"/>
  <c r="AD12" i="10"/>
  <c r="T12" i="10"/>
  <c r="G35" i="3"/>
  <c r="AW103" i="10"/>
  <c r="T39" i="10"/>
  <c r="AD39" i="10"/>
  <c r="AD102" i="10"/>
  <c r="T102" i="10"/>
  <c r="T82" i="10"/>
  <c r="AD82" i="10"/>
  <c r="T79" i="10"/>
  <c r="AD79" i="10"/>
  <c r="T92" i="10"/>
  <c r="AD92" i="10"/>
  <c r="AD77" i="10"/>
  <c r="T77" i="10"/>
  <c r="T69" i="10"/>
  <c r="AD69" i="10"/>
  <c r="AD65" i="10"/>
  <c r="T65" i="10"/>
  <c r="E37" i="2"/>
  <c r="C12" i="2"/>
  <c r="F73" i="3"/>
  <c r="T8" i="10"/>
  <c r="AD8" i="10"/>
  <c r="AD97" i="10"/>
  <c r="T97" i="10"/>
  <c r="T7" i="10"/>
  <c r="AD7" i="10"/>
  <c r="C38" i="2"/>
  <c r="AD32" i="10"/>
  <c r="T32" i="10"/>
  <c r="AD70" i="10"/>
  <c r="T70" i="10"/>
  <c r="AW33" i="10"/>
  <c r="AW10" i="10"/>
  <c r="AL4" i="10"/>
  <c r="AJ4" i="10"/>
  <c r="L26" i="2"/>
  <c r="K12" i="2"/>
  <c r="M12" i="2" s="1"/>
  <c r="J26" i="2"/>
  <c r="T36" i="10"/>
  <c r="AD36" i="10"/>
  <c r="C42" i="2"/>
  <c r="T105" i="10"/>
  <c r="AD105" i="10"/>
  <c r="AW47" i="10"/>
  <c r="U8" i="11"/>
  <c r="T45" i="10"/>
  <c r="AD45" i="10"/>
  <c r="AD50" i="10"/>
  <c r="T50" i="10"/>
  <c r="AD18" i="10"/>
  <c r="T18" i="10"/>
  <c r="AW83" i="10"/>
  <c r="D38" i="2"/>
  <c r="AW70" i="10"/>
  <c r="CA14" i="10"/>
  <c r="AD22" i="10"/>
  <c r="T22" i="10"/>
  <c r="C37" i="2"/>
  <c r="D4" i="2"/>
  <c r="AW90" i="10"/>
  <c r="D42" i="2"/>
  <c r="AW89" i="10"/>
  <c r="T47" i="10"/>
  <c r="AD47" i="10"/>
  <c r="AD86" i="10"/>
  <c r="T86" i="10"/>
  <c r="AW11" i="10"/>
  <c r="AW88" i="10"/>
  <c r="AW85" i="10"/>
  <c r="F76" i="3"/>
  <c r="E40" i="2"/>
  <c r="AD104" i="10"/>
  <c r="T104" i="10"/>
  <c r="T55" i="10"/>
  <c r="AD55" i="10"/>
  <c r="AD62" i="10"/>
  <c r="T62" i="10"/>
  <c r="T83" i="10"/>
  <c r="AD83" i="10"/>
  <c r="CA18" i="10"/>
  <c r="E38" i="2"/>
  <c r="F74" i="3"/>
  <c r="T15" i="10"/>
  <c r="AD15" i="10"/>
  <c r="D40" i="2"/>
  <c r="AD40" i="10"/>
  <c r="T40" i="10"/>
  <c r="T33" i="10"/>
  <c r="AD33" i="10"/>
  <c r="AD14" i="10"/>
  <c r="T14" i="10"/>
  <c r="AW16" i="10"/>
  <c r="AW63" i="10"/>
  <c r="T103" i="10"/>
  <c r="AD103" i="10"/>
  <c r="H4" i="2"/>
  <c r="D37" i="2"/>
  <c r="F78" i="3"/>
  <c r="E42" i="2"/>
  <c r="E39" i="2"/>
  <c r="F75" i="3"/>
  <c r="T89" i="10"/>
  <c r="AD89" i="10"/>
  <c r="AW100" i="10"/>
  <c r="AD46" i="10"/>
  <c r="T46" i="10"/>
  <c r="T90" i="10"/>
  <c r="AD90" i="10"/>
  <c r="AD21" i="10"/>
  <c r="T21" i="10"/>
  <c r="T59" i="10"/>
  <c r="AD59" i="10"/>
  <c r="F77" i="3"/>
  <c r="E41" i="2"/>
  <c r="AD34" i="10"/>
  <c r="T34" i="10"/>
  <c r="T85" i="10"/>
  <c r="AD85" i="10"/>
  <c r="AW68" i="10"/>
  <c r="T53" i="10"/>
  <c r="AD53" i="10"/>
  <c r="AW41" i="10"/>
  <c r="CA6" i="10"/>
  <c r="T26" i="10"/>
  <c r="AD26" i="10"/>
  <c r="AW87" i="10"/>
  <c r="CA16" i="10"/>
  <c r="AD63" i="10"/>
  <c r="T63" i="10"/>
  <c r="AD84" i="10"/>
  <c r="T84" i="10"/>
  <c r="C41" i="2"/>
  <c r="AW91" i="10"/>
  <c r="T25" i="10"/>
  <c r="AD25" i="10"/>
  <c r="T60" i="10"/>
  <c r="AD60" i="10"/>
  <c r="AW101" i="10"/>
  <c r="T58" i="10"/>
  <c r="AD58" i="10"/>
  <c r="T93" i="10"/>
  <c r="AD93" i="10"/>
  <c r="AE13" i="11"/>
  <c r="U10" i="11" s="1"/>
  <c r="T100" i="10"/>
  <c r="AD100" i="10"/>
  <c r="T42" i="10"/>
  <c r="AD42" i="10"/>
  <c r="T30" i="10"/>
  <c r="AD30" i="10"/>
  <c r="AD10" i="10"/>
  <c r="T10" i="10"/>
  <c r="T38" i="10"/>
  <c r="AD38" i="10"/>
  <c r="AD16" i="10"/>
  <c r="T16" i="10"/>
  <c r="T4" i="10"/>
  <c r="AD4" i="10"/>
  <c r="T43" i="10"/>
  <c r="AD43" i="10"/>
  <c r="AD81" i="10"/>
  <c r="T81" i="10"/>
  <c r="AD44" i="10"/>
  <c r="T44" i="10"/>
  <c r="AD48" i="10"/>
  <c r="T48" i="10"/>
  <c r="T6" i="10"/>
  <c r="AD6" i="10"/>
  <c r="AW26" i="10"/>
  <c r="D41" i="2"/>
  <c r="AW71" i="10"/>
  <c r="AL6" i="10"/>
  <c r="T88" i="10"/>
  <c r="AD88" i="10"/>
  <c r="T68" i="10"/>
  <c r="AD68" i="10"/>
  <c r="AW96" i="10"/>
  <c r="AD56" i="10"/>
  <c r="T56" i="10"/>
  <c r="T41" i="10"/>
  <c r="AD41" i="10"/>
  <c r="T72" i="10"/>
  <c r="AD72" i="10"/>
  <c r="AD29" i="10"/>
  <c r="T29" i="10"/>
  <c r="AW57" i="10"/>
  <c r="AW24" i="10"/>
  <c r="AW35" i="10"/>
  <c r="T5" i="10"/>
  <c r="AD5" i="10"/>
  <c r="T87" i="10"/>
  <c r="AD87" i="10"/>
  <c r="G42" i="3"/>
  <c r="CA4" i="10"/>
  <c r="E11" i="4"/>
  <c r="A11" i="4"/>
  <c r="G11" i="4"/>
  <c r="C11" i="4"/>
  <c r="T49" i="10"/>
  <c r="AD49" i="10"/>
  <c r="T91" i="10"/>
  <c r="AD91" i="10"/>
  <c r="AD101" i="10"/>
  <c r="T101" i="10"/>
  <c r="T71" i="10"/>
  <c r="AD71" i="10"/>
  <c r="T67" i="10"/>
  <c r="AD67" i="10"/>
  <c r="T78" i="10"/>
  <c r="AD78" i="10"/>
  <c r="T66" i="10"/>
  <c r="AD66" i="10"/>
  <c r="T23" i="10"/>
  <c r="AD23" i="10"/>
  <c r="AW54" i="10"/>
  <c r="AW76" i="10"/>
  <c r="AD96" i="10"/>
  <c r="T96" i="10"/>
  <c r="T61" i="10"/>
  <c r="AD61" i="10"/>
  <c r="G39" i="3"/>
  <c r="G37" i="3"/>
  <c r="AD73" i="10"/>
  <c r="T73" i="10"/>
  <c r="E7" i="3"/>
  <c r="AV4" i="10"/>
  <c r="AW102" i="10"/>
  <c r="T98" i="10"/>
  <c r="AD98" i="10"/>
  <c r="T13" i="10"/>
  <c r="AD13" i="10"/>
  <c r="AW92" i="10"/>
  <c r="T51" i="10"/>
  <c r="AD51" i="10"/>
  <c r="AD54" i="10"/>
  <c r="T54" i="10"/>
  <c r="T74" i="10"/>
  <c r="AD74" i="10"/>
  <c r="T27" i="10"/>
  <c r="AD27" i="10"/>
  <c r="T20" i="10"/>
  <c r="AD20" i="10"/>
  <c r="AD11" i="10"/>
  <c r="T11" i="10"/>
  <c r="AD24" i="10"/>
  <c r="T24" i="10"/>
  <c r="AD28" i="10"/>
  <c r="T28" i="10"/>
  <c r="T99" i="10"/>
  <c r="AD99" i="10"/>
  <c r="G33" i="3"/>
  <c r="H7" i="3"/>
  <c r="T95" i="10"/>
  <c r="AD95" i="10"/>
  <c r="CA105" i="10"/>
  <c r="AW51" i="10"/>
  <c r="T31" i="10"/>
  <c r="AD31" i="10"/>
  <c r="T76" i="10"/>
  <c r="AD76" i="10"/>
  <c r="AD52" i="10"/>
  <c r="T52" i="10"/>
  <c r="T94" i="10"/>
  <c r="AD94" i="10"/>
  <c r="T57" i="10"/>
  <c r="AD57" i="10"/>
  <c r="T17" i="10"/>
  <c r="AD17" i="10"/>
  <c r="AD35" i="10"/>
  <c r="T35" i="10"/>
  <c r="AW28" i="10"/>
  <c r="AW99" i="10"/>
  <c r="AW12" i="10"/>
  <c r="G34" i="3"/>
  <c r="AW39" i="10"/>
  <c r="AW82" i="10"/>
  <c r="AW79" i="10"/>
  <c r="T106" i="10"/>
  <c r="AD106" i="10"/>
  <c r="AL8" i="10"/>
  <c r="AD75" i="10"/>
  <c r="T75" i="10"/>
  <c r="AW86" i="10"/>
  <c r="T80" i="10"/>
  <c r="AD80" i="10"/>
  <c r="AW65" i="10"/>
  <c r="U68" i="10" l="1"/>
  <c r="AE68" i="10"/>
  <c r="AE47" i="10"/>
  <c r="U47" i="10"/>
  <c r="U95" i="10"/>
  <c r="AE95" i="10"/>
  <c r="AE23" i="10"/>
  <c r="U23" i="10"/>
  <c r="U41" i="10"/>
  <c r="AE41" i="10"/>
  <c r="U81" i="10"/>
  <c r="AE81" i="10"/>
  <c r="U84" i="10"/>
  <c r="AE84" i="10"/>
  <c r="U33" i="10"/>
  <c r="AE33" i="10"/>
  <c r="AE22" i="10"/>
  <c r="U22" i="10"/>
  <c r="AE97" i="10"/>
  <c r="U97" i="10"/>
  <c r="U102" i="10"/>
  <c r="AE102" i="10"/>
  <c r="AE76" i="10"/>
  <c r="U76" i="10"/>
  <c r="AE87" i="10"/>
  <c r="U87" i="10"/>
  <c r="U56" i="10"/>
  <c r="AE56" i="10"/>
  <c r="U100" i="10"/>
  <c r="AE100" i="10"/>
  <c r="AE93" i="10"/>
  <c r="U93" i="10"/>
  <c r="U40" i="10"/>
  <c r="AE40" i="10"/>
  <c r="U62" i="10"/>
  <c r="AE62" i="10"/>
  <c r="U86" i="10"/>
  <c r="AE86" i="10"/>
  <c r="AE45" i="10"/>
  <c r="U45" i="10"/>
  <c r="U69" i="10"/>
  <c r="AE69" i="10"/>
  <c r="U37" i="10"/>
  <c r="AE37" i="10"/>
  <c r="AE75" i="10"/>
  <c r="U75" i="10"/>
  <c r="AE35" i="10"/>
  <c r="U35" i="10"/>
  <c r="U11" i="10"/>
  <c r="AE11" i="10"/>
  <c r="AE51" i="10"/>
  <c r="U51" i="10"/>
  <c r="AE66" i="10"/>
  <c r="U66" i="10"/>
  <c r="AE91" i="10"/>
  <c r="U91" i="10"/>
  <c r="AE38" i="10"/>
  <c r="U38" i="10"/>
  <c r="AE63" i="10"/>
  <c r="U63" i="10"/>
  <c r="AE85" i="10"/>
  <c r="U85" i="10"/>
  <c r="U90" i="10"/>
  <c r="AE90" i="10"/>
  <c r="H20" i="2"/>
  <c r="M15" i="2"/>
  <c r="M16" i="2"/>
  <c r="L15" i="2"/>
  <c r="K20" i="2"/>
  <c r="J19" i="2"/>
  <c r="H18" i="2"/>
  <c r="J20" i="2"/>
  <c r="K18" i="2"/>
  <c r="K16" i="2"/>
  <c r="J18" i="2"/>
  <c r="J16" i="2"/>
  <c r="H16" i="2"/>
  <c r="M19" i="2"/>
  <c r="M17" i="2"/>
  <c r="J17" i="2"/>
  <c r="L19" i="2"/>
  <c r="L17" i="2"/>
  <c r="J15" i="2"/>
  <c r="K19" i="2"/>
  <c r="K17" i="2"/>
  <c r="K15" i="2"/>
  <c r="H19" i="2"/>
  <c r="H17" i="2"/>
  <c r="H15" i="2"/>
  <c r="M20" i="2"/>
  <c r="M18" i="2"/>
  <c r="L20" i="2"/>
  <c r="L18" i="2"/>
  <c r="L16" i="2"/>
  <c r="AE77" i="10"/>
  <c r="U77" i="10"/>
  <c r="U64" i="10"/>
  <c r="AE64" i="10"/>
  <c r="AE49" i="10"/>
  <c r="U49" i="10"/>
  <c r="U46" i="10"/>
  <c r="AE46" i="10"/>
  <c r="U31" i="10"/>
  <c r="AE31" i="10"/>
  <c r="U5" i="10"/>
  <c r="AE5" i="10"/>
  <c r="AE34" i="10"/>
  <c r="U34" i="10"/>
  <c r="U8" i="10"/>
  <c r="AE8" i="10"/>
  <c r="F16" i="2" s="1"/>
  <c r="U39" i="10"/>
  <c r="AE39" i="10"/>
  <c r="AE105" i="10"/>
  <c r="U105" i="10"/>
  <c r="AE57" i="10"/>
  <c r="U57" i="10"/>
  <c r="AE24" i="10"/>
  <c r="U24" i="10"/>
  <c r="U98" i="10"/>
  <c r="AE98" i="10"/>
  <c r="U29" i="10"/>
  <c r="AE29" i="10"/>
  <c r="U6" i="10"/>
  <c r="AE6" i="10"/>
  <c r="F15" i="2" s="1"/>
  <c r="AE60" i="10"/>
  <c r="U60" i="10"/>
  <c r="AE26" i="10"/>
  <c r="U26" i="10"/>
  <c r="AE32" i="10"/>
  <c r="U32" i="10"/>
  <c r="U12" i="10"/>
  <c r="AE12" i="10"/>
  <c r="U9" i="10"/>
  <c r="AE9" i="10"/>
  <c r="U55" i="10"/>
  <c r="AE55" i="10"/>
  <c r="U28" i="10"/>
  <c r="AE28" i="10"/>
  <c r="U20" i="10"/>
  <c r="AE20" i="10"/>
  <c r="U61" i="10"/>
  <c r="AE61" i="10"/>
  <c r="AE15" i="10"/>
  <c r="U15" i="10"/>
  <c r="U104" i="10"/>
  <c r="AE104" i="10"/>
  <c r="U70" i="10"/>
  <c r="AE70" i="10"/>
  <c r="F20" i="2" s="1"/>
  <c r="U19" i="10"/>
  <c r="AE19" i="10"/>
  <c r="U106" i="10"/>
  <c r="AE106" i="10"/>
  <c r="U96" i="10"/>
  <c r="AE96" i="10"/>
  <c r="AE78" i="10"/>
  <c r="U78" i="10"/>
  <c r="AE103" i="10"/>
  <c r="U103" i="10"/>
  <c r="U27" i="10"/>
  <c r="AE27" i="10"/>
  <c r="U67" i="10"/>
  <c r="AE67" i="10"/>
  <c r="U88" i="10"/>
  <c r="AE88" i="10"/>
  <c r="U48" i="10"/>
  <c r="AE48" i="10"/>
  <c r="U30" i="10"/>
  <c r="AE30" i="10"/>
  <c r="AE15" i="11"/>
  <c r="AE59" i="10"/>
  <c r="U59" i="10"/>
  <c r="AE18" i="10"/>
  <c r="F19" i="2" s="1"/>
  <c r="U18" i="10"/>
  <c r="U79" i="10"/>
  <c r="AE79" i="10"/>
  <c r="AE17" i="10"/>
  <c r="U17" i="10"/>
  <c r="U43" i="10"/>
  <c r="AE43" i="10"/>
  <c r="U94" i="10"/>
  <c r="AE94" i="10"/>
  <c r="C7" i="3"/>
  <c r="AW4" i="10"/>
  <c r="AX71" i="10" s="1"/>
  <c r="A83" i="4"/>
  <c r="F83" i="4" s="1"/>
  <c r="C81" i="4"/>
  <c r="D81" i="4" s="1"/>
  <c r="E79" i="4"/>
  <c r="G77" i="4"/>
  <c r="B76" i="4"/>
  <c r="A71" i="4"/>
  <c r="F71" i="4" s="1"/>
  <c r="C69" i="4"/>
  <c r="D69" i="4" s="1"/>
  <c r="E67" i="4"/>
  <c r="G65" i="4"/>
  <c r="B64" i="4"/>
  <c r="A59" i="4"/>
  <c r="F59" i="4" s="1"/>
  <c r="C57" i="4"/>
  <c r="D57" i="4" s="1"/>
  <c r="E55" i="4"/>
  <c r="G53" i="4"/>
  <c r="B52" i="4"/>
  <c r="A47" i="4"/>
  <c r="F47" i="4" s="1"/>
  <c r="C45" i="4"/>
  <c r="D45" i="4" s="1"/>
  <c r="E43" i="4"/>
  <c r="G41" i="4"/>
  <c r="B40" i="4"/>
  <c r="A35" i="4"/>
  <c r="F35" i="4" s="1"/>
  <c r="C33" i="4"/>
  <c r="D33" i="4" s="1"/>
  <c r="E31" i="4"/>
  <c r="G29" i="4"/>
  <c r="B28" i="4"/>
  <c r="A23" i="4"/>
  <c r="C21" i="4"/>
  <c r="D21" i="4" s="1"/>
  <c r="E19" i="4"/>
  <c r="G17" i="4"/>
  <c r="A81" i="4"/>
  <c r="F81" i="4" s="1"/>
  <c r="C79" i="4"/>
  <c r="D79" i="4" s="1"/>
  <c r="E77" i="4"/>
  <c r="G75" i="4"/>
  <c r="B74" i="4"/>
  <c r="A69" i="4"/>
  <c r="F69" i="4" s="1"/>
  <c r="C67" i="4"/>
  <c r="D67" i="4" s="1"/>
  <c r="E65" i="4"/>
  <c r="G63" i="4"/>
  <c r="B62" i="4"/>
  <c r="A57" i="4"/>
  <c r="F57" i="4" s="1"/>
  <c r="C55" i="4"/>
  <c r="D55" i="4" s="1"/>
  <c r="E53" i="4"/>
  <c r="G51" i="4"/>
  <c r="B50" i="4"/>
  <c r="A45" i="4"/>
  <c r="F45" i="4" s="1"/>
  <c r="C43" i="4"/>
  <c r="D43" i="4" s="1"/>
  <c r="E41" i="4"/>
  <c r="G39" i="4"/>
  <c r="B38" i="4"/>
  <c r="A33" i="4"/>
  <c r="F33" i="4" s="1"/>
  <c r="C31" i="4"/>
  <c r="D31" i="4" s="1"/>
  <c r="E29" i="4"/>
  <c r="G27" i="4"/>
  <c r="B26" i="4"/>
  <c r="A21" i="4"/>
  <c r="C19" i="4"/>
  <c r="D19" i="4" s="1"/>
  <c r="E17" i="4"/>
  <c r="A85" i="4"/>
  <c r="F85" i="4" s="1"/>
  <c r="G82" i="4"/>
  <c r="E72" i="4"/>
  <c r="C62" i="4"/>
  <c r="D62" i="4" s="1"/>
  <c r="B60" i="4"/>
  <c r="B58" i="4"/>
  <c r="B56" i="4"/>
  <c r="B54" i="4"/>
  <c r="A52" i="4"/>
  <c r="F52" i="4" s="1"/>
  <c r="G49" i="4"/>
  <c r="G47" i="4"/>
  <c r="G45" i="4"/>
  <c r="G43" i="4"/>
  <c r="E39" i="4"/>
  <c r="E37" i="4"/>
  <c r="E35" i="4"/>
  <c r="E33" i="4"/>
  <c r="C29" i="4"/>
  <c r="D29" i="4" s="1"/>
  <c r="C27" i="4"/>
  <c r="D27" i="4" s="1"/>
  <c r="C25" i="4"/>
  <c r="D25" i="4" s="1"/>
  <c r="C23" i="4"/>
  <c r="D23" i="4" s="1"/>
  <c r="B21" i="4"/>
  <c r="A19" i="4"/>
  <c r="A17" i="4"/>
  <c r="E84" i="4"/>
  <c r="C74" i="4"/>
  <c r="D74" i="4" s="1"/>
  <c r="B72" i="4"/>
  <c r="B70" i="4"/>
  <c r="B68" i="4"/>
  <c r="B66" i="4"/>
  <c r="A64" i="4"/>
  <c r="F64" i="4" s="1"/>
  <c r="G61" i="4"/>
  <c r="G59" i="4"/>
  <c r="G57" i="4"/>
  <c r="G55" i="4"/>
  <c r="E51" i="4"/>
  <c r="E49" i="4"/>
  <c r="E47" i="4"/>
  <c r="E45" i="4"/>
  <c r="C41" i="4"/>
  <c r="D41" i="4" s="1"/>
  <c r="C39" i="4"/>
  <c r="D39" i="4" s="1"/>
  <c r="C37" i="4"/>
  <c r="D37" i="4" s="1"/>
  <c r="C35" i="4"/>
  <c r="D35" i="4" s="1"/>
  <c r="B33" i="4"/>
  <c r="A31" i="4"/>
  <c r="F31" i="4" s="1"/>
  <c r="A29" i="4"/>
  <c r="F29" i="4" s="1"/>
  <c r="A27" i="4"/>
  <c r="F27" i="4" s="1"/>
  <c r="A25" i="4"/>
  <c r="F25" i="4" s="1"/>
  <c r="G22" i="4"/>
  <c r="B84" i="4"/>
  <c r="B82" i="4"/>
  <c r="B80" i="4"/>
  <c r="B78" i="4"/>
  <c r="A76" i="4"/>
  <c r="F76" i="4" s="1"/>
  <c r="G73" i="4"/>
  <c r="G71" i="4"/>
  <c r="G69" i="4"/>
  <c r="G67" i="4"/>
  <c r="E63" i="4"/>
  <c r="E61" i="4"/>
  <c r="E59" i="4"/>
  <c r="E57" i="4"/>
  <c r="C53" i="4"/>
  <c r="D53" i="4" s="1"/>
  <c r="C51" i="4"/>
  <c r="D51" i="4" s="1"/>
  <c r="C49" i="4"/>
  <c r="D49" i="4" s="1"/>
  <c r="C47" i="4"/>
  <c r="D47" i="4" s="1"/>
  <c r="B45" i="4"/>
  <c r="A43" i="4"/>
  <c r="F43" i="4" s="1"/>
  <c r="A41" i="4"/>
  <c r="F41" i="4" s="1"/>
  <c r="A39" i="4"/>
  <c r="F39" i="4" s="1"/>
  <c r="A37" i="4"/>
  <c r="F37" i="4" s="1"/>
  <c r="G34" i="4"/>
  <c r="E24" i="4"/>
  <c r="E85" i="4"/>
  <c r="E83" i="4"/>
  <c r="E81" i="4"/>
  <c r="C77" i="4"/>
  <c r="D77" i="4" s="1"/>
  <c r="C75" i="4"/>
  <c r="D75" i="4" s="1"/>
  <c r="C73" i="4"/>
  <c r="D73" i="4" s="1"/>
  <c r="C71" i="4"/>
  <c r="D71" i="4" s="1"/>
  <c r="B69" i="4"/>
  <c r="A67" i="4"/>
  <c r="F67" i="4" s="1"/>
  <c r="A65" i="4"/>
  <c r="F65" i="4" s="1"/>
  <c r="A63" i="4"/>
  <c r="F63" i="4" s="1"/>
  <c r="A61" i="4"/>
  <c r="F61" i="4" s="1"/>
  <c r="G58" i="4"/>
  <c r="E48" i="4"/>
  <c r="C38" i="4"/>
  <c r="D38" i="4" s="1"/>
  <c r="B36" i="4"/>
  <c r="B34" i="4"/>
  <c r="B32" i="4"/>
  <c r="B30" i="4"/>
  <c r="A28" i="4"/>
  <c r="F28" i="4" s="1"/>
  <c r="G25" i="4"/>
  <c r="G23" i="4"/>
  <c r="G21" i="4"/>
  <c r="G19" i="4"/>
  <c r="C85" i="4"/>
  <c r="D85" i="4" s="1"/>
  <c r="C83" i="4"/>
  <c r="D83" i="4" s="1"/>
  <c r="B81" i="4"/>
  <c r="A79" i="4"/>
  <c r="F79" i="4" s="1"/>
  <c r="A77" i="4"/>
  <c r="F77" i="4" s="1"/>
  <c r="A75" i="4"/>
  <c r="F75" i="4" s="1"/>
  <c r="A73" i="4"/>
  <c r="F73" i="4" s="1"/>
  <c r="G70" i="4"/>
  <c r="E60" i="4"/>
  <c r="C50" i="4"/>
  <c r="D50" i="4" s="1"/>
  <c r="B48" i="4"/>
  <c r="B46" i="4"/>
  <c r="B44" i="4"/>
  <c r="B42" i="4"/>
  <c r="G79" i="4"/>
  <c r="C76" i="4"/>
  <c r="D76" i="4" s="1"/>
  <c r="G72" i="4"/>
  <c r="A62" i="4"/>
  <c r="F62" i="4" s="1"/>
  <c r="E58" i="4"/>
  <c r="A55" i="4"/>
  <c r="F55" i="4" s="1"/>
  <c r="A48" i="4"/>
  <c r="F48" i="4" s="1"/>
  <c r="E44" i="4"/>
  <c r="G40" i="4"/>
  <c r="G37" i="4"/>
  <c r="E34" i="4"/>
  <c r="G31" i="4"/>
  <c r="E28" i="4"/>
  <c r="E25" i="4"/>
  <c r="C22" i="4"/>
  <c r="D22" i="4" s="1"/>
  <c r="B83" i="4"/>
  <c r="C72" i="4"/>
  <c r="D72" i="4" s="1"/>
  <c r="G68" i="4"/>
  <c r="C65" i="4"/>
  <c r="D65" i="4" s="1"/>
  <c r="C58" i="4"/>
  <c r="D58" i="4" s="1"/>
  <c r="G54" i="4"/>
  <c r="B51" i="4"/>
  <c r="C44" i="4"/>
  <c r="D44" i="4" s="1"/>
  <c r="B22" i="4"/>
  <c r="B19" i="4"/>
  <c r="E82" i="4"/>
  <c r="B79" i="4"/>
  <c r="E75" i="4"/>
  <c r="A72" i="4"/>
  <c r="F72" i="4" s="1"/>
  <c r="E68" i="4"/>
  <c r="B65" i="4"/>
  <c r="A58" i="4"/>
  <c r="F58" i="4" s="1"/>
  <c r="E54" i="4"/>
  <c r="A51" i="4"/>
  <c r="F51" i="4" s="1"/>
  <c r="A44" i="4"/>
  <c r="F44" i="4" s="1"/>
  <c r="E40" i="4"/>
  <c r="C34" i="4"/>
  <c r="D34" i="4" s="1"/>
  <c r="B31" i="4"/>
  <c r="C28" i="4"/>
  <c r="D28" i="4" s="1"/>
  <c r="B25" i="4"/>
  <c r="A22" i="4"/>
  <c r="G18" i="4"/>
  <c r="G85" i="4"/>
  <c r="C82" i="4"/>
  <c r="D82" i="4" s="1"/>
  <c r="G78" i="4"/>
  <c r="C68" i="4"/>
  <c r="D68" i="4" s="1"/>
  <c r="G64" i="4"/>
  <c r="C61" i="4"/>
  <c r="D61" i="4" s="1"/>
  <c r="C54" i="4"/>
  <c r="D54" i="4" s="1"/>
  <c r="G50" i="4"/>
  <c r="B47" i="4"/>
  <c r="C40" i="4"/>
  <c r="D40" i="4" s="1"/>
  <c r="B37" i="4"/>
  <c r="A34" i="4"/>
  <c r="F34" i="4" s="1"/>
  <c r="G30" i="4"/>
  <c r="G24" i="4"/>
  <c r="E18" i="4"/>
  <c r="A82" i="4"/>
  <c r="F82" i="4" s="1"/>
  <c r="E78" i="4"/>
  <c r="B75" i="4"/>
  <c r="E71" i="4"/>
  <c r="A68" i="4"/>
  <c r="F68" i="4" s="1"/>
  <c r="E64" i="4"/>
  <c r="B61" i="4"/>
  <c r="A54" i="4"/>
  <c r="F54" i="4" s="1"/>
  <c r="E50" i="4"/>
  <c r="G46" i="4"/>
  <c r="B43" i="4"/>
  <c r="A40" i="4"/>
  <c r="F40" i="4" s="1"/>
  <c r="G36" i="4"/>
  <c r="G33" i="4"/>
  <c r="E30" i="4"/>
  <c r="E27" i="4"/>
  <c r="C24" i="4"/>
  <c r="D24" i="4" s="1"/>
  <c r="E21" i="4"/>
  <c r="C18" i="4"/>
  <c r="D18" i="4" s="1"/>
  <c r="G81" i="4"/>
  <c r="C78" i="4"/>
  <c r="D78" i="4" s="1"/>
  <c r="G74" i="4"/>
  <c r="C64" i="4"/>
  <c r="D64" i="4" s="1"/>
  <c r="G60" i="4"/>
  <c r="B57" i="4"/>
  <c r="A50" i="4"/>
  <c r="F50" i="4" s="1"/>
  <c r="E46" i="4"/>
  <c r="G42" i="4"/>
  <c r="E36" i="4"/>
  <c r="B24" i="4"/>
  <c r="B18" i="4"/>
  <c r="B85" i="4"/>
  <c r="A78" i="4"/>
  <c r="F78" i="4" s="1"/>
  <c r="E74" i="4"/>
  <c r="B71" i="4"/>
  <c r="C60" i="4"/>
  <c r="D60" i="4" s="1"/>
  <c r="G56" i="4"/>
  <c r="B53" i="4"/>
  <c r="C46" i="4"/>
  <c r="D46" i="4" s="1"/>
  <c r="C36" i="4"/>
  <c r="D36" i="4" s="1"/>
  <c r="C30" i="4"/>
  <c r="D30" i="4" s="1"/>
  <c r="B27" i="4"/>
  <c r="A24" i="4"/>
  <c r="F24" i="4" s="1"/>
  <c r="G20" i="4"/>
  <c r="A18" i="4"/>
  <c r="C84" i="4"/>
  <c r="D84" i="4" s="1"/>
  <c r="G80" i="4"/>
  <c r="C70" i="4"/>
  <c r="D70" i="4" s="1"/>
  <c r="G66" i="4"/>
  <c r="C63" i="4"/>
  <c r="D63" i="4" s="1"/>
  <c r="C56" i="4"/>
  <c r="D56" i="4" s="1"/>
  <c r="G52" i="4"/>
  <c r="B49" i="4"/>
  <c r="C42" i="4"/>
  <c r="D42" i="4" s="1"/>
  <c r="G38" i="4"/>
  <c r="G35" i="4"/>
  <c r="E32" i="4"/>
  <c r="E26" i="4"/>
  <c r="E23" i="4"/>
  <c r="C20" i="4"/>
  <c r="D20" i="4" s="1"/>
  <c r="C17" i="4"/>
  <c r="D17" i="4" s="1"/>
  <c r="A84" i="4"/>
  <c r="F84" i="4" s="1"/>
  <c r="E80" i="4"/>
  <c r="B77" i="4"/>
  <c r="E73" i="4"/>
  <c r="A70" i="4"/>
  <c r="F70" i="4" s="1"/>
  <c r="E66" i="4"/>
  <c r="B63" i="4"/>
  <c r="A56" i="4"/>
  <c r="F56" i="4" s="1"/>
  <c r="E52" i="4"/>
  <c r="A49" i="4"/>
  <c r="F49" i="4" s="1"/>
  <c r="A42" i="4"/>
  <c r="F42" i="4" s="1"/>
  <c r="C26" i="4"/>
  <c r="D26" i="4" s="1"/>
  <c r="B20" i="4"/>
  <c r="B17" i="4"/>
  <c r="G83" i="4"/>
  <c r="C80" i="4"/>
  <c r="D80" i="4" s="1"/>
  <c r="G76" i="4"/>
  <c r="C66" i="4"/>
  <c r="D66" i="4" s="1"/>
  <c r="G62" i="4"/>
  <c r="C59" i="4"/>
  <c r="D59" i="4" s="1"/>
  <c r="C52" i="4"/>
  <c r="D52" i="4" s="1"/>
  <c r="G48" i="4"/>
  <c r="G44" i="4"/>
  <c r="E38" i="4"/>
  <c r="C32" i="4"/>
  <c r="D32" i="4" s="1"/>
  <c r="B29" i="4"/>
  <c r="A26" i="4"/>
  <c r="F26" i="4" s="1"/>
  <c r="B23" i="4"/>
  <c r="A20" i="4"/>
  <c r="A80" i="4"/>
  <c r="F80" i="4" s="1"/>
  <c r="E76" i="4"/>
  <c r="B73" i="4"/>
  <c r="E69" i="4"/>
  <c r="A66" i="4"/>
  <c r="F66" i="4" s="1"/>
  <c r="E62" i="4"/>
  <c r="B59" i="4"/>
  <c r="B55" i="4"/>
  <c r="C48" i="4"/>
  <c r="D48" i="4" s="1"/>
  <c r="B41" i="4"/>
  <c r="A38" i="4"/>
  <c r="F38" i="4" s="1"/>
  <c r="B35" i="4"/>
  <c r="A32" i="4"/>
  <c r="F32" i="4" s="1"/>
  <c r="G28" i="4"/>
  <c r="E22" i="4"/>
  <c r="E70" i="4"/>
  <c r="A30" i="4"/>
  <c r="F30" i="4" s="1"/>
  <c r="B67" i="4"/>
  <c r="G26" i="4"/>
  <c r="A60" i="4"/>
  <c r="F60" i="4" s="1"/>
  <c r="E20" i="4"/>
  <c r="E56" i="4"/>
  <c r="A46" i="4"/>
  <c r="F46" i="4" s="1"/>
  <c r="A53" i="4"/>
  <c r="F53" i="4" s="1"/>
  <c r="G84" i="4"/>
  <c r="E42" i="4"/>
  <c r="B39" i="4"/>
  <c r="A36" i="4"/>
  <c r="F36" i="4" s="1"/>
  <c r="A74" i="4"/>
  <c r="F74" i="4" s="1"/>
  <c r="G32" i="4"/>
  <c r="U4" i="10"/>
  <c r="AE4" i="10"/>
  <c r="AE25" i="10"/>
  <c r="U25" i="10"/>
  <c r="AE14" i="10"/>
  <c r="F17" i="2" s="1"/>
  <c r="U14" i="10"/>
  <c r="U36" i="10"/>
  <c r="AE36" i="10"/>
  <c r="AE65" i="10"/>
  <c r="U65" i="10"/>
  <c r="U10" i="10"/>
  <c r="AE10" i="10"/>
  <c r="AE58" i="10"/>
  <c r="U58" i="10"/>
  <c r="U80" i="10"/>
  <c r="AE80" i="10"/>
  <c r="AE52" i="10"/>
  <c r="U52" i="10"/>
  <c r="AE74" i="10"/>
  <c r="U74" i="10"/>
  <c r="AE71" i="10"/>
  <c r="U71" i="10"/>
  <c r="U72" i="10"/>
  <c r="AE72" i="10"/>
  <c r="U44" i="10"/>
  <c r="AE44" i="10"/>
  <c r="U16" i="10"/>
  <c r="AE16" i="10"/>
  <c r="F18" i="2" s="1"/>
  <c r="U42" i="10"/>
  <c r="AE42" i="10"/>
  <c r="U89" i="10"/>
  <c r="AE89" i="10"/>
  <c r="AE83" i="10"/>
  <c r="U83" i="10"/>
  <c r="U50" i="10"/>
  <c r="AE50" i="10"/>
  <c r="U82" i="10"/>
  <c r="AE82" i="10"/>
  <c r="AE99" i="10"/>
  <c r="U99" i="10"/>
  <c r="AE13" i="10"/>
  <c r="U13" i="10"/>
  <c r="U92" i="10"/>
  <c r="AE92" i="10"/>
  <c r="U54" i="10"/>
  <c r="AE54" i="10"/>
  <c r="AE73" i="10"/>
  <c r="U73" i="10"/>
  <c r="U101" i="10"/>
  <c r="AE101" i="10"/>
  <c r="AE53" i="10"/>
  <c r="U53" i="10"/>
  <c r="AE21" i="10"/>
  <c r="U21" i="10"/>
  <c r="AE7" i="10"/>
  <c r="U7" i="10"/>
  <c r="F19" i="4" l="1"/>
  <c r="AX35" i="10"/>
  <c r="AX103" i="10"/>
  <c r="AX92" i="10"/>
  <c r="AX54" i="10"/>
  <c r="F17" i="4"/>
  <c r="AX82" i="10"/>
  <c r="AX33" i="10"/>
  <c r="AX91" i="10"/>
  <c r="AX39" i="10"/>
  <c r="AX11" i="10"/>
  <c r="AX12" i="10"/>
  <c r="F20" i="4"/>
  <c r="AX70" i="10"/>
  <c r="AX99" i="10"/>
  <c r="AX85" i="10"/>
  <c r="F22" i="4"/>
  <c r="AX86" i="10"/>
  <c r="AX41" i="10"/>
  <c r="AX88" i="10"/>
  <c r="AX83" i="10"/>
  <c r="AX101" i="10"/>
  <c r="AX16" i="10"/>
  <c r="F23" i="4"/>
  <c r="AX96" i="10"/>
  <c r="B30" i="2"/>
  <c r="D28" i="2"/>
  <c r="B28" i="2"/>
  <c r="E31" i="2"/>
  <c r="E29" i="2"/>
  <c r="A28" i="2"/>
  <c r="E26" i="2"/>
  <c r="D31" i="2"/>
  <c r="D29" i="2"/>
  <c r="D26" i="2"/>
  <c r="D30" i="2"/>
  <c r="B27" i="2"/>
  <c r="A31" i="2"/>
  <c r="E30" i="2"/>
  <c r="E27" i="2"/>
  <c r="C30" i="2"/>
  <c r="D27" i="2"/>
  <c r="A30" i="2"/>
  <c r="C27" i="2"/>
  <c r="C29" i="2"/>
  <c r="A27" i="2"/>
  <c r="A29" i="2"/>
  <c r="B29" i="2"/>
  <c r="C26" i="2"/>
  <c r="B26" i="2"/>
  <c r="A26" i="2"/>
  <c r="C31" i="2"/>
  <c r="E28" i="2"/>
  <c r="B31" i="2"/>
  <c r="C28" i="2"/>
  <c r="AX4" i="10"/>
  <c r="AX7" i="10"/>
  <c r="AX20" i="10"/>
  <c r="AX43" i="10"/>
  <c r="AX50" i="10"/>
  <c r="AX75" i="10"/>
  <c r="AX9" i="10"/>
  <c r="AX80" i="10"/>
  <c r="AX49" i="10"/>
  <c r="AX15" i="10"/>
  <c r="AX81" i="10"/>
  <c r="AX73" i="10"/>
  <c r="AX64" i="10"/>
  <c r="AX36" i="10"/>
  <c r="AX84" i="10"/>
  <c r="AX104" i="10"/>
  <c r="AX18" i="10"/>
  <c r="AX74" i="10"/>
  <c r="AX94" i="10"/>
  <c r="AX97" i="10"/>
  <c r="AX45" i="10"/>
  <c r="AX13" i="10"/>
  <c r="AX59" i="10"/>
  <c r="AX23" i="10"/>
  <c r="AX21" i="10"/>
  <c r="AX32" i="10"/>
  <c r="AX62" i="10"/>
  <c r="AX58" i="10"/>
  <c r="AX69" i="10"/>
  <c r="AX34" i="10"/>
  <c r="AX48" i="10"/>
  <c r="AX93" i="10"/>
  <c r="AX25" i="10"/>
  <c r="AX72" i="10"/>
  <c r="AX61" i="10"/>
  <c r="AX29" i="10"/>
  <c r="AX40" i="10"/>
  <c r="AX78" i="10"/>
  <c r="AX66" i="10"/>
  <c r="AX56" i="10"/>
  <c r="AX95" i="10"/>
  <c r="AX22" i="10"/>
  <c r="AX98" i="10"/>
  <c r="AX30" i="10"/>
  <c r="AX5" i="10"/>
  <c r="AX31" i="10"/>
  <c r="AX77" i="10"/>
  <c r="AX76" i="10"/>
  <c r="AX26" i="10"/>
  <c r="AX90" i="10"/>
  <c r="AX102" i="10"/>
  <c r="AX51" i="10"/>
  <c r="AX89" i="10"/>
  <c r="F21" i="4"/>
  <c r="AX65" i="10"/>
  <c r="AX63" i="10"/>
  <c r="AX68" i="10"/>
  <c r="F18" i="4"/>
  <c r="U11" i="11"/>
  <c r="AX100" i="10"/>
  <c r="AX10" i="10"/>
  <c r="AX87" i="10"/>
  <c r="AX47" i="10"/>
  <c r="AX28" i="10"/>
  <c r="AX24" i="10"/>
  <c r="AE16" i="11"/>
  <c r="AX57" i="10"/>
  <c r="AX79" i="10"/>
  <c r="F31" i="2" l="1"/>
  <c r="F27" i="2"/>
  <c r="F30" i="2"/>
  <c r="F26" i="2"/>
  <c r="U12" i="11"/>
  <c r="AE17" i="11"/>
  <c r="F29" i="2"/>
  <c r="E20" i="3"/>
  <c r="B19" i="3"/>
  <c r="E16" i="3"/>
  <c r="B15" i="3"/>
  <c r="F21" i="3"/>
  <c r="C20" i="3"/>
  <c r="F17" i="3"/>
  <c r="C16" i="3"/>
  <c r="F13" i="3"/>
  <c r="E21" i="3"/>
  <c r="B20" i="3"/>
  <c r="E17" i="3"/>
  <c r="B16" i="3"/>
  <c r="E13" i="3"/>
  <c r="G22" i="3"/>
  <c r="D21" i="3"/>
  <c r="A20" i="3"/>
  <c r="G18" i="3"/>
  <c r="D17" i="3"/>
  <c r="A16" i="3"/>
  <c r="G14" i="3"/>
  <c r="D13" i="3"/>
  <c r="A22" i="3"/>
  <c r="G20" i="3"/>
  <c r="D19" i="3"/>
  <c r="A18" i="3"/>
  <c r="G16" i="3"/>
  <c r="D15" i="3"/>
  <c r="A14" i="3"/>
  <c r="E18" i="3"/>
  <c r="D16" i="3"/>
  <c r="B14" i="3"/>
  <c r="D18" i="3"/>
  <c r="F22" i="3"/>
  <c r="F20" i="3"/>
  <c r="C18" i="3"/>
  <c r="G13" i="3"/>
  <c r="E22" i="3"/>
  <c r="D20" i="3"/>
  <c r="B18" i="3"/>
  <c r="G15" i="3"/>
  <c r="C13" i="3"/>
  <c r="D22" i="3"/>
  <c r="F15" i="3"/>
  <c r="B13" i="3"/>
  <c r="B17" i="3"/>
  <c r="C22" i="3"/>
  <c r="G17" i="3"/>
  <c r="E15" i="3"/>
  <c r="A13" i="3"/>
  <c r="A15" i="3"/>
  <c r="B22" i="3"/>
  <c r="G19" i="3"/>
  <c r="C17" i="3"/>
  <c r="C15" i="3"/>
  <c r="F19" i="3"/>
  <c r="G21" i="3"/>
  <c r="E19" i="3"/>
  <c r="A17" i="3"/>
  <c r="F14" i="3"/>
  <c r="C21" i="3"/>
  <c r="C19" i="3"/>
  <c r="E14" i="3"/>
  <c r="B21" i="3"/>
  <c r="A19" i="3"/>
  <c r="D14" i="3"/>
  <c r="A21" i="3"/>
  <c r="F18" i="3"/>
  <c r="F16" i="3"/>
  <c r="C14" i="3"/>
  <c r="AE18" i="11"/>
  <c r="AE22" i="11" s="1"/>
  <c r="AE23" i="11" s="1"/>
  <c r="F28" i="2"/>
  <c r="U14" i="11" l="1"/>
  <c r="I16" i="3"/>
  <c r="H16" i="3"/>
  <c r="H21" i="3"/>
  <c r="I21" i="3"/>
  <c r="H13" i="3"/>
  <c r="I13" i="3"/>
  <c r="AE24" i="11"/>
  <c r="AE25" i="11" s="1"/>
  <c r="AE26" i="11" s="1"/>
  <c r="AE28" i="11" s="1"/>
  <c r="AE29" i="11" s="1"/>
  <c r="AE30" i="11" s="1"/>
  <c r="AE47" i="11" s="1"/>
  <c r="AE48" i="11" s="1"/>
  <c r="AE49" i="11" s="1"/>
  <c r="AE50" i="11" s="1"/>
  <c r="AE51" i="11" s="1"/>
  <c r="AE52" i="11" s="1"/>
  <c r="AE53" i="11" s="1"/>
  <c r="AE54" i="11" s="1"/>
  <c r="AE55" i="11" s="1"/>
  <c r="AE57" i="11" s="1"/>
  <c r="AE58" i="11" s="1"/>
  <c r="I19" i="3"/>
  <c r="H19" i="3"/>
  <c r="I14" i="3"/>
  <c r="H14" i="3"/>
  <c r="I20" i="3"/>
  <c r="H20" i="3"/>
  <c r="I15" i="3"/>
  <c r="H15" i="3"/>
  <c r="U16" i="11"/>
  <c r="I18" i="3"/>
  <c r="H18" i="3"/>
  <c r="H17" i="3"/>
  <c r="I17" i="3"/>
  <c r="I22" i="3"/>
  <c r="H22" i="3"/>
  <c r="U95" i="11" l="1"/>
  <c r="U37" i="11"/>
  <c r="U41" i="11"/>
  <c r="U61" i="11"/>
  <c r="U88" i="11"/>
  <c r="U87" i="11"/>
  <c r="U96" i="11"/>
  <c r="U19" i="11"/>
  <c r="U49" i="11"/>
  <c r="U15" i="11"/>
  <c r="U47" i="11"/>
  <c r="U89" i="11"/>
  <c r="U22" i="11"/>
  <c r="U69" i="11"/>
  <c r="U101" i="11"/>
  <c r="U76" i="11"/>
  <c r="U100" i="11"/>
  <c r="U39" i="11"/>
  <c r="U42" i="11"/>
  <c r="U57" i="11"/>
  <c r="U90" i="11"/>
  <c r="U13" i="11"/>
  <c r="U65" i="11"/>
  <c r="U45" i="11"/>
  <c r="U34" i="11"/>
  <c r="U98" i="11"/>
  <c r="U24" i="11"/>
  <c r="U54" i="11"/>
  <c r="U62" i="11"/>
  <c r="U58" i="11"/>
  <c r="U56" i="11"/>
  <c r="U36" i="11"/>
  <c r="U18" i="11"/>
  <c r="U21" i="11"/>
  <c r="U91" i="11"/>
  <c r="U27" i="11"/>
  <c r="U77" i="11"/>
  <c r="U29" i="11"/>
  <c r="U48" i="11"/>
  <c r="U35" i="11"/>
  <c r="U68" i="11"/>
  <c r="U82" i="11"/>
  <c r="U32" i="11"/>
  <c r="U78" i="11"/>
  <c r="U55" i="11"/>
  <c r="U31" i="11"/>
  <c r="U72" i="11"/>
  <c r="U84" i="11"/>
  <c r="U38" i="11"/>
  <c r="U43" i="11"/>
  <c r="U52" i="11"/>
  <c r="U40" i="11"/>
  <c r="U83" i="11"/>
  <c r="U33" i="11"/>
  <c r="U79" i="11"/>
  <c r="U85" i="11"/>
  <c r="U73" i="11"/>
  <c r="U44" i="11"/>
  <c r="U59" i="11"/>
  <c r="U28" i="11"/>
  <c r="U70" i="11"/>
  <c r="U92" i="11"/>
  <c r="U97" i="11"/>
  <c r="U67" i="11"/>
  <c r="U64" i="11"/>
  <c r="U75" i="11"/>
  <c r="U71" i="11"/>
  <c r="U17" i="11"/>
  <c r="U99" i="11"/>
  <c r="U74" i="11"/>
  <c r="U20" i="11"/>
  <c r="U26" i="11"/>
  <c r="U63" i="11"/>
  <c r="U94" i="11"/>
  <c r="U80" i="11"/>
  <c r="U93" i="11"/>
  <c r="U51" i="11"/>
  <c r="U46" i="11"/>
  <c r="U23" i="11"/>
  <c r="U30" i="11"/>
  <c r="U25" i="11"/>
  <c r="U86" i="11"/>
  <c r="U66" i="11"/>
  <c r="U60" i="11"/>
  <c r="U81" i="11"/>
  <c r="U50" i="11"/>
  <c r="U5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H3" authorId="0" shapeId="0" xr:uid="{00000000-0006-0000-0900-000001000000}">
      <text>
        <r>
          <rPr>
            <sz val="11"/>
            <rFont val="Carlito"/>
          </rPr>
          <t>Primary Training Profile for each employee. The Employee Transcript uses this automatically unless a Compare to Profile override is selected.</t>
        </r>
      </text>
    </comment>
  </commentList>
</comments>
</file>

<file path=xl/sharedStrings.xml><?xml version="1.0" encoding="utf-8"?>
<sst xmlns="http://schemas.openxmlformats.org/spreadsheetml/2006/main" count="8692" uniqueCount="1300">
  <si>
    <t>Certification &amp; Compliance Tracker</t>
  </si>
  <si>
    <t>Enter employee certification records on the left. Maintain certification definitions, renewal cycles, and warning windows on the right; expiration and status update automatically.</t>
  </si>
  <si>
    <t>Employee</t>
  </si>
  <si>
    <t>Employee ID</t>
  </si>
  <si>
    <t>Department</t>
  </si>
  <si>
    <t>Certification</t>
  </si>
  <si>
    <t>Completion Date</t>
  </si>
  <si>
    <t>Expiration Date</t>
  </si>
  <si>
    <t>Status</t>
  </si>
  <si>
    <t>Trainer / Provider</t>
  </si>
  <si>
    <t>Paper Record Reference</t>
  </si>
  <si>
    <t>Notes</t>
  </si>
  <si>
    <t>Cert ID</t>
  </si>
  <si>
    <t>Responsible Dept</t>
  </si>
  <si>
    <t>Validity (Months)</t>
  </si>
  <si>
    <t>Warning (Days)</t>
  </si>
  <si>
    <t>Active</t>
  </si>
  <si>
    <t>Setup Note</t>
  </si>
  <si>
    <t>Attention Priority</t>
  </si>
  <si>
    <t>Attention Rank</t>
  </si>
  <si>
    <t>Alex Bennett</t>
  </si>
  <si>
    <t>AWS Cloud Practitioner</t>
  </si>
  <si>
    <t>Regional Training Center</t>
  </si>
  <si>
    <t>DEMO-CERT-001</t>
  </si>
  <si>
    <t>Portfolio demo record</t>
  </si>
  <si>
    <t>DC001</t>
  </si>
  <si>
    <t>People Ops / Compliance</t>
  </si>
  <si>
    <t>Yes</t>
  </si>
  <si>
    <t>Sample cycle — People Ops / Compliance confirm</t>
  </si>
  <si>
    <t>DEMO-CERT-002</t>
  </si>
  <si>
    <t>DC002</t>
  </si>
  <si>
    <t>Annual Security &amp; Privacy Training</t>
  </si>
  <si>
    <t>Annual cycle requested — People Ops / Compliance confirm</t>
  </si>
  <si>
    <t>Jordan Collins</t>
  </si>
  <si>
    <t>Internal People Ops / Compliance</t>
  </si>
  <si>
    <t>DEMO-CERT-003</t>
  </si>
  <si>
    <t>DC003</t>
  </si>
  <si>
    <t>Privileged Access Annual Review</t>
  </si>
  <si>
    <t>Taylor Bell</t>
  </si>
  <si>
    <t>ITIL Foundation</t>
  </si>
  <si>
    <t>DEMO-CERT-004</t>
  </si>
  <si>
    <t>DC004</t>
  </si>
  <si>
    <t>Secure Data Handling Certification</t>
  </si>
  <si>
    <t>Morgan Long</t>
  </si>
  <si>
    <t>DEMO-CERT-005</t>
  </si>
  <si>
    <t>DC005</t>
  </si>
  <si>
    <t>Business Continuity &amp; Emergency Response</t>
  </si>
  <si>
    <t>Casey Barnes</t>
  </si>
  <si>
    <t>DEMO-CERT-006</t>
  </si>
  <si>
    <t>DC006</t>
  </si>
  <si>
    <t>Riley Rivera</t>
  </si>
  <si>
    <t>Identity &amp; Access Governance Training</t>
  </si>
  <si>
    <t>Metro Safety Services</t>
  </si>
  <si>
    <t>DEMO-CERT-007</t>
  </si>
  <si>
    <t>DC007</t>
  </si>
  <si>
    <t>DEMO-CERT-008</t>
  </si>
  <si>
    <t>DC008</t>
  </si>
  <si>
    <t>Cameron Turner</t>
  </si>
  <si>
    <t>DEMO-CERT-009</t>
  </si>
  <si>
    <t>DC009</t>
  </si>
  <si>
    <t>Avery Gray</t>
  </si>
  <si>
    <t>DEMO-CERT-010</t>
  </si>
  <si>
    <t>DC010</t>
  </si>
  <si>
    <t>Parker Powell</t>
  </si>
  <si>
    <t>DEMO-CERT-011</t>
  </si>
  <si>
    <t>DC011</t>
  </si>
  <si>
    <t>Quinn Simmons</t>
  </si>
  <si>
    <t>DEMO-CERT-012</t>
  </si>
  <si>
    <t>DC012</t>
  </si>
  <si>
    <t>Drew Mitchell</t>
  </si>
  <si>
    <t>DEMO-CERT-013</t>
  </si>
  <si>
    <t>DC013</t>
  </si>
  <si>
    <t>DEMO-CERT-014</t>
  </si>
  <si>
    <t>DC014</t>
  </si>
  <si>
    <t>Jamie Sullivan</t>
  </si>
  <si>
    <t>DEMO-CERT-015</t>
  </si>
  <si>
    <t>DC015</t>
  </si>
  <si>
    <t>Reese Reed</t>
  </si>
  <si>
    <t>DEMO-CERT-016</t>
  </si>
  <si>
    <t>DC016</t>
  </si>
  <si>
    <t>Skyler Ross</t>
  </si>
  <si>
    <t>DEMO-CERT-017</t>
  </si>
  <si>
    <t>DC017</t>
  </si>
  <si>
    <t>Hayden Butler</t>
  </si>
  <si>
    <t>DEMO-CERT-018</t>
  </si>
  <si>
    <t>DC018</t>
  </si>
  <si>
    <t>Rowan Carter</t>
  </si>
  <si>
    <t>DEMO-CERT-019</t>
  </si>
  <si>
    <t>DC019</t>
  </si>
  <si>
    <t>DEMO-CERT-020</t>
  </si>
  <si>
    <t>DC020</t>
  </si>
  <si>
    <t>Emerson Perry</t>
  </si>
  <si>
    <t>DEMO-CERT-021</t>
  </si>
  <si>
    <t>DC021</t>
  </si>
  <si>
    <t>Blake Price</t>
  </si>
  <si>
    <t>DEMO-CERT-022</t>
  </si>
  <si>
    <t>DC022</t>
  </si>
  <si>
    <t>Devon Kelly</t>
  </si>
  <si>
    <t>DEMO-CERT-023</t>
  </si>
  <si>
    <t>DC023</t>
  </si>
  <si>
    <t>Kendall Washington</t>
  </si>
  <si>
    <t>DEMO-CERT-024</t>
  </si>
  <si>
    <t>DC024</t>
  </si>
  <si>
    <t>Logan Russell</t>
  </si>
  <si>
    <t>DEMO-CERT-025</t>
  </si>
  <si>
    <t>DC025</t>
  </si>
  <si>
    <t>DEMO-CERT-026</t>
  </si>
  <si>
    <t>DC026</t>
  </si>
  <si>
    <t>Sydney Morgan</t>
  </si>
  <si>
    <t>DEMO-CERT-027</t>
  </si>
  <si>
    <t>DC027</t>
  </si>
  <si>
    <t>Dakota Ward</t>
  </si>
  <si>
    <t>DEMO-CERT-028</t>
  </si>
  <si>
    <t>DC028</t>
  </si>
  <si>
    <t>Payton Bailey</t>
  </si>
  <si>
    <t>DEMO-CERT-029</t>
  </si>
  <si>
    <t>DC029</t>
  </si>
  <si>
    <t>Charlie Flores</t>
  </si>
  <si>
    <t>DEMO-CERT-030</t>
  </si>
  <si>
    <t>DC030</t>
  </si>
  <si>
    <t>Finley Bryant</t>
  </si>
  <si>
    <t>DEMO-CERT-031</t>
  </si>
  <si>
    <t>DC031</t>
  </si>
  <si>
    <t>DEMO-CERT-032</t>
  </si>
  <si>
    <t>DC032</t>
  </si>
  <si>
    <t>Jesse Hayes</t>
  </si>
  <si>
    <t>DEMO-CERT-033</t>
  </si>
  <si>
    <t>DC033</t>
  </si>
  <si>
    <t>Robin Cooper</t>
  </si>
  <si>
    <t>DEMO-CERT-034</t>
  </si>
  <si>
    <t>DC034</t>
  </si>
  <si>
    <t>Sam Murphy</t>
  </si>
  <si>
    <t>DEMO-CERT-035</t>
  </si>
  <si>
    <t>DC035</t>
  </si>
  <si>
    <t>Bailey Hughes</t>
  </si>
  <si>
    <t>DEMO-CERT-036</t>
  </si>
  <si>
    <t>DC036</t>
  </si>
  <si>
    <t>Corey Jenkins</t>
  </si>
  <si>
    <t>DEMO-CERT-037</t>
  </si>
  <si>
    <t>DC037</t>
  </si>
  <si>
    <t>DEMO-CERT-038</t>
  </si>
  <si>
    <t>DC038</t>
  </si>
  <si>
    <t>Micah Foster</t>
  </si>
  <si>
    <t>DEMO-CERT-039</t>
  </si>
  <si>
    <t>DC039</t>
  </si>
  <si>
    <t>Elliot Wright</t>
  </si>
  <si>
    <t>DEMO-CERT-040</t>
  </si>
  <si>
    <t>DC040</t>
  </si>
  <si>
    <t>Sage Cook</t>
  </si>
  <si>
    <t>DEMO-CERT-041</t>
  </si>
  <si>
    <t>DC041</t>
  </si>
  <si>
    <t>Toby Patterson</t>
  </si>
  <si>
    <t>DEMO-CERT-042</t>
  </si>
  <si>
    <t>DC042</t>
  </si>
  <si>
    <t>Lane Coleman</t>
  </si>
  <si>
    <t>DEMO-CERT-043</t>
  </si>
  <si>
    <t>DC043</t>
  </si>
  <si>
    <t>DEMO-CERT-044</t>
  </si>
  <si>
    <t>DC044</t>
  </si>
  <si>
    <t>Portfolio Demo — Technology Learning &amp; Cross-Training System</t>
  </si>
  <si>
    <t>Synthetic demo data only. Built to demonstrate competency tracking, cross-functional coverage, training actions, certifications, and employee transcripts in a SaaS / technology operations environment.</t>
  </si>
  <si>
    <t>Core Operating Workflow</t>
  </si>
  <si>
    <t>Trigger</t>
  </si>
  <si>
    <t>Primary Owner</t>
  </si>
  <si>
    <t>Required Update</t>
  </si>
  <si>
    <t>Where to Update</t>
  </si>
  <si>
    <t>Timing</t>
  </si>
  <si>
    <t>Verification</t>
  </si>
  <si>
    <t>Approved competency assessment received</t>
  </si>
  <si>
    <t>HR</t>
  </si>
  <si>
    <t>After reviewing the approved assessment, add one row to Competency Event Log with employee, skill, level, dates, submitter, and event type. Do not type directly into the matrix.</t>
  </si>
  <si>
    <t>Competency Event Log</t>
  </si>
  <si>
    <t>Within 1 business day</t>
  </si>
  <si>
    <t>The matrix, two-way searches, dashboards, and employee transcript refresh from the event.</t>
  </si>
  <si>
    <t>Training action completed</t>
  </si>
  <si>
    <t>Supervisor + HR</t>
  </si>
  <si>
    <t>If the completed training is supported by an approved assessment, add the event; then mark the Training Plan item Complete and enter Completion Date.</t>
  </si>
  <si>
    <t>Competency Event Log + Training Plan</t>
  </si>
  <si>
    <t>Same day form is received</t>
  </si>
  <si>
    <t>Open Training Actions decreases and the employee view updates.</t>
  </si>
  <si>
    <t>New training need identified</t>
  </si>
  <si>
    <t>Supervisor</t>
  </si>
  <si>
    <t>Add one actionable row with employee, skill, action, target date, status, and owner.</t>
  </si>
  <si>
    <t>Training Plan</t>
  </si>
  <si>
    <t>During weekly review</t>
  </si>
  <si>
    <t>Item appears in Current Training Plan on the dashboard.</t>
  </si>
  <si>
    <t>New hire or department transfer</t>
  </si>
  <si>
    <t>Update the employee master list and correct home department. Training Profile assignment in Lists column H is optional/reference only; current skills on the transcript come from competency records.</t>
  </si>
  <si>
    <t>Lists + Training Profile Catalog + Skills Matrix</t>
  </si>
  <si>
    <t>Before first qualification entry</t>
  </si>
  <si>
    <t>Employee appears in dropdowns and current competencies appear on the transcript.</t>
  </si>
  <si>
    <t>Certification completed or renewed</t>
  </si>
  <si>
    <t>Select the employee and certification, enter the completion date, trainer/provider, and any useful record notes. Expiration and status calculate automatically.</t>
  </si>
  <si>
    <t>Certifications</t>
  </si>
  <si>
    <t>Record shows Current and leaves the attention queue.</t>
  </si>
  <si>
    <t>Certification is due soon or expired</t>
  </si>
  <si>
    <t>People Ops + Manager</t>
  </si>
  <si>
    <t>Schedule renewal, confirm owner, and update the record immediately after completion.</t>
  </si>
  <si>
    <t>Review weekly</t>
  </si>
  <si>
    <t>Due Soon / Overdue counts and attention queue are reduced.</t>
  </si>
  <si>
    <t>New skill is introduced</t>
  </si>
  <si>
    <t>HR + Department Manager</t>
  </si>
  <si>
    <t>Add the skill to Lists and the Skills Matrix. If the skill belongs to a Training Profile, add one catalog row using Department → Training Profile → Skill.</t>
  </si>
  <si>
    <t>Lists + Skills Matrix + Training Profile Catalog</t>
  </si>
  <si>
    <t>Before use</t>
  </si>
  <si>
    <t>Skill appears in dropdowns and profile mapping; coverage target is maintained in Lists → Skill List → Target Qualified.</t>
  </si>
  <si>
    <t>Coverage Rules</t>
  </si>
  <si>
    <t>Employee coverage</t>
  </si>
  <si>
    <t>Scored competencies in the employee’s home department ÷ skills assigned to that department.</t>
  </si>
  <si>
    <t>Cross-training</t>
  </si>
  <si>
    <t>Skills from another department remain visible in searches but do not inflate home-department coverage.</t>
  </si>
  <si>
    <t>All Departments</t>
  </si>
  <si>
    <t>Use this Department value on Lists only for a competency that should count for every employee’s coverage.</t>
  </si>
  <si>
    <t>Compliance &amp; Core Training</t>
  </si>
  <si>
    <t>Use for reference or shared skills that should not count in department coverage.</t>
  </si>
  <si>
    <t>Score and Dashboard Rules</t>
  </si>
  <si>
    <t>1</t>
  </si>
  <si>
    <t>Needs Improvement / Not Yet Competent</t>
  </si>
  <si>
    <t>2</t>
  </si>
  <si>
    <t>Satisfactory / Partially Competent</t>
  </si>
  <si>
    <t>3</t>
  </si>
  <si>
    <t>Fully Competent / Demonstrates Mastery; treated as qualified for flex coverage</t>
  </si>
  <si>
    <t>Yellow cells</t>
  </si>
  <si>
    <t>Dropdown selectors. Do not type over blue/gray output cells or formula cells.</t>
  </si>
  <si>
    <t>Recommended Review Cadence</t>
  </si>
  <si>
    <t>Daily / as received</t>
  </si>
  <si>
    <t>Enter approved competency forms and completed training actions.</t>
  </si>
  <si>
    <t>Weekly</t>
  </si>
  <si>
    <t>HR + Operations</t>
  </si>
  <si>
    <t>Review open training actions, uncovered skills, single-point skills, and shift gaps.</t>
  </si>
  <si>
    <t>Review Due Soon and Overdue / Missing certification alerts.</t>
  </si>
  <si>
    <t>Monthly</t>
  </si>
  <si>
    <t>HR + Department Managers</t>
  </si>
  <si>
    <t>Audit employee status, department assignments, skill ownership, and target qualified counts.</t>
  </si>
  <si>
    <t>Data Stewardship</t>
  </si>
  <si>
    <t>Only enter competency scores supported by an approved assessment. Keep employee and skill names consistent with Lists so lookups continue to work. Do not delete formula columns, helper columns, or dashboard output cells. Retain supporting training and certification records according to the organization’s document-retention policy.</t>
  </si>
  <si>
    <t>Which Page to Use</t>
  </si>
  <si>
    <t>HR Quick View</t>
  </si>
  <si>
    <t>Fast employee/skill search, executive coverage, training follow-up, and certification risk.</t>
  </si>
  <si>
    <t>Skill Management</t>
  </si>
  <si>
    <t>Department-filtered qualification gaps, training execution, management cadence, depth chart, and department heatmaps.</t>
  </si>
  <si>
    <t>Employee Transcript</t>
  </si>
  <si>
    <t>Select an employee to review and print current competencies, optional role requirements, event history, certifications, and open training.</t>
  </si>
  <si>
    <t>HR entry point after a approved competency form is reviewed and accepted. Add new events on the next blank row; use Void? only for incorrect records.</t>
  </si>
  <si>
    <t>LMS-Lite Operating Rules</t>
  </si>
  <si>
    <t>Paper remains the approval</t>
  </si>
  <si>
    <t>An event is entered only after HR accepts the approved competency form.</t>
  </si>
  <si>
    <t>Append events</t>
  </si>
  <si>
    <t>Use the next blank Event Log row. Do not replace an earlier score or sort the log solely to change current status.</t>
  </si>
  <si>
    <t>Correct without deleting</t>
  </si>
  <si>
    <t>Add the corrected event; mark Void? = Yes only when an existing row was entered in error.</t>
  </si>
  <si>
    <t>Matrix is read-only</t>
  </si>
  <si>
    <t>Current scores are calculated from the highest active Event Sequence for each employee and skill.</t>
  </si>
  <si>
    <t>Cross-platform demo: optimized for Excel Desktop/Web and Apple Numbers import. Dependent dropdowns are intentionally simplified for portability.</t>
  </si>
  <si>
    <t>Roles are optional</t>
  </si>
  <si>
    <t>Only add confirmed job roles and requirements. Employees without a role still retain full competency transcripts.</t>
  </si>
  <si>
    <t>People Development Quick View</t>
  </si>
  <si>
    <t>Start with the two yellow search areas, then scan coverage risks, department readiness, training actions, and certification follow-up.</t>
  </si>
  <si>
    <t>ACTIVE EMPLOYEES</t>
  </si>
  <si>
    <t>EMPLOYEES WITH TRAINING</t>
  </si>
  <si>
    <t>QUALIFIED SKILL ENTRIES</t>
  </si>
  <si>
    <t>OPEN TRAINING ACTIONS</t>
  </si>
  <si>
    <t>1 — Find an Employee’s Skills</t>
  </si>
  <si>
    <t>2 — Find People for a Skill</t>
  </si>
  <si>
    <t>SELECT EMPLOYEE</t>
  </si>
  <si>
    <t>SELECT SKILL</t>
  </si>
  <si>
    <t>Customer Onboarding Workflow</t>
  </si>
  <si>
    <t>VIEW</t>
  </si>
  <si>
    <t>All scored</t>
  </si>
  <si>
    <t>HOME DEPT</t>
  </si>
  <si>
    <t>Qualified only</t>
  </si>
  <si>
    <t>SHIFT</t>
  </si>
  <si>
    <t>All Shifts</t>
  </si>
  <si>
    <t>QUALIFIED</t>
  </si>
  <si>
    <t>DEVELOPING</t>
  </si>
  <si>
    <t>CRITICAL</t>
  </si>
  <si>
    <t>DEPT COVERAGE</t>
  </si>
  <si>
    <t>SCORED</t>
  </si>
  <si>
    <t>TARGET</t>
  </si>
  <si>
    <t>GAP</t>
  </si>
  <si>
    <t>Skills for Selected Employee</t>
  </si>
  <si>
    <t>People Trained in Selected Skill</t>
  </si>
  <si>
    <t>Skill</t>
  </si>
  <si>
    <t>Score</t>
  </si>
  <si>
    <t>Readiness</t>
  </si>
  <si>
    <t>Critical</t>
  </si>
  <si>
    <t>Organization Gap</t>
  </si>
  <si>
    <t>Shift</t>
  </si>
  <si>
    <t>Coverage reflects only skills assigned to the employee’s home department, plus any All Departments skills.</t>
  </si>
  <si>
    <t>Qualified only shows score 3. Use All trained for scores 1–3. A no-scores message means the matrix has no competency entries for that skill.</t>
  </si>
  <si>
    <t>Building Coverage Risks</t>
  </si>
  <si>
    <t>Selected Skill Coverage by Shift</t>
  </si>
  <si>
    <t>Qualified</t>
  </si>
  <si>
    <t>Target</t>
  </si>
  <si>
    <t>Gap</t>
  </si>
  <si>
    <t>Risk</t>
  </si>
  <si>
    <t>Developing / Needs</t>
  </si>
  <si>
    <t>A zero on any active shift is a coverage warning. Use the skill search above to identify immediate flex options or developing backups.</t>
  </si>
  <si>
    <t>Department Readiness</t>
  </si>
  <si>
    <t>Department Coverage</t>
  </si>
  <si>
    <t>Headcount</t>
  </si>
  <si>
    <t>With Training</t>
  </si>
  <si>
    <t>Qualified Entries</t>
  </si>
  <si>
    <t>Avg Dept Coverage</t>
  </si>
  <si>
    <t>Customer Support</t>
  </si>
  <si>
    <t>Platform Operations</t>
  </si>
  <si>
    <t>Software Engineering</t>
  </si>
  <si>
    <t>IT Operations</t>
  </si>
  <si>
    <t>Quality Assurance</t>
  </si>
  <si>
    <t>Cloud &amp; Reliability</t>
  </si>
  <si>
    <t>Data &amp; Analytics</t>
  </si>
  <si>
    <t>Cybersecurity</t>
  </si>
  <si>
    <t>Machining</t>
  </si>
  <si>
    <t>Current Development Plan</t>
  </si>
  <si>
    <t>People Ops / Compliance Certification Quick View</t>
  </si>
  <si>
    <t>Target Date</t>
  </si>
  <si>
    <t>Owner</t>
  </si>
  <si>
    <t>TRACKED RECORDS</t>
  </si>
  <si>
    <t>CURRENT</t>
  </si>
  <si>
    <t>DUE SOON</t>
  </si>
  <si>
    <t>OVERDUE / MISSING</t>
  </si>
  <si>
    <t>Certification Attention Queue</t>
  </si>
  <si>
    <t>Expiration</t>
  </si>
  <si>
    <t>Operating rule: enter accepted approved competency forms in Competency Event Log; the Skills Matrix is read-only and updates automatically. See How to Use for the full workflow.</t>
  </si>
  <si>
    <t>Cross-Training &amp; Skill Management</t>
  </si>
  <si>
    <t>One vertical operating view for qualification gaps, open training actions, and department-to-department bench depth.</t>
  </si>
  <si>
    <t>SELECT DEPARTMENT</t>
  </si>
  <si>
    <t>Targets of 0 are pending setup and excluded from gap rankings.</t>
  </si>
  <si>
    <t>ACTIVE SKILLS</t>
  </si>
  <si>
    <t>UNMET TARGETS</t>
  </si>
  <si>
    <t>UNCOVERED TARGET SKILLS</t>
  </si>
  <si>
    <t>NEAR-READY ENTRIES</t>
  </si>
  <si>
    <t>Priority Qualification Gaps</t>
  </si>
  <si>
    <t>Near Ready</t>
  </si>
  <si>
    <t>Recommended Action</t>
  </si>
  <si>
    <t>Management Rules</t>
  </si>
  <si>
    <t>Uncovered</t>
  </si>
  <si>
    <t>Assign a first backup and create a training-plan row.</t>
  </si>
  <si>
    <t>Critical gap</t>
  </si>
  <si>
    <t>Prioritize qualified depth before noncritical targets.</t>
  </si>
  <si>
    <t>Near ready</t>
  </si>
  <si>
    <t>Convert score-2 employees before starting from zero.</t>
  </si>
  <si>
    <t>4</t>
  </si>
  <si>
    <t>Target = 0</t>
  </si>
  <si>
    <t>Confirm target and critical flag in Lists before ranking.</t>
  </si>
  <si>
    <t>5</t>
  </si>
  <si>
    <t>Review owners, target dates, blockers, and completed forms.</t>
  </si>
  <si>
    <t>Open Training Execution</t>
  </si>
  <si>
    <t>Action</t>
  </si>
  <si>
    <t>Convert score-2 employees first when it is the shortest path to qualified backup coverage; assign an owner and target date to every active action.</t>
  </si>
  <si>
    <t>Weekly Management Loop</t>
  </si>
  <si>
    <t>Review</t>
  </si>
  <si>
    <t>Uncovered and critical gaps.</t>
  </si>
  <si>
    <t>Convert</t>
  </si>
  <si>
    <t>Score-2 employees with the shortest path to qualification.</t>
  </si>
  <si>
    <t>Assign</t>
  </si>
  <si>
    <t>Owner and target date for every active training action.</t>
  </si>
  <si>
    <t>Update</t>
  </si>
  <si>
    <t>Log accepted competency forms; the matrix updates automatically.</t>
  </si>
  <si>
    <t>Close</t>
  </si>
  <si>
    <t>Completed training rows and resolved blockers.</t>
  </si>
  <si>
    <t>Department Crosstraining Depth</t>
  </si>
  <si>
    <t>Rows are employees’ home departments; columns are skill-owning departments. Yellow is near-ready score 2; green is qualified score 3.</t>
  </si>
  <si>
    <t>Own Skills</t>
  </si>
  <si>
    <t>Almost Qualified</t>
  </si>
  <si>
    <t>Avg Coverage</t>
  </si>
  <si>
    <t>Near-Ready Entries — Score 2</t>
  </si>
  <si>
    <t>Home Department</t>
  </si>
  <si>
    <t>Qualified Entries — Score 3</t>
  </si>
  <si>
    <t>Read the diagonal for home-department depth. Off-diagonal cells reveal cross-department bench strength and the fastest opportunities to build flexible coverage.</t>
  </si>
  <si>
    <t>Employee Training &amp; Competency Transcript</t>
  </si>
  <si>
    <t>Select an employee. Home Department fills automatically, and the table below shows every current competency the employee has across the organization. Skill Department identifies where the competency belongs; Cross-Training flags skills outside the employee's home department.</t>
  </si>
  <si>
    <t>EMPLOYEE</t>
  </si>
  <si>
    <t>EMPLOYEE ID</t>
  </si>
  <si>
    <t>DEPARTMENT</t>
  </si>
  <si>
    <t>SUPERVISOR</t>
  </si>
  <si>
    <t>HIRE DATE</t>
  </si>
  <si>
    <t>STATUS</t>
  </si>
  <si>
    <t>CURRENT SKILLS</t>
  </si>
  <si>
    <t>DEVELOPING / NEW</t>
  </si>
  <si>
    <t>CROSS-DEPT SKILLS</t>
  </si>
  <si>
    <t>Current Training &amp; Competencies</t>
  </si>
  <si>
    <t>Skill / Competency</t>
  </si>
  <si>
    <t>Skill Department</t>
  </si>
  <si>
    <t>Level</t>
  </si>
  <si>
    <t>Competency Date</t>
  </si>
  <si>
    <t>Cross-Training</t>
  </si>
  <si>
    <t>Competency History — most recent event entries first</t>
  </si>
  <si>
    <t>Previous</t>
  </si>
  <si>
    <t>New</t>
  </si>
  <si>
    <t>Event Type</t>
  </si>
  <si>
    <t>Form Received</t>
  </si>
  <si>
    <t>Submitted By</t>
  </si>
  <si>
    <t>Event ID</t>
  </si>
  <si>
    <t>Certification History</t>
  </si>
  <si>
    <t>Completion</t>
  </si>
  <si>
    <t>Open Training Actions</t>
  </si>
  <si>
    <t>Current competencies are derived from the latest non-voided competency records. Historical events and certifications remain available below for audit/reference.</t>
  </si>
  <si>
    <t>After an approved competency assessment is received, enter the highlighted information on the next blank row. The Skills Matrix, searches, dashboards, and Employee Transcript update automatically.</t>
  </si>
  <si>
    <t>HR Entry Date</t>
  </si>
  <si>
    <t>New Level</t>
  </si>
  <si>
    <t>Form Received Date</t>
  </si>
  <si>
    <t>Void?</t>
  </si>
  <si>
    <t>Event Sequence</t>
  </si>
  <si>
    <t>Primary Training Profile</t>
  </si>
  <si>
    <t>Skill ID</t>
  </si>
  <si>
    <t>Previous Level</t>
  </si>
  <si>
    <t>Event Status</t>
  </si>
  <si>
    <t>Current Key</t>
  </si>
  <si>
    <t>Jordan Blake</t>
  </si>
  <si>
    <t>Initial</t>
  </si>
  <si>
    <t>No</t>
  </si>
  <si>
    <t>DEMO-00001</t>
  </si>
  <si>
    <t>D1001</t>
  </si>
  <si>
    <t>Support Systems Specialist</t>
  </si>
  <si>
    <t>S086</t>
  </si>
  <si>
    <t>Data Privacy Handling</t>
  </si>
  <si>
    <t>DEMO-00002</t>
  </si>
  <si>
    <t>S090</t>
  </si>
  <si>
    <t>Upgrade</t>
  </si>
  <si>
    <t>DEMO-00003</t>
  </si>
  <si>
    <t>DEMO-00004</t>
  </si>
  <si>
    <t>CRM Case Management</t>
  </si>
  <si>
    <t>DEMO-00005</t>
  </si>
  <si>
    <t>S077</t>
  </si>
  <si>
    <t>DEMO-00006</t>
  </si>
  <si>
    <t>DEMO-00007</t>
  </si>
  <si>
    <t>Troubleshooting Fundamentals</t>
  </si>
  <si>
    <t>DEMO-00008</t>
  </si>
  <si>
    <t>S088</t>
  </si>
  <si>
    <t>DEMO-00009</t>
  </si>
  <si>
    <t>DEMO-00010</t>
  </si>
  <si>
    <t>Customer Configuration Support</t>
  </si>
  <si>
    <t>DEMO-00011</t>
  </si>
  <si>
    <t>S087</t>
  </si>
  <si>
    <t>Backup Validation</t>
  </si>
  <si>
    <t>DEMO-00012</t>
  </si>
  <si>
    <t>S057</t>
  </si>
  <si>
    <t>Data Privacy &amp; Acceptable Use</t>
  </si>
  <si>
    <t>DEMO-00013</t>
  </si>
  <si>
    <t>S074</t>
  </si>
  <si>
    <t>DEMO-00014</t>
  </si>
  <si>
    <t>D1002</t>
  </si>
  <si>
    <t>Senior Support Specialist</t>
  </si>
  <si>
    <t>DEMO-00015</t>
  </si>
  <si>
    <t>Support Documentation Standards</t>
  </si>
  <si>
    <t>DEMO-00016</t>
  </si>
  <si>
    <t>S085</t>
  </si>
  <si>
    <t>DEMO-00017</t>
  </si>
  <si>
    <t>DEMO-00018</t>
  </si>
  <si>
    <t>Account Access Support</t>
  </si>
  <si>
    <t>DEMO-00019</t>
  </si>
  <si>
    <t>S081</t>
  </si>
  <si>
    <t>DEMO-00020</t>
  </si>
  <si>
    <t>Incident Communication</t>
  </si>
  <si>
    <t>DEMO-00021</t>
  </si>
  <si>
    <t>S083</t>
  </si>
  <si>
    <t>ServiceNow Ticket Handling</t>
  </si>
  <si>
    <t>DEMO-00022</t>
  </si>
  <si>
    <t>S078</t>
  </si>
  <si>
    <t>Knowledge Base Authoring</t>
  </si>
  <si>
    <t>DEMO-00023</t>
  </si>
  <si>
    <t>S084</t>
  </si>
  <si>
    <t>DEMO-00024</t>
  </si>
  <si>
    <t>DEMO-00025</t>
  </si>
  <si>
    <t>Malware Triage</t>
  </si>
  <si>
    <t>DEMO-00026</t>
  </si>
  <si>
    <t>S096</t>
  </si>
  <si>
    <t>Business Continuity Basics</t>
  </si>
  <si>
    <t>DEMO-00027</t>
  </si>
  <si>
    <t>S073</t>
  </si>
  <si>
    <t>DEMO-00028</t>
  </si>
  <si>
    <t>DEMO-00029</t>
  </si>
  <si>
    <t>DEMO-00030</t>
  </si>
  <si>
    <t>D1003</t>
  </si>
  <si>
    <t>Support Specialist</t>
  </si>
  <si>
    <t>DEMO-00031</t>
  </si>
  <si>
    <t>DEMO-00032</t>
  </si>
  <si>
    <t>DEMO-00033</t>
  </si>
  <si>
    <t>DEMO-00034</t>
  </si>
  <si>
    <t>DEMO-00035</t>
  </si>
  <si>
    <t>DEMO-00036</t>
  </si>
  <si>
    <t>DEMO-00037</t>
  </si>
  <si>
    <t>Support QA Review</t>
  </si>
  <si>
    <t>DEMO-00038</t>
  </si>
  <si>
    <t>S089</t>
  </si>
  <si>
    <t>Zendesk Queue Triage</t>
  </si>
  <si>
    <t>DEMO-00039</t>
  </si>
  <si>
    <t>S076</t>
  </si>
  <si>
    <t>DEMO-00040</t>
  </si>
  <si>
    <t>DEMO-00041</t>
  </si>
  <si>
    <t>Subscription &amp; Billing Support</t>
  </si>
  <si>
    <t>DEMO-00042</t>
  </si>
  <si>
    <t>S079</t>
  </si>
  <si>
    <t>DEMO-00043</t>
  </si>
  <si>
    <t>DEMO-00044</t>
  </si>
  <si>
    <t>DEMO-00045</t>
  </si>
  <si>
    <t>CI/CD Pipeline Operations</t>
  </si>
  <si>
    <t>DEMO-00046</t>
  </si>
  <si>
    <t>S001</t>
  </si>
  <si>
    <t>DEMO-00047</t>
  </si>
  <si>
    <t>DEMO-00048</t>
  </si>
  <si>
    <t>Kubernetes Basics</t>
  </si>
  <si>
    <t>DEMO-00049</t>
  </si>
  <si>
    <t>S010</t>
  </si>
  <si>
    <t>DEMO-00050</t>
  </si>
  <si>
    <t>DEMO-00051</t>
  </si>
  <si>
    <t>DEMO-00052</t>
  </si>
  <si>
    <t>D1004</t>
  </si>
  <si>
    <t>DEMO-00053</t>
  </si>
  <si>
    <t>DEMO-00054</t>
  </si>
  <si>
    <t>DEMO-00055</t>
  </si>
  <si>
    <t>DEMO-00056</t>
  </si>
  <si>
    <t>DEMO-00057</t>
  </si>
  <si>
    <t>Escalation Management</t>
  </si>
  <si>
    <t>DEMO-00058</t>
  </si>
  <si>
    <t>S082</t>
  </si>
  <si>
    <t>DEMO-00059</t>
  </si>
  <si>
    <t>DEMO-00060</t>
  </si>
  <si>
    <t>DEMO-00061</t>
  </si>
  <si>
    <t>SLA Prioritization</t>
  </si>
  <si>
    <t>DEMO-00062</t>
  </si>
  <si>
    <t>S080</t>
  </si>
  <si>
    <t>DEMO-00063</t>
  </si>
  <si>
    <t>DEMO-00064</t>
  </si>
  <si>
    <t>DEMO-00065</t>
  </si>
  <si>
    <t>DEMO-00066</t>
  </si>
  <si>
    <t>Load Balancing</t>
  </si>
  <si>
    <t>DEMO-00067</t>
  </si>
  <si>
    <t>S062</t>
  </si>
  <si>
    <t>DEMO-00068</t>
  </si>
  <si>
    <t>Security Awareness</t>
  </si>
  <si>
    <t>DEMO-00069</t>
  </si>
  <si>
    <t>S014</t>
  </si>
  <si>
    <t>DEMO-00070</t>
  </si>
  <si>
    <t>D1005</t>
  </si>
  <si>
    <t>Customer Onboarding Specialist</t>
  </si>
  <si>
    <t>DEMO-00071</t>
  </si>
  <si>
    <t>DEMO-00072</t>
  </si>
  <si>
    <t>DEMO-00073</t>
  </si>
  <si>
    <t>DEMO-00074</t>
  </si>
  <si>
    <t>DEMO-00075</t>
  </si>
  <si>
    <t>DEMO-00076</t>
  </si>
  <si>
    <t>DEMO-00077</t>
  </si>
  <si>
    <t>DEMO-00078</t>
  </si>
  <si>
    <t>DEMO-00079</t>
  </si>
  <si>
    <t>DEMO-00080</t>
  </si>
  <si>
    <t>DEMO-00081</t>
  </si>
  <si>
    <t>Remote Support Session</t>
  </si>
  <si>
    <t>DEMO-00082</t>
  </si>
  <si>
    <t>S075</t>
  </si>
  <si>
    <t>On-Call Handoff</t>
  </si>
  <si>
    <t>DEMO-00083</t>
  </si>
  <si>
    <t>S065</t>
  </si>
  <si>
    <t>DEMO-00084</t>
  </si>
  <si>
    <t>DEMO-00085</t>
  </si>
  <si>
    <t>DEMO-00086</t>
  </si>
  <si>
    <t>DEMO-00087</t>
  </si>
  <si>
    <t>D1006</t>
  </si>
  <si>
    <t>DEMO-00088</t>
  </si>
  <si>
    <t>DEMO-00089</t>
  </si>
  <si>
    <t>DEMO-00090</t>
  </si>
  <si>
    <t>DEMO-00091</t>
  </si>
  <si>
    <t>DEMO-00092</t>
  </si>
  <si>
    <t>DEMO-00093</t>
  </si>
  <si>
    <t>DEMO-00094</t>
  </si>
  <si>
    <t>DEMO-00095</t>
  </si>
  <si>
    <t>DEMO-00096</t>
  </si>
  <si>
    <t>Kubernetes Operations</t>
  </si>
  <si>
    <t>DEMO-00097</t>
  </si>
  <si>
    <t>S066</t>
  </si>
  <si>
    <t>Identity Threat Detection</t>
  </si>
  <si>
    <t>DEMO-00098</t>
  </si>
  <si>
    <t>S101</t>
  </si>
  <si>
    <t>DEMO-00099</t>
  </si>
  <si>
    <t>DEMO-00100</t>
  </si>
  <si>
    <t>Identity Provisioning</t>
  </si>
  <si>
    <t>Morgan Reed</t>
  </si>
  <si>
    <t>DEMO-00101</t>
  </si>
  <si>
    <t>D1007</t>
  </si>
  <si>
    <t>Platform Operations Analyst</t>
  </si>
  <si>
    <t>S006</t>
  </si>
  <si>
    <t>DEMO-00102</t>
  </si>
  <si>
    <t>Log Analysis</t>
  </si>
  <si>
    <t>DEMO-00103</t>
  </si>
  <si>
    <t>S004</t>
  </si>
  <si>
    <t>Windows Server Administration</t>
  </si>
  <si>
    <t>DEMO-00104</t>
  </si>
  <si>
    <t>S008</t>
  </si>
  <si>
    <t>Monitoring &amp; Alerting</t>
  </si>
  <si>
    <t>DEMO-00105</t>
  </si>
  <si>
    <t>S003</t>
  </si>
  <si>
    <t>DEMO-00106</t>
  </si>
  <si>
    <t>SSO Configuration</t>
  </si>
  <si>
    <t>DEMO-00107</t>
  </si>
  <si>
    <t>S007</t>
  </si>
  <si>
    <t>DEMO-00108</t>
  </si>
  <si>
    <t>Feature Flag Management</t>
  </si>
  <si>
    <t>DEMO-00109</t>
  </si>
  <si>
    <t>S028</t>
  </si>
  <si>
    <t>DEMO-00110</t>
  </si>
  <si>
    <t>DEMO-00111</t>
  </si>
  <si>
    <t>DEMO-00112</t>
  </si>
  <si>
    <t>DEMO-00113</t>
  </si>
  <si>
    <t>D1008</t>
  </si>
  <si>
    <t>DEMO-00114</t>
  </si>
  <si>
    <t>DEMO-00115</t>
  </si>
  <si>
    <t>DEMO-00116</t>
  </si>
  <si>
    <t>DEMO-00117</t>
  </si>
  <si>
    <t>Configuration Management</t>
  </si>
  <si>
    <t>DEMO-00118</t>
  </si>
  <si>
    <t>S011</t>
  </si>
  <si>
    <t>API Credential Management</t>
  </si>
  <si>
    <t>DEMO-00119</t>
  </si>
  <si>
    <t>S002</t>
  </si>
  <si>
    <t>Database Operations</t>
  </si>
  <si>
    <t>DEMO-00120</t>
  </si>
  <si>
    <t>S109</t>
  </si>
  <si>
    <t>DEMO-00121</t>
  </si>
  <si>
    <t>DEMO-00122</t>
  </si>
  <si>
    <t>Backup &amp; Recovery</t>
  </si>
  <si>
    <t>DEMO-00123</t>
  </si>
  <si>
    <t>D1009</t>
  </si>
  <si>
    <t>Platform Support Analyst</t>
  </si>
  <si>
    <t>S012</t>
  </si>
  <si>
    <t>DEMO-00124</t>
  </si>
  <si>
    <t>DEMO-00125</t>
  </si>
  <si>
    <t>Change Management</t>
  </si>
  <si>
    <t>DEMO-00126</t>
  </si>
  <si>
    <t>S013</t>
  </si>
  <si>
    <t>DEMO-00127</t>
  </si>
  <si>
    <t>DEMO-00128</t>
  </si>
  <si>
    <t>DEMO-00129</t>
  </si>
  <si>
    <t>DEMO-00130</t>
  </si>
  <si>
    <t>DEMO-00131</t>
  </si>
  <si>
    <t>Endpoint Detection &amp; Response</t>
  </si>
  <si>
    <t>DEMO-00132</t>
  </si>
  <si>
    <t>S106</t>
  </si>
  <si>
    <t>DEMO-00133</t>
  </si>
  <si>
    <t>DEMO-00134</t>
  </si>
  <si>
    <t>DEMO-00135</t>
  </si>
  <si>
    <t>Linux Administration</t>
  </si>
  <si>
    <t>DEMO-00136</t>
  </si>
  <si>
    <t>D1010</t>
  </si>
  <si>
    <t>S009</t>
  </si>
  <si>
    <t>DEMO-00137</t>
  </si>
  <si>
    <t>DEMO-00138</t>
  </si>
  <si>
    <t>DEMO-00139</t>
  </si>
  <si>
    <t>DEMO-00140</t>
  </si>
  <si>
    <t>DEMO-00141</t>
  </si>
  <si>
    <t>DEMO-00142</t>
  </si>
  <si>
    <t>DEMO-00143</t>
  </si>
  <si>
    <t>DEMO-00144</t>
  </si>
  <si>
    <t>D1011</t>
  </si>
  <si>
    <t>DEMO-00145</t>
  </si>
  <si>
    <t>DEMO-00146</t>
  </si>
  <si>
    <t>Infrastructure as Code</t>
  </si>
  <si>
    <t>DEMO-00147</t>
  </si>
  <si>
    <t>S005</t>
  </si>
  <si>
    <t>DEMO-00148</t>
  </si>
  <si>
    <t>DEMO-00149</t>
  </si>
  <si>
    <t>DEMO-00150</t>
  </si>
  <si>
    <t>DEMO-00151</t>
  </si>
  <si>
    <t>DEMO-00152</t>
  </si>
  <si>
    <t>DEMO-00153</t>
  </si>
  <si>
    <t>DEMO-00154</t>
  </si>
  <si>
    <t>DEMO-00155</t>
  </si>
  <si>
    <t>D1012</t>
  </si>
  <si>
    <t>Automation Specialist</t>
  </si>
  <si>
    <t>DEMO-00156</t>
  </si>
  <si>
    <t>DEMO-00157</t>
  </si>
  <si>
    <t>DEMO-00158</t>
  </si>
  <si>
    <t>DEMO-00159</t>
  </si>
  <si>
    <t>DEMO-00160</t>
  </si>
  <si>
    <t>DEMO-00161</t>
  </si>
  <si>
    <t>DEMO-00162</t>
  </si>
  <si>
    <t>DEMO-00163</t>
  </si>
  <si>
    <t>DEMO-00164</t>
  </si>
  <si>
    <t>DEMO-00165</t>
  </si>
  <si>
    <t>DEMO-00166</t>
  </si>
  <si>
    <t>DEMO-00167</t>
  </si>
  <si>
    <t>DEMO-00168</t>
  </si>
  <si>
    <t>Deployment Procedures</t>
  </si>
  <si>
    <t>Casey Hart</t>
  </si>
  <si>
    <t>DEMO-00169</t>
  </si>
  <si>
    <t>D1013</t>
  </si>
  <si>
    <t>Cloud Operations Analyst</t>
  </si>
  <si>
    <t>S029</t>
  </si>
  <si>
    <t>DEMO-00170</t>
  </si>
  <si>
    <t>DEMO-00171</t>
  </si>
  <si>
    <t>DEMO-00172</t>
  </si>
  <si>
    <t>DEMO-00173</t>
  </si>
  <si>
    <t>Secure Coding Basics</t>
  </si>
  <si>
    <t>DEMO-00174</t>
  </si>
  <si>
    <t>S031</t>
  </si>
  <si>
    <t>DEMO-00175</t>
  </si>
  <si>
    <t>Integration Testing</t>
  </si>
  <si>
    <t>DEMO-00176</t>
  </si>
  <si>
    <t>S034</t>
  </si>
  <si>
    <t>DEMO-00177</t>
  </si>
  <si>
    <t>DEMO-00178</t>
  </si>
  <si>
    <t>Git Workflow</t>
  </si>
  <si>
    <t>DEMO-00179</t>
  </si>
  <si>
    <t>S032</t>
  </si>
  <si>
    <t>DEMO-00180</t>
  </si>
  <si>
    <t>DEMO-00181</t>
  </si>
  <si>
    <t>Pull Request Review</t>
  </si>
  <si>
    <t>DEMO-00182</t>
  </si>
  <si>
    <t>S027</t>
  </si>
  <si>
    <t>DEMO-00183</t>
  </si>
  <si>
    <t>DEMO-00184</t>
  </si>
  <si>
    <t>Unit Testing</t>
  </si>
  <si>
    <t>DEMO-00185</t>
  </si>
  <si>
    <t>S033</t>
  </si>
  <si>
    <t>DEMO-00186</t>
  </si>
  <si>
    <t>DEMO-00187</t>
  </si>
  <si>
    <t>D1014</t>
  </si>
  <si>
    <t>Release Support Engineer</t>
  </si>
  <si>
    <t>DEMO-00188</t>
  </si>
  <si>
    <t>DEMO-00189</t>
  </si>
  <si>
    <t>DEMO-00190</t>
  </si>
  <si>
    <t>DEMO-00191</t>
  </si>
  <si>
    <t>DEMO-00192</t>
  </si>
  <si>
    <t>DEMO-00193</t>
  </si>
  <si>
    <t>DEMO-00194</t>
  </si>
  <si>
    <t>Release Branching</t>
  </si>
  <si>
    <t>DEMO-00195</t>
  </si>
  <si>
    <t>S030</t>
  </si>
  <si>
    <t>DEMO-00196</t>
  </si>
  <si>
    <t>DEMO-00197</t>
  </si>
  <si>
    <t>Security Case Documentation</t>
  </si>
  <si>
    <t>DEMO-00198</t>
  </si>
  <si>
    <t>S097</t>
  </si>
  <si>
    <t>Web Application Security Review</t>
  </si>
  <si>
    <t>DEMO-00199</t>
  </si>
  <si>
    <t>S048</t>
  </si>
  <si>
    <t>DEMO-00200</t>
  </si>
  <si>
    <t>DEMO-00201</t>
  </si>
  <si>
    <t>DEMO-00202</t>
  </si>
  <si>
    <t>DEMO-00203</t>
  </si>
  <si>
    <t>DEMO-00204</t>
  </si>
  <si>
    <t>D1015</t>
  </si>
  <si>
    <t>Application Engineer</t>
  </si>
  <si>
    <t>DEMO-00205</t>
  </si>
  <si>
    <t>DEMO-00206</t>
  </si>
  <si>
    <t>DEMO-00207</t>
  </si>
  <si>
    <t>DEMO-00208</t>
  </si>
  <si>
    <t>DEMO-00209</t>
  </si>
  <si>
    <t>DEMO-00210</t>
  </si>
  <si>
    <t>DEMO-00211</t>
  </si>
  <si>
    <t>DEMO-00212</t>
  </si>
  <si>
    <t>DEMO-00213</t>
  </si>
  <si>
    <t>DEMO-00214</t>
  </si>
  <si>
    <t>DEMO-00215</t>
  </si>
  <si>
    <t>DEMO-00216</t>
  </si>
  <si>
    <t>DEMO-00217</t>
  </si>
  <si>
    <t>DEMO-00218</t>
  </si>
  <si>
    <t>DEMO-00219</t>
  </si>
  <si>
    <t>DEMO-00220</t>
  </si>
  <si>
    <t>SLO &amp; SLI Monitoring</t>
  </si>
  <si>
    <t>DEMO-00221</t>
  </si>
  <si>
    <t>S056</t>
  </si>
  <si>
    <t>DEMO-00222</t>
  </si>
  <si>
    <t>DEMO-00223</t>
  </si>
  <si>
    <t>DEMO-00224</t>
  </si>
  <si>
    <t>D1016</t>
  </si>
  <si>
    <t>DEMO-00225</t>
  </si>
  <si>
    <t>DEMO-00226</t>
  </si>
  <si>
    <t>DEMO-00227</t>
  </si>
  <si>
    <t>DEMO-00228</t>
  </si>
  <si>
    <t>DEMO-00229</t>
  </si>
  <si>
    <t>DEMO-00230</t>
  </si>
  <si>
    <t>DEMO-00231</t>
  </si>
  <si>
    <t>DEMO-00232</t>
  </si>
  <si>
    <t>DEMO-00233</t>
  </si>
  <si>
    <t>DEMO-00234</t>
  </si>
  <si>
    <t>DEMO-00235</t>
  </si>
  <si>
    <t>Disaster Recovery</t>
  </si>
  <si>
    <t>DEMO-00236</t>
  </si>
  <si>
    <t>S061</t>
  </si>
  <si>
    <t>DEMO-00237</t>
  </si>
  <si>
    <t>DEMO-00238</t>
  </si>
  <si>
    <t>DEMO-00239</t>
  </si>
  <si>
    <t>D1017</t>
  </si>
  <si>
    <t>DEMO-00240</t>
  </si>
  <si>
    <t>DEMO-00241</t>
  </si>
  <si>
    <t>DEMO-00242</t>
  </si>
  <si>
    <t>DEMO-00243</t>
  </si>
  <si>
    <t>DEMO-00244</t>
  </si>
  <si>
    <t>DEMO-00245</t>
  </si>
  <si>
    <t>DEMO-00246</t>
  </si>
  <si>
    <t>DEMO-00247</t>
  </si>
  <si>
    <t>DEMO-00248</t>
  </si>
  <si>
    <t>DEMO-00249</t>
  </si>
  <si>
    <t>DEMO-00250</t>
  </si>
  <si>
    <t>DEMO-00251</t>
  </si>
  <si>
    <t>DEMO-00252</t>
  </si>
  <si>
    <t>DEMO-00253</t>
  </si>
  <si>
    <t>DEMO-00254</t>
  </si>
  <si>
    <t>DEMO-00255</t>
  </si>
  <si>
    <t>D1018</t>
  </si>
  <si>
    <t>DEMO-00256</t>
  </si>
  <si>
    <t>DEMO-00257</t>
  </si>
  <si>
    <t>DEMO-00258</t>
  </si>
  <si>
    <t>DEMO-00259</t>
  </si>
  <si>
    <t>DEMO-00260</t>
  </si>
  <si>
    <t>DEMO-00261</t>
  </si>
  <si>
    <t>DEMO-00262</t>
  </si>
  <si>
    <t>DEMO-00263</t>
  </si>
  <si>
    <t>DEMO-00264</t>
  </si>
  <si>
    <t>DEMO-00265</t>
  </si>
  <si>
    <t>IT Service Desk Escalation</t>
  </si>
  <si>
    <t>Riley Stone</t>
  </si>
  <si>
    <t>DEMO-00266</t>
  </si>
  <si>
    <t>D1019</t>
  </si>
  <si>
    <t>QA Analyst</t>
  </si>
  <si>
    <t>S110</t>
  </si>
  <si>
    <t>DEMO-00267</t>
  </si>
  <si>
    <t>DEMO-00268</t>
  </si>
  <si>
    <t>Network Support Analyst</t>
  </si>
  <si>
    <t>DEMO-00269</t>
  </si>
  <si>
    <t>S037</t>
  </si>
  <si>
    <t>Endpoint Provisioning</t>
  </si>
  <si>
    <t>DEMO-00270</t>
  </si>
  <si>
    <t>S035</t>
  </si>
  <si>
    <t>DEMO-00271</t>
  </si>
  <si>
    <t>DEMO-00272</t>
  </si>
  <si>
    <t>VPN Administration</t>
  </si>
  <si>
    <t>DEMO-00273</t>
  </si>
  <si>
    <t>S041</t>
  </si>
  <si>
    <t>Device Provisioning Specialist</t>
  </si>
  <si>
    <t>DEMO-00274</t>
  </si>
  <si>
    <t>S036</t>
  </si>
  <si>
    <t>Identity &amp; Access Specialist</t>
  </si>
  <si>
    <t>DEMO-00275</t>
  </si>
  <si>
    <t>S039</t>
  </si>
  <si>
    <t>DEMO-00276</t>
  </si>
  <si>
    <t>IT Service Analyst</t>
  </si>
  <si>
    <t>DEMO-00277</t>
  </si>
  <si>
    <t>S042</t>
  </si>
  <si>
    <t>Mobile Device Management</t>
  </si>
  <si>
    <t>DEMO-00278</t>
  </si>
  <si>
    <t>DEMO-00279</t>
  </si>
  <si>
    <t>DEMO-00280</t>
  </si>
  <si>
    <t>DEMO-00281</t>
  </si>
  <si>
    <t>D1020</t>
  </si>
  <si>
    <t>DEMO-00282</t>
  </si>
  <si>
    <t>DEMO-00283</t>
  </si>
  <si>
    <t>DEMO-00284</t>
  </si>
  <si>
    <t>DEMO-00285</t>
  </si>
  <si>
    <t>DEMO-00286</t>
  </si>
  <si>
    <t>DEMO-00287</t>
  </si>
  <si>
    <t>Asset Lifecycle Management</t>
  </si>
  <si>
    <t>DEMO-00288</t>
  </si>
  <si>
    <t>S040</t>
  </si>
  <si>
    <t>DEMO-00289</t>
  </si>
  <si>
    <t>DEMO-00290</t>
  </si>
  <si>
    <t>DEMO-00291</t>
  </si>
  <si>
    <t>DEMO-00292</t>
  </si>
  <si>
    <t>DEMO-00293</t>
  </si>
  <si>
    <t>DEMO-00294</t>
  </si>
  <si>
    <t>DEMO-00295</t>
  </si>
  <si>
    <t>DEMO-00296</t>
  </si>
  <si>
    <t>DEMO-00297</t>
  </si>
  <si>
    <t>Log Correlation</t>
  </si>
  <si>
    <t>DEMO-00298</t>
  </si>
  <si>
    <t>S105</t>
  </si>
  <si>
    <t>DEMO-00299</t>
  </si>
  <si>
    <t>DEMO-00300</t>
  </si>
  <si>
    <t>D1021</t>
  </si>
  <si>
    <t>DEMO-00301</t>
  </si>
  <si>
    <t>Remote Access Support</t>
  </si>
  <si>
    <t>DEMO-00302</t>
  </si>
  <si>
    <t>S038</t>
  </si>
  <si>
    <t>DEMO-00303</t>
  </si>
  <si>
    <t>DEMO-00304</t>
  </si>
  <si>
    <t>DEMO-00305</t>
  </si>
  <si>
    <t>DEMO-00306</t>
  </si>
  <si>
    <t>DEMO-00307</t>
  </si>
  <si>
    <t>DEMO-00308</t>
  </si>
  <si>
    <t>DEMO-00309</t>
  </si>
  <si>
    <t>DEMO-00310</t>
  </si>
  <si>
    <t>Observability Dashboards</t>
  </si>
  <si>
    <t>DEMO-00311</t>
  </si>
  <si>
    <t>S058</t>
  </si>
  <si>
    <t>DEMO-00312</t>
  </si>
  <si>
    <t>DEMO-00313</t>
  </si>
  <si>
    <t>DEMO-00314</t>
  </si>
  <si>
    <t>DEMO-00315</t>
  </si>
  <si>
    <t>D1022</t>
  </si>
  <si>
    <t>DEMO-00316</t>
  </si>
  <si>
    <t>DEMO-00317</t>
  </si>
  <si>
    <t>DEMO-00318</t>
  </si>
  <si>
    <t>DEMO-00319</t>
  </si>
  <si>
    <t>DEMO-00320</t>
  </si>
  <si>
    <t>DEMO-00321</t>
  </si>
  <si>
    <t>DEMO-00322</t>
  </si>
  <si>
    <t>DEMO-00323</t>
  </si>
  <si>
    <t>DEMO-00324</t>
  </si>
  <si>
    <t>DEMO-00325</t>
  </si>
  <si>
    <t>DEMO-00326</t>
  </si>
  <si>
    <t>DEMO-00327</t>
  </si>
  <si>
    <t>DEMO-00328</t>
  </si>
  <si>
    <t>D1023</t>
  </si>
  <si>
    <t>IT Support Specialist</t>
  </si>
  <si>
    <t>DEMO-00329</t>
  </si>
  <si>
    <t>DEMO-00330</t>
  </si>
  <si>
    <t>DEMO-00331</t>
  </si>
  <si>
    <t>DEMO-00332</t>
  </si>
  <si>
    <t>DEMO-00333</t>
  </si>
  <si>
    <t>DEMO-00334</t>
  </si>
  <si>
    <t>DEMO-00335</t>
  </si>
  <si>
    <t>DEMO-00336</t>
  </si>
  <si>
    <t>DEMO-00337</t>
  </si>
  <si>
    <t>DEMO-00338</t>
  </si>
  <si>
    <t>DEMO-00339</t>
  </si>
  <si>
    <t>D1024</t>
  </si>
  <si>
    <t>DEMO-00340</t>
  </si>
  <si>
    <t>DEMO-00341</t>
  </si>
  <si>
    <t>DEMO-00342</t>
  </si>
  <si>
    <t>DEMO-00343</t>
  </si>
  <si>
    <t>DEMO-00344</t>
  </si>
  <si>
    <t>DEMO-00345</t>
  </si>
  <si>
    <t>DEMO-00346</t>
  </si>
  <si>
    <t>DEMO-00347</t>
  </si>
  <si>
    <t>DEMO-00348</t>
  </si>
  <si>
    <t>DEMO-00349</t>
  </si>
  <si>
    <t>DEMO-00350</t>
  </si>
  <si>
    <t>DEMO-00351</t>
  </si>
  <si>
    <t>Regression Testing</t>
  </si>
  <si>
    <t>Cameron Wells</t>
  </si>
  <si>
    <t>DEMO-00352</t>
  </si>
  <si>
    <t>D1025</t>
  </si>
  <si>
    <t>Specialist</t>
  </si>
  <si>
    <t>S021</t>
  </si>
  <si>
    <t>DEMO-00353</t>
  </si>
  <si>
    <t>DEMO-00354</t>
  </si>
  <si>
    <t>Defect Documentation</t>
  </si>
  <si>
    <t>DEMO-00355</t>
  </si>
  <si>
    <t>S015</t>
  </si>
  <si>
    <t>DEMO-00356</t>
  </si>
  <si>
    <t>Browser Compatibility Testing</t>
  </si>
  <si>
    <t>DEMO-00357</t>
  </si>
  <si>
    <t>S017</t>
  </si>
  <si>
    <t>Automation Test Execution</t>
  </si>
  <si>
    <t>DEMO-00358</t>
  </si>
  <si>
    <t>S016</t>
  </si>
  <si>
    <t>DEMO-00359</t>
  </si>
  <si>
    <t>DEMO-00360</t>
  </si>
  <si>
    <t>Exploratory Testing</t>
  </si>
  <si>
    <t>DEMO-00361</t>
  </si>
  <si>
    <t>S025</t>
  </si>
  <si>
    <t>DEMO-00362</t>
  </si>
  <si>
    <t>DEMO-00363</t>
  </si>
  <si>
    <t>DEMO-00364</t>
  </si>
  <si>
    <t>DEMO-00365</t>
  </si>
  <si>
    <t>Risk Assessment</t>
  </si>
  <si>
    <t>DEMO-00366</t>
  </si>
  <si>
    <t>S092</t>
  </si>
  <si>
    <t>DEMO-00367</t>
  </si>
  <si>
    <t>DEMO-00368</t>
  </si>
  <si>
    <t>DEMO-00369</t>
  </si>
  <si>
    <t>DEMO-00370</t>
  </si>
  <si>
    <t>D1026</t>
  </si>
  <si>
    <t>DEMO-00371</t>
  </si>
  <si>
    <t>DEMO-00372</t>
  </si>
  <si>
    <t>DEMO-00373</t>
  </si>
  <si>
    <t>DEMO-00374</t>
  </si>
  <si>
    <t>DEMO-00375</t>
  </si>
  <si>
    <t>DEMO-00376</t>
  </si>
  <si>
    <t>DEMO-00377</t>
  </si>
  <si>
    <t>DEMO-00378</t>
  </si>
  <si>
    <t>DEMO-00379</t>
  </si>
  <si>
    <t>DEMO-00380</t>
  </si>
  <si>
    <t>Vulnerability Remediation</t>
  </si>
  <si>
    <t>DEMO-00381</t>
  </si>
  <si>
    <t>S100</t>
  </si>
  <si>
    <t>DEMO-00382</t>
  </si>
  <si>
    <t>DEMO-00383</t>
  </si>
  <si>
    <t>DEMO-00384</t>
  </si>
  <si>
    <t>D1027</t>
  </si>
  <si>
    <t>DEMO-00385</t>
  </si>
  <si>
    <t>DEMO-00386</t>
  </si>
  <si>
    <t>DEMO-00387</t>
  </si>
  <si>
    <t>Test Case Design</t>
  </si>
  <si>
    <t>DEMO-00388</t>
  </si>
  <si>
    <t>S020</t>
  </si>
  <si>
    <t>DEMO-00389</t>
  </si>
  <si>
    <t>DEMO-00390</t>
  </si>
  <si>
    <t>Secure Configuration Review</t>
  </si>
  <si>
    <t>DEMO-00391</t>
  </si>
  <si>
    <t>S091</t>
  </si>
  <si>
    <t>Reliability Testing</t>
  </si>
  <si>
    <t>DEMO-00392</t>
  </si>
  <si>
    <t>S071</t>
  </si>
  <si>
    <t>DEMO-00393</t>
  </si>
  <si>
    <t>DEMO-00394</t>
  </si>
  <si>
    <t>DEMO-00395</t>
  </si>
  <si>
    <t>DEMO-00396</t>
  </si>
  <si>
    <t>DEMO-00397</t>
  </si>
  <si>
    <t>D1028</t>
  </si>
  <si>
    <t>DEMO-00398</t>
  </si>
  <si>
    <t>DEMO-00399</t>
  </si>
  <si>
    <t>DEMO-00400</t>
  </si>
  <si>
    <t>DEMO-00401</t>
  </si>
  <si>
    <t>DEMO-00402</t>
  </si>
  <si>
    <t>DEMO-00403</t>
  </si>
  <si>
    <t>DEMO-00404</t>
  </si>
  <si>
    <t>DEMO-00405</t>
  </si>
  <si>
    <t>DEMO-00406</t>
  </si>
  <si>
    <t>DEMO-00407</t>
  </si>
  <si>
    <t>Vulnerability Scanning</t>
  </si>
  <si>
    <t>DEMO-00408</t>
  </si>
  <si>
    <t>S049</t>
  </si>
  <si>
    <t>DEMO-00409</t>
  </si>
  <si>
    <t>DEMO-00410</t>
  </si>
  <si>
    <t>DEMO-00411</t>
  </si>
  <si>
    <t>DEMO-00412</t>
  </si>
  <si>
    <t>DEMO-00413</t>
  </si>
  <si>
    <t>DEMO-00414</t>
  </si>
  <si>
    <t>DEMO-00415</t>
  </si>
  <si>
    <t>D1029</t>
  </si>
  <si>
    <t>DEMO-00416</t>
  </si>
  <si>
    <t>DEMO-00417</t>
  </si>
  <si>
    <t>DEMO-00418</t>
  </si>
  <si>
    <t>DEMO-00419</t>
  </si>
  <si>
    <t>DEMO-00420</t>
  </si>
  <si>
    <t>Secrets Management</t>
  </si>
  <si>
    <t>DEMO-00421</t>
  </si>
  <si>
    <t>S059</t>
  </si>
  <si>
    <t>DEMO-00422</t>
  </si>
  <si>
    <t>Cloud Security Monitoring</t>
  </si>
  <si>
    <t>DEMO-00423</t>
  </si>
  <si>
    <t>S098</t>
  </si>
  <si>
    <t>DEMO-00424</t>
  </si>
  <si>
    <t>DEMO-00425</t>
  </si>
  <si>
    <t>D1030</t>
  </si>
  <si>
    <t>DEMO-00426</t>
  </si>
  <si>
    <t>DEMO-00427</t>
  </si>
  <si>
    <t>DEMO-00428</t>
  </si>
  <si>
    <t>DEMO-00429</t>
  </si>
  <si>
    <t>DEMO-00430</t>
  </si>
  <si>
    <t>DEMO-00431</t>
  </si>
  <si>
    <t>DEMO-00432</t>
  </si>
  <si>
    <t>DEMO-00433</t>
  </si>
  <si>
    <t>DEMO-00434</t>
  </si>
  <si>
    <t>DEMO-00435</t>
  </si>
  <si>
    <t>Avery Brooks</t>
  </si>
  <si>
    <t>DEMO-00436</t>
  </si>
  <si>
    <t>D1031</t>
  </si>
  <si>
    <t>Site Reliability Engineer</t>
  </si>
  <si>
    <t>DEMO-00437</t>
  </si>
  <si>
    <t>Incident Response</t>
  </si>
  <si>
    <t>DEMO-00438</t>
  </si>
  <si>
    <t>S064</t>
  </si>
  <si>
    <t>DEMO-00439</t>
  </si>
  <si>
    <t>DEMO-00440</t>
  </si>
  <si>
    <t>DEMO-00441</t>
  </si>
  <si>
    <t>DEMO-00442</t>
  </si>
  <si>
    <t>Service Dependency Mapping</t>
  </si>
  <si>
    <t>DEMO-00443</t>
  </si>
  <si>
    <t>S063</t>
  </si>
  <si>
    <t>DEMO-00444</t>
  </si>
  <si>
    <t>DEMO-00445</t>
  </si>
  <si>
    <t>DEMO-00446</t>
  </si>
  <si>
    <t>AWS Core Services</t>
  </si>
  <si>
    <t>DEMO-00447</t>
  </si>
  <si>
    <t>S069</t>
  </si>
  <si>
    <t>Cloud Cost Monitoring</t>
  </si>
  <si>
    <t>DEMO-00448</t>
  </si>
  <si>
    <t>S060</t>
  </si>
  <si>
    <t>DEMO-00449</t>
  </si>
  <si>
    <t>DEMO-00450</t>
  </si>
  <si>
    <t>DEMO-00451</t>
  </si>
  <si>
    <t>DEMO-00452</t>
  </si>
  <si>
    <t>D1032</t>
  </si>
  <si>
    <t>Capacity Planning</t>
  </si>
  <si>
    <t>DEMO-00453</t>
  </si>
  <si>
    <t>S072</t>
  </si>
  <si>
    <t>DEMO-00454</t>
  </si>
  <si>
    <t>DEMO-00455</t>
  </si>
  <si>
    <t>DEMO-00456</t>
  </si>
  <si>
    <t>DEMO-00457</t>
  </si>
  <si>
    <t>Azure Core Services</t>
  </si>
  <si>
    <t>DEMO-00458</t>
  </si>
  <si>
    <t>S067</t>
  </si>
  <si>
    <t>DEMO-00459</t>
  </si>
  <si>
    <t>DEMO-00460</t>
  </si>
  <si>
    <t>DEMO-00461</t>
  </si>
  <si>
    <t>DEMO-00462</t>
  </si>
  <si>
    <t>DEMO-00463</t>
  </si>
  <si>
    <t>DEMO-00464</t>
  </si>
  <si>
    <t>DEMO-00465</t>
  </si>
  <si>
    <t>SQL Fundamentals</t>
  </si>
  <si>
    <t>DEMO-00466</t>
  </si>
  <si>
    <t>S043</t>
  </si>
  <si>
    <t>DEMO-00467</t>
  </si>
  <si>
    <t>DEMO-00468</t>
  </si>
  <si>
    <t>DEMO-00469</t>
  </si>
  <si>
    <t>DEMO-00470</t>
  </si>
  <si>
    <t>DEMO-00471</t>
  </si>
  <si>
    <t>D1033</t>
  </si>
  <si>
    <t>DEMO-00472</t>
  </si>
  <si>
    <t>DEMO-00473</t>
  </si>
  <si>
    <t>DEMO-00474</t>
  </si>
  <si>
    <t>DEMO-00475</t>
  </si>
  <si>
    <t>DEMO-00476</t>
  </si>
  <si>
    <t>DEMO-00477</t>
  </si>
  <si>
    <t>DEMO-00478</t>
  </si>
  <si>
    <t>DEMO-00479</t>
  </si>
  <si>
    <t>DEMO-00480</t>
  </si>
  <si>
    <t>DEMO-00481</t>
  </si>
  <si>
    <t>DEMO-00482</t>
  </si>
  <si>
    <t>DEMO-00483</t>
  </si>
  <si>
    <t>DEMO-00484</t>
  </si>
  <si>
    <t>DEMO-00485</t>
  </si>
  <si>
    <t>DEMO-00486</t>
  </si>
  <si>
    <t>Incident Containment</t>
  </si>
  <si>
    <t>DEMO-00487</t>
  </si>
  <si>
    <t>S094</t>
  </si>
  <si>
    <t>Defect Triage Analyst</t>
  </si>
  <si>
    <t>DEMO-00488</t>
  </si>
  <si>
    <t>S052</t>
  </si>
  <si>
    <t>DEMO-00489</t>
  </si>
  <si>
    <t>DEMO-00490</t>
  </si>
  <si>
    <t>DEMO-00491</t>
  </si>
  <si>
    <t>DEMO-00492</t>
  </si>
  <si>
    <t>D1034</t>
  </si>
  <si>
    <t>Container Runtime Operations</t>
  </si>
  <si>
    <t>DEMO-00493</t>
  </si>
  <si>
    <t>S070</t>
  </si>
  <si>
    <t>DEMO-00494</t>
  </si>
  <si>
    <t>DEMO-00495</t>
  </si>
  <si>
    <t>DEMO-00496</t>
  </si>
  <si>
    <t>Postmortem Facilitation</t>
  </si>
  <si>
    <t>DEMO-00497</t>
  </si>
  <si>
    <t>S068</t>
  </si>
  <si>
    <t>DEMO-00498</t>
  </si>
  <si>
    <t>DEMO-00499</t>
  </si>
  <si>
    <t>DEMO-00500</t>
  </si>
  <si>
    <t>DEMO-00501</t>
  </si>
  <si>
    <t>DEMO-00502</t>
  </si>
  <si>
    <t>DEMO-00503</t>
  </si>
  <si>
    <t>DEMO-00504</t>
  </si>
  <si>
    <t>DEMO-00505</t>
  </si>
  <si>
    <t>DEMO-00506</t>
  </si>
  <si>
    <t>DEMO-00507</t>
  </si>
  <si>
    <t>DEMO-00508</t>
  </si>
  <si>
    <t>D1035</t>
  </si>
  <si>
    <t>DEMO-00509</t>
  </si>
  <si>
    <t>DEMO-00510</t>
  </si>
  <si>
    <t>DEMO-00511</t>
  </si>
  <si>
    <t>DEMO-00512</t>
  </si>
  <si>
    <t>DEMO-00513</t>
  </si>
  <si>
    <t>DEMO-00514</t>
  </si>
  <si>
    <t>DEMO-00515</t>
  </si>
  <si>
    <t>Security Control Testing</t>
  </si>
  <si>
    <t>DEMO-00516</t>
  </si>
  <si>
    <t>S108</t>
  </si>
  <si>
    <t>DEMO-00517</t>
  </si>
  <si>
    <t>DEMO-00518</t>
  </si>
  <si>
    <t>DEMO-00519</t>
  </si>
  <si>
    <t>DEMO-00520</t>
  </si>
  <si>
    <t>DEMO-00521</t>
  </si>
  <si>
    <t>D1036</t>
  </si>
  <si>
    <t>DEMO-00522</t>
  </si>
  <si>
    <t>DEMO-00523</t>
  </si>
  <si>
    <t>DEMO-00524</t>
  </si>
  <si>
    <t>DEMO-00525</t>
  </si>
  <si>
    <t>DEMO-00526</t>
  </si>
  <si>
    <t>DEMO-00527</t>
  </si>
  <si>
    <t>DEMO-00528</t>
  </si>
  <si>
    <t>DEMO-00529</t>
  </si>
  <si>
    <t>DEMO-00530</t>
  </si>
  <si>
    <t>DEMO-00531</t>
  </si>
  <si>
    <t>DEMO-00532</t>
  </si>
  <si>
    <t>DEMO-00533</t>
  </si>
  <si>
    <t>DEMO-00534</t>
  </si>
  <si>
    <t>DEMO-00535</t>
  </si>
  <si>
    <t>Enterprise Cross-Training Skills Matrix</t>
  </si>
  <si>
    <t>Definition</t>
  </si>
  <si>
    <t>Score 3 = Fully Competent / Demonstrates Mastery | Read-only current view — enter accepted forms in Competency Event Log.</t>
  </si>
  <si>
    <t>Skill department →</t>
  </si>
  <si>
    <t>Name</t>
  </si>
  <si>
    <t>Hire Date</t>
  </si>
  <si>
    <t>Torch Cut</t>
  </si>
  <si>
    <t>Browser Compatibility Testing No Weld</t>
  </si>
  <si>
    <t>Data Validation No Weld</t>
  </si>
  <si>
    <t>Dashboard QA</t>
  </si>
  <si>
    <t>QA Engineer I</t>
  </si>
  <si>
    <t>QA Engineer II</t>
  </si>
  <si>
    <t>Data Reconciliation</t>
  </si>
  <si>
    <t>Performance Test Analyst</t>
  </si>
  <si>
    <t>Data Incident Triage No Weld</t>
  </si>
  <si>
    <t>Alert Triage</t>
  </si>
  <si>
    <t>SIEM Investigation</t>
  </si>
  <si>
    <t>Vulnerability Analyst</t>
  </si>
  <si>
    <t>Privileged Access Review</t>
  </si>
  <si>
    <t>Threat Hunting</t>
  </si>
  <si>
    <t>Forensic Collection</t>
  </si>
  <si>
    <t>Network Security Monitoring</t>
  </si>
  <si>
    <t>Third-Party Security Review</t>
  </si>
  <si>
    <t>Total</t>
  </si>
  <si>
    <t>Skills Entered</t>
  </si>
  <si>
    <t>Dept Coverage</t>
  </si>
  <si>
    <t>Keep this list short and actionable. Dashboard totals refresh from the Status column.</t>
  </si>
  <si>
    <t>Initial rows were carried over from the current matrix screenshot—confirm status and target dates before rollout.</t>
  </si>
  <si>
    <t>Complete two guided workflow sessions with a qualified peer before assessment.</t>
  </si>
  <si>
    <t>Not Started</t>
  </si>
  <si>
    <t>Schedule guided practice in the standard workflow environment.</t>
  </si>
  <si>
    <t>In Progress</t>
  </si>
  <si>
    <t>Complete refresher training and submit the competency assessment for review.</t>
  </si>
  <si>
    <t>Complete</t>
  </si>
  <si>
    <t>Shadow a qualified peer and complete the observation checklist.</t>
  </si>
  <si>
    <t>Blocked</t>
  </si>
  <si>
    <t>Close remaining skill gap during weekly cross-training block.</t>
  </si>
  <si>
    <t>Training Profile Catalog</t>
  </si>
  <si>
    <t>Maintain only Department, Training Profile, and Skill. Type new profile names directly in column B; profile dropdowns elsewhere are generated automatically from this catalog.</t>
  </si>
  <si>
    <t>Department → Training Profile → Skill</t>
  </si>
  <si>
    <t>Training Profile</t>
  </si>
  <si>
    <t>Support Quality Analyst</t>
  </si>
  <si>
    <t>Platform Configuration Specialist</t>
  </si>
  <si>
    <t>Software Engineer</t>
  </si>
  <si>
    <t>Endpoint Support Specialist</t>
  </si>
  <si>
    <t>Data Quality Analyst</t>
  </si>
  <si>
    <t>Data Validation</t>
  </si>
  <si>
    <t>Test Automation Analyst</t>
  </si>
  <si>
    <t>UAT Analyst</t>
  </si>
  <si>
    <t>Data Validation Analyst</t>
  </si>
  <si>
    <t>Data Incident Triage</t>
  </si>
  <si>
    <t>Security Analyst</t>
  </si>
  <si>
    <t>Security Operations Analyst</t>
  </si>
  <si>
    <t>Security Incident Escalation</t>
  </si>
  <si>
    <t>Lists &amp; Source Data</t>
  </si>
  <si>
    <t>Employee List</t>
  </si>
  <si>
    <t>Skill List</t>
  </si>
  <si>
    <t>Coverage Gap Helper — do not edit</t>
  </si>
  <si>
    <t>Employee Skill Search Helper — do not edit</t>
  </si>
  <si>
    <t>People by Skill Helper — do not edit</t>
  </si>
  <si>
    <t>Skill Management Gap Helper — do not edit</t>
  </si>
  <si>
    <t>Skill Management Training Helper — do not edit</t>
  </si>
  <si>
    <t>Employee Transcript Current Competency Helper — do not edit</t>
  </si>
  <si>
    <t>Transcript Event History Helper</t>
  </si>
  <si>
    <t>Transcript Certification Helper</t>
  </si>
  <si>
    <t>Transcript Training Helper</t>
  </si>
  <si>
    <t>Primary Training Profile (optional)</t>
  </si>
  <si>
    <t>Skill Name</t>
  </si>
  <si>
    <t>Target Qualified</t>
  </si>
  <si>
    <t>Filtered Rank</t>
  </si>
  <si>
    <t>Gap Filter</t>
  </si>
  <si>
    <t>Selected Score</t>
  </si>
  <si>
    <t>Reserved</t>
  </si>
  <si>
    <t>Organization Qualified</t>
  </si>
  <si>
    <t>People View</t>
  </si>
  <si>
    <t>Employee View</t>
  </si>
  <si>
    <t>Shift Filter</t>
  </si>
  <si>
    <t>Priority</t>
  </si>
  <si>
    <t>Rank</t>
  </si>
  <si>
    <t>Department Filter</t>
  </si>
  <si>
    <t>Last Date</t>
  </si>
  <si>
    <t>Cross-Dept</t>
  </si>
  <si>
    <t>Record Row</t>
  </si>
  <si>
    <t>All trained</t>
  </si>
  <si>
    <t>Developing only</t>
  </si>
  <si>
    <t>Leave</t>
  </si>
  <si>
    <t>S053</t>
  </si>
  <si>
    <t>S054</t>
  </si>
  <si>
    <t>S055</t>
  </si>
  <si>
    <t>S045</t>
  </si>
  <si>
    <t>S044</t>
  </si>
  <si>
    <t>S046</t>
  </si>
  <si>
    <t>S104</t>
  </si>
  <si>
    <t>S103</t>
  </si>
  <si>
    <t>S099</t>
  </si>
  <si>
    <t>S102</t>
  </si>
  <si>
    <t>S093</t>
  </si>
  <si>
    <t>S095</t>
  </si>
  <si>
    <t>S047</t>
  </si>
  <si>
    <t>S107</t>
  </si>
  <si>
    <t>S111</t>
  </si>
  <si>
    <t>Departments</t>
  </si>
  <si>
    <t>Skills_Customer Support</t>
  </si>
  <si>
    <t>Skills_Platform Operations</t>
  </si>
  <si>
    <t>Skills_Software Engineering</t>
  </si>
  <si>
    <t>Skills_Pre_Quality Assurance</t>
  </si>
  <si>
    <t>Skills_Mid_Quality Assurance</t>
  </si>
  <si>
    <t>Skills_Safety_Misc</t>
  </si>
  <si>
    <t>Skills_Heat_Treat</t>
  </si>
  <si>
    <t>Skills_Quality Assurance_FPI</t>
  </si>
  <si>
    <t>Skills_X_Ray</t>
  </si>
  <si>
    <t>_Rank_Customer Support</t>
  </si>
  <si>
    <t>_Rank_Platform Operations</t>
  </si>
  <si>
    <t>_Rank_Software Engineering</t>
  </si>
  <si>
    <t>_Rank_Pre_Quality Assurance</t>
  </si>
  <si>
    <t>_Rank_Mid_Quality Assurance</t>
  </si>
  <si>
    <t>_Rank_Safety_Misc</t>
  </si>
  <si>
    <t>_Rank_Heat_Treat</t>
  </si>
  <si>
    <t>_Rank_Quality Assurance_FPI</t>
  </si>
  <si>
    <t>_Rank_X_Ray</t>
  </si>
  <si>
    <t>_ProfileFirstRank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</si>
</sst>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8">
    <font>
      <sz val="11"/>
      <name val="Carlito"/>
    </font>
    <font>
      <b/>
      <sz val="11"/>
      <color rgb="FFFFFFFF"/>
      <name val="Carlito"/>
    </font>
    <font>
      <b/>
      <sz val="11"/>
      <color rgb="FF000000"/>
      <name val="Carlito"/>
    </font>
    <font>
      <i/>
      <sz val="11"/>
      <color rgb="FF1F2937"/>
      <name val="Carlito"/>
    </font>
    <font>
      <i/>
      <sz val="11"/>
      <color rgb="FF666666"/>
      <name val="Carlito"/>
    </font>
    <font>
      <b/>
      <sz val="11"/>
      <color rgb="FF1F2937"/>
      <name val="Carlito"/>
    </font>
    <font>
      <b/>
      <sz val="11"/>
      <color rgb="FF17365D"/>
      <name val="Carlito"/>
    </font>
    <font>
      <i/>
      <sz val="11"/>
      <color rgb="FF4B5563"/>
      <name val="Carlito"/>
    </font>
    <font>
      <b/>
      <i/>
      <sz val="11"/>
      <color rgb="FF17365D"/>
      <name val="Carlito"/>
    </font>
    <font>
      <b/>
      <sz val="11"/>
      <name val="Carlito"/>
    </font>
    <font>
      <sz val="11"/>
      <color rgb="FF1F2937"/>
      <name val="Carlito"/>
    </font>
    <font>
      <sz val="11"/>
      <color rgb="FF666666"/>
      <name val="Carlito"/>
    </font>
    <font>
      <sz val="11"/>
      <color rgb="FF4B5563"/>
      <name val="Carlito"/>
    </font>
    <font>
      <b/>
      <sz val="14"/>
      <color rgb="FFFFFFFF"/>
      <name val="Calibri"/>
      <family val="2"/>
    </font>
    <font>
      <b/>
      <sz val="11"/>
      <color rgb="FFFFFFFF"/>
      <name val="Carlito"/>
    </font>
    <font>
      <b/>
      <sz val="11"/>
      <color rgb="FFFFFFFF"/>
      <name val="Carlito"/>
    </font>
    <font>
      <b/>
      <sz val="14"/>
      <color rgb="FFFFFFFF"/>
      <name val="Carlito"/>
    </font>
    <font>
      <i/>
      <sz val="10"/>
      <color rgb="FF1F1F1F"/>
      <name val="Carlito"/>
    </font>
  </fonts>
  <fills count="27">
    <fill>
      <patternFill patternType="none"/>
    </fill>
    <fill>
      <patternFill patternType="gray125"/>
    </fill>
    <fill>
      <patternFill patternType="solid">
        <fgColor rgb="FF17365D"/>
      </patternFill>
    </fill>
    <fill>
      <patternFill patternType="solid">
        <fgColor rgb="FF00B050"/>
      </patternFill>
    </fill>
    <fill>
      <patternFill patternType="solid">
        <fgColor rgb="FF00B0F0"/>
      </patternFill>
    </fill>
    <fill>
      <patternFill patternType="solid">
        <fgColor rgb="FFFFC000"/>
      </patternFill>
    </fill>
    <fill>
      <patternFill patternType="solid">
        <fgColor rgb="FFF3F6F8"/>
      </patternFill>
    </fill>
    <fill>
      <patternFill patternType="solid">
        <fgColor rgb="FFE7E6E6"/>
      </patternFill>
    </fill>
    <fill>
      <patternFill patternType="solid">
        <fgColor rgb="FFDDEBF7"/>
      </patternFill>
    </fill>
    <fill>
      <patternFill patternType="solid">
        <fgColor rgb="FFEAF3F8"/>
      </patternFill>
    </fill>
    <fill>
      <patternFill patternType="solid">
        <fgColor rgb="FF00B0F0"/>
      </patternFill>
    </fill>
    <fill>
      <patternFill patternType="solid">
        <fgColor rgb="FFFFC000"/>
      </patternFill>
    </fill>
    <fill>
      <patternFill patternType="solid">
        <fgColor rgb="FF00B050"/>
      </patternFill>
    </fill>
    <fill>
      <patternFill patternType="solid">
        <fgColor rgb="FFE7E6E6"/>
      </patternFill>
    </fill>
    <fill>
      <patternFill patternType="solid">
        <fgColor rgb="FFF3F6F8"/>
      </patternFill>
    </fill>
    <fill>
      <patternFill patternType="solid">
        <fgColor rgb="FF17365D"/>
      </patternFill>
    </fill>
    <fill>
      <patternFill patternType="solid">
        <fgColor rgb="FFF3F6F8"/>
      </patternFill>
    </fill>
    <fill>
      <patternFill patternType="solid">
        <fgColor rgb="FFE7E6E6"/>
      </patternFill>
    </fill>
    <fill>
      <patternFill patternType="solid">
        <fgColor rgb="FFEAF3F8"/>
      </patternFill>
    </fill>
    <fill>
      <patternFill patternType="solid">
        <fgColor rgb="FFEAF2F8"/>
      </patternFill>
    </fill>
    <fill>
      <patternFill patternType="solid">
        <fgColor rgb="FF5B7FA3"/>
      </patternFill>
    </fill>
    <fill>
      <patternFill patternType="solid">
        <fgColor rgb="FFFFF7D6"/>
      </patternFill>
    </fill>
    <fill>
      <patternFill patternType="solid">
        <fgColor rgb="FFEAF4E2"/>
      </patternFill>
    </fill>
    <fill>
      <patternFill patternType="solid">
        <fgColor rgb="FFF9EAD8"/>
      </patternFill>
    </fill>
    <fill>
      <patternFill patternType="solid">
        <fgColor rgb="FF1F4E78"/>
      </patternFill>
    </fill>
    <fill>
      <patternFill patternType="solid">
        <fgColor rgb="FFEAF2F8"/>
      </patternFill>
    </fill>
    <fill>
      <patternFill patternType="solid">
        <fgColor rgb="FF5B84A6"/>
      </patternFill>
    </fill>
  </fills>
  <borders count="49">
    <border>
      <left/>
      <right/>
      <top/>
      <bottom/>
      <diagonal/>
    </border>
    <border>
      <left style="thin">
        <color rgb="FFB8C4CE"/>
      </left>
      <right style="thin">
        <color rgb="FFB8C4CE"/>
      </right>
      <top style="thin">
        <color rgb="FFB8C4CE"/>
      </top>
      <bottom style="thin">
        <color rgb="FFB8C4CE"/>
      </bottom>
      <diagonal/>
    </border>
    <border>
      <left style="thin">
        <color rgb="FFD9E1E8"/>
      </left>
      <right style="thin">
        <color rgb="FFD9E1E8"/>
      </right>
      <top style="thin">
        <color rgb="FFD9E1E8"/>
      </top>
      <bottom style="thin">
        <color rgb="FFD9E1E8"/>
      </bottom>
      <diagonal/>
    </border>
    <border>
      <left style="thin">
        <color rgb="FF1F4E78"/>
      </left>
      <right style="thin">
        <color rgb="FF1F4E78"/>
      </right>
      <top style="thin">
        <color rgb="FF1F4E78"/>
      </top>
      <bottom style="thin">
        <color rgb="FF1F4E78"/>
      </bottom>
      <diagonal/>
    </border>
    <border>
      <left style="thin">
        <color rgb="FF1F4E78"/>
      </left>
      <right/>
      <top style="thin">
        <color rgb="FF1F4E78"/>
      </top>
      <bottom style="thin">
        <color rgb="FF1F4E78"/>
      </bottom>
      <diagonal/>
    </border>
    <border>
      <left/>
      <right/>
      <top style="thin">
        <color rgb="FF1F4E78"/>
      </top>
      <bottom style="thin">
        <color rgb="FF1F4E78"/>
      </bottom>
      <diagonal/>
    </border>
    <border>
      <left/>
      <right style="thin">
        <color rgb="FF1F4E78"/>
      </right>
      <top style="thin">
        <color rgb="FF1F4E78"/>
      </top>
      <bottom style="thin">
        <color rgb="FF1F4E78"/>
      </bottom>
      <diagonal/>
    </border>
    <border>
      <left/>
      <right/>
      <top style="thin">
        <color rgb="FF1F4E78"/>
      </top>
      <bottom/>
      <diagonal/>
    </border>
    <border>
      <left/>
      <right style="thin">
        <color rgb="FF1F4E78"/>
      </right>
      <top style="thin">
        <color rgb="FF1F4E78"/>
      </top>
      <bottom/>
      <diagonal/>
    </border>
    <border>
      <left style="thin">
        <color rgb="FF1F4E78"/>
      </left>
      <right/>
      <top/>
      <bottom/>
      <diagonal/>
    </border>
    <border>
      <left/>
      <right style="thin">
        <color rgb="FF1F4E78"/>
      </right>
      <top/>
      <bottom/>
      <diagonal/>
    </border>
    <border>
      <left style="thin">
        <color rgb="FF1F4E78"/>
      </left>
      <right/>
      <top/>
      <bottom style="thin">
        <color rgb="FF1F4E78"/>
      </bottom>
      <diagonal/>
    </border>
    <border>
      <left/>
      <right/>
      <top/>
      <bottom style="thin">
        <color rgb="FF1F4E78"/>
      </bottom>
      <diagonal/>
    </border>
    <border>
      <left/>
      <right style="thin">
        <color rgb="FF1F4E78"/>
      </right>
      <top/>
      <bottom style="thin">
        <color rgb="FF1F4E78"/>
      </bottom>
      <diagonal/>
    </border>
    <border>
      <left/>
      <right style="thin">
        <color rgb="FFB8C4CE"/>
      </right>
      <top style="thin">
        <color rgb="FFB8C4CE"/>
      </top>
      <bottom style="thin">
        <color rgb="FFB8C4CE"/>
      </bottom>
      <diagonal/>
    </border>
    <border>
      <left/>
      <right/>
      <top style="thin">
        <color rgb="FFD9E1E8"/>
      </top>
      <bottom/>
      <diagonal/>
    </border>
    <border>
      <left/>
      <right style="thin">
        <color rgb="FFD9E1E8"/>
      </right>
      <top style="thin">
        <color rgb="FFD9E1E8"/>
      </top>
      <bottom/>
      <diagonal/>
    </border>
    <border>
      <left/>
      <right style="thin">
        <color rgb="FFD9E1E8"/>
      </right>
      <top style="thin">
        <color rgb="FFD9E1E8"/>
      </top>
      <bottom style="thin">
        <color rgb="FFD9E1E8"/>
      </bottom>
      <diagonal/>
    </border>
    <border>
      <left style="thin">
        <color rgb="FFD9E1E8"/>
      </left>
      <right/>
      <top/>
      <bottom/>
      <diagonal/>
    </border>
    <border>
      <left/>
      <right style="thin">
        <color rgb="FFD9E1E8"/>
      </right>
      <top/>
      <bottom/>
      <diagonal/>
    </border>
    <border>
      <left style="thin">
        <color rgb="FFD9E1E8"/>
      </left>
      <right/>
      <top/>
      <bottom style="thin">
        <color rgb="FFD9E1E8"/>
      </bottom>
      <diagonal/>
    </border>
    <border>
      <left/>
      <right/>
      <top/>
      <bottom style="thin">
        <color rgb="FFD9E1E8"/>
      </bottom>
      <diagonal/>
    </border>
    <border>
      <left/>
      <right style="thin">
        <color rgb="FFD9E1E8"/>
      </right>
      <top/>
      <bottom style="thin">
        <color rgb="FFD9E1E8"/>
      </bottom>
      <diagonal/>
    </border>
    <border>
      <left/>
      <right/>
      <top style="thin">
        <color rgb="FFB8C4CE"/>
      </top>
      <bottom style="thin">
        <color rgb="FFB8C4CE"/>
      </bottom>
      <diagonal/>
    </border>
    <border>
      <left/>
      <right/>
      <top style="thin">
        <color rgb="FFD9E1E8"/>
      </top>
      <bottom style="thin">
        <color rgb="FFD9E1E8"/>
      </bottom>
      <diagonal/>
    </border>
    <border>
      <left style="thin">
        <color rgb="FFD9E1E8"/>
      </left>
      <right/>
      <top style="thin">
        <color rgb="FFD9E1E8"/>
      </top>
      <bottom style="thin">
        <color rgb="FFD9E1E8"/>
      </bottom>
      <diagonal/>
    </border>
    <border>
      <left style="thin">
        <color rgb="FFB8C4CE"/>
      </left>
      <right/>
      <top style="thin">
        <color rgb="FFB8C4CE"/>
      </top>
      <bottom style="thin">
        <color rgb="FFB8C4CE"/>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style="thin">
        <color theme="0" tint="-0.14999847407452621"/>
      </left>
      <right style="thin">
        <color theme="3" tint="9.9978637043366805E-2"/>
      </right>
      <top/>
      <bottom/>
      <diagonal/>
    </border>
    <border>
      <left/>
      <right/>
      <top style="thin">
        <color theme="3" tint="9.9978637043366805E-2"/>
      </top>
      <bottom style="thin">
        <color theme="3" tint="9.9978637043366805E-2"/>
      </bottom>
      <diagonal/>
    </border>
    <border>
      <left style="thin">
        <color theme="3" tint="9.9978637043366805E-2"/>
      </left>
      <right style="thin">
        <color rgb="FF1F4E78"/>
      </right>
      <top style="thin">
        <color rgb="FF1F4E78"/>
      </top>
      <bottom style="thin">
        <color rgb="FF1F4E78"/>
      </bottom>
      <diagonal/>
    </border>
    <border>
      <left style="thin">
        <color theme="3" tint="9.9978637043366805E-2"/>
      </left>
      <right style="thin">
        <color theme="3" tint="9.9978637043366805E-2"/>
      </right>
      <top/>
      <bottom/>
      <diagonal/>
    </border>
    <border>
      <left style="thin">
        <color theme="3" tint="9.9978637043366805E-2"/>
      </left>
      <right/>
      <top/>
      <bottom/>
      <diagonal/>
    </border>
    <border>
      <left style="thin">
        <color theme="3" tint="9.9978637043366805E-2"/>
      </left>
      <right/>
      <top/>
      <bottom style="thin">
        <color rgb="FF1F4E78"/>
      </bottom>
      <diagonal/>
    </border>
    <border>
      <left style="thin">
        <color theme="3" tint="9.9978637043366805E-2"/>
      </left>
      <right style="thin">
        <color theme="0" tint="-0.14999847407452621"/>
      </right>
      <top/>
      <bottom/>
      <diagonal/>
    </border>
    <border>
      <left style="thin">
        <color rgb="FFD9E1E8"/>
      </left>
      <right/>
      <top/>
      <bottom style="thin">
        <color rgb="FFB8C4CE"/>
      </bottom>
      <diagonal/>
    </border>
    <border>
      <left/>
      <right/>
      <top/>
      <bottom style="thin">
        <color rgb="FFB8C4CE"/>
      </bottom>
      <diagonal/>
    </border>
    <border>
      <left style="thin">
        <color rgb="FFB8C4CE"/>
      </left>
      <right/>
      <top/>
      <bottom/>
      <diagonal/>
    </border>
    <border>
      <left/>
      <right/>
      <top/>
      <bottom style="thin">
        <color rgb="FFD0D7DE"/>
      </bottom>
      <diagonal/>
    </border>
    <border>
      <left/>
      <right/>
      <top style="thin">
        <color rgb="FFB8C4CE"/>
      </top>
      <bottom/>
      <diagonal/>
    </border>
    <border>
      <left/>
      <right style="thin">
        <color rgb="FFB8C4CE"/>
      </right>
      <top style="thin">
        <color rgb="FFB8C4CE"/>
      </top>
      <bottom/>
      <diagonal/>
    </border>
    <border>
      <left style="thin">
        <color rgb="FFB8C4CE"/>
      </left>
      <right style="thin">
        <color rgb="FFB8C4CE"/>
      </right>
      <top style="thin">
        <color rgb="FFB8C4CE"/>
      </top>
      <bottom/>
      <diagonal/>
    </border>
    <border>
      <left style="thin">
        <color rgb="FFB8C4CE"/>
      </left>
      <right style="thin">
        <color rgb="FFB8C4CE"/>
      </right>
      <top/>
      <bottom style="thin">
        <color rgb="FFB8C4CE"/>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3" tint="9.9978637043366805E-2"/>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160">
    <xf numFmtId="0" fontId="0" fillId="0" borderId="0" xfId="0"/>
    <xf numFmtId="0" fontId="0" fillId="0" borderId="2" xfId="0" applyBorder="1"/>
    <xf numFmtId="49" fontId="0" fillId="0" borderId="2" xfId="0" applyNumberFormat="1" applyBorder="1"/>
    <xf numFmtId="14" fontId="0" fillId="0" borderId="2" xfId="0" applyNumberFormat="1" applyBorder="1"/>
    <xf numFmtId="0" fontId="0" fillId="0" borderId="2" xfId="0" applyBorder="1" applyAlignment="1">
      <alignment vertical="center"/>
    </xf>
    <xf numFmtId="14" fontId="0" fillId="0" borderId="2" xfId="0" applyNumberFormat="1" applyBorder="1" applyAlignment="1">
      <alignment vertical="center"/>
    </xf>
    <xf numFmtId="9" fontId="0" fillId="0" borderId="2" xfId="0" applyNumberFormat="1" applyBorder="1" applyAlignment="1">
      <alignment vertical="center"/>
    </xf>
    <xf numFmtId="0" fontId="0" fillId="0" borderId="2" xfId="0" applyBorder="1" applyAlignment="1">
      <alignment horizontal="left" vertical="center"/>
    </xf>
    <xf numFmtId="0" fontId="0" fillId="0" borderId="2" xfId="0" applyBorder="1" applyAlignment="1">
      <alignment horizontal="center" vertical="center"/>
    </xf>
    <xf numFmtId="49" fontId="0" fillId="0" borderId="2" xfId="0" applyNumberFormat="1" applyBorder="1" applyAlignment="1">
      <alignment horizontal="center" vertical="center"/>
    </xf>
    <xf numFmtId="14" fontId="0" fillId="0" borderId="2" xfId="0" applyNumberFormat="1" applyBorder="1" applyAlignment="1">
      <alignment horizontal="center" vertical="center"/>
    </xf>
    <xf numFmtId="9" fontId="0" fillId="0" borderId="2" xfId="0" applyNumberFormat="1" applyBorder="1" applyAlignment="1">
      <alignment horizontal="center" vertical="center"/>
    </xf>
    <xf numFmtId="0" fontId="0" fillId="0" borderId="2" xfId="0" applyBorder="1" applyAlignment="1">
      <alignment vertical="center" wrapText="1"/>
    </xf>
    <xf numFmtId="3" fontId="0" fillId="0" borderId="2" xfId="0" applyNumberFormat="1" applyBorder="1" applyAlignment="1">
      <alignment vertical="center"/>
    </xf>
    <xf numFmtId="0" fontId="7" fillId="6" borderId="2" xfId="0" applyFont="1" applyFill="1" applyBorder="1" applyAlignment="1">
      <alignment horizontal="center" vertical="center" wrapText="1"/>
    </xf>
    <xf numFmtId="0" fontId="8" fillId="6" borderId="0" xfId="0" applyFont="1" applyFill="1" applyAlignment="1">
      <alignment horizontal="right" vertical="center"/>
    </xf>
    <xf numFmtId="0" fontId="6" fillId="9" borderId="2" xfId="0" applyFont="1" applyFill="1" applyBorder="1" applyAlignment="1">
      <alignment vertical="top"/>
    </xf>
    <xf numFmtId="0" fontId="11" fillId="0" borderId="2" xfId="0" applyFont="1" applyBorder="1"/>
    <xf numFmtId="0" fontId="12" fillId="16" borderId="2" xfId="0" applyFont="1" applyFill="1" applyBorder="1" applyAlignment="1">
      <alignment vertical="center"/>
    </xf>
    <xf numFmtId="164" fontId="12" fillId="16" borderId="2" xfId="0" applyNumberFormat="1" applyFont="1" applyFill="1" applyBorder="1" applyAlignment="1">
      <alignment vertical="center"/>
    </xf>
    <xf numFmtId="0" fontId="1" fillId="20" borderId="1" xfId="0" applyFont="1" applyFill="1" applyBorder="1" applyAlignment="1">
      <alignment horizontal="center" vertical="center" wrapText="1"/>
    </xf>
    <xf numFmtId="0" fontId="6" fillId="19" borderId="2" xfId="0" applyFont="1" applyFill="1" applyBorder="1" applyAlignment="1">
      <alignment horizontal="center" vertical="center"/>
    </xf>
    <xf numFmtId="0" fontId="6" fillId="19" borderId="2" xfId="0" applyFont="1" applyFill="1" applyBorder="1" applyAlignment="1">
      <alignment horizontal="center" vertical="center" wrapText="1"/>
    </xf>
    <xf numFmtId="0" fontId="6" fillId="19" borderId="2" xfId="0" applyFont="1" applyFill="1" applyBorder="1" applyAlignment="1">
      <alignment horizontal="left" vertical="center"/>
    </xf>
    <xf numFmtId="0" fontId="6" fillId="21" borderId="1" xfId="0" applyFont="1" applyFill="1" applyBorder="1" applyAlignment="1">
      <alignment horizontal="center" vertical="center" wrapText="1"/>
    </xf>
    <xf numFmtId="0" fontId="6" fillId="19" borderId="1" xfId="0" applyFont="1" applyFill="1" applyBorder="1" applyAlignment="1">
      <alignment horizontal="center" vertical="center" wrapText="1"/>
    </xf>
    <xf numFmtId="0" fontId="0" fillId="0" borderId="0" xfId="0" applyAlignment="1">
      <alignment horizontal="center"/>
    </xf>
    <xf numFmtId="0" fontId="6" fillId="19" borderId="25" xfId="0" applyFont="1" applyFill="1" applyBorder="1" applyAlignment="1">
      <alignment horizontal="center" vertical="center"/>
    </xf>
    <xf numFmtId="0" fontId="1" fillId="20" borderId="26" xfId="0" applyFont="1" applyFill="1" applyBorder="1" applyAlignment="1">
      <alignment horizontal="center" vertical="center" wrapText="1"/>
    </xf>
    <xf numFmtId="0" fontId="0" fillId="0" borderId="25" xfId="0" applyBorder="1" applyAlignment="1">
      <alignment horizontal="center" vertical="center"/>
    </xf>
    <xf numFmtId="0" fontId="1" fillId="20" borderId="14" xfId="0" applyFont="1" applyFill="1" applyBorder="1" applyAlignment="1">
      <alignment horizontal="center" vertical="center" wrapText="1"/>
    </xf>
    <xf numFmtId="0" fontId="0" fillId="0" borderId="27" xfId="0" applyBorder="1"/>
    <xf numFmtId="0" fontId="0" fillId="0" borderId="27" xfId="0" applyBorder="1" applyAlignment="1">
      <alignment horizontal="center"/>
    </xf>
    <xf numFmtId="0" fontId="6" fillId="0" borderId="27" xfId="0" applyFont="1" applyBorder="1" applyAlignment="1">
      <alignment horizontal="center" vertical="center"/>
    </xf>
    <xf numFmtId="0" fontId="1" fillId="0" borderId="27" xfId="0" applyFont="1" applyBorder="1" applyAlignment="1">
      <alignment horizontal="center" vertical="center" wrapText="1"/>
    </xf>
    <xf numFmtId="0" fontId="0" fillId="0" borderId="27" xfId="0" applyBorder="1" applyAlignment="1">
      <alignment horizontal="center" vertical="center"/>
    </xf>
    <xf numFmtId="0" fontId="0" fillId="0" borderId="27"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xf numFmtId="0" fontId="0" fillId="0" borderId="29" xfId="0" applyBorder="1"/>
    <xf numFmtId="0" fontId="1" fillId="0" borderId="29" xfId="0" applyFont="1" applyBorder="1" applyAlignment="1">
      <alignment horizontal="center" vertical="center" wrapText="1"/>
    </xf>
    <xf numFmtId="0" fontId="0" fillId="0" borderId="32" xfId="0" applyBorder="1"/>
    <xf numFmtId="0" fontId="0" fillId="0" borderId="35" xfId="0" applyBorder="1"/>
    <xf numFmtId="0" fontId="6" fillId="0" borderId="35" xfId="0" applyFont="1" applyBorder="1" applyAlignment="1">
      <alignment horizontal="left" vertical="center"/>
    </xf>
    <xf numFmtId="0" fontId="6" fillId="21" borderId="4" xfId="0" applyFont="1" applyFill="1" applyBorder="1" applyAlignment="1">
      <alignment horizontal="center" vertical="center"/>
    </xf>
    <xf numFmtId="3" fontId="0" fillId="0" borderId="2" xfId="0" applyNumberFormat="1" applyBorder="1" applyAlignment="1">
      <alignment horizontal="center"/>
    </xf>
    <xf numFmtId="9" fontId="0" fillId="0" borderId="2" xfId="0" applyNumberFormat="1" applyBorder="1" applyAlignment="1">
      <alignment horizontal="center"/>
    </xf>
    <xf numFmtId="0" fontId="0" fillId="0" borderId="2" xfId="0" applyBorder="1" applyAlignment="1">
      <alignment horizontal="center" vertical="center" wrapText="1"/>
    </xf>
    <xf numFmtId="0" fontId="0" fillId="0" borderId="0" xfId="0" applyAlignment="1">
      <alignment horizontal="center" vertical="center"/>
    </xf>
    <xf numFmtId="0" fontId="9" fillId="21" borderId="2" xfId="0" applyFont="1" applyFill="1" applyBorder="1" applyAlignment="1">
      <alignment horizontal="center" vertical="center"/>
    </xf>
    <xf numFmtId="0" fontId="6" fillId="19" borderId="2" xfId="0" applyFont="1" applyFill="1" applyBorder="1" applyAlignment="1">
      <alignment vertical="center"/>
    </xf>
    <xf numFmtId="164" fontId="0" fillId="0" borderId="2" xfId="0" applyNumberFormat="1" applyBorder="1" applyAlignment="1">
      <alignment horizontal="center" vertical="center"/>
    </xf>
    <xf numFmtId="0" fontId="0" fillId="4" borderId="2" xfId="0" applyFill="1" applyBorder="1" applyAlignment="1">
      <alignment horizontal="center" vertical="center"/>
    </xf>
    <xf numFmtId="0" fontId="0" fillId="5" borderId="2" xfId="0" applyFill="1" applyBorder="1" applyAlignment="1">
      <alignment horizontal="center" vertical="center"/>
    </xf>
    <xf numFmtId="0" fontId="0" fillId="0" borderId="39" xfId="0" applyBorder="1" applyAlignment="1">
      <alignment vertical="center"/>
    </xf>
    <xf numFmtId="0" fontId="5" fillId="17" borderId="0" xfId="0" applyFont="1" applyFill="1" applyAlignment="1">
      <alignment horizontal="center"/>
    </xf>
    <xf numFmtId="0" fontId="0" fillId="0" borderId="39" xfId="0" applyBorder="1" applyAlignment="1">
      <alignment horizontal="center" vertical="center"/>
    </xf>
    <xf numFmtId="0" fontId="14" fillId="20" borderId="1" xfId="0" applyFont="1" applyFill="1" applyBorder="1" applyAlignment="1">
      <alignment horizontal="center" vertical="center" wrapText="1"/>
    </xf>
    <xf numFmtId="0" fontId="15" fillId="26" borderId="39" xfId="0" applyFont="1" applyFill="1" applyBorder="1" applyAlignment="1">
      <alignment horizontal="center" vertical="center" wrapText="1"/>
    </xf>
    <xf numFmtId="0" fontId="6" fillId="19" borderId="26" xfId="0" applyFont="1" applyFill="1" applyBorder="1" applyAlignment="1">
      <alignment horizontal="center" vertical="center"/>
    </xf>
    <xf numFmtId="14" fontId="6" fillId="19" borderId="43" xfId="0" applyNumberFormat="1" applyFont="1" applyFill="1" applyBorder="1" applyAlignment="1">
      <alignment horizontal="center" vertical="center"/>
    </xf>
    <xf numFmtId="0" fontId="6" fillId="19" borderId="43" xfId="0" applyFont="1" applyFill="1" applyBorder="1" applyAlignment="1">
      <alignment horizontal="center" vertical="center" wrapText="1"/>
    </xf>
    <xf numFmtId="0" fontId="6" fillId="19" borderId="43" xfId="0" applyFont="1" applyFill="1" applyBorder="1" applyAlignment="1">
      <alignment horizontal="center" vertical="center"/>
    </xf>
    <xf numFmtId="0" fontId="12" fillId="16" borderId="2" xfId="0" applyFont="1" applyFill="1" applyBorder="1" applyAlignment="1">
      <alignment horizontal="center" vertical="center"/>
    </xf>
    <xf numFmtId="0" fontId="3" fillId="19" borderId="0" xfId="0" applyFont="1" applyFill="1" applyAlignment="1">
      <alignment vertical="center"/>
    </xf>
    <xf numFmtId="0" fontId="0" fillId="0" borderId="0" xfId="0" applyAlignment="1">
      <alignment horizontal="center"/>
    </xf>
    <xf numFmtId="0" fontId="0" fillId="0" borderId="0" xfId="0"/>
    <xf numFmtId="0" fontId="13" fillId="15" borderId="0" xfId="0" applyFont="1" applyFill="1" applyAlignment="1">
      <alignment horizontal="left" vertical="center"/>
    </xf>
    <xf numFmtId="0" fontId="0" fillId="0" borderId="2" xfId="0" applyBorder="1" applyAlignment="1">
      <alignment vertical="top" wrapText="1"/>
    </xf>
    <xf numFmtId="0" fontId="0" fillId="0" borderId="24" xfId="0" applyBorder="1"/>
    <xf numFmtId="0" fontId="0" fillId="0" borderId="17" xfId="0" applyBorder="1"/>
    <xf numFmtId="0" fontId="0" fillId="0" borderId="2" xfId="0" applyBorder="1" applyAlignment="1">
      <alignment vertical="center" wrapText="1"/>
    </xf>
    <xf numFmtId="0" fontId="1" fillId="20" borderId="0" xfId="0" applyFont="1" applyFill="1" applyAlignment="1">
      <alignment horizontal="center" vertical="center"/>
    </xf>
    <xf numFmtId="0" fontId="0" fillId="0" borderId="0" xfId="0" applyAlignment="1">
      <alignment horizontal="center" vertical="center"/>
    </xf>
    <xf numFmtId="0" fontId="10" fillId="6" borderId="2" xfId="0" applyFont="1" applyFill="1" applyBorder="1" applyAlignment="1">
      <alignment vertical="top" wrapText="1"/>
    </xf>
    <xf numFmtId="0" fontId="0" fillId="0" borderId="15" xfId="0" applyBorder="1"/>
    <xf numFmtId="0" fontId="0" fillId="0" borderId="16"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13" fillId="15" borderId="0" xfId="0" applyFont="1" applyFill="1" applyAlignment="1">
      <alignment horizontal="center" vertical="center"/>
    </xf>
    <xf numFmtId="3" fontId="6" fillId="21" borderId="6" xfId="0" applyNumberFormat="1" applyFont="1" applyFill="1" applyBorder="1" applyAlignment="1">
      <alignment horizontal="center" vertical="center"/>
    </xf>
    <xf numFmtId="0" fontId="0" fillId="0" borderId="7" xfId="0" applyBorder="1"/>
    <xf numFmtId="0" fontId="0" fillId="0" borderId="8" xfId="0" applyBorder="1"/>
    <xf numFmtId="0" fontId="0" fillId="0" borderId="10" xfId="0" applyBorder="1"/>
    <xf numFmtId="0" fontId="0" fillId="0" borderId="12" xfId="0" applyBorder="1"/>
    <xf numFmtId="0" fontId="0" fillId="0" borderId="13" xfId="0" applyBorder="1"/>
    <xf numFmtId="0" fontId="0" fillId="0" borderId="2" xfId="0" applyBorder="1" applyAlignment="1">
      <alignment vertical="center"/>
    </xf>
    <xf numFmtId="0" fontId="0" fillId="0" borderId="2" xfId="0" applyBorder="1" applyAlignment="1">
      <alignment horizontal="center" vertical="center"/>
    </xf>
    <xf numFmtId="0" fontId="1" fillId="20" borderId="14" xfId="0" applyFont="1" applyFill="1" applyBorder="1" applyAlignment="1">
      <alignment horizontal="center" vertical="center" wrapText="1"/>
    </xf>
    <xf numFmtId="0" fontId="0" fillId="0" borderId="14" xfId="0" applyBorder="1"/>
    <xf numFmtId="0" fontId="1" fillId="20" borderId="31" xfId="0" applyFont="1" applyFill="1" applyBorder="1" applyAlignment="1">
      <alignment horizontal="center" vertical="center"/>
    </xf>
    <xf numFmtId="0" fontId="0" fillId="0" borderId="5" xfId="0" applyBorder="1"/>
    <xf numFmtId="0" fontId="0" fillId="0" borderId="6" xfId="0" applyBorder="1"/>
    <xf numFmtId="0" fontId="6" fillId="21" borderId="3" xfId="0" applyFont="1" applyFill="1" applyBorder="1" applyAlignment="1">
      <alignment horizontal="center" vertical="center"/>
    </xf>
    <xf numFmtId="3" fontId="6" fillId="23" borderId="3" xfId="0" applyNumberFormat="1" applyFont="1" applyFill="1" applyBorder="1" applyAlignment="1">
      <alignment horizontal="center" vertical="center"/>
    </xf>
    <xf numFmtId="0" fontId="0" fillId="0" borderId="9" xfId="0" applyBorder="1"/>
    <xf numFmtId="0" fontId="0" fillId="0" borderId="11" xfId="0" applyBorder="1"/>
    <xf numFmtId="0" fontId="1" fillId="20" borderId="3" xfId="0" applyFont="1" applyFill="1" applyBorder="1" applyAlignment="1">
      <alignment horizontal="center" vertical="center"/>
    </xf>
    <xf numFmtId="0" fontId="0" fillId="0" borderId="17" xfId="0" applyBorder="1" applyAlignment="1">
      <alignment horizontal="center" vertical="center"/>
    </xf>
    <xf numFmtId="14" fontId="0" fillId="0" borderId="2" xfId="0" applyNumberFormat="1" applyBorder="1" applyAlignment="1">
      <alignment vertical="center"/>
    </xf>
    <xf numFmtId="0" fontId="1" fillId="20" borderId="1" xfId="0" applyFont="1" applyFill="1" applyBorder="1" applyAlignment="1">
      <alignment horizontal="center" vertical="center" wrapText="1"/>
    </xf>
    <xf numFmtId="3" fontId="6" fillId="8" borderId="6" xfId="0" applyNumberFormat="1" applyFont="1" applyFill="1" applyBorder="1" applyAlignment="1">
      <alignment horizontal="center" vertical="center"/>
    </xf>
    <xf numFmtId="0" fontId="7" fillId="6" borderId="0" xfId="0" applyFont="1" applyFill="1" applyAlignment="1">
      <alignment vertical="center" wrapText="1"/>
    </xf>
    <xf numFmtId="3" fontId="6" fillId="8" borderId="3" xfId="0" applyNumberFormat="1" applyFont="1" applyFill="1" applyBorder="1" applyAlignment="1">
      <alignment horizontal="center" vertical="center"/>
    </xf>
    <xf numFmtId="3" fontId="6" fillId="22" borderId="3" xfId="0" applyNumberFormat="1" applyFont="1" applyFill="1" applyBorder="1" applyAlignment="1">
      <alignment horizontal="center" vertical="center"/>
    </xf>
    <xf numFmtId="0" fontId="6" fillId="19" borderId="2" xfId="0" applyFont="1" applyFill="1" applyBorder="1" applyAlignment="1">
      <alignment horizontal="center" vertical="center"/>
    </xf>
    <xf numFmtId="0" fontId="8" fillId="19" borderId="0" xfId="0" applyFont="1" applyFill="1" applyAlignment="1">
      <alignment vertical="center"/>
    </xf>
    <xf numFmtId="3" fontId="6" fillId="21" borderId="3" xfId="0" applyNumberFormat="1" applyFont="1" applyFill="1" applyBorder="1" applyAlignment="1">
      <alignment horizontal="center" vertical="center"/>
    </xf>
    <xf numFmtId="9" fontId="6" fillId="19" borderId="2" xfId="0" applyNumberFormat="1" applyFont="1" applyFill="1" applyBorder="1" applyAlignment="1">
      <alignment horizontal="center" vertical="center"/>
    </xf>
    <xf numFmtId="0" fontId="1" fillId="20" borderId="6" xfId="0" applyFont="1" applyFill="1" applyBorder="1" applyAlignment="1">
      <alignment horizontal="center" vertical="center"/>
    </xf>
    <xf numFmtId="0" fontId="0" fillId="0" borderId="23" xfId="0" applyBorder="1"/>
    <xf numFmtId="0" fontId="1" fillId="20" borderId="13" xfId="0" applyFont="1" applyFill="1" applyBorder="1" applyAlignment="1">
      <alignment horizontal="center" vertical="center"/>
    </xf>
    <xf numFmtId="0" fontId="7" fillId="6" borderId="2" xfId="0" applyFont="1" applyFill="1" applyBorder="1" applyAlignment="1">
      <alignment vertical="center" wrapText="1"/>
    </xf>
    <xf numFmtId="3" fontId="6" fillId="22" borderId="31" xfId="0" applyNumberFormat="1" applyFont="1" applyFill="1" applyBorder="1" applyAlignment="1">
      <alignment horizontal="center" vertical="center"/>
    </xf>
    <xf numFmtId="0" fontId="0" fillId="0" borderId="33" xfId="0" applyBorder="1"/>
    <xf numFmtId="0" fontId="0" fillId="0" borderId="34" xfId="0" applyBorder="1"/>
    <xf numFmtId="0" fontId="6" fillId="22" borderId="3" xfId="0" applyFont="1" applyFill="1" applyBorder="1" applyAlignment="1">
      <alignment horizontal="center" vertical="center"/>
    </xf>
    <xf numFmtId="0" fontId="1" fillId="20" borderId="0" xfId="0" applyFont="1" applyFill="1" applyAlignment="1">
      <alignment horizontal="left" vertical="center"/>
    </xf>
    <xf numFmtId="0" fontId="7" fillId="14" borderId="0" xfId="0" applyFont="1" applyFill="1" applyAlignment="1">
      <alignment vertical="center"/>
    </xf>
    <xf numFmtId="0" fontId="6" fillId="19" borderId="3" xfId="0" applyFont="1" applyFill="1" applyBorder="1" applyAlignment="1">
      <alignment horizontal="center" vertical="center"/>
    </xf>
    <xf numFmtId="0" fontId="7" fillId="14" borderId="0" xfId="0" applyFont="1" applyFill="1" applyAlignment="1">
      <alignment vertical="center" wrapText="1"/>
    </xf>
    <xf numFmtId="0" fontId="6" fillId="23" borderId="3" xfId="0" applyFont="1" applyFill="1" applyBorder="1" applyAlignment="1">
      <alignment horizontal="center" vertical="center"/>
    </xf>
    <xf numFmtId="0" fontId="6" fillId="19" borderId="1" xfId="0" applyFont="1" applyFill="1" applyBorder="1" applyAlignment="1">
      <alignment horizontal="center" vertical="center"/>
    </xf>
    <xf numFmtId="0" fontId="6" fillId="19" borderId="44" xfId="0" applyFont="1" applyFill="1" applyBorder="1" applyAlignment="1">
      <alignment horizontal="center" vertical="center" wrapText="1"/>
    </xf>
    <xf numFmtId="0" fontId="0" fillId="0" borderId="45" xfId="0" applyBorder="1"/>
    <xf numFmtId="0" fontId="0" fillId="0" borderId="46" xfId="0" applyBorder="1"/>
    <xf numFmtId="0" fontId="7" fillId="16" borderId="0" xfId="0" applyFont="1" applyFill="1" applyAlignment="1">
      <alignment vertical="center" wrapText="1"/>
    </xf>
    <xf numFmtId="0" fontId="3" fillId="19" borderId="0" xfId="0" applyFont="1" applyFill="1" applyAlignment="1">
      <alignment vertical="center" wrapText="1"/>
    </xf>
    <xf numFmtId="0" fontId="14" fillId="20" borderId="1" xfId="0" applyFont="1" applyFill="1" applyBorder="1" applyAlignment="1">
      <alignment horizontal="center" vertical="center" wrapText="1"/>
    </xf>
    <xf numFmtId="9" fontId="6" fillId="18" borderId="3" xfId="0" applyNumberFormat="1" applyFont="1" applyFill="1" applyBorder="1" applyAlignment="1">
      <alignment horizontal="center" vertical="center"/>
    </xf>
    <xf numFmtId="164" fontId="6" fillId="19" borderId="42" xfId="0" applyNumberFormat="1" applyFont="1" applyFill="1" applyBorder="1" applyAlignment="1">
      <alignment horizontal="center" vertical="center"/>
    </xf>
    <xf numFmtId="0" fontId="0" fillId="0" borderId="40" xfId="0" applyBorder="1"/>
    <xf numFmtId="0" fontId="0" fillId="0" borderId="41" xfId="0" applyBorder="1"/>
    <xf numFmtId="164" fontId="6" fillId="19" borderId="41" xfId="0" applyNumberFormat="1" applyFont="1" applyFill="1" applyBorder="1" applyAlignment="1">
      <alignment horizontal="center" vertical="center"/>
    </xf>
    <xf numFmtId="0" fontId="2" fillId="3" borderId="38" xfId="0" applyFont="1" applyFill="1" applyBorder="1" applyAlignment="1">
      <alignment horizontal="center" vertical="center"/>
    </xf>
    <xf numFmtId="0" fontId="0" fillId="5" borderId="36" xfId="0" applyFill="1" applyBorder="1" applyAlignment="1">
      <alignment horizontal="center" vertical="center"/>
    </xf>
    <xf numFmtId="0" fontId="0" fillId="0" borderId="37" xfId="0" applyBorder="1"/>
    <xf numFmtId="0" fontId="0" fillId="4" borderId="18" xfId="0" applyFill="1" applyBorder="1" applyAlignment="1">
      <alignment horizontal="center" vertical="center"/>
    </xf>
    <xf numFmtId="0" fontId="4" fillId="0" borderId="0" xfId="0" applyFont="1" applyAlignment="1">
      <alignment vertical="center"/>
    </xf>
    <xf numFmtId="0" fontId="16" fillId="24" borderId="0" xfId="0" applyFont="1" applyFill="1" applyAlignment="1">
      <alignment horizontal="left" vertical="center"/>
    </xf>
    <xf numFmtId="0" fontId="15" fillId="26" borderId="2" xfId="0" applyFont="1" applyFill="1" applyBorder="1" applyAlignment="1">
      <alignment horizontal="left"/>
    </xf>
    <xf numFmtId="0" fontId="17" fillId="25" borderId="0" xfId="0" applyFont="1" applyFill="1" applyAlignment="1">
      <alignment vertical="center" wrapText="1"/>
    </xf>
    <xf numFmtId="0" fontId="5" fillId="7" borderId="0" xfId="0" applyFont="1" applyFill="1" applyAlignment="1">
      <alignment horizontal="center"/>
    </xf>
    <xf numFmtId="0" fontId="1" fillId="2" borderId="0" xfId="0" applyFont="1" applyFill="1" applyAlignment="1">
      <alignment horizontal="center" vertical="center"/>
    </xf>
    <xf numFmtId="0" fontId="5" fillId="13" borderId="0" xfId="0" applyFont="1" applyFill="1" applyAlignment="1">
      <alignment horizontal="center"/>
    </xf>
    <xf numFmtId="0" fontId="5" fillId="17" borderId="0" xfId="0" applyFont="1" applyFill="1" applyAlignment="1">
      <alignment horizontal="center"/>
    </xf>
    <xf numFmtId="0" fontId="0" fillId="0" borderId="47" xfId="0" applyBorder="1"/>
    <xf numFmtId="0" fontId="0" fillId="0" borderId="48" xfId="0" applyBorder="1" applyAlignment="1">
      <alignment horizontal="center" vertical="center" wrapText="1"/>
    </xf>
    <xf numFmtId="0" fontId="1" fillId="20" borderId="48" xfId="0" applyFont="1" applyFill="1" applyBorder="1" applyAlignment="1">
      <alignment horizontal="center" vertical="center" wrapText="1"/>
    </xf>
    <xf numFmtId="3" fontId="0" fillId="0" borderId="2" xfId="0" applyNumberFormat="1" applyBorder="1" applyAlignment="1">
      <alignment horizontal="center" vertical="center"/>
    </xf>
    <xf numFmtId="0" fontId="0" fillId="0" borderId="2" xfId="0" applyBorder="1" applyAlignment="1">
      <alignment horizontal="left" vertical="center" wrapText="1"/>
    </xf>
    <xf numFmtId="0" fontId="0" fillId="0" borderId="24" xfId="0" applyBorder="1" applyAlignment="1">
      <alignment horizontal="left" vertical="center"/>
    </xf>
    <xf numFmtId="0" fontId="0" fillId="0" borderId="17" xfId="0" applyBorder="1" applyAlignment="1">
      <alignment horizontal="left" vertical="center"/>
    </xf>
    <xf numFmtId="0" fontId="9" fillId="10" borderId="2" xfId="0" applyNumberFormat="1" applyFont="1" applyFill="1" applyBorder="1" applyAlignment="1">
      <alignment horizontal="center" vertical="center"/>
    </xf>
    <xf numFmtId="0" fontId="9" fillId="11" borderId="2" xfId="0" applyNumberFormat="1" applyFont="1" applyFill="1" applyBorder="1" applyAlignment="1">
      <alignment horizontal="center" vertical="center"/>
    </xf>
    <xf numFmtId="0" fontId="9" fillId="12" borderId="2" xfId="0" applyNumberFormat="1" applyFont="1" applyFill="1" applyBorder="1" applyAlignment="1">
      <alignment horizontal="center" vertical="center"/>
    </xf>
  </cellXfs>
  <cellStyles count="1">
    <cellStyle name="Normal" xfId="0" builtinId="0"/>
  </cellStyles>
  <dxfs count="49">
    <dxf>
      <alignment horizontal="center" textRotation="0" indent="0" justifyLastLine="0" shrinkToFit="0" readingOrder="0"/>
    </dxf>
    <dxf>
      <fill>
        <patternFill patternType="solid">
          <fgColor rgb="FFD9EAD3"/>
        </patternFill>
      </fill>
    </dxf>
    <dxf>
      <fill>
        <patternFill patternType="solid">
          <fgColor rgb="FFFFF2CC"/>
        </patternFill>
      </fill>
    </dxf>
    <dxf>
      <fill>
        <patternFill patternType="solid">
          <fgColor rgb="FFF4CCCC"/>
        </patternFill>
      </fill>
    </dxf>
    <dxf>
      <font>
        <color rgb="FF000000"/>
      </font>
      <fill>
        <patternFill>
          <bgColor rgb="FF00B050"/>
        </patternFill>
      </fill>
    </dxf>
    <dxf>
      <font>
        <color rgb="FF000000"/>
      </font>
      <fill>
        <patternFill>
          <bgColor rgb="FFFFC000"/>
        </patternFill>
      </fill>
    </dxf>
    <dxf>
      <font>
        <color rgb="FF000000"/>
      </font>
      <fill>
        <patternFill>
          <bgColor rgb="FF00B0F0"/>
        </patternFill>
      </fill>
    </dxf>
    <dxf>
      <font>
        <b/>
        <color rgb="FFC00000"/>
      </font>
      <fill>
        <patternFill patternType="solid">
          <bgColor rgb="FFFCE4D6"/>
        </patternFill>
      </fill>
    </dxf>
    <dxf>
      <font>
        <b/>
        <color rgb="FF006100"/>
      </font>
      <fill>
        <patternFill patternType="solid">
          <bgColor rgb="FFE2F0D9"/>
        </patternFill>
      </fill>
    </dxf>
    <dxf>
      <fill>
        <patternFill patternType="solid">
          <bgColor rgb="FF00B050"/>
        </patternFill>
      </fill>
    </dxf>
    <dxf>
      <fill>
        <patternFill patternType="solid">
          <bgColor rgb="FFFFC000"/>
        </patternFill>
      </fill>
    </dxf>
    <dxf>
      <fill>
        <patternFill patternType="solid">
          <bgColor rgb="FF00B0F0"/>
        </patternFill>
      </fill>
    </dxf>
    <dxf>
      <font>
        <b/>
        <color rgb="FFC00000"/>
      </font>
      <fill>
        <patternFill patternType="solid">
          <bgColor rgb="FFFCE4D6"/>
        </patternFill>
      </fill>
    </dxf>
    <dxf>
      <fill>
        <patternFill patternType="solid">
          <bgColor rgb="FFFFF2CC"/>
        </patternFill>
      </fill>
    </dxf>
    <dxf>
      <font>
        <b/>
        <color rgb="FF006100"/>
      </font>
      <fill>
        <patternFill patternType="solid">
          <bgColor rgb="FFE2F0D9"/>
        </patternFill>
      </fill>
    </dxf>
    <dxf>
      <fill>
        <patternFill patternType="solid">
          <bgColor rgb="FF00B050"/>
        </patternFill>
      </fill>
    </dxf>
    <dxf>
      <fill>
        <patternFill patternType="solid">
          <bgColor rgb="FFFFC000"/>
        </patternFill>
      </fill>
    </dxf>
    <dxf>
      <fill>
        <patternFill patternType="solid">
          <bgColor rgb="FF00B0F0"/>
        </patternFill>
      </fill>
    </dxf>
    <dxf>
      <font>
        <b/>
        <color rgb="FFC00000"/>
      </font>
      <fill>
        <patternFill>
          <bgColor rgb="FFFCE4D6"/>
        </patternFill>
      </fill>
    </dxf>
    <dxf>
      <font>
        <b/>
        <color rgb="FFC00000"/>
      </font>
      <fill>
        <patternFill>
          <bgColor rgb="FFFCE4D6"/>
        </patternFill>
      </fill>
    </dxf>
    <dxf>
      <font>
        <b/>
        <color rgb="FFC00000"/>
      </font>
      <fill>
        <patternFill>
          <bgColor rgb="FFFCE4D6"/>
        </patternFill>
      </fill>
    </dxf>
    <dxf>
      <font>
        <b/>
        <color rgb="FFC00000"/>
      </font>
      <fill>
        <patternFill>
          <bgColor rgb="FFFCE4D6"/>
        </patternFill>
      </fill>
    </dxf>
    <dxf>
      <fill>
        <patternFill>
          <bgColor rgb="FF00B050"/>
        </patternFill>
      </fill>
    </dxf>
    <dxf>
      <fill>
        <patternFill>
          <bgColor rgb="FFFFC000"/>
        </patternFill>
      </fill>
    </dxf>
    <dxf>
      <fill>
        <patternFill>
          <bgColor rgb="FF00B0F0"/>
        </patternFill>
      </fill>
    </dxf>
    <dxf>
      <font>
        <color rgb="FF000000"/>
      </font>
      <fill>
        <patternFill>
          <bgColor rgb="FFFFC000"/>
        </patternFill>
      </fill>
    </dxf>
    <dxf>
      <font>
        <color rgb="FF000000"/>
      </font>
      <fill>
        <patternFill>
          <bgColor rgb="FF00B0F0"/>
        </patternFill>
      </fill>
    </dxf>
    <dxf>
      <font>
        <color rgb="FF000000"/>
      </font>
      <fill>
        <patternFill>
          <bgColor rgb="FF00B050"/>
        </patternFill>
      </fill>
    </dxf>
    <dxf>
      <font>
        <color rgb="FF000000"/>
      </font>
      <fill>
        <patternFill>
          <bgColor rgb="FFFFC000"/>
        </patternFill>
      </fill>
    </dxf>
    <dxf>
      <font>
        <color rgb="FF000000"/>
      </font>
      <fill>
        <patternFill>
          <bgColor rgb="FF00B0F0"/>
        </patternFill>
      </fill>
    </dxf>
    <dxf>
      <font>
        <b/>
        <color rgb="FFC00000"/>
      </font>
      <fill>
        <patternFill>
          <bgColor rgb="FFFCE4D6"/>
        </patternFill>
      </fill>
    </dxf>
    <dxf>
      <font>
        <b/>
        <color rgb="FFC00000"/>
      </font>
      <fill>
        <patternFill>
          <bgColor rgb="FFFCE4D6"/>
        </patternFill>
      </fill>
    </dxf>
    <dxf>
      <fill>
        <patternFill>
          <bgColor rgb="FF00B050"/>
        </patternFill>
      </fill>
    </dxf>
    <dxf>
      <fill>
        <patternFill>
          <bgColor rgb="FFFFC000"/>
        </patternFill>
      </fill>
    </dxf>
    <dxf>
      <fill>
        <patternFill>
          <bgColor rgb="FF00B0F0"/>
        </patternFill>
      </fill>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sz="900"/>
              <a:t>Average department-relevant coverage</a:t>
            </a:r>
          </a:p>
        </c:rich>
      </c:tx>
      <c:overlay val="0"/>
    </c:title>
    <c:autoTitleDeleted val="0"/>
    <c:plotArea>
      <c:layout/>
      <c:barChart>
        <c:barDir val="col"/>
        <c:grouping val="clustered"/>
        <c:varyColors val="0"/>
        <c:ser>
          <c:idx val="0"/>
          <c:order val="0"/>
          <c:tx>
            <c:v>Average Dept Coverage</c:v>
          </c:tx>
          <c:spPr>
            <a:solidFill>
              <a:srgbClr val="1F4E78"/>
            </a:solidFill>
            <a:ln>
              <a:prstDash val="solid"/>
            </a:ln>
          </c:spPr>
          <c:invertIfNegative val="1"/>
          <c:cat>
            <c:strRef>
              <c:f>'HR Quick View'!$A$37:$A$46</c:f>
              <c:strCache>
                <c:ptCount val="10"/>
                <c:pt idx="0">
                  <c:v>Customer Support</c:v>
                </c:pt>
                <c:pt idx="1">
                  <c:v>Platform Operations</c:v>
                </c:pt>
                <c:pt idx="2">
                  <c:v>Software Engineering</c:v>
                </c:pt>
                <c:pt idx="3">
                  <c:v>IT Operations</c:v>
                </c:pt>
                <c:pt idx="4">
                  <c:v>Quality Assurance</c:v>
                </c:pt>
                <c:pt idx="5">
                  <c:v>Cloud &amp; Reliability</c:v>
                </c:pt>
                <c:pt idx="6">
                  <c:v>Data &amp; Analytics</c:v>
                </c:pt>
                <c:pt idx="7">
                  <c:v>Cybersecurity</c:v>
                </c:pt>
                <c:pt idx="8">
                  <c:v>Machining</c:v>
                </c:pt>
                <c:pt idx="9">
                  <c:v>Compliance &amp; Core Training</c:v>
                </c:pt>
              </c:strCache>
            </c:strRef>
          </c:cat>
          <c:val>
            <c:numRef>
              <c:f>'HR Quick View'!$E$37:$E$46</c:f>
              <c:numCache>
                <c:formatCode>0%</c:formatCode>
                <c:ptCount val="10"/>
                <c:pt idx="0">
                  <c:v>0.45833333333333331</c:v>
                </c:pt>
                <c:pt idx="1">
                  <c:v>0.45238095238095238</c:v>
                </c:pt>
                <c:pt idx="2">
                  <c:v>0.85185185185185175</c:v>
                </c:pt>
                <c:pt idx="3">
                  <c:v>0.54166666666666663</c:v>
                </c:pt>
                <c:pt idx="4">
                  <c:v>0.72222222222222221</c:v>
                </c:pt>
                <c:pt idx="5">
                  <c:v>0.40196078431372545</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D169-454A-ABA9-108B1456E5B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0"/>
        <c:majorTickMark val="none"/>
        <c:minorTickMark val="none"/>
        <c:tickLblPos val="nextTo"/>
        <c:txPr>
          <a:bodyPr anchorCtr="1"/>
          <a:lstStyle/>
          <a:p>
            <a:pPr>
              <a:defRPr sz="675"/>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plotVisOnly val="1"/>
    <c:dispBlanksAs val="gap"/>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Largest Qualification Gaps</a:t>
            </a:r>
          </a:p>
        </c:rich>
      </c:tx>
      <c:overlay val="0"/>
    </c:title>
    <c:autoTitleDeleted val="0"/>
    <c:plotArea>
      <c:layout/>
      <c:barChart>
        <c:barDir val="col"/>
        <c:grouping val="clustered"/>
        <c:varyColors val="0"/>
        <c:ser>
          <c:idx val="0"/>
          <c:order val="0"/>
          <c:tx>
            <c:v>Gap</c:v>
          </c:tx>
          <c:spPr>
            <a:solidFill>
              <a:srgbClr val="C00000"/>
            </a:solidFill>
            <a:ln>
              <a:prstDash val="solid"/>
            </a:ln>
          </c:spPr>
          <c:invertIfNegative val="1"/>
          <c:cat>
            <c:strRef>
              <c:f>'Skill Management'!$A$13:$A$22</c:f>
              <c:strCache>
                <c:ptCount val="10"/>
                <c:pt idx="0">
                  <c:v>Disaster Recovery</c:v>
                </c:pt>
                <c:pt idx="1">
                  <c:v>Infrastructure as Code</c:v>
                </c:pt>
                <c:pt idx="2">
                  <c:v>Monitoring &amp; Alerting</c:v>
                </c:pt>
                <c:pt idx="3">
                  <c:v>Kubernetes Basics</c:v>
                </c:pt>
                <c:pt idx="4">
                  <c:v>Remote Access Support</c:v>
                </c:pt>
                <c:pt idx="5">
                  <c:v>Browser Compatibility Testing</c:v>
                </c:pt>
                <c:pt idx="6">
                  <c:v>Data Validation</c:v>
                </c:pt>
                <c:pt idx="7">
                  <c:v>Dashboard QA</c:v>
                </c:pt>
                <c:pt idx="8">
                  <c:v>QA Engineer I</c:v>
                </c:pt>
                <c:pt idx="9">
                  <c:v>QA Engineer II</c:v>
                </c:pt>
              </c:strCache>
            </c:strRef>
          </c:cat>
          <c:val>
            <c:numRef>
              <c:f>'Skill Management'!$G$13:$G$22</c:f>
              <c:numCache>
                <c:formatCode>General</c:formatCode>
                <c:ptCount val="10"/>
                <c:pt idx="0">
                  <c:v>4</c:v>
                </c:pt>
                <c:pt idx="1">
                  <c:v>4</c:v>
                </c:pt>
                <c:pt idx="2">
                  <c:v>4</c:v>
                </c:pt>
                <c:pt idx="3">
                  <c:v>4</c:v>
                </c:pt>
                <c:pt idx="4">
                  <c:v>4</c:v>
                </c:pt>
                <c:pt idx="5">
                  <c:v>4</c:v>
                </c:pt>
                <c:pt idx="6">
                  <c:v>4</c:v>
                </c:pt>
                <c:pt idx="7">
                  <c:v>4</c:v>
                </c:pt>
                <c:pt idx="8">
                  <c:v>4</c:v>
                </c:pt>
                <c:pt idx="9">
                  <c:v>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C335-411F-9538-D116DCA833A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0"/>
        <c:majorTickMark val="none"/>
        <c:minorTickMark val="none"/>
        <c:tickLblPos val="nextTo"/>
        <c:txPr>
          <a:bodyPr anchorCtr="1"/>
          <a:lstStyle/>
          <a:p>
            <a:pPr>
              <a:defRPr sz="675"/>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plotVisOnly val="1"/>
    <c:dispBlanksAs val="gap"/>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Qualified vs Near-Ready in Home-Department Skills</a:t>
            </a:r>
          </a:p>
        </c:rich>
      </c:tx>
      <c:overlay val="0"/>
    </c:title>
    <c:autoTitleDeleted val="0"/>
    <c:plotArea>
      <c:layout/>
      <c:barChart>
        <c:barDir val="col"/>
        <c:grouping val="clustered"/>
        <c:varyColors val="0"/>
        <c:ser>
          <c:idx val="0"/>
          <c:order val="0"/>
          <c:tx>
            <c:v>Almost Qualified</c:v>
          </c:tx>
          <c:spPr>
            <a:solidFill>
              <a:srgbClr val="FFC000"/>
            </a:solidFill>
            <a:ln>
              <a:prstDash val="solid"/>
            </a:ln>
          </c:spPr>
          <c:invertIfNegative val="1"/>
          <c:cat>
            <c:strRef>
              <c:f>'Skill Management'!$A$73:$A$82</c:f>
              <c:strCache>
                <c:ptCount val="10"/>
                <c:pt idx="0">
                  <c:v>Customer Support</c:v>
                </c:pt>
                <c:pt idx="1">
                  <c:v>Platform Operations</c:v>
                </c:pt>
                <c:pt idx="2">
                  <c:v>Software Engineering</c:v>
                </c:pt>
                <c:pt idx="3">
                  <c:v>IT Operations</c:v>
                </c:pt>
                <c:pt idx="4">
                  <c:v>Quality Assurance</c:v>
                </c:pt>
                <c:pt idx="5">
                  <c:v>Cloud &amp; Reliability</c:v>
                </c:pt>
                <c:pt idx="6">
                  <c:v>Data &amp; Analytics</c:v>
                </c:pt>
                <c:pt idx="7">
                  <c:v>Cybersecurity</c:v>
                </c:pt>
                <c:pt idx="8">
                  <c:v>Machining</c:v>
                </c:pt>
                <c:pt idx="9">
                  <c:v>Compliance &amp; Core Training</c:v>
                </c:pt>
              </c:strCache>
            </c:strRef>
          </c:cat>
          <c:val>
            <c:numRef>
              <c:f>'Skill Management'!$D$73:$D$82</c:f>
              <c:numCache>
                <c:formatCode>General</c:formatCode>
                <c:ptCount val="10"/>
                <c:pt idx="0">
                  <c:v>12</c:v>
                </c:pt>
                <c:pt idx="1">
                  <c:v>15</c:v>
                </c:pt>
                <c:pt idx="2">
                  <c:v>10</c:v>
                </c:pt>
                <c:pt idx="3">
                  <c:v>6</c:v>
                </c:pt>
                <c:pt idx="4">
                  <c:v>6</c:v>
                </c:pt>
                <c:pt idx="5">
                  <c:v>11</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C608-489D-96C9-F227AF2FE11D}"/>
            </c:ext>
          </c:extLst>
        </c:ser>
        <c:ser>
          <c:idx val="1"/>
          <c:order val="1"/>
          <c:tx>
            <c:v>Qualified</c:v>
          </c:tx>
          <c:spPr>
            <a:solidFill>
              <a:srgbClr val="00B050"/>
            </a:solidFill>
            <a:ln>
              <a:prstDash val="solid"/>
            </a:ln>
          </c:spPr>
          <c:invertIfNegative val="1"/>
          <c:cat>
            <c:strRef>
              <c:f>'Skill Management'!$A$73:$A$82</c:f>
              <c:strCache>
                <c:ptCount val="10"/>
                <c:pt idx="0">
                  <c:v>Customer Support</c:v>
                </c:pt>
                <c:pt idx="1">
                  <c:v>Platform Operations</c:v>
                </c:pt>
                <c:pt idx="2">
                  <c:v>Software Engineering</c:v>
                </c:pt>
                <c:pt idx="3">
                  <c:v>IT Operations</c:v>
                </c:pt>
                <c:pt idx="4">
                  <c:v>Quality Assurance</c:v>
                </c:pt>
                <c:pt idx="5">
                  <c:v>Cloud &amp; Reliability</c:v>
                </c:pt>
                <c:pt idx="6">
                  <c:v>Data &amp; Analytics</c:v>
                </c:pt>
                <c:pt idx="7">
                  <c:v>Cybersecurity</c:v>
                </c:pt>
                <c:pt idx="8">
                  <c:v>Machining</c:v>
                </c:pt>
                <c:pt idx="9">
                  <c:v>Compliance &amp; Core Training</c:v>
                </c:pt>
              </c:strCache>
            </c:strRef>
          </c:cat>
          <c:val>
            <c:numRef>
              <c:f>'Skill Management'!$E$73:$E$82</c:f>
              <c:numCache>
                <c:formatCode>General</c:formatCode>
                <c:ptCount val="10"/>
                <c:pt idx="0">
                  <c:v>29</c:v>
                </c:pt>
                <c:pt idx="1">
                  <c:v>16</c:v>
                </c:pt>
                <c:pt idx="2">
                  <c:v>26</c:v>
                </c:pt>
                <c:pt idx="3">
                  <c:v>15</c:v>
                </c:pt>
                <c:pt idx="4">
                  <c:v>17</c:v>
                </c:pt>
                <c:pt idx="5">
                  <c:v>28</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C608-489D-96C9-F227AF2FE11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0"/>
        <c:majorTickMark val="none"/>
        <c:minorTickMark val="none"/>
        <c:tickLblPos val="nextTo"/>
        <c:txPr>
          <a:bodyPr anchorCtr="1"/>
          <a:lstStyle/>
          <a:p>
            <a:pPr>
              <a:defRPr sz="675"/>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legend>
      <c:legendPos val="b"/>
      <c:overlay val="0"/>
    </c:legend>
    <c:plotVisOnly val="1"/>
    <c:dispBlanksAs val="gap"/>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0</xdr:colOff>
      <xdr:row>35</xdr:row>
      <xdr:rowOff>0</xdr:rowOff>
    </xdr:from>
    <xdr:to>
      <xdr:col>13</xdr:col>
      <xdr:colOff>0</xdr:colOff>
      <xdr:row>47</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45</xdr:row>
      <xdr:rowOff>0</xdr:rowOff>
    </xdr:from>
    <xdr:to>
      <xdr:col>9</xdr:col>
      <xdr:colOff>0</xdr:colOff>
      <xdr:row>60</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83</xdr:row>
      <xdr:rowOff>0</xdr:rowOff>
    </xdr:from>
    <xdr:to>
      <xdr:col>11</xdr:col>
      <xdr:colOff>0</xdr:colOff>
      <xdr:row>96</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petencyEventsTable" displayName="CompetencyEventsTable" ref="A3:U803">
  <autoFilter ref="A3:U803" xr:uid="{00000000-0009-0000-0100-000001000000}"/>
  <tableColumns count="21">
    <tableColumn id="1" xr3:uid="{00000000-0010-0000-0000-000001000000}" name="HR Entry Date"/>
    <tableColumn id="2" xr3:uid="{00000000-0010-0000-0000-000002000000}" name="Employee"/>
    <tableColumn id="3" xr3:uid="{00000000-0010-0000-0000-000003000000}" name="Skill"/>
    <tableColumn id="4" xr3:uid="{00000000-0010-0000-0000-000004000000}" name="New Level"/>
    <tableColumn id="5" xr3:uid="{00000000-0010-0000-0000-000005000000}" name="Competency Date"/>
    <tableColumn id="6" xr3:uid="{00000000-0010-0000-0000-000006000000}" name="Form Received Date"/>
    <tableColumn id="7" xr3:uid="{00000000-0010-0000-0000-000007000000}" name="Submitted By"/>
    <tableColumn id="8" xr3:uid="{00000000-0010-0000-0000-000008000000}" name="Event Type"/>
    <tableColumn id="9" xr3:uid="{00000000-0010-0000-0000-000009000000}" name="Void?"/>
    <tableColumn id="10" xr3:uid="{00000000-0010-0000-0000-00000A000000}" name="Notes"/>
    <tableColumn id="11" xr3:uid="{00000000-0010-0000-0000-00000B000000}" name="Event Sequence" dataDxfId="41"/>
    <tableColumn id="12" xr3:uid="{00000000-0010-0000-0000-00000C000000}" name="Event ID"/>
    <tableColumn id="13" xr3:uid="{00000000-0010-0000-0000-00000D000000}" name="Employee ID"/>
    <tableColumn id="14" xr3:uid="{00000000-0010-0000-0000-00000E000000}" name="Home Department"/>
    <tableColumn id="15" xr3:uid="{00000000-0010-0000-0000-00000F000000}" name="Shift"/>
    <tableColumn id="16" xr3:uid="{00000000-0010-0000-0000-000010000000}" name="Primary Training Profile"/>
    <tableColumn id="17" xr3:uid="{00000000-0010-0000-0000-000011000000}" name="Skill ID"/>
    <tableColumn id="18" xr3:uid="{00000000-0010-0000-0000-000012000000}" name="Skill Department"/>
    <tableColumn id="19" xr3:uid="{00000000-0010-0000-0000-000013000000}" name="Previous Level"/>
    <tableColumn id="20" xr3:uid="{00000000-0010-0000-0000-000014000000}" name="Event Status"/>
    <tableColumn id="21" xr3:uid="{00000000-0010-0000-0000-000015000000}" name="Current Ke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MatrixTable" displayName="SkillsMatrixTable" ref="A5:DI205" totalsRowShown="0">
  <tableColumns count="113">
    <tableColumn id="1" xr3:uid="{00000000-0010-0000-0100-000001000000}" name="Home Department"/>
    <tableColumn id="2" xr3:uid="{00000000-0010-0000-0100-000002000000}" name="Name"/>
    <tableColumn id="3" xr3:uid="{00000000-0010-0000-0100-000003000000}" name="Shift"/>
    <tableColumn id="4" xr3:uid="{00000000-0010-0000-0100-000004000000}" name="Employee ID"/>
    <tableColumn id="5" xr3:uid="{00000000-0010-0000-0100-000005000000}" name="Hire Date"/>
    <tableColumn id="6" xr3:uid="{00000000-0010-0000-0100-000006000000}" name="Supervisor"/>
    <tableColumn id="7" xr3:uid="{00000000-0010-0000-0100-000007000000}" name="Zendesk Queue Triage"/>
    <tableColumn id="8" xr3:uid="{00000000-0010-0000-0100-000008000000}" name="ServiceNow Ticket Handling"/>
    <tableColumn id="9" xr3:uid="{00000000-0010-0000-0100-000009000000}" name="CRM Case Management"/>
    <tableColumn id="10" xr3:uid="{00000000-0010-0000-0100-00000A000000}" name="Knowledge Base Authoring"/>
    <tableColumn id="11" xr3:uid="{00000000-0010-0000-0100-00000B000000}" name="Customer Onboarding Workflow"/>
    <tableColumn id="12" xr3:uid="{00000000-0010-0000-0100-00000C000000}" name="Escalation Management"/>
    <tableColumn id="13" xr3:uid="{00000000-0010-0000-0100-00000D000000}" name="SLA Prioritization"/>
    <tableColumn id="14" xr3:uid="{00000000-0010-0000-0100-00000E000000}" name="Incident Communication"/>
    <tableColumn id="15" xr3:uid="{00000000-0010-0000-0100-00000F000000}" name="Account Access Support"/>
    <tableColumn id="16" xr3:uid="{00000000-0010-0000-0100-000010000000}" name="Subscription &amp; Billing Support"/>
    <tableColumn id="17" xr3:uid="{00000000-0010-0000-0100-000011000000}" name="Data Privacy Handling"/>
    <tableColumn id="18" xr3:uid="{00000000-0010-0000-0100-000012000000}" name="Remote Support Session"/>
    <tableColumn id="19" xr3:uid="{00000000-0010-0000-0100-000013000000}" name="Troubleshooting Fundamentals"/>
    <tableColumn id="20" xr3:uid="{00000000-0010-0000-0100-000014000000}" name="Support QA Review"/>
    <tableColumn id="21" xr3:uid="{00000000-0010-0000-0100-000015000000}" name="Customer Configuration Support"/>
    <tableColumn id="22" xr3:uid="{00000000-0010-0000-0100-000016000000}" name="Support Documentation Standards"/>
    <tableColumn id="23" xr3:uid="{00000000-0010-0000-0100-000017000000}" name="Linux Administration"/>
    <tableColumn id="24" xr3:uid="{00000000-0010-0000-0100-000018000000}" name="Windows Server Administration"/>
    <tableColumn id="25" xr3:uid="{00000000-0010-0000-0100-000019000000}" name="Identity Provisioning"/>
    <tableColumn id="26" xr3:uid="{00000000-0010-0000-0100-00001A000000}" name="SSO Configuration"/>
    <tableColumn id="27" xr3:uid="{00000000-0010-0000-0100-00001B000000}" name="API Credential Management"/>
    <tableColumn id="28" xr3:uid="{00000000-0010-0000-0100-00001C000000}" name="Configuration Management"/>
    <tableColumn id="29" xr3:uid="{00000000-0010-0000-0100-00001D000000}" name="Kubernetes Basics"/>
    <tableColumn id="30" xr3:uid="{00000000-0010-0000-0100-00001E000000}" name="CI/CD Pipeline Operations"/>
    <tableColumn id="31" xr3:uid="{00000000-0010-0000-0100-00001F000000}" name="Infrastructure as Code"/>
    <tableColumn id="32" xr3:uid="{00000000-0010-0000-0100-000020000000}" name="Monitoring &amp; Alerting"/>
    <tableColumn id="33" xr3:uid="{00000000-0010-0000-0100-000021000000}" name="Log Analysis"/>
    <tableColumn id="34" xr3:uid="{00000000-0010-0000-0100-000022000000}" name="Database Operations"/>
    <tableColumn id="35" xr3:uid="{00000000-0010-0000-0100-000023000000}" name="Change Management"/>
    <tableColumn id="36" xr3:uid="{00000000-0010-0000-0100-000024000000}" name="Backup &amp; Recovery"/>
    <tableColumn id="37" xr3:uid="{00000000-0010-0000-0100-000025000000}" name="Git Workflow"/>
    <tableColumn id="38" xr3:uid="{00000000-0010-0000-0100-000026000000}" name="Endpoint Provisioning"/>
    <tableColumn id="39" xr3:uid="{00000000-0010-0000-0100-000027000000}" name="Pull Request Review"/>
    <tableColumn id="40" xr3:uid="{00000000-0010-0000-0100-000028000000}" name="Unit Testing"/>
    <tableColumn id="41" xr3:uid="{00000000-0010-0000-0100-000029000000}" name="Integration Testing"/>
    <tableColumn id="42" xr3:uid="{00000000-0010-0000-0100-00002A000000}" name="Feature Flag Management"/>
    <tableColumn id="43" xr3:uid="{00000000-0010-0000-0100-00002B000000}" name="Deployment Procedures"/>
    <tableColumn id="44" xr3:uid="{00000000-0010-0000-0100-00002C000000}" name="Release Branching"/>
    <tableColumn id="45" xr3:uid="{00000000-0010-0000-0100-00002D000000}" name="Secure Coding Basics"/>
    <tableColumn id="46" xr3:uid="{00000000-0010-0000-0100-00002E000000}" name="Identity &amp; Access Specialist"/>
    <tableColumn id="47" xr3:uid="{00000000-0010-0000-0100-00002F000000}" name="IT Service Analyst"/>
    <tableColumn id="48" xr3:uid="{00000000-0010-0000-0100-000030000000}" name="VPN Administration"/>
    <tableColumn id="49" xr3:uid="{00000000-0010-0000-0100-000031000000}" name="Device Provisioning Specialist"/>
    <tableColumn id="50" xr3:uid="{00000000-0010-0000-0100-000032000000}" name="Asset Lifecycle Management"/>
    <tableColumn id="51" xr3:uid="{00000000-0010-0000-0100-000033000000}" name="Mobile Device Management"/>
    <tableColumn id="52" xr3:uid="{00000000-0010-0000-0100-000034000000}" name="Torch Cut"/>
    <tableColumn id="53" xr3:uid="{00000000-0010-0000-0100-000035000000}" name="Network Support Analyst"/>
    <tableColumn id="54" xr3:uid="{00000000-0010-0000-0100-000036000000}" name="Test Case Design"/>
    <tableColumn id="55" xr3:uid="{00000000-0010-0000-0100-000037000000}" name="Regression Testing"/>
    <tableColumn id="56" xr3:uid="{00000000-0010-0000-0100-000038000000}" name="Exploratory Testing"/>
    <tableColumn id="57" xr3:uid="{00000000-0010-0000-0100-000039000000}" name="Defect Documentation"/>
    <tableColumn id="58" xr3:uid="{00000000-0010-0000-0100-00003A000000}" name="Security Awareness"/>
    <tableColumn id="59" xr3:uid="{00000000-0010-0000-0100-00003B000000}" name="Browser Compatibility Testing No Weld"/>
    <tableColumn id="60" xr3:uid="{00000000-0010-0000-0100-00003C000000}" name="Automation Test Execution"/>
    <tableColumn id="61" xr3:uid="{00000000-0010-0000-0100-00003D000000}" name="Incident Response"/>
    <tableColumn id="62" xr3:uid="{00000000-0010-0000-0100-00003E000000}" name="On-Call Handoff"/>
    <tableColumn id="63" xr3:uid="{00000000-0010-0000-0100-00003F000000}" name="AWS Core Services"/>
    <tableColumn id="64" xr3:uid="{00000000-0010-0000-0100-000040000000}" name="Azure Core Services"/>
    <tableColumn id="65" xr3:uid="{00000000-0010-0000-0100-000041000000}" name="Container Runtime Operations"/>
    <tableColumn id="66" xr3:uid="{00000000-0010-0000-0100-000042000000}" name="Kubernetes Operations"/>
    <tableColumn id="67" xr3:uid="{00000000-0010-0000-0100-000043000000}" name="Cloud Cost Monitoring"/>
    <tableColumn id="68" xr3:uid="{00000000-0010-0000-0100-000044000000}" name="Disaster Recovery"/>
    <tableColumn id="69" xr3:uid="{00000000-0010-0000-0100-000045000000}" name="Load Balancing"/>
    <tableColumn id="70" xr3:uid="{00000000-0010-0000-0100-000046000000}" name="Secrets Management"/>
    <tableColumn id="71" xr3:uid="{00000000-0010-0000-0100-000047000000}" name="Observability Dashboards"/>
    <tableColumn id="72" xr3:uid="{00000000-0010-0000-0100-000048000000}" name="SLO &amp; SLI Monitoring"/>
    <tableColumn id="73" xr3:uid="{00000000-0010-0000-0100-000049000000}" name="Backup Validation"/>
    <tableColumn id="74" xr3:uid="{00000000-0010-0000-0100-00004A000000}" name="Capacity Planning"/>
    <tableColumn id="75" xr3:uid="{00000000-0010-0000-0100-00004B000000}" name="Postmortem Facilitation"/>
    <tableColumn id="76" xr3:uid="{00000000-0010-0000-0100-00004C000000}" name="Reliability Testing"/>
    <tableColumn id="77" xr3:uid="{00000000-0010-0000-0100-00004D000000}" name="Service Dependency Mapping"/>
    <tableColumn id="78" xr3:uid="{00000000-0010-0000-0100-00004E000000}" name="SQL Fundamentals"/>
    <tableColumn id="79" xr3:uid="{00000000-0010-0000-0100-00004F000000}" name="Data Validation No Weld"/>
    <tableColumn id="80" xr3:uid="{00000000-0010-0000-0100-000050000000}" name="Dashboard QA"/>
    <tableColumn id="81" xr3:uid="{00000000-0010-0000-0100-000051000000}" name="QA Engineer I"/>
    <tableColumn id="82" xr3:uid="{00000000-0010-0000-0100-000052000000}" name="QA Engineer II"/>
    <tableColumn id="83" xr3:uid="{00000000-0010-0000-0100-000053000000}" name="Data Reconciliation"/>
    <tableColumn id="84" xr3:uid="{00000000-0010-0000-0100-000054000000}" name="Performance Test Analyst"/>
    <tableColumn id="85" xr3:uid="{00000000-0010-0000-0100-000055000000}" name="Defect Triage Analyst"/>
    <tableColumn id="86" xr3:uid="{00000000-0010-0000-0100-000056000000}" name="Data Incident Triage No Weld"/>
    <tableColumn id="87" xr3:uid="{00000000-0010-0000-0100-000057000000}" name="Alert Triage"/>
    <tableColumn id="88" xr3:uid="{00000000-0010-0000-0100-000058000000}" name="SIEM Investigation"/>
    <tableColumn id="89" xr3:uid="{00000000-0010-0000-0100-000059000000}" name="Vulnerability Analyst"/>
    <tableColumn id="90" xr3:uid="{00000000-0010-0000-0100-00005A000000}" name="Endpoint Detection &amp; Response"/>
    <tableColumn id="91" xr3:uid="{00000000-0010-0000-0100-00005B000000}" name="Vulnerability Scanning"/>
    <tableColumn id="92" xr3:uid="{00000000-0010-0000-0100-00005C000000}" name="Vulnerability Remediation"/>
    <tableColumn id="93" xr3:uid="{00000000-0010-0000-0100-00005D000000}" name="Identity Threat Detection"/>
    <tableColumn id="94" xr3:uid="{00000000-0010-0000-0100-00005E000000}" name="Privileged Access Review"/>
    <tableColumn id="95" xr3:uid="{00000000-0010-0000-0100-00005F000000}" name="Log Correlation"/>
    <tableColumn id="96" xr3:uid="{00000000-0010-0000-0100-000060000000}" name="Threat Hunting"/>
    <tableColumn id="97" xr3:uid="{00000000-0010-0000-0100-000061000000}" name="Incident Containment"/>
    <tableColumn id="98" xr3:uid="{00000000-0010-0000-0100-000062000000}" name="Forensic Collection"/>
    <tableColumn id="99" xr3:uid="{00000000-0010-0000-0100-000063000000}" name="Malware Triage"/>
    <tableColumn id="100" xr3:uid="{00000000-0010-0000-0100-000064000000}" name="Security Case Documentation"/>
    <tableColumn id="101" xr3:uid="{00000000-0010-0000-0100-000065000000}" name="Cloud Security Monitoring"/>
    <tableColumn id="102" xr3:uid="{00000000-0010-0000-0100-000066000000}" name="Network Security Monitoring"/>
    <tableColumn id="103" xr3:uid="{00000000-0010-0000-0100-000067000000}" name="Web Application Security Review"/>
    <tableColumn id="104" xr3:uid="{00000000-0010-0000-0100-000068000000}" name="Secure Configuration Review"/>
    <tableColumn id="105" xr3:uid="{00000000-0010-0000-0100-000069000000}" name="Risk Assessment"/>
    <tableColumn id="106" xr3:uid="{00000000-0010-0000-0100-00006A000000}" name="Third-Party Security Review"/>
    <tableColumn id="107" xr3:uid="{00000000-0010-0000-0100-00006B000000}" name="Security Control Testing"/>
    <tableColumn id="108" xr3:uid="{00000000-0010-0000-0100-00006C000000}" name="Data Privacy &amp; Acceptable Use"/>
    <tableColumn id="109" xr3:uid="{00000000-0010-0000-0100-00006D000000}" name="Business Continuity Basics"/>
    <tableColumn id="110" xr3:uid="{00000000-0010-0000-0100-00006E000000}" name="Total"/>
    <tableColumn id="111" xr3:uid="{00000000-0010-0000-0100-00006F000000}" name="Skills Entered"/>
    <tableColumn id="112" xr3:uid="{00000000-0010-0000-0100-000070000000}" name="Qualified"/>
    <tableColumn id="113" xr3:uid="{00000000-0010-0000-0100-000071000000}" name="Dept Coverage"/>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rainingPlanTable" displayName="TrainingPlanTable" ref="A4:H204" totalsRowShown="0">
  <tableColumns count="8">
    <tableColumn id="1" xr3:uid="{00000000-0010-0000-0200-000001000000}" name="Employee"/>
    <tableColumn id="2" xr3:uid="{00000000-0010-0000-0200-000002000000}" name="Department" dataDxfId="40"/>
    <tableColumn id="3" xr3:uid="{00000000-0010-0000-0200-000003000000}" name="Skill" dataDxfId="39"/>
    <tableColumn id="4" xr3:uid="{00000000-0010-0000-0200-000004000000}" name="Action"/>
    <tableColumn id="5" xr3:uid="{00000000-0010-0000-0200-000005000000}" name="Target Date" dataDxfId="38"/>
    <tableColumn id="6" xr3:uid="{00000000-0010-0000-0200-000006000000}" name="Status" dataDxfId="37"/>
    <tableColumn id="7" xr3:uid="{00000000-0010-0000-0200-000007000000}" name="Completion Date" dataDxfId="36"/>
    <tableColumn id="8" xr3:uid="{00000000-0010-0000-0200-000008000000}" name="Owner" dataDxfId="3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mployeeCertificationsTable" displayName="EmployeeCertificationsTable" ref="A3:J503" totalsRowShown="0">
  <tableColumns count="10">
    <tableColumn id="1" xr3:uid="{00000000-0010-0000-0300-000001000000}" name="Employee"/>
    <tableColumn id="2" xr3:uid="{00000000-0010-0000-0300-000002000000}" name="Employee ID" dataDxfId="48"/>
    <tableColumn id="3" xr3:uid="{00000000-0010-0000-0300-000003000000}" name="Department" dataDxfId="47"/>
    <tableColumn id="4" xr3:uid="{00000000-0010-0000-0300-000004000000}" name="Certification" dataDxfId="46"/>
    <tableColumn id="5" xr3:uid="{00000000-0010-0000-0300-000005000000}" name="Completion Date" dataDxfId="45"/>
    <tableColumn id="6" xr3:uid="{00000000-0010-0000-0300-000006000000}" name="Expiration Date" dataDxfId="44"/>
    <tableColumn id="7" xr3:uid="{00000000-0010-0000-0300-000007000000}" name="Status" dataDxfId="43"/>
    <tableColumn id="8" xr3:uid="{00000000-0010-0000-0300-000008000000}" name="Trainer / Provider" dataDxfId="42"/>
    <tableColumn id="9" xr3:uid="{00000000-0010-0000-0300-000009000000}" name="Paper Record Reference" dataDxfId="0"/>
    <tableColumn id="10" xr3:uid="{00000000-0010-0000-0300-00000A000000}" name="Not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CertificationTypesTable" displayName="CertificationTypesTable" ref="L3:R63" totalsRowShown="0">
  <tableColumns count="7">
    <tableColumn id="1" xr3:uid="{00000000-0010-0000-0400-000001000000}" name="Cert ID"/>
    <tableColumn id="2" xr3:uid="{00000000-0010-0000-0400-000002000000}" name="Certification"/>
    <tableColumn id="3" xr3:uid="{00000000-0010-0000-0400-000003000000}" name="Responsible Dept"/>
    <tableColumn id="4" xr3:uid="{00000000-0010-0000-0400-000004000000}" name="Validity (Months)"/>
    <tableColumn id="5" xr3:uid="{00000000-0010-0000-0400-000005000000}" name="Warning (Days)"/>
    <tableColumn id="6" xr3:uid="{00000000-0010-0000-0400-000006000000}" name="Active"/>
    <tableColumn id="7" xr3:uid="{00000000-0010-0000-0400-000007000000}" name="Setup Not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rainingProfilesTable" displayName="TrainingProfilesTable" ref="A5:C400">
  <autoFilter ref="A5:C400" xr:uid="{00000000-0009-0000-0100-000006000000}"/>
  <tableColumns count="3">
    <tableColumn id="1" xr3:uid="{00000000-0010-0000-0500-000001000000}" name="Department"/>
    <tableColumn id="2" xr3:uid="{00000000-0010-0000-0500-000002000000}" name="Training Profile"/>
    <tableColumn id="3" xr3:uid="{00000000-0010-0000-0500-000003000000}" name="Skill"/>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EmployeesTable" displayName="EmployeesTable" ref="A3:G203" totalsRowShown="0">
  <tableColumns count="7">
    <tableColumn id="1" xr3:uid="{00000000-0010-0000-0600-000001000000}" name="Employee ID"/>
    <tableColumn id="2" xr3:uid="{00000000-0010-0000-0600-000002000000}" name="Name"/>
    <tableColumn id="3" xr3:uid="{00000000-0010-0000-0600-000003000000}" name="Department"/>
    <tableColumn id="4" xr3:uid="{00000000-0010-0000-0600-000004000000}" name="Shift"/>
    <tableColumn id="5" xr3:uid="{00000000-0010-0000-0600-000005000000}" name="Supervisor"/>
    <tableColumn id="6" xr3:uid="{00000000-0010-0000-0600-000006000000}" name="Hire Date"/>
    <tableColumn id="7" xr3:uid="{00000000-0010-0000-0600-000007000000}" name="Statu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SkillsTable" displayName="SkillsTable" ref="I3:N143" totalsRowShown="0">
  <tableColumns count="6">
    <tableColumn id="1" xr3:uid="{00000000-0010-0000-0700-000001000000}" name="Skill ID"/>
    <tableColumn id="2" xr3:uid="{00000000-0010-0000-0700-000002000000}" name="Skill Name"/>
    <tableColumn id="3" xr3:uid="{00000000-0010-0000-0700-000003000000}" name="Department"/>
    <tableColumn id="4" xr3:uid="{00000000-0010-0000-0700-000004000000}" name="Critical"/>
    <tableColumn id="5" xr3:uid="{00000000-0010-0000-0700-000005000000}" name="Target Qualified"/>
    <tableColumn id="6" xr3:uid="{00000000-0010-0000-0700-000006000000}" name="Activ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vmlDrawing" Target="../drawings/vmlDrawing1.v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
  <sheetViews>
    <sheetView showGridLines="0" workbookViewId="0">
      <selection activeCell="C46" sqref="C46:F46"/>
    </sheetView>
  </sheetViews>
  <sheetFormatPr defaultRowHeight="13.8"/>
  <cols>
    <col min="1" max="1" width="24" customWidth="1"/>
    <col min="2" max="2" width="20" style="49" customWidth="1"/>
    <col min="3" max="3" width="42" customWidth="1"/>
    <col min="4" max="4" width="26" style="49" customWidth="1"/>
    <col min="5" max="5" width="22" style="49" customWidth="1"/>
    <col min="6" max="6" width="38" customWidth="1"/>
  </cols>
  <sheetData>
    <row r="1" spans="1:6" ht="25.95" customHeight="1">
      <c r="A1" s="83" t="s">
        <v>159</v>
      </c>
      <c r="B1" s="74"/>
      <c r="C1" s="67"/>
      <c r="D1" s="74"/>
      <c r="E1" s="74"/>
      <c r="F1" s="67"/>
    </row>
    <row r="2" spans="1:6" ht="24" customHeight="1">
      <c r="A2" s="65" t="s">
        <v>160</v>
      </c>
      <c r="B2" s="74"/>
      <c r="C2" s="67"/>
      <c r="D2" s="74"/>
      <c r="E2" s="74"/>
      <c r="F2" s="67"/>
    </row>
    <row r="4" spans="1:6">
      <c r="A4" s="73" t="s">
        <v>161</v>
      </c>
      <c r="B4" s="74"/>
      <c r="C4" s="67"/>
      <c r="D4" s="74"/>
      <c r="E4" s="74"/>
      <c r="F4" s="67"/>
    </row>
    <row r="5" spans="1:6" ht="34.049999999999997" customHeight="1">
      <c r="A5" s="20" t="s">
        <v>162</v>
      </c>
      <c r="B5" s="20" t="s">
        <v>163</v>
      </c>
      <c r="C5" s="20" t="s">
        <v>164</v>
      </c>
      <c r="D5" s="20" t="s">
        <v>165</v>
      </c>
      <c r="E5" s="20" t="s">
        <v>166</v>
      </c>
      <c r="F5" s="20" t="s">
        <v>167</v>
      </c>
    </row>
    <row r="6" spans="1:6" ht="58.05" customHeight="1">
      <c r="A6" s="48" t="s">
        <v>168</v>
      </c>
      <c r="B6" s="48" t="s">
        <v>169</v>
      </c>
      <c r="C6" s="48" t="s">
        <v>170</v>
      </c>
      <c r="D6" s="48" t="s">
        <v>171</v>
      </c>
      <c r="E6" s="48" t="s">
        <v>172</v>
      </c>
      <c r="F6" s="48" t="s">
        <v>173</v>
      </c>
    </row>
    <row r="7" spans="1:6" ht="58.05" customHeight="1">
      <c r="A7" s="48" t="s">
        <v>174</v>
      </c>
      <c r="B7" s="48" t="s">
        <v>175</v>
      </c>
      <c r="C7" s="48" t="s">
        <v>176</v>
      </c>
      <c r="D7" s="48" t="s">
        <v>177</v>
      </c>
      <c r="E7" s="48" t="s">
        <v>178</v>
      </c>
      <c r="F7" s="48" t="s">
        <v>179</v>
      </c>
    </row>
    <row r="8" spans="1:6" ht="58.05" customHeight="1">
      <c r="A8" s="48" t="s">
        <v>180</v>
      </c>
      <c r="B8" s="48" t="s">
        <v>181</v>
      </c>
      <c r="C8" s="48" t="s">
        <v>182</v>
      </c>
      <c r="D8" s="48" t="s">
        <v>183</v>
      </c>
      <c r="E8" s="48" t="s">
        <v>184</v>
      </c>
      <c r="F8" s="48" t="s">
        <v>185</v>
      </c>
    </row>
    <row r="9" spans="1:6" ht="58.05" customHeight="1">
      <c r="A9" s="48" t="s">
        <v>186</v>
      </c>
      <c r="B9" s="48" t="s">
        <v>169</v>
      </c>
      <c r="C9" s="48" t="s">
        <v>187</v>
      </c>
      <c r="D9" s="48" t="s">
        <v>188</v>
      </c>
      <c r="E9" s="48" t="s">
        <v>189</v>
      </c>
      <c r="F9" s="48" t="s">
        <v>190</v>
      </c>
    </row>
    <row r="10" spans="1:6" ht="58.05" customHeight="1">
      <c r="A10" s="48" t="s">
        <v>191</v>
      </c>
      <c r="B10" s="48" t="s">
        <v>26</v>
      </c>
      <c r="C10" s="48" t="s">
        <v>192</v>
      </c>
      <c r="D10" s="48" t="s">
        <v>193</v>
      </c>
      <c r="E10" s="48" t="s">
        <v>172</v>
      </c>
      <c r="F10" s="48" t="s">
        <v>194</v>
      </c>
    </row>
    <row r="11" spans="1:6" ht="58.05" customHeight="1">
      <c r="A11" s="48" t="s">
        <v>195</v>
      </c>
      <c r="B11" s="48" t="s">
        <v>196</v>
      </c>
      <c r="C11" s="48" t="s">
        <v>197</v>
      </c>
      <c r="D11" s="48" t="s">
        <v>193</v>
      </c>
      <c r="E11" s="48" t="s">
        <v>198</v>
      </c>
      <c r="F11" s="48" t="s">
        <v>199</v>
      </c>
    </row>
    <row r="12" spans="1:6" ht="58.05" customHeight="1">
      <c r="A12" s="48" t="s">
        <v>200</v>
      </c>
      <c r="B12" s="48" t="s">
        <v>201</v>
      </c>
      <c r="C12" s="48" t="s">
        <v>202</v>
      </c>
      <c r="D12" s="48" t="s">
        <v>203</v>
      </c>
      <c r="E12" s="48" t="s">
        <v>204</v>
      </c>
      <c r="F12" s="48" t="s">
        <v>205</v>
      </c>
    </row>
    <row r="14" spans="1:6">
      <c r="A14" s="73" t="s">
        <v>206</v>
      </c>
      <c r="B14" s="74"/>
      <c r="C14" s="67"/>
      <c r="D14" s="74"/>
      <c r="E14" s="74"/>
      <c r="F14" s="67"/>
    </row>
    <row r="15" spans="1:6" ht="34.049999999999997" customHeight="1">
      <c r="A15" s="16" t="s">
        <v>207</v>
      </c>
      <c r="B15" s="69" t="s">
        <v>208</v>
      </c>
      <c r="C15" s="70"/>
      <c r="D15" s="70"/>
      <c r="E15" s="70"/>
      <c r="F15" s="71"/>
    </row>
    <row r="16" spans="1:6" ht="34.049999999999997" customHeight="1">
      <c r="A16" s="16" t="s">
        <v>209</v>
      </c>
      <c r="B16" s="69" t="s">
        <v>210</v>
      </c>
      <c r="C16" s="70"/>
      <c r="D16" s="70"/>
      <c r="E16" s="70"/>
      <c r="F16" s="71"/>
    </row>
    <row r="17" spans="1:6" ht="34.049999999999997" customHeight="1">
      <c r="A17" s="16" t="s">
        <v>211</v>
      </c>
      <c r="B17" s="69" t="s">
        <v>212</v>
      </c>
      <c r="C17" s="70"/>
      <c r="D17" s="70"/>
      <c r="E17" s="70"/>
      <c r="F17" s="71"/>
    </row>
    <row r="18" spans="1:6" ht="34.049999999999997" customHeight="1">
      <c r="A18" s="16" t="s">
        <v>213</v>
      </c>
      <c r="B18" s="69" t="s">
        <v>214</v>
      </c>
      <c r="C18" s="70"/>
      <c r="D18" s="70"/>
      <c r="E18" s="70"/>
      <c r="F18" s="71"/>
    </row>
    <row r="20" spans="1:6">
      <c r="A20" s="73" t="s">
        <v>215</v>
      </c>
      <c r="B20" s="74"/>
      <c r="C20" s="67"/>
      <c r="D20" s="74"/>
      <c r="E20" s="74"/>
      <c r="F20" s="67"/>
    </row>
    <row r="21" spans="1:6" ht="30" customHeight="1">
      <c r="A21" s="157">
        <v>1</v>
      </c>
      <c r="B21" s="154" t="s">
        <v>217</v>
      </c>
      <c r="C21" s="155"/>
      <c r="D21" s="155"/>
      <c r="E21" s="155"/>
      <c r="F21" s="156"/>
    </row>
    <row r="22" spans="1:6" ht="30" customHeight="1">
      <c r="A22" s="158">
        <v>2</v>
      </c>
      <c r="B22" s="154" t="s">
        <v>219</v>
      </c>
      <c r="C22" s="155"/>
      <c r="D22" s="155"/>
      <c r="E22" s="155"/>
      <c r="F22" s="156"/>
    </row>
    <row r="23" spans="1:6" ht="30" customHeight="1">
      <c r="A23" s="159">
        <v>3</v>
      </c>
      <c r="B23" s="154" t="s">
        <v>221</v>
      </c>
      <c r="C23" s="155"/>
      <c r="D23" s="155"/>
      <c r="E23" s="155"/>
      <c r="F23" s="156"/>
    </row>
    <row r="24" spans="1:6" ht="30" customHeight="1">
      <c r="A24" s="50" t="s">
        <v>222</v>
      </c>
      <c r="B24" s="154" t="s">
        <v>223</v>
      </c>
      <c r="C24" s="155"/>
      <c r="D24" s="155"/>
      <c r="E24" s="155"/>
      <c r="F24" s="156"/>
    </row>
    <row r="26" spans="1:6">
      <c r="A26" s="73" t="s">
        <v>224</v>
      </c>
      <c r="B26" s="74"/>
      <c r="C26" s="67"/>
      <c r="D26" s="74"/>
      <c r="E26" s="74"/>
      <c r="F26" s="67"/>
    </row>
    <row r="27" spans="1:6" ht="37.950000000000003" customHeight="1">
      <c r="A27" s="12" t="s">
        <v>225</v>
      </c>
      <c r="B27" s="48" t="s">
        <v>169</v>
      </c>
      <c r="C27" s="72" t="s">
        <v>226</v>
      </c>
      <c r="D27" s="70"/>
      <c r="E27" s="70"/>
      <c r="F27" s="71"/>
    </row>
    <row r="28" spans="1:6" ht="37.950000000000003" customHeight="1">
      <c r="A28" s="12" t="s">
        <v>227</v>
      </c>
      <c r="B28" s="48" t="s">
        <v>228</v>
      </c>
      <c r="C28" s="72" t="s">
        <v>229</v>
      </c>
      <c r="D28" s="70"/>
      <c r="E28" s="70"/>
      <c r="F28" s="71"/>
    </row>
    <row r="29" spans="1:6" ht="37.950000000000003" customHeight="1">
      <c r="A29" s="12" t="s">
        <v>227</v>
      </c>
      <c r="B29" s="48" t="s">
        <v>26</v>
      </c>
      <c r="C29" s="72" t="s">
        <v>230</v>
      </c>
      <c r="D29" s="70"/>
      <c r="E29" s="70"/>
      <c r="F29" s="71"/>
    </row>
    <row r="30" spans="1:6" ht="37.950000000000003" customHeight="1">
      <c r="A30" s="12" t="s">
        <v>231</v>
      </c>
      <c r="B30" s="48" t="s">
        <v>232</v>
      </c>
      <c r="C30" s="72" t="s">
        <v>233</v>
      </c>
      <c r="D30" s="70"/>
      <c r="E30" s="70"/>
      <c r="F30" s="71"/>
    </row>
    <row r="32" spans="1:6">
      <c r="A32" s="73" t="s">
        <v>234</v>
      </c>
      <c r="B32" s="74"/>
      <c r="C32" s="67"/>
      <c r="D32" s="74"/>
      <c r="E32" s="74"/>
      <c r="F32" s="67"/>
    </row>
    <row r="33" spans="1:6">
      <c r="A33" s="75" t="s">
        <v>235</v>
      </c>
      <c r="B33" s="76"/>
      <c r="C33" s="76"/>
      <c r="D33" s="76"/>
      <c r="E33" s="76"/>
      <c r="F33" s="77"/>
    </row>
    <row r="34" spans="1:6">
      <c r="A34" s="78"/>
      <c r="B34" s="74"/>
      <c r="C34" s="67"/>
      <c r="D34" s="74"/>
      <c r="E34" s="74"/>
      <c r="F34" s="79"/>
    </row>
    <row r="35" spans="1:6">
      <c r="A35" s="80"/>
      <c r="B35" s="81"/>
      <c r="C35" s="81"/>
      <c r="D35" s="81"/>
      <c r="E35" s="81"/>
      <c r="F35" s="82"/>
    </row>
    <row r="36" spans="1:6">
      <c r="A36" s="73" t="s">
        <v>236</v>
      </c>
      <c r="B36" s="74"/>
      <c r="C36" s="67"/>
      <c r="D36" s="74"/>
      <c r="E36" s="74"/>
      <c r="F36" s="67"/>
    </row>
    <row r="37" spans="1:6" ht="37.950000000000003" customHeight="1">
      <c r="A37" s="51" t="s">
        <v>237</v>
      </c>
      <c r="B37" s="72" t="s">
        <v>238</v>
      </c>
      <c r="C37" s="70"/>
      <c r="D37" s="70"/>
      <c r="E37" s="70"/>
      <c r="F37" s="71"/>
    </row>
    <row r="38" spans="1:6" ht="37.950000000000003" customHeight="1">
      <c r="A38" s="51" t="s">
        <v>239</v>
      </c>
      <c r="B38" s="72" t="s">
        <v>240</v>
      </c>
      <c r="C38" s="70"/>
      <c r="D38" s="70"/>
      <c r="E38" s="70"/>
      <c r="F38" s="71"/>
    </row>
    <row r="39" spans="1:6" ht="37.950000000000003" customHeight="1">
      <c r="A39" s="51" t="s">
        <v>241</v>
      </c>
      <c r="B39" s="72" t="s">
        <v>242</v>
      </c>
      <c r="C39" s="70"/>
      <c r="D39" s="70"/>
      <c r="E39" s="70"/>
      <c r="F39" s="71"/>
    </row>
    <row r="40" spans="1:6" ht="37.950000000000003" customHeight="1">
      <c r="A40" s="51" t="s">
        <v>171</v>
      </c>
      <c r="B40" s="72" t="s">
        <v>243</v>
      </c>
      <c r="C40" s="70"/>
      <c r="D40" s="70"/>
      <c r="E40" s="70"/>
      <c r="F40" s="71"/>
    </row>
    <row r="42" spans="1:6">
      <c r="A42" s="73" t="s">
        <v>244</v>
      </c>
      <c r="B42" s="74"/>
      <c r="C42" s="67"/>
      <c r="D42" s="74"/>
      <c r="E42" s="74"/>
      <c r="F42" s="67"/>
    </row>
    <row r="43" spans="1:6" ht="36" customHeight="1">
      <c r="A43" s="22">
        <v>1</v>
      </c>
      <c r="B43" s="48" t="s">
        <v>245</v>
      </c>
      <c r="C43" s="72" t="s">
        <v>246</v>
      </c>
      <c r="D43" s="70"/>
      <c r="E43" s="70"/>
      <c r="F43" s="71"/>
    </row>
    <row r="44" spans="1:6" ht="36" customHeight="1">
      <c r="A44" s="22">
        <v>2</v>
      </c>
      <c r="B44" s="48" t="s">
        <v>247</v>
      </c>
      <c r="C44" s="72" t="s">
        <v>248</v>
      </c>
      <c r="D44" s="70"/>
      <c r="E44" s="70"/>
      <c r="F44" s="71"/>
    </row>
    <row r="45" spans="1:6" ht="36" customHeight="1">
      <c r="A45" s="22">
        <v>3</v>
      </c>
      <c r="B45" s="48" t="s">
        <v>249</v>
      </c>
      <c r="C45" s="72" t="s">
        <v>250</v>
      </c>
      <c r="D45" s="70"/>
      <c r="E45" s="70"/>
      <c r="F45" s="71"/>
    </row>
    <row r="46" spans="1:6" ht="36" customHeight="1">
      <c r="A46" s="22">
        <v>4</v>
      </c>
      <c r="B46" s="48" t="s">
        <v>251</v>
      </c>
      <c r="C46" s="72" t="s">
        <v>252</v>
      </c>
      <c r="D46" s="70"/>
      <c r="E46" s="70"/>
      <c r="F46" s="71"/>
    </row>
    <row r="47" spans="1:6" ht="105.6" customHeight="1">
      <c r="A47" s="22" t="s">
        <v>253</v>
      </c>
      <c r="B47" s="48" t="s">
        <v>254</v>
      </c>
      <c r="C47" s="72" t="s">
        <v>255</v>
      </c>
      <c r="D47" s="70"/>
      <c r="E47" s="70"/>
      <c r="F47" s="71"/>
    </row>
  </sheetData>
  <mergeCells count="31">
    <mergeCell ref="A1:F1"/>
    <mergeCell ref="C43:F43"/>
    <mergeCell ref="C46:F46"/>
    <mergeCell ref="C27:F27"/>
    <mergeCell ref="C45:F45"/>
    <mergeCell ref="B38:F38"/>
    <mergeCell ref="B37:F37"/>
    <mergeCell ref="C29:F29"/>
    <mergeCell ref="C47:F47"/>
    <mergeCell ref="B40:F40"/>
    <mergeCell ref="C44:F44"/>
    <mergeCell ref="A36:F36"/>
    <mergeCell ref="A2:F2"/>
    <mergeCell ref="B39:F39"/>
    <mergeCell ref="A42:F42"/>
    <mergeCell ref="A14:F14"/>
    <mergeCell ref="A32:F32"/>
    <mergeCell ref="C30:F30"/>
    <mergeCell ref="B23:F23"/>
    <mergeCell ref="A4:F4"/>
    <mergeCell ref="A20:F20"/>
    <mergeCell ref="B17:F17"/>
    <mergeCell ref="A33:F35"/>
    <mergeCell ref="B24:F24"/>
    <mergeCell ref="B15:F15"/>
    <mergeCell ref="B16:F16"/>
    <mergeCell ref="B22:F22"/>
    <mergeCell ref="A26:F26"/>
    <mergeCell ref="B18:F18"/>
    <mergeCell ref="C28:F28"/>
    <mergeCell ref="B21:F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8"/>
  <sheetViews>
    <sheetView showGridLines="0" zoomScale="80" zoomScaleNormal="80" workbookViewId="0">
      <selection activeCell="F58" sqref="F58"/>
    </sheetView>
  </sheetViews>
  <sheetFormatPr defaultRowHeight="13.8"/>
  <cols>
    <col min="1" max="1" width="28" customWidth="1"/>
    <col min="2" max="2" width="28.5" customWidth="1"/>
    <col min="3" max="3" width="20.5" customWidth="1"/>
    <col min="4" max="4" width="16" customWidth="1"/>
    <col min="5" max="5" width="18.3984375" customWidth="1"/>
    <col min="6" max="6" width="16.3984375" customWidth="1"/>
    <col min="7" max="7" width="2.09765625" customWidth="1"/>
    <col min="8" max="8" width="20" customWidth="1"/>
    <col min="9" max="9" width="15" customWidth="1"/>
    <col min="10" max="10" width="18" customWidth="1"/>
    <col min="11" max="11" width="10" customWidth="1"/>
    <col min="12" max="12" width="13" customWidth="1"/>
    <col min="13" max="13" width="24.3984375" customWidth="1"/>
  </cols>
  <sheetData>
    <row r="1" spans="1:13" ht="25.95" customHeight="1">
      <c r="A1" s="83" t="s">
        <v>256</v>
      </c>
      <c r="B1" s="67"/>
      <c r="C1" s="67"/>
      <c r="D1" s="67"/>
      <c r="E1" s="67"/>
      <c r="F1" s="67"/>
      <c r="G1" s="67"/>
      <c r="H1" s="67"/>
      <c r="I1" s="67"/>
      <c r="J1" s="67"/>
      <c r="K1" s="67"/>
      <c r="L1" s="67"/>
      <c r="M1" s="67"/>
    </row>
    <row r="2" spans="1:13" ht="24" customHeight="1">
      <c r="A2" s="65" t="s">
        <v>257</v>
      </c>
      <c r="B2" s="67"/>
      <c r="C2" s="67"/>
      <c r="D2" s="67"/>
      <c r="E2" s="67"/>
      <c r="F2" s="67"/>
      <c r="G2" s="67"/>
      <c r="H2" s="67"/>
      <c r="I2" s="67"/>
      <c r="J2" s="67"/>
      <c r="K2" s="67"/>
      <c r="L2" s="67"/>
      <c r="M2" s="67"/>
    </row>
    <row r="3" spans="1:13" ht="24" customHeight="1">
      <c r="A3" s="101" t="s">
        <v>258</v>
      </c>
      <c r="B3" s="95"/>
      <c r="C3" s="96"/>
      <c r="D3" s="101" t="s">
        <v>259</v>
      </c>
      <c r="E3" s="95"/>
      <c r="F3" s="96"/>
      <c r="G3" s="42"/>
      <c r="H3" s="94" t="s">
        <v>260</v>
      </c>
      <c r="I3" s="95"/>
      <c r="J3" s="96"/>
      <c r="K3" s="101" t="s">
        <v>261</v>
      </c>
      <c r="L3" s="95"/>
      <c r="M3" s="96"/>
    </row>
    <row r="4" spans="1:13" ht="24" customHeight="1">
      <c r="A4" s="107">
        <f>COUNTIF(Lists!$G$4:$G$203,"Active")</f>
        <v>35</v>
      </c>
      <c r="B4" s="85"/>
      <c r="C4" s="86"/>
      <c r="D4" s="111">
        <f>COUNTIF('Skills Matrix'!$DG$6:$DG$205,"&gt;0")</f>
        <v>36</v>
      </c>
      <c r="E4" s="85"/>
      <c r="F4" s="86"/>
      <c r="G4" s="42"/>
      <c r="H4" s="117">
        <f>SUM('Skills Matrix'!$DH$6:$DH$205)</f>
        <v>174</v>
      </c>
      <c r="I4" s="85"/>
      <c r="J4" s="86"/>
      <c r="K4" s="98">
        <f>COUNTIF('Training Plan'!$F$5:$F$204,"Not Started")+COUNTIF('Training Plan'!$F$5:$F$204,"In Progress")+COUNTIF('Training Plan'!$F$5:$F$204,"Blocked")</f>
        <v>17</v>
      </c>
      <c r="L4" s="85"/>
      <c r="M4" s="86"/>
    </row>
    <row r="5" spans="1:13" ht="24" customHeight="1">
      <c r="A5" s="99"/>
      <c r="B5" s="67"/>
      <c r="C5" s="87"/>
      <c r="D5" s="99"/>
      <c r="E5" s="67"/>
      <c r="F5" s="87"/>
      <c r="G5" s="42"/>
      <c r="H5" s="118"/>
      <c r="I5" s="67"/>
      <c r="J5" s="87"/>
      <c r="K5" s="99"/>
      <c r="L5" s="67"/>
      <c r="M5" s="87"/>
    </row>
    <row r="6" spans="1:13" ht="24" customHeight="1">
      <c r="A6" s="100"/>
      <c r="B6" s="88"/>
      <c r="C6" s="89"/>
      <c r="D6" s="100"/>
      <c r="E6" s="88"/>
      <c r="F6" s="89"/>
      <c r="G6" s="42"/>
      <c r="H6" s="119"/>
      <c r="I6" s="88"/>
      <c r="J6" s="89"/>
      <c r="K6" s="100"/>
      <c r="L6" s="88"/>
      <c r="M6" s="89"/>
    </row>
    <row r="8" spans="1:13" ht="21" customHeight="1">
      <c r="A8" s="73" t="s">
        <v>262</v>
      </c>
      <c r="B8" s="67"/>
      <c r="C8" s="67"/>
      <c r="D8" s="67"/>
      <c r="E8" s="67"/>
      <c r="F8" s="67"/>
      <c r="G8" s="32"/>
      <c r="H8" s="73" t="s">
        <v>263</v>
      </c>
      <c r="I8" s="67"/>
      <c r="J8" s="67"/>
      <c r="K8" s="67"/>
      <c r="L8" s="67"/>
      <c r="M8" s="67"/>
    </row>
    <row r="9" spans="1:13" ht="21" customHeight="1">
      <c r="A9" s="104" t="s">
        <v>264</v>
      </c>
      <c r="B9" s="93"/>
      <c r="C9" s="97" t="s">
        <v>20</v>
      </c>
      <c r="D9" s="95"/>
      <c r="E9" s="95"/>
      <c r="F9" s="96"/>
      <c r="G9" s="43"/>
      <c r="H9" s="92" t="s">
        <v>265</v>
      </c>
      <c r="I9" s="93"/>
      <c r="J9" s="97" t="s">
        <v>266</v>
      </c>
      <c r="K9" s="95"/>
      <c r="L9" s="95"/>
      <c r="M9" s="96"/>
    </row>
    <row r="10" spans="1:13" ht="21" customHeight="1">
      <c r="A10" s="20" t="s">
        <v>267</v>
      </c>
      <c r="B10" s="97" t="s">
        <v>268</v>
      </c>
      <c r="C10" s="96"/>
      <c r="D10" s="20" t="s">
        <v>269</v>
      </c>
      <c r="E10" s="109" t="str">
        <f>IFERROR(INDEX(Lists!$C$4:$C$203,MATCH($C$9,Lists!$B$4:$B$203,0)),"")</f>
        <v>Customer Support</v>
      </c>
      <c r="F10" s="71"/>
      <c r="G10" s="31"/>
      <c r="H10" s="30" t="s">
        <v>267</v>
      </c>
      <c r="I10" s="97" t="s">
        <v>270</v>
      </c>
      <c r="J10" s="96"/>
      <c r="K10" s="20" t="s">
        <v>271</v>
      </c>
      <c r="L10" s="97" t="s">
        <v>272</v>
      </c>
      <c r="M10" s="96"/>
    </row>
    <row r="11" spans="1:13" ht="21" customHeight="1">
      <c r="A11" s="20" t="s">
        <v>271</v>
      </c>
      <c r="B11" s="21">
        <f>IFERROR(INDEX(Lists!$D$4:$D$203,MATCH($C$9,Lists!$B$4:$B$203,0)),"")</f>
        <v>1</v>
      </c>
      <c r="C11" s="20" t="s">
        <v>273</v>
      </c>
      <c r="D11" s="21">
        <f>COUNTIF(Lists!$Z$4:$Z$108,3)</f>
        <v>7</v>
      </c>
      <c r="E11" s="20" t="s">
        <v>274</v>
      </c>
      <c r="F11" s="27">
        <f>COUNTIF(Lists!$Z$4:$Z$108,1)+COUNTIF(Lists!$Z$4:$Z$108,2)</f>
        <v>0</v>
      </c>
      <c r="G11" s="33"/>
      <c r="H11" s="30" t="s">
        <v>269</v>
      </c>
      <c r="I11" s="109" t="str">
        <f>IFERROR(INDEX(Lists!$K$4:$K$108,MATCH($J$9,Lists!$J$4:$J$108,0)),"")</f>
        <v>Customer Support</v>
      </c>
      <c r="J11" s="71"/>
      <c r="K11" s="20" t="s">
        <v>275</v>
      </c>
      <c r="L11" s="109" t="str">
        <f>IFERROR(INDEX(Lists!$L$4:$L$108,MATCH($J$9,Lists!$J$4:$J$108,0)),"")</f>
        <v>No</v>
      </c>
      <c r="M11" s="71"/>
    </row>
    <row r="12" spans="1:13" ht="21" customHeight="1">
      <c r="A12" s="104" t="s">
        <v>276</v>
      </c>
      <c r="B12" s="93"/>
      <c r="C12" s="112">
        <f>IFERROR(INDEX('Skills Matrix'!$DI$6:$DI$205,MATCH($C$9,'Skills Matrix'!$B$6:$B$205,0)),0)</f>
        <v>0.3125</v>
      </c>
      <c r="D12" s="71"/>
      <c r="E12" s="20" t="s">
        <v>277</v>
      </c>
      <c r="F12" s="27">
        <f>COUNT(Lists!$Z$4:$Z$108)</f>
        <v>7</v>
      </c>
      <c r="G12" s="33"/>
      <c r="H12" s="30" t="s">
        <v>278</v>
      </c>
      <c r="I12" s="21">
        <f>IFERROR(INDEX(Lists!$R$4:$R$106,MATCH($J$9,Lists!$P$4:$P$106,0)),0)</f>
        <v>0</v>
      </c>
      <c r="J12" s="20" t="s">
        <v>273</v>
      </c>
      <c r="K12" s="21">
        <f>COUNTIF(Lists!$AI$4:$AI$203,3)</f>
        <v>3</v>
      </c>
      <c r="L12" s="20" t="s">
        <v>279</v>
      </c>
      <c r="M12" s="21">
        <f>MAX(0,I12-K12)</f>
        <v>0</v>
      </c>
    </row>
    <row r="13" spans="1:13" ht="21" customHeight="1">
      <c r="A13" s="73" t="s">
        <v>280</v>
      </c>
      <c r="B13" s="67"/>
      <c r="C13" s="67"/>
      <c r="D13" s="67"/>
      <c r="E13" s="67"/>
      <c r="F13" s="67"/>
      <c r="G13" s="31"/>
      <c r="H13" s="73" t="s">
        <v>281</v>
      </c>
      <c r="I13" s="67"/>
      <c r="J13" s="67"/>
      <c r="K13" s="67"/>
      <c r="L13" s="67"/>
      <c r="M13" s="67"/>
    </row>
    <row r="14" spans="1:13" ht="21" customHeight="1">
      <c r="A14" s="20" t="s">
        <v>282</v>
      </c>
      <c r="B14" s="20" t="s">
        <v>4</v>
      </c>
      <c r="C14" s="20" t="s">
        <v>283</v>
      </c>
      <c r="D14" s="20" t="s">
        <v>284</v>
      </c>
      <c r="E14" s="20" t="s">
        <v>285</v>
      </c>
      <c r="F14" s="28" t="s">
        <v>286</v>
      </c>
      <c r="G14" s="34"/>
      <c r="H14" s="92" t="s">
        <v>2</v>
      </c>
      <c r="I14" s="93"/>
      <c r="J14" s="20" t="s">
        <v>4</v>
      </c>
      <c r="K14" s="20" t="s">
        <v>287</v>
      </c>
      <c r="L14" s="20" t="s">
        <v>283</v>
      </c>
      <c r="M14" s="20" t="s">
        <v>284</v>
      </c>
    </row>
    <row r="15" spans="1:13" ht="21" customHeight="1">
      <c r="A15" s="8" t="str">
        <f>IFERROR(INDEX(Lists!$W$4:$W$106,MATCH(1,Lists!$AA$4:$AA$106,0)),"")</f>
        <v>CRM Case Management</v>
      </c>
      <c r="B15" s="8" t="str">
        <f>IFERROR(INDEX(Lists!$X$4:$X$106,MATCH(1,Lists!$AA$4:$AA$106,0)),"")</f>
        <v>Customer Support</v>
      </c>
      <c r="C15" s="8">
        <f>IFERROR(INDEX(Lists!$Z$4:$Z$108,MATCH(1,Lists!$AA$4:$AA$106,0)),"")</f>
        <v>3</v>
      </c>
      <c r="D15" s="8" t="str">
        <f t="shared" ref="D15:D20" si="0">IF(C15=3,"Qualified",IF(C15=2,"Developing",IF(C15=1,"Needs Training","")))</f>
        <v>Qualified</v>
      </c>
      <c r="E15" s="8" t="str">
        <f>IFERROR(INDEX(Lists!$Y$4:$Y$106,MATCH(1,Lists!$AA$4:$AA$106,0)),"")</f>
        <v>No</v>
      </c>
      <c r="F15" s="29">
        <f>IFERROR(INDEX(Lists!$AE$4:$AE$106,MATCH(1,Lists!$AA$4:$AA$106,0)),"")</f>
        <v>0</v>
      </c>
      <c r="G15" s="35"/>
      <c r="H15" s="102" t="str">
        <f>IFERROR(INDEX(Lists!$AF$4:$AF$203,MATCH(1,Lists!$AL$4:$AL$203,0)),IF(COUNT(Lists!$AI$4:$AI$203)=0,"No scores entered","No matches for current filters"))</f>
        <v>Alex Bennett</v>
      </c>
      <c r="I15" s="71"/>
      <c r="J15" s="8" t="str">
        <f>IFERROR(INDEX(Lists!$AG$4:$AG$203,MATCH(1,Lists!$AL$4:$AL$203,0)),"")</f>
        <v>Customer Support</v>
      </c>
      <c r="K15" s="8">
        <f>IFERROR(INDEX(Lists!$AH$4:$AH$203,MATCH(1,Lists!$AL$4:$AL$203,0)),"")</f>
        <v>1</v>
      </c>
      <c r="L15" s="8">
        <f>IFERROR(INDEX(Lists!$AI$4:$AI$203,MATCH(1,Lists!$AL$4:$AL$203,0)),"")</f>
        <v>3</v>
      </c>
      <c r="M15" s="8" t="str">
        <f>IFERROR(INDEX(Lists!$AJ$4:$AJ$203,MATCH(1,Lists!$AL$4:$AL$203,0)),"")</f>
        <v>Qualified</v>
      </c>
    </row>
    <row r="16" spans="1:13" ht="21" customHeight="1">
      <c r="A16" s="8" t="str">
        <f>IFERROR(INDEX(Lists!$W$4:$W$106,MATCH(2,Lists!$AA$4:$AA$106,0)),"")</f>
        <v>Customer Onboarding Workflow</v>
      </c>
      <c r="B16" s="8" t="str">
        <f>IFERROR(INDEX(Lists!$X$4:$X$106,MATCH(2,Lists!$AA$4:$AA$106,0)),"")</f>
        <v>Customer Support</v>
      </c>
      <c r="C16" s="8">
        <f>IFERROR(INDEX(Lists!$Z$4:$Z$108,MATCH(2,Lists!$AA$4:$AA$106,0)),"")</f>
        <v>3</v>
      </c>
      <c r="D16" s="8" t="str">
        <f t="shared" si="0"/>
        <v>Qualified</v>
      </c>
      <c r="E16" s="8" t="str">
        <f>IFERROR(INDEX(Lists!$Y$4:$Y$106,MATCH(2,Lists!$AA$4:$AA$106,0)),"")</f>
        <v>No</v>
      </c>
      <c r="F16" s="29">
        <f>IFERROR(INDEX(Lists!$AE$4:$AE$106,MATCH(2,Lists!$AA$4:$AA$106,0)),"")</f>
        <v>0</v>
      </c>
      <c r="G16" s="35"/>
      <c r="H16" s="102" t="str">
        <f>IFERROR(INDEX(Lists!$AF$4:$AF$203,MATCH(2,Lists!$AL$4:$AL$203,0)),"")</f>
        <v>Taylor Bell</v>
      </c>
      <c r="I16" s="71"/>
      <c r="J16" s="8" t="str">
        <f>IFERROR(INDEX(Lists!$AG$4:$AG$203,MATCH(2,Lists!$AL$4:$AL$203,0)),"")</f>
        <v>Customer Support</v>
      </c>
      <c r="K16" s="8">
        <f>IFERROR(INDEX(Lists!$AH$4:$AH$203,MATCH(2,Lists!$AL$4:$AL$203,0)),"")</f>
        <v>3</v>
      </c>
      <c r="L16" s="8">
        <f>IFERROR(INDEX(Lists!$AI$4:$AI$203,MATCH(2,Lists!$AL$4:$AL$203,0)),"")</f>
        <v>3</v>
      </c>
      <c r="M16" s="8" t="str">
        <f>IFERROR(INDEX(Lists!$AJ$4:$AJ$203,MATCH(2,Lists!$AL$4:$AL$203,0)),"")</f>
        <v>Qualified</v>
      </c>
    </row>
    <row r="17" spans="1:13" ht="21" customHeight="1">
      <c r="A17" s="8" t="str">
        <f>IFERROR(INDEX(Lists!$W$4:$W$106,MATCH(3,Lists!$AA$4:$AA$106,0)),"")</f>
        <v>Data Privacy Handling</v>
      </c>
      <c r="B17" s="8" t="str">
        <f>IFERROR(INDEX(Lists!$X$4:$X$106,MATCH(3,Lists!$AA$4:$AA$106,0)),"")</f>
        <v>Customer Support</v>
      </c>
      <c r="C17" s="8">
        <f>IFERROR(INDEX(Lists!$Z$4:$Z$108,MATCH(3,Lists!$AA$4:$AA$106,0)),"")</f>
        <v>3</v>
      </c>
      <c r="D17" s="8" t="str">
        <f t="shared" si="0"/>
        <v>Qualified</v>
      </c>
      <c r="E17" s="8" t="str">
        <f>IFERROR(INDEX(Lists!$Y$4:$Y$106,MATCH(3,Lists!$AA$4:$AA$106,0)),"")</f>
        <v>No</v>
      </c>
      <c r="F17" s="29">
        <f>IFERROR(INDEX(Lists!$AE$4:$AE$106,MATCH(3,Lists!$AA$4:$AA$106,0)),"")</f>
        <v>0</v>
      </c>
      <c r="G17" s="35"/>
      <c r="H17" s="102" t="str">
        <f>IFERROR(INDEX(Lists!$AF$4:$AF$203,MATCH(3,Lists!$AL$4:$AL$203,0)),"")</f>
        <v>Casey Barnes</v>
      </c>
      <c r="I17" s="71"/>
      <c r="J17" s="8" t="str">
        <f>IFERROR(INDEX(Lists!$AG$4:$AG$203,MATCH(3,Lists!$AL$4:$AL$203,0)),"")</f>
        <v>Customer Support</v>
      </c>
      <c r="K17" s="8">
        <f>IFERROR(INDEX(Lists!$AH$4:$AH$203,MATCH(3,Lists!$AL$4:$AL$203,0)),"")</f>
        <v>2</v>
      </c>
      <c r="L17" s="8">
        <f>IFERROR(INDEX(Lists!$AI$4:$AI$203,MATCH(3,Lists!$AL$4:$AL$203,0)),"")</f>
        <v>3</v>
      </c>
      <c r="M17" s="8" t="str">
        <f>IFERROR(INDEX(Lists!$AJ$4:$AJ$203,MATCH(3,Lists!$AL$4:$AL$203,0)),"")</f>
        <v>Qualified</v>
      </c>
    </row>
    <row r="18" spans="1:13" ht="21" customHeight="1">
      <c r="A18" s="8" t="str">
        <f>IFERROR(INDEX(Lists!$W$4:$W$106,MATCH(4,Lists!$AA$4:$AA$106,0)),"")</f>
        <v>Troubleshooting Fundamentals</v>
      </c>
      <c r="B18" s="8" t="str">
        <f>IFERROR(INDEX(Lists!$X$4:$X$106,MATCH(4,Lists!$AA$4:$AA$106,0)),"")</f>
        <v>Customer Support</v>
      </c>
      <c r="C18" s="8">
        <f>IFERROR(INDEX(Lists!$Z$4:$Z$108,MATCH(4,Lists!$AA$4:$AA$106,0)),"")</f>
        <v>3</v>
      </c>
      <c r="D18" s="8" t="str">
        <f t="shared" si="0"/>
        <v>Qualified</v>
      </c>
      <c r="E18" s="8" t="str">
        <f>IFERROR(INDEX(Lists!$Y$4:$Y$106,MATCH(4,Lists!$AA$4:$AA$106,0)),"")</f>
        <v>No</v>
      </c>
      <c r="F18" s="29">
        <f>IFERROR(INDEX(Lists!$AE$4:$AE$106,MATCH(4,Lists!$AA$4:$AA$106,0)),"")</f>
        <v>0</v>
      </c>
      <c r="G18" s="35"/>
      <c r="H18" s="102" t="str">
        <f>IFERROR(INDEX(Lists!$AF$4:$AF$203,MATCH(4,Lists!$AL$4:$AL$203,0)),"")</f>
        <v/>
      </c>
      <c r="I18" s="71"/>
      <c r="J18" s="8" t="str">
        <f>IFERROR(INDEX(Lists!$AG$4:$AG$203,MATCH(4,Lists!$AL$4:$AL$203,0)),"")</f>
        <v/>
      </c>
      <c r="K18" s="8" t="str">
        <f>IFERROR(INDEX(Lists!$AH$4:$AH$203,MATCH(4,Lists!$AL$4:$AL$203,0)),"")</f>
        <v/>
      </c>
      <c r="L18" s="8" t="str">
        <f>IFERROR(INDEX(Lists!$AI$4:$AI$203,MATCH(4,Lists!$AL$4:$AL$203,0)),"")</f>
        <v/>
      </c>
      <c r="M18" s="8" t="str">
        <f>IFERROR(INDEX(Lists!$AJ$4:$AJ$203,MATCH(4,Lists!$AL$4:$AL$203,0)),"")</f>
        <v/>
      </c>
    </row>
    <row r="19" spans="1:13" ht="21" customHeight="1">
      <c r="A19" s="8" t="str">
        <f>IFERROR(INDEX(Lists!$W$4:$W$106,MATCH(5,Lists!$AA$4:$AA$106,0)),"")</f>
        <v>Customer Configuration Support</v>
      </c>
      <c r="B19" s="8" t="str">
        <f>IFERROR(INDEX(Lists!$X$4:$X$106,MATCH(5,Lists!$AA$4:$AA$106,0)),"")</f>
        <v>Customer Support</v>
      </c>
      <c r="C19" s="8">
        <f>IFERROR(INDEX(Lists!$Z$4:$Z$108,MATCH(5,Lists!$AA$4:$AA$106,0)),"")</f>
        <v>3</v>
      </c>
      <c r="D19" s="8" t="str">
        <f t="shared" si="0"/>
        <v>Qualified</v>
      </c>
      <c r="E19" s="8" t="str">
        <f>IFERROR(INDEX(Lists!$Y$4:$Y$106,MATCH(5,Lists!$AA$4:$AA$106,0)),"")</f>
        <v>No</v>
      </c>
      <c r="F19" s="29">
        <f>IFERROR(INDEX(Lists!$AE$4:$AE$106,MATCH(5,Lists!$AA$4:$AA$106,0)),"")</f>
        <v>0</v>
      </c>
      <c r="G19" s="35"/>
      <c r="H19" s="102" t="str">
        <f>IFERROR(INDEX(Lists!$AF$4:$AF$203,MATCH(5,Lists!$AL$4:$AL$203,0)),"")</f>
        <v/>
      </c>
      <c r="I19" s="71"/>
      <c r="J19" s="8" t="str">
        <f>IFERROR(INDEX(Lists!$AG$4:$AG$203,MATCH(5,Lists!$AL$4:$AL$203,0)),"")</f>
        <v/>
      </c>
      <c r="K19" s="8" t="str">
        <f>IFERROR(INDEX(Lists!$AH$4:$AH$203,MATCH(5,Lists!$AL$4:$AL$203,0)),"")</f>
        <v/>
      </c>
      <c r="L19" s="8" t="str">
        <f>IFERROR(INDEX(Lists!$AI$4:$AI$203,MATCH(5,Lists!$AL$4:$AL$203,0)),"")</f>
        <v/>
      </c>
      <c r="M19" s="8" t="str">
        <f>IFERROR(INDEX(Lists!$AJ$4:$AJ$203,MATCH(5,Lists!$AL$4:$AL$203,0)),"")</f>
        <v/>
      </c>
    </row>
    <row r="20" spans="1:13" ht="21" customHeight="1">
      <c r="A20" s="8" t="str">
        <f>IFERROR(INDEX(Lists!$W$4:$W$106,MATCH(6,Lists!$AA$4:$AA$106,0)),"")</f>
        <v>Backup Validation</v>
      </c>
      <c r="B20" s="8" t="str">
        <f>IFERROR(INDEX(Lists!$X$4:$X$106,MATCH(6,Lists!$AA$4:$AA$106,0)),"")</f>
        <v>Cloud &amp; Reliability</v>
      </c>
      <c r="C20" s="8">
        <f>IFERROR(INDEX(Lists!$Z$4:$Z$108,MATCH(6,Lists!$AA$4:$AA$106,0)),"")</f>
        <v>3</v>
      </c>
      <c r="D20" s="8" t="str">
        <f t="shared" si="0"/>
        <v>Qualified</v>
      </c>
      <c r="E20" s="8" t="str">
        <f>IFERROR(INDEX(Lists!$Y$4:$Y$106,MATCH(6,Lists!$AA$4:$AA$106,0)),"")</f>
        <v>Yes</v>
      </c>
      <c r="F20" s="29">
        <f>IFERROR(INDEX(Lists!$AE$4:$AE$106,MATCH(6,Lists!$AA$4:$AA$106,0)),"")</f>
        <v>2</v>
      </c>
      <c r="G20" s="35"/>
      <c r="H20" s="102" t="str">
        <f>IFERROR(INDEX(Lists!$AF$4:$AF$203,MATCH(6,Lists!$AL$4:$AL$203,0)),"")</f>
        <v/>
      </c>
      <c r="I20" s="71"/>
      <c r="J20" s="8" t="str">
        <f>IFERROR(INDEX(Lists!$AG$4:$AG$203,MATCH(6,Lists!$AL$4:$AL$203,0)),"")</f>
        <v/>
      </c>
      <c r="K20" s="8" t="str">
        <f>IFERROR(INDEX(Lists!$AH$4:$AH$203,MATCH(6,Lists!$AL$4:$AL$203,0)),"")</f>
        <v/>
      </c>
      <c r="L20" s="8" t="str">
        <f>IFERROR(INDEX(Lists!$AI$4:$AI$203,MATCH(6,Lists!$AL$4:$AL$203,0)),"")</f>
        <v/>
      </c>
      <c r="M20" s="8" t="str">
        <f>IFERROR(INDEX(Lists!$AJ$4:$AJ$203,MATCH(6,Lists!$AL$4:$AL$203,0)),"")</f>
        <v/>
      </c>
    </row>
    <row r="21" spans="1:13" ht="9" customHeight="1"/>
    <row r="22" spans="1:13" ht="30" customHeight="1">
      <c r="A22" s="106" t="s">
        <v>288</v>
      </c>
      <c r="B22" s="67"/>
      <c r="C22" s="67"/>
      <c r="D22" s="67"/>
      <c r="E22" s="67"/>
      <c r="F22" s="67"/>
      <c r="H22" s="106" t="s">
        <v>289</v>
      </c>
      <c r="I22" s="67"/>
      <c r="J22" s="67"/>
      <c r="K22" s="67"/>
      <c r="L22" s="67"/>
      <c r="M22" s="67"/>
    </row>
    <row r="23" spans="1:13" ht="12" customHeight="1"/>
    <row r="24" spans="1:13" ht="21" customHeight="1">
      <c r="A24" s="73" t="s">
        <v>290</v>
      </c>
      <c r="B24" s="67"/>
      <c r="C24" s="67"/>
      <c r="D24" s="67"/>
      <c r="E24" s="20" t="s">
        <v>267</v>
      </c>
      <c r="F24" s="45" t="s">
        <v>211</v>
      </c>
      <c r="G24" s="44"/>
      <c r="H24" s="73" t="s">
        <v>291</v>
      </c>
      <c r="I24" s="67"/>
      <c r="J24" s="67"/>
      <c r="K24" s="67"/>
      <c r="L24" s="67"/>
      <c r="M24" s="67"/>
    </row>
    <row r="25" spans="1:13" ht="21" customHeight="1">
      <c r="A25" s="20" t="s">
        <v>282</v>
      </c>
      <c r="B25" s="20" t="s">
        <v>4</v>
      </c>
      <c r="C25" s="20" t="s">
        <v>292</v>
      </c>
      <c r="D25" s="20" t="s">
        <v>293</v>
      </c>
      <c r="E25" s="20" t="s">
        <v>294</v>
      </c>
      <c r="F25" s="28" t="s">
        <v>295</v>
      </c>
      <c r="G25" s="34"/>
      <c r="H25" s="92" t="s">
        <v>287</v>
      </c>
      <c r="I25" s="93"/>
      <c r="J25" s="104" t="s">
        <v>292</v>
      </c>
      <c r="K25" s="93"/>
      <c r="L25" s="104" t="s">
        <v>296</v>
      </c>
      <c r="M25" s="93"/>
    </row>
    <row r="26" spans="1:13" ht="21" customHeight="1">
      <c r="A26" s="4" t="str">
        <f>IFERROR(INDEX(Lists!$P$4:$P$106,MATCH(1,Lists!$U$4:$U$106,0)),"")</f>
        <v>Security Awareness</v>
      </c>
      <c r="B26" s="8" t="str">
        <f>IFERROR(INDEX(Lists!$Q$4:$Q$108,MATCH(1,Lists!$U$4:$U$106,0)),"")</f>
        <v>Compliance &amp; Core Training</v>
      </c>
      <c r="C26" s="8">
        <f>IFERROR(INDEX(Lists!$S$4:$S$106,MATCH(1,Lists!$U$4:$U$106,0)),"")</f>
        <v>4</v>
      </c>
      <c r="D26" s="8">
        <f>IFERROR(INDEX(Lists!$R$4:$R$106,MATCH(1,Lists!$U$4:$U$106,0)),"")</f>
        <v>115</v>
      </c>
      <c r="E26" s="8">
        <f>IFERROR(INDEX(Lists!$T$4:$T$108,MATCH(1,Lists!$U$4:$U$106,0)),"")</f>
        <v>111</v>
      </c>
      <c r="F26" s="29" t="str">
        <f t="shared" ref="F26:F31" si="1">IF(A26="","",IF(C26=0,"Uncovered",IF(C26=1,"Single Point",IF(C26=2,"Fragile",IF(E26&gt;0,"Below Target","Covered")))))</f>
        <v>Below Target</v>
      </c>
      <c r="G26" s="36"/>
      <c r="H26" s="102">
        <v>1</v>
      </c>
      <c r="I26" s="71"/>
      <c r="J26" s="91">
        <f>COUNTIFS(Lists!$AH$4:$AH$203,H26,Lists!$AI$4:$AI$203,3)</f>
        <v>1</v>
      </c>
      <c r="K26" s="71"/>
      <c r="L26" s="91">
        <f>COUNTIFS(Lists!$AH$4:$AH$203,H26,Lists!$AI$4:$AI$203,"&gt;0",Lists!$AI$4:$AI$203,"&lt;3")</f>
        <v>0</v>
      </c>
      <c r="M26" s="71"/>
    </row>
    <row r="27" spans="1:13" ht="21" customHeight="1">
      <c r="A27" s="4" t="str">
        <f>IFERROR(INDEX(Lists!$P$4:$P$106,MATCH(2,Lists!$U$4:$U$106,0)),"")</f>
        <v>Browser Compatibility Testing</v>
      </c>
      <c r="B27" s="8" t="str">
        <f>IFERROR(INDEX(Lists!$Q$4:$Q$108,MATCH(2,Lists!$U$4:$U$106,0)),"")</f>
        <v>Quality Assurance</v>
      </c>
      <c r="C27" s="8">
        <f>IFERROR(INDEX(Lists!$S$4:$S$106,MATCH(2,Lists!$U$4:$U$106,0)),"")</f>
        <v>0</v>
      </c>
      <c r="D27" s="8">
        <f>IFERROR(INDEX(Lists!$R$4:$R$106,MATCH(2,Lists!$U$4:$U$106,0)),"")</f>
        <v>12</v>
      </c>
      <c r="E27" s="8">
        <f>IFERROR(INDEX(Lists!$T$4:$T$108,MATCH(2,Lists!$U$4:$U$106,0)),"")</f>
        <v>12</v>
      </c>
      <c r="F27" s="29" t="str">
        <f t="shared" si="1"/>
        <v>Uncovered</v>
      </c>
      <c r="G27" s="36"/>
      <c r="H27" s="102">
        <v>2</v>
      </c>
      <c r="I27" s="71"/>
      <c r="J27" s="91">
        <f>COUNTIFS(Lists!$AH$4:$AH$203,H27,Lists!$AI$4:$AI$203,3)</f>
        <v>1</v>
      </c>
      <c r="K27" s="71"/>
      <c r="L27" s="91">
        <f>COUNTIFS(Lists!$AH$4:$AH$203,H27,Lists!$AI$4:$AI$203,"&gt;0",Lists!$AI$4:$AI$203,"&lt;3")</f>
        <v>0</v>
      </c>
      <c r="M27" s="71"/>
    </row>
    <row r="28" spans="1:13" ht="21" customHeight="1">
      <c r="A28" s="4" t="str">
        <f>IFERROR(INDEX(Lists!$P$4:$P$106,MATCH(3,Lists!$U$4:$U$106,0)),"")</f>
        <v>Data Validation</v>
      </c>
      <c r="B28" s="8" t="str">
        <f>IFERROR(INDEX(Lists!$Q$4:$Q$108,MATCH(3,Lists!$U$4:$U$106,0)),"")</f>
        <v>Data &amp; Analytics</v>
      </c>
      <c r="C28" s="8">
        <f>IFERROR(INDEX(Lists!$S$4:$S$106,MATCH(3,Lists!$U$4:$U$106,0)),"")</f>
        <v>0</v>
      </c>
      <c r="D28" s="8">
        <f>IFERROR(INDEX(Lists!$R$4:$R$106,MATCH(3,Lists!$U$4:$U$106,0)),"")</f>
        <v>10</v>
      </c>
      <c r="E28" s="8">
        <f>IFERROR(INDEX(Lists!$T$4:$T$108,MATCH(3,Lists!$U$4:$U$106,0)),"")</f>
        <v>10</v>
      </c>
      <c r="F28" s="29" t="str">
        <f t="shared" si="1"/>
        <v>Uncovered</v>
      </c>
      <c r="G28" s="36"/>
      <c r="H28" s="102">
        <v>3</v>
      </c>
      <c r="I28" s="71"/>
      <c r="J28" s="91">
        <f>COUNTIFS(Lists!$AH$4:$AH$203,H28,Lists!$AI$4:$AI$203,3)</f>
        <v>1</v>
      </c>
      <c r="K28" s="71"/>
      <c r="L28" s="91">
        <f>COUNTIFS(Lists!$AH$4:$AH$203,H28,Lists!$AI$4:$AI$203,"&gt;0",Lists!$AI$4:$AI$203,"&lt;3")</f>
        <v>0</v>
      </c>
      <c r="M28" s="71"/>
    </row>
    <row r="29" spans="1:13" ht="21" customHeight="1">
      <c r="A29" s="4" t="str">
        <f>IFERROR(INDEX(Lists!$P$4:$P$106,MATCH(4,Lists!$U$4:$U$106,0)),"")</f>
        <v>Data Incident Triage</v>
      </c>
      <c r="B29" s="8" t="str">
        <f>IFERROR(INDEX(Lists!$Q$4:$Q$108,MATCH(4,Lists!$U$4:$U$106,0)),"")</f>
        <v>Data &amp; Analytics</v>
      </c>
      <c r="C29" s="8">
        <f>IFERROR(INDEX(Lists!$S$4:$S$106,MATCH(4,Lists!$U$4:$U$106,0)),"")</f>
        <v>0</v>
      </c>
      <c r="D29" s="8">
        <f>IFERROR(INDEX(Lists!$R$4:$R$106,MATCH(4,Lists!$U$4:$U$106,0)),"")</f>
        <v>10</v>
      </c>
      <c r="E29" s="8">
        <f>IFERROR(INDEX(Lists!$T$4:$T$108,MATCH(4,Lists!$U$4:$U$106,0)),"")</f>
        <v>10</v>
      </c>
      <c r="F29" s="29" t="str">
        <f t="shared" si="1"/>
        <v>Uncovered</v>
      </c>
      <c r="G29" s="36"/>
      <c r="H29" s="102"/>
      <c r="I29" s="71"/>
      <c r="J29" s="91"/>
      <c r="K29" s="71"/>
      <c r="L29" s="91"/>
      <c r="M29" s="71"/>
    </row>
    <row r="30" spans="1:13" ht="21" customHeight="1">
      <c r="A30" s="4" t="str">
        <f>IFERROR(INDEX(Lists!$P$4:$P$106,MATCH(5,Lists!$U$4:$U$106,0)),"")</f>
        <v>Data Privacy &amp; Acceptable Use</v>
      </c>
      <c r="B30" s="8" t="str">
        <f>IFERROR(INDEX(Lists!$Q$4:$Q$108,MATCH(5,Lists!$U$4:$U$106,0)),"")</f>
        <v>Compliance &amp; Core Training</v>
      </c>
      <c r="C30" s="8">
        <f>IFERROR(INDEX(Lists!$S$4:$S$106,MATCH(5,Lists!$U$4:$U$106,0)),"")</f>
        <v>5</v>
      </c>
      <c r="D30" s="8">
        <f>IFERROR(INDEX(Lists!$R$4:$R$106,MATCH(5,Lists!$U$4:$U$106,0)),"")</f>
        <v>15</v>
      </c>
      <c r="E30" s="8">
        <f>IFERROR(INDEX(Lists!$T$4:$T$108,MATCH(5,Lists!$U$4:$U$106,0)),"")</f>
        <v>10</v>
      </c>
      <c r="F30" s="29" t="str">
        <f t="shared" si="1"/>
        <v>Below Target</v>
      </c>
      <c r="G30" s="36"/>
      <c r="H30" s="102"/>
      <c r="I30" s="71"/>
      <c r="J30" s="91"/>
      <c r="K30" s="71"/>
      <c r="L30" s="91"/>
      <c r="M30" s="71"/>
    </row>
    <row r="31" spans="1:13" ht="21" customHeight="1">
      <c r="A31" s="4" t="str">
        <f>IFERROR(INDEX(Lists!$P$4:$P$106,MATCH(6,Lists!$U$4:$U$106,0)),"")</f>
        <v>QA Engineer II</v>
      </c>
      <c r="B31" s="8" t="str">
        <f>IFERROR(INDEX(Lists!$Q$4:$Q$108,MATCH(6,Lists!$U$4:$U$106,0)),"")</f>
        <v>Data &amp; Analytics</v>
      </c>
      <c r="C31" s="8">
        <f>IFERROR(INDEX(Lists!$S$4:$S$106,MATCH(6,Lists!$U$4:$U$106,0)),"")</f>
        <v>0</v>
      </c>
      <c r="D31" s="8">
        <f>IFERROR(INDEX(Lists!$R$4:$R$106,MATCH(6,Lists!$U$4:$U$106,0)),"")</f>
        <v>9</v>
      </c>
      <c r="E31" s="8">
        <f>IFERROR(INDEX(Lists!$T$4:$T$108,MATCH(6,Lists!$U$4:$U$106,0)),"")</f>
        <v>9</v>
      </c>
      <c r="F31" s="29" t="str">
        <f t="shared" si="1"/>
        <v>Uncovered</v>
      </c>
      <c r="G31" s="36"/>
      <c r="H31" s="102"/>
      <c r="I31" s="71"/>
      <c r="J31" s="91"/>
      <c r="K31" s="71"/>
      <c r="L31" s="91"/>
      <c r="M31" s="71"/>
    </row>
    <row r="32" spans="1:13" ht="24" customHeight="1">
      <c r="H32" s="116" t="s">
        <v>297</v>
      </c>
      <c r="I32" s="76"/>
      <c r="J32" s="76"/>
      <c r="K32" s="76"/>
      <c r="L32" s="76"/>
      <c r="M32" s="77"/>
    </row>
    <row r="33" spans="1:13" ht="24" customHeight="1">
      <c r="H33" s="80"/>
      <c r="I33" s="81"/>
      <c r="J33" s="81"/>
      <c r="K33" s="81"/>
      <c r="L33" s="81"/>
      <c r="M33" s="82"/>
    </row>
    <row r="34" spans="1:13" ht="13.95" customHeight="1"/>
    <row r="35" spans="1:13" ht="21" customHeight="1">
      <c r="A35" s="73" t="s">
        <v>298</v>
      </c>
      <c r="B35" s="67"/>
      <c r="C35" s="67"/>
      <c r="D35" s="67"/>
      <c r="E35" s="67"/>
      <c r="G35" s="31"/>
      <c r="H35" s="73" t="s">
        <v>299</v>
      </c>
      <c r="I35" s="67"/>
      <c r="J35" s="67"/>
      <c r="K35" s="67"/>
      <c r="L35" s="67"/>
      <c r="M35" s="67"/>
    </row>
    <row r="36" spans="1:13" ht="21" customHeight="1">
      <c r="A36" s="20" t="s">
        <v>4</v>
      </c>
      <c r="B36" s="20" t="s">
        <v>300</v>
      </c>
      <c r="C36" s="20" t="s">
        <v>301</v>
      </c>
      <c r="D36" s="20" t="s">
        <v>302</v>
      </c>
      <c r="E36" s="20" t="s">
        <v>303</v>
      </c>
    </row>
    <row r="37" spans="1:13" ht="21" customHeight="1">
      <c r="A37" s="1" t="s">
        <v>304</v>
      </c>
      <c r="B37" s="46">
        <f>COUNTIF('Skills Matrix'!$A$6:$A$205,A37)</f>
        <v>6</v>
      </c>
      <c r="C37" s="46">
        <f>COUNTIFS('Skills Matrix'!$A$6:$A$205,A37,'Skills Matrix'!$DG$6:$DG$205,"&gt;0")</f>
        <v>6</v>
      </c>
      <c r="D37" s="46">
        <f>SUMIF('Skills Matrix'!$A$6:$A$205,A37,'Skills Matrix'!$DH$6:$DH$205)</f>
        <v>38</v>
      </c>
      <c r="E37" s="47">
        <f>IFERROR(AVERAGEIF('Skills Matrix'!$A$6:$A$205,A37,'Skills Matrix'!$DI$6:$DI$205),0)</f>
        <v>0.45833333333333331</v>
      </c>
    </row>
    <row r="38" spans="1:13" ht="21" customHeight="1">
      <c r="A38" s="1" t="s">
        <v>305</v>
      </c>
      <c r="B38" s="46">
        <f>COUNTIF('Skills Matrix'!$A$6:$A$205,A38)</f>
        <v>6</v>
      </c>
      <c r="C38" s="46">
        <f>COUNTIFS('Skills Matrix'!$A$6:$A$205,A38,'Skills Matrix'!$DG$6:$DG$205,"&gt;0")</f>
        <v>6</v>
      </c>
      <c r="D38" s="46">
        <f>SUMIF('Skills Matrix'!$A$6:$A$205,A38,'Skills Matrix'!$DH$6:$DH$205)</f>
        <v>20</v>
      </c>
      <c r="E38" s="47">
        <f>IFERROR(AVERAGEIF('Skills Matrix'!$A$6:$A$205,A38,'Skills Matrix'!$DI$6:$DI$205),0)</f>
        <v>0.45238095238095238</v>
      </c>
    </row>
    <row r="39" spans="1:13" ht="21" customHeight="1">
      <c r="A39" s="1" t="s">
        <v>306</v>
      </c>
      <c r="B39" s="46">
        <f>COUNTIF('Skills Matrix'!$A$6:$A$205,A39)</f>
        <v>6</v>
      </c>
      <c r="C39" s="46">
        <f>COUNTIFS('Skills Matrix'!$A$6:$A$205,A39,'Skills Matrix'!$DG$6:$DG$205,"&gt;0")</f>
        <v>6</v>
      </c>
      <c r="D39" s="46">
        <f>SUMIF('Skills Matrix'!$A$6:$A$205,A39,'Skills Matrix'!$DH$6:$DH$205)</f>
        <v>29</v>
      </c>
      <c r="E39" s="47">
        <f>IFERROR(AVERAGEIF('Skills Matrix'!$A$6:$A$205,A39,'Skills Matrix'!$DI$6:$DI$205),0)</f>
        <v>0.85185185185185175</v>
      </c>
    </row>
    <row r="40" spans="1:13" ht="21" customHeight="1">
      <c r="A40" s="1" t="s">
        <v>307</v>
      </c>
      <c r="B40" s="46">
        <f>COUNTIF('Skills Matrix'!$A$6:$A$205,A40)</f>
        <v>6</v>
      </c>
      <c r="C40" s="46">
        <f>COUNTIFS('Skills Matrix'!$A$6:$A$205,A40,'Skills Matrix'!$DG$6:$DG$205,"&gt;0")</f>
        <v>6</v>
      </c>
      <c r="D40" s="46">
        <f>SUMIF('Skills Matrix'!$A$6:$A$205,A40,'Skills Matrix'!$DH$6:$DH$205)</f>
        <v>22</v>
      </c>
      <c r="E40" s="47">
        <f>IFERROR(AVERAGEIF('Skills Matrix'!$A$6:$A$205,A40,'Skills Matrix'!$DI$6:$DI$205),0)</f>
        <v>0.54166666666666663</v>
      </c>
    </row>
    <row r="41" spans="1:13" ht="21" customHeight="1">
      <c r="A41" s="1" t="s">
        <v>308</v>
      </c>
      <c r="B41" s="46">
        <f>COUNTIF('Skills Matrix'!$A$6:$A$205,A41)</f>
        <v>6</v>
      </c>
      <c r="C41" s="46">
        <f>COUNTIFS('Skills Matrix'!$A$6:$A$205,A41,'Skills Matrix'!$DG$6:$DG$205,"&gt;0")</f>
        <v>6</v>
      </c>
      <c r="D41" s="46">
        <f>SUMIF('Skills Matrix'!$A$6:$A$205,A41,'Skills Matrix'!$DH$6:$DH$205)</f>
        <v>29</v>
      </c>
      <c r="E41" s="47">
        <f>IFERROR(AVERAGEIF('Skills Matrix'!$A$6:$A$205,A41,'Skills Matrix'!$DI$6:$DI$205),0)</f>
        <v>0.72222222222222221</v>
      </c>
    </row>
    <row r="42" spans="1:13" ht="21" customHeight="1">
      <c r="A42" s="1" t="s">
        <v>309</v>
      </c>
      <c r="B42" s="46">
        <f>COUNTIF('Skills Matrix'!$A$6:$A$205,A42)</f>
        <v>6</v>
      </c>
      <c r="C42" s="46">
        <f>COUNTIFS('Skills Matrix'!$A$6:$A$205,A42,'Skills Matrix'!$DG$6:$DG$205,"&gt;0")</f>
        <v>6</v>
      </c>
      <c r="D42" s="46">
        <f>SUMIF('Skills Matrix'!$A$6:$A$205,A42,'Skills Matrix'!$DH$6:$DH$205)</f>
        <v>36</v>
      </c>
      <c r="E42" s="47">
        <f>IFERROR(AVERAGEIF('Skills Matrix'!$A$6:$A$205,A42,'Skills Matrix'!$DI$6:$DI$205),0)</f>
        <v>0.40196078431372545</v>
      </c>
    </row>
    <row r="43" spans="1:13" ht="21" customHeight="1">
      <c r="A43" s="1" t="s">
        <v>310</v>
      </c>
      <c r="B43" s="46">
        <f>COUNTIF('Skills Matrix'!$A$6:$A$205,A43)</f>
        <v>0</v>
      </c>
      <c r="C43" s="46">
        <f>COUNTIFS('Skills Matrix'!$A$6:$A$205,A43,'Skills Matrix'!$DG$6:$DG$205,"&gt;0")</f>
        <v>0</v>
      </c>
      <c r="D43" s="46">
        <f>SUMIF('Skills Matrix'!$A$6:$A$205,A43,'Skills Matrix'!$DH$6:$DH$205)</f>
        <v>0</v>
      </c>
      <c r="E43" s="47">
        <f>IFERROR(AVERAGEIF('Skills Matrix'!$A$6:$A$205,A43,'Skills Matrix'!$DI$6:$DI$205),0)</f>
        <v>0</v>
      </c>
    </row>
    <row r="44" spans="1:13" ht="21" customHeight="1">
      <c r="A44" s="1" t="s">
        <v>311</v>
      </c>
      <c r="B44" s="46">
        <f>COUNTIF('Skills Matrix'!$A$6:$A$205,A44)</f>
        <v>0</v>
      </c>
      <c r="C44" s="46">
        <f>COUNTIFS('Skills Matrix'!$A$6:$A$205,A44,'Skills Matrix'!$DG$6:$DG$205,"&gt;0")</f>
        <v>0</v>
      </c>
      <c r="D44" s="46">
        <f>SUMIF('Skills Matrix'!$A$6:$A$205,A44,'Skills Matrix'!$DH$6:$DH$205)</f>
        <v>0</v>
      </c>
      <c r="E44" s="47">
        <f>IFERROR(AVERAGEIF('Skills Matrix'!$A$6:$A$205,A44,'Skills Matrix'!$DI$6:$DI$205),0)</f>
        <v>0</v>
      </c>
    </row>
    <row r="45" spans="1:13" ht="21" customHeight="1">
      <c r="A45" s="1" t="s">
        <v>312</v>
      </c>
      <c r="B45" s="46">
        <f>COUNTIF('Skills Matrix'!$A$6:$A$205,A45)</f>
        <v>0</v>
      </c>
      <c r="C45" s="46">
        <f>COUNTIFS('Skills Matrix'!$A$6:$A$205,A45,'Skills Matrix'!$DG$6:$DG$205,"&gt;0")</f>
        <v>0</v>
      </c>
      <c r="D45" s="46">
        <f>SUMIF('Skills Matrix'!$A$6:$A$205,A45,'Skills Matrix'!$DH$6:$DH$205)</f>
        <v>0</v>
      </c>
      <c r="E45" s="47">
        <f>IFERROR(AVERAGEIF('Skills Matrix'!$A$6:$A$205,A45,'Skills Matrix'!$DI$6:$DI$205),0)</f>
        <v>0</v>
      </c>
    </row>
    <row r="46" spans="1:13" ht="21" customHeight="1">
      <c r="A46" s="1" t="s">
        <v>213</v>
      </c>
      <c r="B46" s="46">
        <f>COUNTIF('Skills Matrix'!$A$6:$A$205,A46)</f>
        <v>0</v>
      </c>
      <c r="C46" s="46">
        <f>COUNTIFS('Skills Matrix'!$A$6:$A$205,A46,'Skills Matrix'!$DG$6:$DG$205,"&gt;0")</f>
        <v>0</v>
      </c>
      <c r="D46" s="46">
        <f>SUMIF('Skills Matrix'!$A$6:$A$205,A46,'Skills Matrix'!$DH$6:$DH$205)</f>
        <v>0</v>
      </c>
      <c r="E46" s="47">
        <f>IFERROR(AVERAGEIF('Skills Matrix'!$A$6:$A$205,A46,'Skills Matrix'!$DI$6:$DI$205),0)</f>
        <v>0</v>
      </c>
    </row>
    <row r="47" spans="1:13" ht="21" customHeight="1"/>
    <row r="48" spans="1:13" ht="13.95" customHeight="1"/>
    <row r="49" spans="1:13" ht="21" customHeight="1">
      <c r="A49" s="73" t="s">
        <v>313</v>
      </c>
      <c r="B49" s="67"/>
      <c r="C49" s="67"/>
      <c r="D49" s="67"/>
      <c r="E49" s="67"/>
      <c r="F49" s="67"/>
      <c r="G49" s="40"/>
      <c r="H49" s="73" t="s">
        <v>314</v>
      </c>
      <c r="I49" s="67"/>
      <c r="J49" s="67"/>
      <c r="K49" s="67"/>
      <c r="L49" s="67"/>
      <c r="M49" s="67"/>
    </row>
    <row r="50" spans="1:13" ht="21" customHeight="1">
      <c r="A50" s="20" t="s">
        <v>2</v>
      </c>
      <c r="B50" s="20" t="s">
        <v>282</v>
      </c>
      <c r="C50" s="20" t="s">
        <v>4</v>
      </c>
      <c r="D50" s="20" t="s">
        <v>8</v>
      </c>
      <c r="E50" s="20" t="s">
        <v>315</v>
      </c>
      <c r="F50" s="28" t="s">
        <v>316</v>
      </c>
      <c r="G50" s="41"/>
      <c r="H50" s="113" t="s">
        <v>317</v>
      </c>
      <c r="I50" s="95"/>
      <c r="J50" s="96"/>
      <c r="K50" s="101" t="s">
        <v>318</v>
      </c>
      <c r="L50" s="95"/>
      <c r="M50" s="96"/>
    </row>
    <row r="51" spans="1:13" ht="21" customHeight="1">
      <c r="A51" s="8" t="str">
        <f>IF('Training Plan'!A5="","",'Training Plan'!A5)</f>
        <v>Emerson Perry</v>
      </c>
      <c r="B51" s="8" t="str">
        <f>IF('Training Plan'!A5="","",'Training Plan'!C5)</f>
        <v>Secure Coding Basics</v>
      </c>
      <c r="C51" s="8" t="str">
        <f>IF('Training Plan'!A5="","",'Training Plan'!B5)</f>
        <v>Software Engineering</v>
      </c>
      <c r="D51" s="8" t="str">
        <f>IF('Training Plan'!A5="","",'Training Plan'!F5)</f>
        <v>Not Started</v>
      </c>
      <c r="E51" s="10">
        <f>IFERROR(IF('Training Plan'!E5&gt;0,'Training Plan'!E5,""),"")</f>
        <v>46346</v>
      </c>
      <c r="F51" s="29" t="str">
        <f>IFERROR(IF('Training Plan'!A5="","",'Training Plan'!H5),"")</f>
        <v>Casey Hart</v>
      </c>
      <c r="G51" s="38"/>
      <c r="H51" s="105">
        <f>COUNTA(Certifications!$A$4:$A$503)</f>
        <v>44</v>
      </c>
      <c r="I51" s="85"/>
      <c r="J51" s="86"/>
      <c r="K51" s="108">
        <f ca="1">COUNTIF(Certifications!$G$4:$G$503,"Current")</f>
        <v>35</v>
      </c>
      <c r="L51" s="85"/>
      <c r="M51" s="86"/>
    </row>
    <row r="52" spans="1:13" ht="21" customHeight="1">
      <c r="A52" s="8" t="str">
        <f>IF('Training Plan'!A6="","",'Training Plan'!A6)</f>
        <v>Emerson Perry</v>
      </c>
      <c r="B52" s="8" t="str">
        <f>IF('Training Plan'!A6="","",'Training Plan'!C6)</f>
        <v>Feature Flag Management</v>
      </c>
      <c r="C52" s="8" t="str">
        <f>IF('Training Plan'!A6="","",'Training Plan'!B6)</f>
        <v>Software Engineering</v>
      </c>
      <c r="D52" s="8" t="str">
        <f>IF('Training Plan'!A6="","",'Training Plan'!F6)</f>
        <v>Not Started</v>
      </c>
      <c r="E52" s="10">
        <f>IFERROR(IF('Training Plan'!E6&gt;0,'Training Plan'!E6,""),"")</f>
        <v>46286</v>
      </c>
      <c r="F52" s="29" t="str">
        <f>IFERROR(IF('Training Plan'!A6="","",'Training Plan'!H6),"")</f>
        <v>Casey Hart</v>
      </c>
      <c r="G52" s="38"/>
      <c r="H52" s="67"/>
      <c r="I52" s="67"/>
      <c r="J52" s="87"/>
      <c r="K52" s="99"/>
      <c r="L52" s="67"/>
      <c r="M52" s="87"/>
    </row>
    <row r="53" spans="1:13" ht="21" customHeight="1">
      <c r="A53" s="8" t="str">
        <f>IF('Training Plan'!A7="","",'Training Plan'!A7)</f>
        <v>Dakota Ward</v>
      </c>
      <c r="B53" s="8" t="str">
        <f>IF('Training Plan'!A7="","",'Training Plan'!C7)</f>
        <v>Network Support Analyst</v>
      </c>
      <c r="C53" s="8" t="str">
        <f>IF('Training Plan'!A7="","",'Training Plan'!B7)</f>
        <v>IT Operations</v>
      </c>
      <c r="D53" s="8" t="str">
        <f>IF('Training Plan'!A7="","",'Training Plan'!F7)</f>
        <v>In Progress</v>
      </c>
      <c r="E53" s="10">
        <f>IFERROR(IF('Training Plan'!E7&gt;0,'Training Plan'!E7,""),"")</f>
        <v>46320</v>
      </c>
      <c r="F53" s="29" t="str">
        <f>IFERROR(IF('Training Plan'!A7="","",'Training Plan'!H7),"")</f>
        <v>Riley Stone</v>
      </c>
      <c r="G53" s="38"/>
      <c r="H53" s="88"/>
      <c r="I53" s="88"/>
      <c r="J53" s="89"/>
      <c r="K53" s="100"/>
      <c r="L53" s="88"/>
      <c r="M53" s="89"/>
    </row>
    <row r="54" spans="1:13" ht="21" customHeight="1">
      <c r="A54" s="8" t="str">
        <f>IF('Training Plan'!A8="","",'Training Plan'!A8)</f>
        <v>Kendall Washington</v>
      </c>
      <c r="B54" s="8" t="str">
        <f>IF('Training Plan'!A8="","",'Training Plan'!C8)</f>
        <v>Git Workflow</v>
      </c>
      <c r="C54" s="8" t="str">
        <f>IF('Training Plan'!A8="","",'Training Plan'!B8)</f>
        <v>IT Operations</v>
      </c>
      <c r="D54" s="8" t="str">
        <f>IF('Training Plan'!A8="","",'Training Plan'!F8)</f>
        <v>Complete</v>
      </c>
      <c r="E54" s="10">
        <f>IFERROR(IF('Training Plan'!E8&gt;0,'Training Plan'!E8,""),"")</f>
        <v>46282</v>
      </c>
      <c r="F54" s="29" t="str">
        <f>IFERROR(IF('Training Plan'!A8="","",'Training Plan'!H8),"")</f>
        <v>Riley Stone</v>
      </c>
      <c r="G54" s="37"/>
      <c r="H54" s="39"/>
    </row>
    <row r="55" spans="1:13" ht="21" customHeight="1">
      <c r="A55" s="8" t="str">
        <f>IF('Training Plan'!A9="","",'Training Plan'!A9)</f>
        <v>Jordan Collins</v>
      </c>
      <c r="B55" s="8" t="str">
        <f>IF('Training Plan'!A9="","",'Training Plan'!C9)</f>
        <v>Account Access Support</v>
      </c>
      <c r="C55" s="8" t="str">
        <f>IF('Training Plan'!A9="","",'Training Plan'!B9)</f>
        <v>Customer Support</v>
      </c>
      <c r="D55" s="8" t="str">
        <f>IF('Training Plan'!A9="","",'Training Plan'!F9)</f>
        <v>Not Started</v>
      </c>
      <c r="E55" s="10">
        <f>IFERROR(IF('Training Plan'!E9&gt;0,'Training Plan'!E9,""),"")</f>
        <v>46301</v>
      </c>
      <c r="F55" s="29" t="str">
        <f>IFERROR(IF('Training Plan'!A9="","",'Training Plan'!H9),"")</f>
        <v>Jordan Blake</v>
      </c>
      <c r="G55" s="38"/>
      <c r="H55" s="115" t="s">
        <v>319</v>
      </c>
      <c r="I55" s="88"/>
      <c r="J55" s="89"/>
      <c r="K55" s="101" t="s">
        <v>320</v>
      </c>
      <c r="L55" s="95"/>
      <c r="M55" s="96"/>
    </row>
    <row r="56" spans="1:13" ht="21" customHeight="1">
      <c r="A56" s="8" t="str">
        <f>IF('Training Plan'!A10="","",'Training Plan'!A10)</f>
        <v>Riley Rivera</v>
      </c>
      <c r="B56" s="8" t="str">
        <f>IF('Training Plan'!A10="","",'Training Plan'!C10)</f>
        <v>Security Awareness</v>
      </c>
      <c r="C56" s="8" t="str">
        <f>IF('Training Plan'!A10="","",'Training Plan'!B10)</f>
        <v>Customer Support</v>
      </c>
      <c r="D56" s="8" t="str">
        <f>IF('Training Plan'!A10="","",'Training Plan'!F10)</f>
        <v>In Progress</v>
      </c>
      <c r="E56" s="10">
        <f>IFERROR(IF('Training Plan'!E10&gt;0,'Training Plan'!E10,""),"")</f>
        <v>46298</v>
      </c>
      <c r="F56" s="29" t="str">
        <f>IFERROR(IF('Training Plan'!A10="","",'Training Plan'!H10),"")</f>
        <v>Jordan Blake</v>
      </c>
      <c r="G56" s="38"/>
      <c r="H56" s="84">
        <f ca="1">COUNTIF(Certifications!$G$4:$G$503,"Due Soon")</f>
        <v>4</v>
      </c>
      <c r="I56" s="85"/>
      <c r="J56" s="86"/>
      <c r="K56" s="98">
        <f ca="1">COUNTIF(Certifications!$G$4:$G$503,"Expired")+COUNTIF(Certifications!$G$4:$G$503,"Missing*")</f>
        <v>5</v>
      </c>
      <c r="L56" s="85"/>
      <c r="M56" s="86"/>
    </row>
    <row r="57" spans="1:13" ht="21" customHeight="1">
      <c r="G57" s="150"/>
      <c r="H57" s="67"/>
      <c r="I57" s="67"/>
      <c r="J57" s="87"/>
      <c r="K57" s="99"/>
      <c r="L57" s="67"/>
      <c r="M57" s="87"/>
    </row>
    <row r="58" spans="1:13" ht="21" customHeight="1">
      <c r="G58" s="150"/>
      <c r="H58" s="88"/>
      <c r="I58" s="88"/>
      <c r="J58" s="89"/>
      <c r="K58" s="100"/>
      <c r="L58" s="88"/>
      <c r="M58" s="89"/>
    </row>
    <row r="59" spans="1:13" ht="13.95" customHeight="1"/>
    <row r="60" spans="1:13" ht="21" customHeight="1">
      <c r="A60" s="73" t="s">
        <v>321</v>
      </c>
      <c r="B60" s="67"/>
      <c r="C60" s="67"/>
      <c r="D60" s="67"/>
      <c r="E60" s="67"/>
      <c r="F60" s="67"/>
      <c r="G60" s="67"/>
      <c r="H60" s="67"/>
      <c r="I60" s="67"/>
      <c r="J60" s="67"/>
      <c r="K60" s="67"/>
      <c r="L60" s="67"/>
      <c r="M60" s="67"/>
    </row>
    <row r="61" spans="1:13" ht="21" customHeight="1">
      <c r="A61" s="104" t="s">
        <v>2</v>
      </c>
      <c r="B61" s="114"/>
      <c r="C61" s="93"/>
      <c r="D61" s="104" t="s">
        <v>5</v>
      </c>
      <c r="E61" s="114"/>
      <c r="F61" s="93"/>
      <c r="H61" s="104" t="s">
        <v>4</v>
      </c>
      <c r="I61" s="93"/>
      <c r="J61" s="104" t="s">
        <v>322</v>
      </c>
      <c r="K61" s="93"/>
      <c r="L61" s="20" t="s">
        <v>8</v>
      </c>
      <c r="M61" s="20" t="s">
        <v>316</v>
      </c>
    </row>
    <row r="62" spans="1:13" ht="21" customHeight="1">
      <c r="A62" s="90" t="str">
        <f ca="1">IFERROR(INDEX(Certifications!$A$4:$A$503,MATCH(1,Certifications!$U$4:$U$503,0)),"")</f>
        <v>Alex Bennett</v>
      </c>
      <c r="B62" s="70"/>
      <c r="C62" s="71"/>
      <c r="D62" s="90" t="str">
        <f ca="1">IFERROR(INDEX(Certifications!$D$4:$D$503,MATCH(1,Certifications!$U$4:$U$503,0)),"")</f>
        <v>AWS Cloud Practitioner</v>
      </c>
      <c r="E62" s="70"/>
      <c r="F62" s="71"/>
      <c r="H62" s="90" t="str">
        <f ca="1">IFERROR(INDEX(Certifications!$C$4:$C$503,MATCH(1,Certifications!$U$4:$U$503,0)),"")</f>
        <v>Customer Support</v>
      </c>
      <c r="I62" s="71"/>
      <c r="J62" s="103">
        <f ca="1">IFERROR(INDEX(Certifications!$F$4:$F$503,MATCH(1,Certifications!$U$4:$U$503,0)),"")</f>
        <v>45944</v>
      </c>
      <c r="K62" s="71"/>
      <c r="L62" s="4" t="str">
        <f ca="1">IFERROR(INDEX(Certifications!$G$4:$G$503,MATCH(1,Certifications!$U$4:$U$503,0)),"")</f>
        <v>Expired</v>
      </c>
      <c r="M62" s="4" t="str">
        <f ca="1">IFERROR(INDEX(Certifications!$V$4:$V$503,MATCH(1,Certifications!$U$4:$U$503,0)),"")</f>
        <v>People Ops / Compliance</v>
      </c>
    </row>
    <row r="63" spans="1:13" ht="21" customHeight="1">
      <c r="A63" s="90" t="str">
        <f ca="1">IFERROR(INDEX(Certifications!$A$4:$A$503,MATCH(2,Certifications!$U$4:$U$503,0)),"")</f>
        <v>Alex Bennett</v>
      </c>
      <c r="B63" s="70"/>
      <c r="C63" s="71"/>
      <c r="D63" s="90" t="str">
        <f ca="1">IFERROR(INDEX(Certifications!$D$4:$D$503,MATCH(2,Certifications!$U$4:$U$503,0)),"")</f>
        <v>AWS Cloud Practitioner</v>
      </c>
      <c r="E63" s="70"/>
      <c r="F63" s="71"/>
      <c r="H63" s="90" t="str">
        <f ca="1">IFERROR(INDEX(Certifications!$C$4:$C$503,MATCH(2,Certifications!$U$4:$U$503,0)),"")</f>
        <v>Customer Support</v>
      </c>
      <c r="I63" s="71"/>
      <c r="J63" s="103">
        <f ca="1">IFERROR(INDEX(Certifications!$F$4:$F$503,MATCH(2,Certifications!$U$4:$U$503,0)),"")</f>
        <v>45965</v>
      </c>
      <c r="K63" s="71"/>
      <c r="L63" s="4" t="str">
        <f ca="1">IFERROR(INDEX(Certifications!$G$4:$G$503,MATCH(2,Certifications!$U$4:$U$503,0)),"")</f>
        <v>Expired</v>
      </c>
      <c r="M63" s="4" t="str">
        <f ca="1">IFERROR(INDEX(Certifications!$V$4:$V$503,MATCH(2,Certifications!$U$4:$U$503,0)),"")</f>
        <v>People Ops / Compliance</v>
      </c>
    </row>
    <row r="64" spans="1:13" ht="21" customHeight="1">
      <c r="A64" s="90" t="str">
        <f ca="1">IFERROR(INDEX(Certifications!$A$4:$A$503,MATCH(3,Certifications!$U$4:$U$503,0)),"")</f>
        <v>Quinn Simmons</v>
      </c>
      <c r="B64" s="70"/>
      <c r="C64" s="71"/>
      <c r="D64" s="90" t="str">
        <f ca="1">IFERROR(INDEX(Certifications!$D$4:$D$503,MATCH(3,Certifications!$U$4:$U$503,0)),"")</f>
        <v>AWS Cloud Practitioner</v>
      </c>
      <c r="E64" s="70"/>
      <c r="F64" s="71"/>
      <c r="H64" s="90" t="str">
        <f ca="1">IFERROR(INDEX(Certifications!$C$4:$C$503,MATCH(3,Certifications!$U$4:$U$503,0)),"")</f>
        <v>Platform Operations</v>
      </c>
      <c r="I64" s="71"/>
      <c r="J64" s="103">
        <f ca="1">IFERROR(INDEX(Certifications!$F$4:$F$503,MATCH(3,Certifications!$U$4:$U$503,0)),"")</f>
        <v>45872</v>
      </c>
      <c r="K64" s="71"/>
      <c r="L64" s="4" t="str">
        <f ca="1">IFERROR(INDEX(Certifications!$G$4:$G$503,MATCH(3,Certifications!$U$4:$U$503,0)),"")</f>
        <v>Expired</v>
      </c>
      <c r="M64" s="4" t="str">
        <f ca="1">IFERROR(INDEX(Certifications!$V$4:$V$503,MATCH(3,Certifications!$U$4:$U$503,0)),"")</f>
        <v>People Ops / Compliance</v>
      </c>
    </row>
    <row r="65" spans="1:13" ht="21" customHeight="1">
      <c r="A65" s="90" t="str">
        <f ca="1">IFERROR(INDEX(Certifications!$A$4:$A$503,MATCH(4,Certifications!$U$4:$U$503,0)),"")</f>
        <v>Devon Kelly</v>
      </c>
      <c r="B65" s="70"/>
      <c r="C65" s="71"/>
      <c r="D65" s="90" t="str">
        <f ca="1">IFERROR(INDEX(Certifications!$D$4:$D$503,MATCH(4,Certifications!$U$4:$U$503,0)),"")</f>
        <v>Privileged Access Annual Review</v>
      </c>
      <c r="E65" s="70"/>
      <c r="F65" s="71"/>
      <c r="H65" s="90" t="str">
        <f ca="1">IFERROR(INDEX(Certifications!$C$4:$C$503,MATCH(4,Certifications!$U$4:$U$503,0)),"")</f>
        <v>IT Operations</v>
      </c>
      <c r="I65" s="71"/>
      <c r="J65" s="103">
        <f ca="1">IFERROR(INDEX(Certifications!$F$4:$F$503,MATCH(4,Certifications!$U$4:$U$503,0)),"")</f>
        <v>45159</v>
      </c>
      <c r="K65" s="71"/>
      <c r="L65" s="4" t="str">
        <f ca="1">IFERROR(INDEX(Certifications!$G$4:$G$503,MATCH(4,Certifications!$U$4:$U$503,0)),"")</f>
        <v>Expired</v>
      </c>
      <c r="M65" s="4" t="str">
        <f ca="1">IFERROR(INDEX(Certifications!$V$4:$V$503,MATCH(4,Certifications!$U$4:$U$503,0)),"")</f>
        <v>People Ops / Compliance</v>
      </c>
    </row>
    <row r="66" spans="1:13" ht="21" customHeight="1">
      <c r="A66" s="90" t="str">
        <f ca="1">IFERROR(INDEX(Certifications!$A$4:$A$503,MATCH(5,Certifications!$U$4:$U$503,0)),"")</f>
        <v>Robin Cooper</v>
      </c>
      <c r="B66" s="70"/>
      <c r="C66" s="71"/>
      <c r="D66" s="90" t="str">
        <f ca="1">IFERROR(INDEX(Certifications!$D$4:$D$503,MATCH(5,Certifications!$U$4:$U$503,0)),"")</f>
        <v>Business Continuity &amp; Emergency Response</v>
      </c>
      <c r="E66" s="70"/>
      <c r="F66" s="71"/>
      <c r="H66" s="90" t="str">
        <f ca="1">IFERROR(INDEX(Certifications!$C$4:$C$503,MATCH(5,Certifications!$U$4:$U$503,0)),"")</f>
        <v>Quality Assurance</v>
      </c>
      <c r="I66" s="71"/>
      <c r="J66" s="103">
        <f ca="1">IFERROR(INDEX(Certifications!$F$4:$F$503,MATCH(5,Certifications!$U$4:$U$503,0)),"")</f>
        <v>45601</v>
      </c>
      <c r="K66" s="71"/>
      <c r="L66" s="4" t="str">
        <f ca="1">IFERROR(INDEX(Certifications!$G$4:$G$503,MATCH(5,Certifications!$U$4:$U$503,0)),"")</f>
        <v>Expired</v>
      </c>
      <c r="M66" s="4" t="str">
        <f ca="1">IFERROR(INDEX(Certifications!$V$4:$V$503,MATCH(5,Certifications!$U$4:$U$503,0)),"")</f>
        <v>People Ops / Compliance</v>
      </c>
    </row>
    <row r="67" spans="1:13" ht="9" customHeight="1"/>
    <row r="68" spans="1:13" ht="21" customHeight="1">
      <c r="A68" s="110" t="s">
        <v>323</v>
      </c>
      <c r="B68" s="67"/>
      <c r="C68" s="67"/>
      <c r="D68" s="67"/>
      <c r="E68" s="67"/>
      <c r="F68" s="67"/>
      <c r="G68" s="67"/>
      <c r="H68" s="67"/>
      <c r="I68" s="67"/>
      <c r="J68" s="67"/>
      <c r="K68" s="67"/>
      <c r="L68" s="67"/>
      <c r="M68" s="67"/>
    </row>
    <row r="69" spans="1:13" ht="19.95" customHeight="1"/>
    <row r="70" spans="1:13" ht="19.95" customHeight="1"/>
    <row r="71" spans="1:13" ht="19.95" customHeight="1"/>
    <row r="72" spans="1:13" ht="19.95" customHeight="1"/>
    <row r="73" spans="1:13" ht="19.95" customHeight="1"/>
    <row r="74" spans="1:13" ht="19.95" customHeight="1"/>
    <row r="75" spans="1:13" ht="19.95" customHeight="1"/>
    <row r="76" spans="1:13" ht="19.95" customHeight="1"/>
    <row r="77" spans="1:13" ht="19.95" customHeight="1"/>
    <row r="78" spans="1:13" ht="19.95" customHeight="1"/>
    <row r="79" spans="1:13" ht="19.95" customHeight="1"/>
    <row r="80" spans="1:13" ht="19.95" customHeight="1"/>
    <row r="81" ht="19.95" customHeight="1"/>
    <row r="82" ht="19.95" customHeight="1"/>
    <row r="83" ht="19.95" customHeight="1"/>
    <row r="84" ht="19.95" customHeight="1"/>
    <row r="85" ht="19.95" customHeight="1"/>
    <row r="86" ht="19.95" customHeight="1"/>
    <row r="87" ht="19.95" customHeight="1"/>
    <row r="88" ht="19.95" customHeight="1"/>
  </sheetData>
  <mergeCells count="97">
    <mergeCell ref="D65:F65"/>
    <mergeCell ref="K55:M55"/>
    <mergeCell ref="L27:M27"/>
    <mergeCell ref="A65:C65"/>
    <mergeCell ref="H26:I26"/>
    <mergeCell ref="D61:F61"/>
    <mergeCell ref="J30:K30"/>
    <mergeCell ref="E10:F10"/>
    <mergeCell ref="H64:I64"/>
    <mergeCell ref="H22:M22"/>
    <mergeCell ref="D62:F62"/>
    <mergeCell ref="H61:I61"/>
    <mergeCell ref="D64:F64"/>
    <mergeCell ref="J63:K63"/>
    <mergeCell ref="H27:I27"/>
    <mergeCell ref="D63:F63"/>
    <mergeCell ref="A35:E35"/>
    <mergeCell ref="H18:I18"/>
    <mergeCell ref="H32:M33"/>
    <mergeCell ref="H30:I30"/>
    <mergeCell ref="K56:M58"/>
    <mergeCell ref="H20:I20"/>
    <mergeCell ref="K50:M50"/>
    <mergeCell ref="H29:I29"/>
    <mergeCell ref="A1:M1"/>
    <mergeCell ref="H16:I16"/>
    <mergeCell ref="L10:M10"/>
    <mergeCell ref="J25:K25"/>
    <mergeCell ref="L25:M25"/>
    <mergeCell ref="L11:M11"/>
    <mergeCell ref="B10:C10"/>
    <mergeCell ref="C9:F9"/>
    <mergeCell ref="H4:J6"/>
    <mergeCell ref="A68:M68"/>
    <mergeCell ref="A8:F8"/>
    <mergeCell ref="D4:F6"/>
    <mergeCell ref="A62:C62"/>
    <mergeCell ref="J65:K65"/>
    <mergeCell ref="J26:K26"/>
    <mergeCell ref="A12:B12"/>
    <mergeCell ref="L26:M26"/>
    <mergeCell ref="C12:D12"/>
    <mergeCell ref="H66:I66"/>
    <mergeCell ref="J66:K66"/>
    <mergeCell ref="A64:C64"/>
    <mergeCell ref="A49:F49"/>
    <mergeCell ref="H50:J50"/>
    <mergeCell ref="A61:C61"/>
    <mergeCell ref="H55:J55"/>
    <mergeCell ref="A2:M2"/>
    <mergeCell ref="J64:K64"/>
    <mergeCell ref="A66:C66"/>
    <mergeCell ref="H63:I63"/>
    <mergeCell ref="A3:C3"/>
    <mergeCell ref="H51:J53"/>
    <mergeCell ref="H25:I25"/>
    <mergeCell ref="H13:M13"/>
    <mergeCell ref="A22:F22"/>
    <mergeCell ref="D3:F3"/>
    <mergeCell ref="J27:K27"/>
    <mergeCell ref="H17:I17"/>
    <mergeCell ref="L30:M30"/>
    <mergeCell ref="H24:M24"/>
    <mergeCell ref="A4:C6"/>
    <mergeCell ref="H19:I19"/>
    <mergeCell ref="H3:J3"/>
    <mergeCell ref="A60:M60"/>
    <mergeCell ref="A63:C63"/>
    <mergeCell ref="L29:M29"/>
    <mergeCell ref="A13:F13"/>
    <mergeCell ref="J9:M9"/>
    <mergeCell ref="K4:M6"/>
    <mergeCell ref="J31:K31"/>
    <mergeCell ref="K3:M3"/>
    <mergeCell ref="L31:M31"/>
    <mergeCell ref="H35:M35"/>
    <mergeCell ref="H62:I62"/>
    <mergeCell ref="H15:I15"/>
    <mergeCell ref="J62:K62"/>
    <mergeCell ref="A9:B9"/>
    <mergeCell ref="H8:M8"/>
    <mergeCell ref="H56:J58"/>
    <mergeCell ref="D66:F66"/>
    <mergeCell ref="J28:K28"/>
    <mergeCell ref="L28:M28"/>
    <mergeCell ref="H9:I9"/>
    <mergeCell ref="A24:D24"/>
    <mergeCell ref="H65:I65"/>
    <mergeCell ref="H28:I28"/>
    <mergeCell ref="I10:J10"/>
    <mergeCell ref="H14:I14"/>
    <mergeCell ref="J61:K61"/>
    <mergeCell ref="K51:M53"/>
    <mergeCell ref="J29:K29"/>
    <mergeCell ref="H49:M49"/>
    <mergeCell ref="I11:J11"/>
    <mergeCell ref="H31:I31"/>
  </mergeCells>
  <conditionalFormatting sqref="C15:C20">
    <cfRule type="cellIs" dxfId="34" priority="10" operator="equal">
      <formula>1</formula>
    </cfRule>
    <cfRule type="cellIs" dxfId="33" priority="11" operator="equal">
      <formula>2</formula>
    </cfRule>
    <cfRule type="cellIs" dxfId="32" priority="12" operator="equal">
      <formula>3</formula>
    </cfRule>
  </conditionalFormatting>
  <conditionalFormatting sqref="E26:E31">
    <cfRule type="cellIs" dxfId="31" priority="1" operator="greaterThan">
      <formula>0</formula>
    </cfRule>
  </conditionalFormatting>
  <conditionalFormatting sqref="F15:G20">
    <cfRule type="cellIs" dxfId="30" priority="13" operator="greaterThan">
      <formula>0</formula>
    </cfRule>
  </conditionalFormatting>
  <conditionalFormatting sqref="H61:H69">
    <cfRule type="cellIs" dxfId="29" priority="6" operator="equal">
      <formula>1</formula>
    </cfRule>
    <cfRule type="cellIs" dxfId="28" priority="7" operator="equal">
      <formula>2</formula>
    </cfRule>
    <cfRule type="cellIs" dxfId="27" priority="8" operator="equal">
      <formula>3</formula>
    </cfRule>
  </conditionalFormatting>
  <conditionalFormatting sqref="J39:J50">
    <cfRule type="cellIs" dxfId="26" priority="2" operator="equal">
      <formula>1</formula>
    </cfRule>
    <cfRule type="cellIs" dxfId="25" priority="3" operator="equal">
      <formula>2</formula>
    </cfRule>
  </conditionalFormatting>
  <conditionalFormatting sqref="L15:L20">
    <cfRule type="cellIs" dxfId="24" priority="14" operator="equal">
      <formula>1</formula>
    </cfRule>
    <cfRule type="cellIs" dxfId="23" priority="15" operator="equal">
      <formula>2</formula>
    </cfRule>
    <cfRule type="cellIs" dxfId="22" priority="16" operator="equal">
      <formula>3</formula>
    </cfRule>
  </conditionalFormatting>
  <conditionalFormatting sqref="M12">
    <cfRule type="cellIs" dxfId="21" priority="9" operator="greaterThan">
      <formula>0</formula>
    </cfRule>
  </conditionalFormatting>
  <conditionalFormatting sqref="M39:M50">
    <cfRule type="cellIs" dxfId="20" priority="4" operator="greaterThan">
      <formula>0</formula>
    </cfRule>
  </conditionalFormatting>
  <conditionalFormatting sqref="M57">
    <cfRule type="cellIs" dxfId="19" priority="5" operator="greaterThan">
      <formula>0</formula>
    </cfRule>
  </conditionalFormatting>
  <dataValidations disablePrompts="1" count="6">
    <dataValidation type="list" sqref="C9" xr:uid="{00000000-0002-0000-0100-000000000000}">
      <formula1>EmployeeCatalog</formula1>
    </dataValidation>
    <dataValidation type="list" sqref="B10" xr:uid="{00000000-0002-0000-0100-000001000000}">
      <formula1>HRViewCatalog</formula1>
    </dataValidation>
    <dataValidation type="list" sqref="J9" xr:uid="{00000000-0002-0000-0100-000002000000}">
      <formula1>SkillCatalog</formula1>
    </dataValidation>
    <dataValidation type="list" sqref="I10" xr:uid="{00000000-0002-0000-0100-000003000000}">
      <formula1>ShiftCatalog</formula1>
    </dataValidation>
    <dataValidation type="list" sqref="L10" xr:uid="{00000000-0002-0000-0100-000004000000}">
      <formula1>SkillViewCatalog</formula1>
    </dataValidation>
    <dataValidation type="list" sqref="F24:G24" xr:uid="{00000000-0002-0000-0100-000005000000}">
      <formula1>DeptPairCatalog</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24"/>
  <sheetViews>
    <sheetView showGridLines="0" tabSelected="1" workbookViewId="0">
      <selection activeCell="E39" sqref="E39"/>
    </sheetView>
  </sheetViews>
  <sheetFormatPr defaultRowHeight="13.8"/>
  <cols>
    <col min="1" max="1" width="25.59765625" customWidth="1"/>
    <col min="2" max="2" width="25.8984375" customWidth="1"/>
    <col min="3" max="3" width="21.19921875" customWidth="1"/>
    <col min="4" max="4" width="11.296875" customWidth="1"/>
    <col min="5" max="5" width="11" customWidth="1"/>
    <col min="6" max="6" width="12.796875" customWidth="1"/>
    <col min="7" max="7" width="11" customWidth="1"/>
    <col min="8" max="8" width="14" customWidth="1"/>
    <col min="9" max="9" width="24" customWidth="1"/>
    <col min="10" max="11" width="11" customWidth="1"/>
  </cols>
  <sheetData>
    <row r="1" spans="1:11" ht="25.95" customHeight="1">
      <c r="A1" s="68" t="s">
        <v>324</v>
      </c>
      <c r="B1" s="67"/>
      <c r="C1" s="67"/>
      <c r="D1" s="67"/>
      <c r="E1" s="67"/>
      <c r="F1" s="67"/>
      <c r="G1" s="67"/>
      <c r="H1" s="67"/>
      <c r="I1" s="67"/>
      <c r="J1" s="67"/>
      <c r="K1" s="67"/>
    </row>
    <row r="2" spans="1:11" ht="24" customHeight="1">
      <c r="A2" s="65" t="s">
        <v>325</v>
      </c>
      <c r="B2" s="67"/>
      <c r="C2" s="67"/>
      <c r="D2" s="67"/>
      <c r="E2" s="67"/>
      <c r="F2" s="67"/>
      <c r="G2" s="67"/>
      <c r="H2" s="67"/>
      <c r="I2" s="67"/>
      <c r="J2" s="67"/>
      <c r="K2" s="67"/>
    </row>
    <row r="4" spans="1:11" ht="14.4" customHeight="1">
      <c r="A4" s="121" t="s">
        <v>326</v>
      </c>
      <c r="B4" s="67"/>
      <c r="C4" s="67"/>
      <c r="D4" s="97" t="s">
        <v>211</v>
      </c>
      <c r="E4" s="95"/>
      <c r="F4" s="96"/>
      <c r="G4" s="122" t="s">
        <v>327</v>
      </c>
      <c r="H4" s="67"/>
      <c r="I4" s="67"/>
      <c r="J4" s="67"/>
      <c r="K4" s="67"/>
    </row>
    <row r="6" spans="1:11">
      <c r="A6" s="73" t="s">
        <v>328</v>
      </c>
      <c r="B6" s="67"/>
      <c r="C6" s="73" t="s">
        <v>329</v>
      </c>
      <c r="D6" s="67"/>
      <c r="E6" s="73" t="s">
        <v>330</v>
      </c>
      <c r="F6" s="67"/>
      <c r="G6" s="67"/>
      <c r="H6" s="73" t="s">
        <v>331</v>
      </c>
      <c r="I6" s="67"/>
      <c r="J6" s="67"/>
      <c r="K6" s="67"/>
    </row>
    <row r="7" spans="1:11">
      <c r="A7" s="123">
        <f>COUNTIFS(Lists!$AY$4:$AY$106,"Yes",Lists!$AQ$4:$AQ$106,IF($D$4="All Departments","*",$D$4))</f>
        <v>103</v>
      </c>
      <c r="B7" s="86"/>
      <c r="C7" s="97">
        <f>COUNTIFS(Lists!$AV$4:$AV$106,"&gt;0",Lists!$AQ$4:$AQ$106,IF($D$4="All Departments","*",$D$4))</f>
        <v>85</v>
      </c>
      <c r="D7" s="86"/>
      <c r="E7" s="125">
        <f>COUNTIFS(Lists!$AT$4:$AT$106,0,Lists!$AS$4:$AS$106,"&gt;0",Lists!$AQ$4:$AQ$106,IF($D$4="All Departments","*",$D$4))</f>
        <v>29</v>
      </c>
      <c r="F7" s="85"/>
      <c r="G7" s="86"/>
      <c r="H7" s="120">
        <f>SUMIFS(Lists!$AU$4:$AU$106,Lists!$AQ$4:$AQ$106,IF($D$4="All Departments","*",$D$4))</f>
        <v>81</v>
      </c>
      <c r="I7" s="85"/>
      <c r="J7" s="85"/>
      <c r="K7" s="86"/>
    </row>
    <row r="8" spans="1:11">
      <c r="A8" s="99"/>
      <c r="B8" s="87"/>
      <c r="C8" s="99"/>
      <c r="D8" s="87"/>
      <c r="E8" s="99"/>
      <c r="F8" s="67"/>
      <c r="G8" s="87"/>
      <c r="H8" s="99"/>
      <c r="I8" s="67"/>
      <c r="J8" s="67"/>
      <c r="K8" s="87"/>
    </row>
    <row r="9" spans="1:11">
      <c r="A9" s="100"/>
      <c r="B9" s="89"/>
      <c r="C9" s="100"/>
      <c r="D9" s="89"/>
      <c r="E9" s="100"/>
      <c r="F9" s="88"/>
      <c r="G9" s="89"/>
      <c r="H9" s="100"/>
      <c r="I9" s="88"/>
      <c r="J9" s="88"/>
      <c r="K9" s="89"/>
    </row>
    <row r="11" spans="1:11">
      <c r="A11" s="73" t="s">
        <v>332</v>
      </c>
      <c r="B11" s="66"/>
      <c r="C11" s="66"/>
      <c r="D11" s="66"/>
      <c r="E11" s="66"/>
      <c r="F11" s="66"/>
      <c r="G11" s="66"/>
      <c r="H11" s="66"/>
      <c r="I11" s="66"/>
    </row>
    <row r="12" spans="1:11" ht="27.6" customHeight="1">
      <c r="A12" s="20" t="s">
        <v>282</v>
      </c>
      <c r="B12" s="20" t="s">
        <v>4</v>
      </c>
      <c r="C12" s="20" t="s">
        <v>285</v>
      </c>
      <c r="D12" s="20" t="s">
        <v>293</v>
      </c>
      <c r="E12" s="20" t="s">
        <v>292</v>
      </c>
      <c r="F12" s="20" t="s">
        <v>333</v>
      </c>
      <c r="G12" s="20" t="s">
        <v>294</v>
      </c>
      <c r="H12" s="20" t="s">
        <v>295</v>
      </c>
      <c r="I12" s="20" t="s">
        <v>334</v>
      </c>
    </row>
    <row r="13" spans="1:11">
      <c r="A13" s="4" t="str">
        <f>IFERROR(INDEX(Lists!$AP$4:$AP$106,MATCH(1,Lists!$AX$4:$AX$106,0)),"")</f>
        <v>Disaster Recovery</v>
      </c>
      <c r="B13" s="8" t="str">
        <f>IFERROR(INDEX(Lists!$AQ$4:$AQ$106,MATCH(1,Lists!$AX$4:$AX$106,0)),"")</f>
        <v>Cloud &amp; Reliability</v>
      </c>
      <c r="C13" s="8" t="str">
        <f>IFERROR(INDEX(Lists!$AR$4:$AR$106,MATCH(1,Lists!$AX$4:$AX$106,0)),"")</f>
        <v>Yes</v>
      </c>
      <c r="D13" s="8">
        <f>IFERROR(INDEX(Lists!$AS$4:$AS$106,MATCH(1,Lists!$AX$4:$AX$106,0)),"")</f>
        <v>4</v>
      </c>
      <c r="E13" s="8">
        <f>IFERROR(INDEX(Lists!$AT$4:$AT$106,MATCH(1,Lists!$AX$4:$AX$106,0)),"")</f>
        <v>0</v>
      </c>
      <c r="F13" s="8">
        <f>IFERROR(INDEX(Lists!$AU$4:$AU$106,MATCH(1,Lists!$AX$4:$AX$106,0)),"")</f>
        <v>3</v>
      </c>
      <c r="G13" s="8">
        <f>IFERROR(INDEX(Lists!$AV$4:$AV$106,MATCH(1,Lists!$AX$4:$AX$106,0)),"")</f>
        <v>4</v>
      </c>
      <c r="H13" s="8" t="str">
        <f t="shared" ref="H13:H22" si="0">IF(A13="","",IF(E13=0,"Uncovered",IF(C13="Yes","Critical Gap","Below Target")))</f>
        <v>Uncovered</v>
      </c>
      <c r="I13" s="48" t="str">
        <f t="shared" ref="I13:I22" si="1">IF(A13="","",IF(E13=0,"Assign first backup",IF(F13&gt;0,"Convert score-2 employees","Create training plan")))</f>
        <v>Assign first backup</v>
      </c>
    </row>
    <row r="14" spans="1:11">
      <c r="A14" s="4" t="str">
        <f>IFERROR(INDEX(Lists!$AP$4:$AP$106,MATCH(2,Lists!$AX$4:$AX$106,0)),"")</f>
        <v>Infrastructure as Code</v>
      </c>
      <c r="B14" s="8" t="str">
        <f>IFERROR(INDEX(Lists!$AQ$4:$AQ$106,MATCH(2,Lists!$AX$4:$AX$106,0)),"")</f>
        <v>Platform Operations</v>
      </c>
      <c r="C14" s="8" t="str">
        <f>IFERROR(INDEX(Lists!$AR$4:$AR$106,MATCH(2,Lists!$AX$4:$AX$106,0)),"")</f>
        <v>Yes</v>
      </c>
      <c r="D14" s="8">
        <f>IFERROR(INDEX(Lists!$AS$4:$AS$106,MATCH(2,Lists!$AX$4:$AX$106,0)),"")</f>
        <v>4</v>
      </c>
      <c r="E14" s="8">
        <f>IFERROR(INDEX(Lists!$AT$4:$AT$106,MATCH(2,Lists!$AX$4:$AX$106,0)),"")</f>
        <v>0</v>
      </c>
      <c r="F14" s="8">
        <f>IFERROR(INDEX(Lists!$AU$4:$AU$106,MATCH(2,Lists!$AX$4:$AX$106,0)),"")</f>
        <v>1</v>
      </c>
      <c r="G14" s="8">
        <f>IFERROR(INDEX(Lists!$AV$4:$AV$106,MATCH(2,Lists!$AX$4:$AX$106,0)),"")</f>
        <v>4</v>
      </c>
      <c r="H14" s="8" t="str">
        <f t="shared" si="0"/>
        <v>Uncovered</v>
      </c>
      <c r="I14" s="48" t="str">
        <f t="shared" si="1"/>
        <v>Assign first backup</v>
      </c>
    </row>
    <row r="15" spans="1:11">
      <c r="A15" s="4" t="str">
        <f>IFERROR(INDEX(Lists!$AP$4:$AP$106,MATCH(3,Lists!$AX$4:$AX$106,0)),"")</f>
        <v>Monitoring &amp; Alerting</v>
      </c>
      <c r="B15" s="8" t="str">
        <f>IFERROR(INDEX(Lists!$AQ$4:$AQ$106,MATCH(3,Lists!$AX$4:$AX$106,0)),"")</f>
        <v>Platform Operations</v>
      </c>
      <c r="C15" s="8" t="str">
        <f>IFERROR(INDEX(Lists!$AR$4:$AR$106,MATCH(3,Lists!$AX$4:$AX$106,0)),"")</f>
        <v>Yes</v>
      </c>
      <c r="D15" s="8">
        <f>IFERROR(INDEX(Lists!$AS$4:$AS$106,MATCH(3,Lists!$AX$4:$AX$106,0)),"")</f>
        <v>4</v>
      </c>
      <c r="E15" s="8">
        <f>IFERROR(INDEX(Lists!$AT$4:$AT$106,MATCH(3,Lists!$AX$4:$AX$106,0)),"")</f>
        <v>0</v>
      </c>
      <c r="F15" s="8">
        <f>IFERROR(INDEX(Lists!$AU$4:$AU$106,MATCH(3,Lists!$AX$4:$AX$106,0)),"")</f>
        <v>1</v>
      </c>
      <c r="G15" s="8">
        <f>IFERROR(INDEX(Lists!$AV$4:$AV$106,MATCH(3,Lists!$AX$4:$AX$106,0)),"")</f>
        <v>4</v>
      </c>
      <c r="H15" s="8" t="str">
        <f t="shared" si="0"/>
        <v>Uncovered</v>
      </c>
      <c r="I15" s="48" t="str">
        <f t="shared" si="1"/>
        <v>Assign first backup</v>
      </c>
    </row>
    <row r="16" spans="1:11">
      <c r="A16" s="4" t="str">
        <f>IFERROR(INDEX(Lists!$AP$4:$AP$106,MATCH(4,Lists!$AX$4:$AX$106,0)),"")</f>
        <v>Kubernetes Basics</v>
      </c>
      <c r="B16" s="8" t="str">
        <f>IFERROR(INDEX(Lists!$AQ$4:$AQ$106,MATCH(4,Lists!$AX$4:$AX$106,0)),"")</f>
        <v>Platform Operations</v>
      </c>
      <c r="C16" s="8" t="str">
        <f>IFERROR(INDEX(Lists!$AR$4:$AR$106,MATCH(4,Lists!$AX$4:$AX$106,0)),"")</f>
        <v>Yes</v>
      </c>
      <c r="D16" s="8">
        <f>IFERROR(INDEX(Lists!$AS$4:$AS$106,MATCH(4,Lists!$AX$4:$AX$106,0)),"")</f>
        <v>4</v>
      </c>
      <c r="E16" s="8">
        <f>IFERROR(INDEX(Lists!$AT$4:$AT$106,MATCH(4,Lists!$AX$4:$AX$106,0)),"")</f>
        <v>0</v>
      </c>
      <c r="F16" s="8">
        <f>IFERROR(INDEX(Lists!$AU$4:$AU$106,MATCH(4,Lists!$AX$4:$AX$106,0)),"")</f>
        <v>0</v>
      </c>
      <c r="G16" s="8">
        <f>IFERROR(INDEX(Lists!$AV$4:$AV$106,MATCH(4,Lists!$AX$4:$AX$106,0)),"")</f>
        <v>4</v>
      </c>
      <c r="H16" s="8" t="str">
        <f t="shared" si="0"/>
        <v>Uncovered</v>
      </c>
      <c r="I16" s="48" t="str">
        <f t="shared" si="1"/>
        <v>Assign first backup</v>
      </c>
    </row>
    <row r="17" spans="1:9">
      <c r="A17" s="4" t="str">
        <f>IFERROR(INDEX(Lists!$AP$4:$AP$106,MATCH(5,Lists!$AX$4:$AX$106,0)),"")</f>
        <v>Remote Access Support</v>
      </c>
      <c r="B17" s="8" t="str">
        <f>IFERROR(INDEX(Lists!$AQ$4:$AQ$106,MATCH(5,Lists!$AX$4:$AX$106,0)),"")</f>
        <v>IT Operations</v>
      </c>
      <c r="C17" s="8" t="str">
        <f>IFERROR(INDEX(Lists!$AR$4:$AR$106,MATCH(5,Lists!$AX$4:$AX$106,0)),"")</f>
        <v>Yes</v>
      </c>
      <c r="D17" s="8">
        <f>IFERROR(INDEX(Lists!$AS$4:$AS$106,MATCH(5,Lists!$AX$4:$AX$106,0)),"")</f>
        <v>4</v>
      </c>
      <c r="E17" s="8">
        <f>IFERROR(INDEX(Lists!$AT$4:$AT$106,MATCH(5,Lists!$AX$4:$AX$106,0)),"")</f>
        <v>0</v>
      </c>
      <c r="F17" s="8">
        <f>IFERROR(INDEX(Lists!$AU$4:$AU$106,MATCH(5,Lists!$AX$4:$AX$106,0)),"")</f>
        <v>0</v>
      </c>
      <c r="G17" s="8">
        <f>IFERROR(INDEX(Lists!$AV$4:$AV$106,MATCH(5,Lists!$AX$4:$AX$106,0)),"")</f>
        <v>4</v>
      </c>
      <c r="H17" s="8" t="str">
        <f t="shared" si="0"/>
        <v>Uncovered</v>
      </c>
      <c r="I17" s="48" t="str">
        <f t="shared" si="1"/>
        <v>Assign first backup</v>
      </c>
    </row>
    <row r="18" spans="1:9">
      <c r="A18" s="4" t="str">
        <f>IFERROR(INDEX(Lists!$AP$4:$AP$106,MATCH(6,Lists!$AX$4:$AX$106,0)),"")</f>
        <v>Browser Compatibility Testing</v>
      </c>
      <c r="B18" s="8" t="str">
        <f>IFERROR(INDEX(Lists!$AQ$4:$AQ$106,MATCH(6,Lists!$AX$4:$AX$106,0)),"")</f>
        <v>Quality Assurance</v>
      </c>
      <c r="C18" s="8" t="str">
        <f>IFERROR(INDEX(Lists!$AR$4:$AR$106,MATCH(6,Lists!$AX$4:$AX$106,0)),"")</f>
        <v>Yes</v>
      </c>
      <c r="D18" s="8">
        <f>IFERROR(INDEX(Lists!$AS$4:$AS$106,MATCH(6,Lists!$AX$4:$AX$106,0)),"")</f>
        <v>4</v>
      </c>
      <c r="E18" s="8">
        <f>IFERROR(INDEX(Lists!$AT$4:$AT$106,MATCH(6,Lists!$AX$4:$AX$106,0)),"")</f>
        <v>0</v>
      </c>
      <c r="F18" s="8">
        <f>IFERROR(INDEX(Lists!$AU$4:$AU$106,MATCH(6,Lists!$AX$4:$AX$106,0)),"")</f>
        <v>0</v>
      </c>
      <c r="G18" s="8">
        <f>IFERROR(INDEX(Lists!$AV$4:$AV$106,MATCH(6,Lists!$AX$4:$AX$106,0)),"")</f>
        <v>4</v>
      </c>
      <c r="H18" s="8" t="str">
        <f t="shared" si="0"/>
        <v>Uncovered</v>
      </c>
      <c r="I18" s="48" t="str">
        <f t="shared" si="1"/>
        <v>Assign first backup</v>
      </c>
    </row>
    <row r="19" spans="1:9">
      <c r="A19" s="4" t="str">
        <f>IFERROR(INDEX(Lists!$AP$4:$AP$106,MATCH(7,Lists!$AX$4:$AX$106,0)),"")</f>
        <v>Data Validation</v>
      </c>
      <c r="B19" s="8" t="str">
        <f>IFERROR(INDEX(Lists!$AQ$4:$AQ$106,MATCH(7,Lists!$AX$4:$AX$106,0)),"")</f>
        <v>Data &amp; Analytics</v>
      </c>
      <c r="C19" s="8" t="str">
        <f>IFERROR(INDEX(Lists!$AR$4:$AR$106,MATCH(7,Lists!$AX$4:$AX$106,0)),"")</f>
        <v>Yes</v>
      </c>
      <c r="D19" s="8">
        <f>IFERROR(INDEX(Lists!$AS$4:$AS$106,MATCH(7,Lists!$AX$4:$AX$106,0)),"")</f>
        <v>4</v>
      </c>
      <c r="E19" s="8">
        <f>IFERROR(INDEX(Lists!$AT$4:$AT$106,MATCH(7,Lists!$AX$4:$AX$106,0)),"")</f>
        <v>0</v>
      </c>
      <c r="F19" s="8">
        <f>IFERROR(INDEX(Lists!$AU$4:$AU$106,MATCH(7,Lists!$AX$4:$AX$106,0)),"")</f>
        <v>0</v>
      </c>
      <c r="G19" s="8">
        <f>IFERROR(INDEX(Lists!$AV$4:$AV$106,MATCH(7,Lists!$AX$4:$AX$106,0)),"")</f>
        <v>4</v>
      </c>
      <c r="H19" s="8" t="str">
        <f t="shared" si="0"/>
        <v>Uncovered</v>
      </c>
      <c r="I19" s="48" t="str">
        <f t="shared" si="1"/>
        <v>Assign first backup</v>
      </c>
    </row>
    <row r="20" spans="1:9">
      <c r="A20" s="4" t="str">
        <f>IFERROR(INDEX(Lists!$AP$4:$AP$106,MATCH(8,Lists!$AX$4:$AX$106,0)),"")</f>
        <v>Dashboard QA</v>
      </c>
      <c r="B20" s="8" t="str">
        <f>IFERROR(INDEX(Lists!$AQ$4:$AQ$106,MATCH(8,Lists!$AX$4:$AX$106,0)),"")</f>
        <v>Data &amp; Analytics</v>
      </c>
      <c r="C20" s="8" t="str">
        <f>IFERROR(INDEX(Lists!$AR$4:$AR$106,MATCH(8,Lists!$AX$4:$AX$106,0)),"")</f>
        <v>Yes</v>
      </c>
      <c r="D20" s="8">
        <f>IFERROR(INDEX(Lists!$AS$4:$AS$106,MATCH(8,Lists!$AX$4:$AX$106,0)),"")</f>
        <v>4</v>
      </c>
      <c r="E20" s="8">
        <f>IFERROR(INDEX(Lists!$AT$4:$AT$106,MATCH(8,Lists!$AX$4:$AX$106,0)),"")</f>
        <v>0</v>
      </c>
      <c r="F20" s="8">
        <f>IFERROR(INDEX(Lists!$AU$4:$AU$106,MATCH(8,Lists!$AX$4:$AX$106,0)),"")</f>
        <v>0</v>
      </c>
      <c r="G20" s="8">
        <f>IFERROR(INDEX(Lists!$AV$4:$AV$106,MATCH(8,Lists!$AX$4:$AX$106,0)),"")</f>
        <v>4</v>
      </c>
      <c r="H20" s="8" t="str">
        <f t="shared" si="0"/>
        <v>Uncovered</v>
      </c>
      <c r="I20" s="48" t="str">
        <f t="shared" si="1"/>
        <v>Assign first backup</v>
      </c>
    </row>
    <row r="21" spans="1:9">
      <c r="A21" s="4" t="str">
        <f>IFERROR(INDEX(Lists!$AP$4:$AP$106,MATCH(9,Lists!$AX$4:$AX$106,0)),"")</f>
        <v>QA Engineer I</v>
      </c>
      <c r="B21" s="8" t="str">
        <f>IFERROR(INDEX(Lists!$AQ$4:$AQ$106,MATCH(9,Lists!$AX$4:$AX$106,0)),"")</f>
        <v>Data &amp; Analytics</v>
      </c>
      <c r="C21" s="8" t="str">
        <f>IFERROR(INDEX(Lists!$AR$4:$AR$106,MATCH(9,Lists!$AX$4:$AX$106,0)),"")</f>
        <v>Yes</v>
      </c>
      <c r="D21" s="8">
        <f>IFERROR(INDEX(Lists!$AS$4:$AS$106,MATCH(9,Lists!$AX$4:$AX$106,0)),"")</f>
        <v>4</v>
      </c>
      <c r="E21" s="8">
        <f>IFERROR(INDEX(Lists!$AT$4:$AT$106,MATCH(9,Lists!$AX$4:$AX$106,0)),"")</f>
        <v>0</v>
      </c>
      <c r="F21" s="8">
        <f>IFERROR(INDEX(Lists!$AU$4:$AU$106,MATCH(9,Lists!$AX$4:$AX$106,0)),"")</f>
        <v>0</v>
      </c>
      <c r="G21" s="8">
        <f>IFERROR(INDEX(Lists!$AV$4:$AV$106,MATCH(9,Lists!$AX$4:$AX$106,0)),"")</f>
        <v>4</v>
      </c>
      <c r="H21" s="8" t="str">
        <f t="shared" si="0"/>
        <v>Uncovered</v>
      </c>
      <c r="I21" s="48" t="str">
        <f t="shared" si="1"/>
        <v>Assign first backup</v>
      </c>
    </row>
    <row r="22" spans="1:9">
      <c r="A22" s="4" t="str">
        <f>IFERROR(INDEX(Lists!$AP$4:$AP$106,MATCH(10,Lists!$AX$4:$AX$106,0)),"")</f>
        <v>QA Engineer II</v>
      </c>
      <c r="B22" s="8" t="str">
        <f>IFERROR(INDEX(Lists!$AQ$4:$AQ$106,MATCH(10,Lists!$AX$4:$AX$106,0)),"")</f>
        <v>Data &amp; Analytics</v>
      </c>
      <c r="C22" s="8" t="str">
        <f>IFERROR(INDEX(Lists!$AR$4:$AR$106,MATCH(10,Lists!$AX$4:$AX$106,0)),"")</f>
        <v>Yes</v>
      </c>
      <c r="D22" s="8">
        <f>IFERROR(INDEX(Lists!$AS$4:$AS$106,MATCH(10,Lists!$AX$4:$AX$106,0)),"")</f>
        <v>4</v>
      </c>
      <c r="E22" s="8">
        <f>IFERROR(INDEX(Lists!$AT$4:$AT$106,MATCH(10,Lists!$AX$4:$AX$106,0)),"")</f>
        <v>0</v>
      </c>
      <c r="F22" s="8">
        <f>IFERROR(INDEX(Lists!$AU$4:$AU$106,MATCH(10,Lists!$AX$4:$AX$106,0)),"")</f>
        <v>0</v>
      </c>
      <c r="G22" s="8">
        <f>IFERROR(INDEX(Lists!$AV$4:$AV$106,MATCH(10,Lists!$AX$4:$AX$106,0)),"")</f>
        <v>4</v>
      </c>
      <c r="H22" s="8" t="str">
        <f t="shared" si="0"/>
        <v>Uncovered</v>
      </c>
      <c r="I22" s="48" t="str">
        <f t="shared" si="1"/>
        <v>Assign first backup</v>
      </c>
    </row>
    <row r="24" spans="1:9">
      <c r="A24" s="73" t="s">
        <v>335</v>
      </c>
      <c r="B24" s="66"/>
      <c r="C24" s="66"/>
      <c r="D24" s="66"/>
      <c r="E24" s="66"/>
      <c r="F24" s="66"/>
      <c r="G24" s="66"/>
      <c r="H24" s="66"/>
      <c r="I24" s="66"/>
    </row>
    <row r="25" spans="1:9">
      <c r="A25" s="22" t="s">
        <v>216</v>
      </c>
      <c r="B25" s="72" t="s">
        <v>336</v>
      </c>
      <c r="C25" s="71"/>
      <c r="D25" s="72" t="s">
        <v>337</v>
      </c>
      <c r="E25" s="70"/>
      <c r="F25" s="70"/>
      <c r="G25" s="70"/>
      <c r="H25" s="70"/>
      <c r="I25" s="71"/>
    </row>
    <row r="26" spans="1:9">
      <c r="A26" s="22" t="s">
        <v>218</v>
      </c>
      <c r="B26" s="72" t="s">
        <v>338</v>
      </c>
      <c r="C26" s="71"/>
      <c r="D26" s="72" t="s">
        <v>339</v>
      </c>
      <c r="E26" s="70"/>
      <c r="F26" s="70"/>
      <c r="G26" s="70"/>
      <c r="H26" s="70"/>
      <c r="I26" s="71"/>
    </row>
    <row r="27" spans="1:9">
      <c r="A27" s="22" t="s">
        <v>220</v>
      </c>
      <c r="B27" s="72" t="s">
        <v>340</v>
      </c>
      <c r="C27" s="71"/>
      <c r="D27" s="72" t="s">
        <v>341</v>
      </c>
      <c r="E27" s="70"/>
      <c r="F27" s="70"/>
      <c r="G27" s="70"/>
      <c r="H27" s="70"/>
      <c r="I27" s="71"/>
    </row>
    <row r="28" spans="1:9">
      <c r="A28" s="22" t="s">
        <v>342</v>
      </c>
      <c r="B28" s="72" t="s">
        <v>343</v>
      </c>
      <c r="C28" s="71"/>
      <c r="D28" s="72" t="s">
        <v>344</v>
      </c>
      <c r="E28" s="70"/>
      <c r="F28" s="70"/>
      <c r="G28" s="70"/>
      <c r="H28" s="70"/>
      <c r="I28" s="71"/>
    </row>
    <row r="29" spans="1:9">
      <c r="A29" s="22" t="s">
        <v>345</v>
      </c>
      <c r="B29" s="72" t="s">
        <v>227</v>
      </c>
      <c r="C29" s="71"/>
      <c r="D29" s="72" t="s">
        <v>346</v>
      </c>
      <c r="E29" s="70"/>
      <c r="F29" s="70"/>
      <c r="G29" s="70"/>
      <c r="H29" s="70"/>
      <c r="I29" s="71"/>
    </row>
    <row r="31" spans="1:9">
      <c r="A31" s="73" t="s">
        <v>347</v>
      </c>
      <c r="B31" s="66"/>
      <c r="C31" s="66"/>
      <c r="D31" s="66"/>
      <c r="E31" s="66"/>
      <c r="F31" s="66"/>
      <c r="G31" s="66"/>
      <c r="H31" s="66"/>
      <c r="I31" s="66"/>
    </row>
    <row r="32" spans="1:9" ht="27.6" customHeight="1">
      <c r="A32" s="20" t="s">
        <v>2</v>
      </c>
      <c r="B32" s="20" t="s">
        <v>282</v>
      </c>
      <c r="C32" s="20" t="s">
        <v>4</v>
      </c>
      <c r="D32" s="20" t="s">
        <v>8</v>
      </c>
      <c r="E32" s="20" t="s">
        <v>315</v>
      </c>
      <c r="F32" s="20" t="s">
        <v>316</v>
      </c>
      <c r="G32" s="28" t="s">
        <v>166</v>
      </c>
      <c r="H32" s="152" t="s">
        <v>348</v>
      </c>
      <c r="I32" s="152"/>
    </row>
    <row r="33" spans="1:9" ht="39.6" customHeight="1">
      <c r="A33" s="4" t="str">
        <f>IFERROR(INDEX(Lists!$BA$4:$BA$203,MATCH(1,Lists!$BJ$4:$BJ$203,0)),"")</f>
        <v>Parker Powell</v>
      </c>
      <c r="B33" s="4" t="str">
        <f>IFERROR(INDEX(Lists!$BC$4:$BC$203,MATCH(1,Lists!$BJ$4:$BJ$203,0)),"")</f>
        <v>API Credential Management</v>
      </c>
      <c r="C33" s="8" t="str">
        <f>IFERROR(INDEX(Lists!$BB$4:$BB$203,MATCH(1,Lists!$BJ$4:$BJ$203,0)),"")</f>
        <v>Platform Operations</v>
      </c>
      <c r="D33" s="8" t="str">
        <f>IFERROR(INDEX(Lists!$BF$4:$BF$203,MATCH(1,Lists!$BJ$4:$BJ$203,0)),"")</f>
        <v>Blocked</v>
      </c>
      <c r="E33" s="10">
        <f>IFERROR(INDEX(Lists!$BE$4:$BE$203,MATCH(1,Lists!$BJ$4:$BJ$203,0)),"")</f>
        <v>46295</v>
      </c>
      <c r="F33" s="8" t="str">
        <f>IFERROR(INDEX(Lists!$BH$4:$BH$203,MATCH(1,Lists!$BJ$4:$BJ$203,0)),"")</f>
        <v>Morgan Reed</v>
      </c>
      <c r="G33" s="29" t="str">
        <f t="shared" ref="G33:G42" ca="1" si="2">IF(A33="","",IF(E33="","No target date",IF(E33&lt;TODAY(),"Overdue",E33-TODAY()&amp;" days")))</f>
        <v>43 days</v>
      </c>
      <c r="H33" s="151" t="str">
        <f>IFERROR(INDEX(Lists!$BD$4:$BD$203,MATCH(1,Lists!$BJ$4:$BJ$203,0)),"")</f>
        <v>Complete two guided workflow sessions with a qualified peer before assessment.</v>
      </c>
      <c r="I33" s="151"/>
    </row>
    <row r="34" spans="1:9" ht="39.6" customHeight="1">
      <c r="A34" s="4" t="str">
        <f>IFERROR(INDEX(Lists!$BA$4:$BA$203,MATCH(2,Lists!$BJ$4:$BJ$203,0)),"")</f>
        <v>Skyler Ross</v>
      </c>
      <c r="B34" s="4" t="str">
        <f>IFERROR(INDEX(Lists!$BC$4:$BC$203,MATCH(2,Lists!$BJ$4:$BJ$203,0)),"")</f>
        <v>Windows Server Administration</v>
      </c>
      <c r="C34" s="8" t="str">
        <f>IFERROR(INDEX(Lists!$BB$4:$BB$203,MATCH(2,Lists!$BJ$4:$BJ$203,0)),"")</f>
        <v>Software Engineering</v>
      </c>
      <c r="D34" s="8" t="str">
        <f>IFERROR(INDEX(Lists!$BF$4:$BF$203,MATCH(2,Lists!$BJ$4:$BJ$203,0)),"")</f>
        <v>In Progress</v>
      </c>
      <c r="E34" s="10">
        <f>IFERROR(INDEX(Lists!$BE$4:$BE$203,MATCH(2,Lists!$BJ$4:$BJ$203,0)),"")</f>
        <v>46267</v>
      </c>
      <c r="F34" s="8" t="str">
        <f>IFERROR(INDEX(Lists!$BH$4:$BH$203,MATCH(2,Lists!$BJ$4:$BJ$203,0)),"")</f>
        <v>Casey Hart</v>
      </c>
      <c r="G34" s="29" t="str">
        <f t="shared" ca="1" si="2"/>
        <v>15 days</v>
      </c>
      <c r="H34" s="151" t="str">
        <f>IFERROR(INDEX(Lists!$BD$4:$BD$203,MATCH(2,Lists!$BJ$4:$BJ$203,0)),"")</f>
        <v>Shadow a qualified peer and complete the observation checklist.</v>
      </c>
      <c r="I34" s="151"/>
    </row>
    <row r="35" spans="1:9" ht="39.6" customHeight="1">
      <c r="A35" s="4" t="str">
        <f>IFERROR(INDEX(Lists!$BA$4:$BA$203,MATCH(3,Lists!$BJ$4:$BJ$203,0)),"")</f>
        <v>Sydney Morgan</v>
      </c>
      <c r="B35" s="4" t="str">
        <f>IFERROR(INDEX(Lists!$BC$4:$BC$203,MATCH(3,Lists!$BJ$4:$BJ$203,0)),"")</f>
        <v>Business Continuity Basics</v>
      </c>
      <c r="C35" s="8" t="str">
        <f>IFERROR(INDEX(Lists!$BB$4:$BB$203,MATCH(3,Lists!$BJ$4:$BJ$203,0)),"")</f>
        <v>IT Operations</v>
      </c>
      <c r="D35" s="8" t="str">
        <f>IFERROR(INDEX(Lists!$BF$4:$BF$203,MATCH(3,Lists!$BJ$4:$BJ$203,0)),"")</f>
        <v>In Progress</v>
      </c>
      <c r="E35" s="10">
        <f>IFERROR(INDEX(Lists!$BE$4:$BE$203,MATCH(3,Lists!$BJ$4:$BJ$203,0)),"")</f>
        <v>46281</v>
      </c>
      <c r="F35" s="8" t="str">
        <f>IFERROR(INDEX(Lists!$BH$4:$BH$203,MATCH(3,Lists!$BJ$4:$BJ$203,0)),"")</f>
        <v>Riley Stone</v>
      </c>
      <c r="G35" s="29" t="str">
        <f t="shared" ca="1" si="2"/>
        <v>29 days</v>
      </c>
      <c r="H35" s="151" t="str">
        <f>IFERROR(INDEX(Lists!$BD$4:$BD$203,MATCH(3,Lists!$BJ$4:$BJ$203,0)),"")</f>
        <v>Complete two guided workflow sessions with a qualified peer before assessment.</v>
      </c>
      <c r="I35" s="151"/>
    </row>
    <row r="36" spans="1:9" ht="39.6" customHeight="1">
      <c r="A36" s="4" t="str">
        <f>IFERROR(INDEX(Lists!$BA$4:$BA$203,MATCH(4,Lists!$BJ$4:$BJ$203,0)),"")</f>
        <v>Riley Rivera</v>
      </c>
      <c r="B36" s="4" t="str">
        <f>IFERROR(INDEX(Lists!$BC$4:$BC$203,MATCH(4,Lists!$BJ$4:$BJ$203,0)),"")</f>
        <v>Security Awareness</v>
      </c>
      <c r="C36" s="8" t="str">
        <f>IFERROR(INDEX(Lists!$BB$4:$BB$203,MATCH(4,Lists!$BJ$4:$BJ$203,0)),"")</f>
        <v>Customer Support</v>
      </c>
      <c r="D36" s="8" t="str">
        <f>IFERROR(INDEX(Lists!$BF$4:$BF$203,MATCH(4,Lists!$BJ$4:$BJ$203,0)),"")</f>
        <v>In Progress</v>
      </c>
      <c r="E36" s="10">
        <f>IFERROR(INDEX(Lists!$BE$4:$BE$203,MATCH(4,Lists!$BJ$4:$BJ$203,0)),"")</f>
        <v>46298</v>
      </c>
      <c r="F36" s="8" t="str">
        <f>IFERROR(INDEX(Lists!$BH$4:$BH$203,MATCH(4,Lists!$BJ$4:$BJ$203,0)),"")</f>
        <v>Jordan Blake</v>
      </c>
      <c r="G36" s="29" t="str">
        <f t="shared" ca="1" si="2"/>
        <v>46 days</v>
      </c>
      <c r="H36" s="151" t="str">
        <f>IFERROR(INDEX(Lists!$BD$4:$BD$203,MATCH(4,Lists!$BJ$4:$BJ$203,0)),"")</f>
        <v>Shadow a qualified peer and complete the observation checklist.</v>
      </c>
      <c r="I36" s="151"/>
    </row>
    <row r="37" spans="1:9" ht="39.6" customHeight="1">
      <c r="A37" s="4" t="str">
        <f>IFERROR(INDEX(Lists!$BA$4:$BA$203,MATCH(5,Lists!$BJ$4:$BJ$203,0)),"")</f>
        <v>Dakota Ward</v>
      </c>
      <c r="B37" s="4" t="str">
        <f>IFERROR(INDEX(Lists!$BC$4:$BC$203,MATCH(5,Lists!$BJ$4:$BJ$203,0)),"")</f>
        <v>Network Support Analyst</v>
      </c>
      <c r="C37" s="8" t="str">
        <f>IFERROR(INDEX(Lists!$BB$4:$BB$203,MATCH(5,Lists!$BJ$4:$BJ$203,0)),"")</f>
        <v>IT Operations</v>
      </c>
      <c r="D37" s="8" t="str">
        <f>IFERROR(INDEX(Lists!$BF$4:$BF$203,MATCH(5,Lists!$BJ$4:$BJ$203,0)),"")</f>
        <v>In Progress</v>
      </c>
      <c r="E37" s="10">
        <f>IFERROR(INDEX(Lists!$BE$4:$BE$203,MATCH(5,Lists!$BJ$4:$BJ$203,0)),"")</f>
        <v>46320</v>
      </c>
      <c r="F37" s="8" t="str">
        <f>IFERROR(INDEX(Lists!$BH$4:$BH$203,MATCH(5,Lists!$BJ$4:$BJ$203,0)),"")</f>
        <v>Riley Stone</v>
      </c>
      <c r="G37" s="29" t="str">
        <f t="shared" ca="1" si="2"/>
        <v>68 days</v>
      </c>
      <c r="H37" s="151" t="str">
        <f>IFERROR(INDEX(Lists!$BD$4:$BD$203,MATCH(5,Lists!$BJ$4:$BJ$203,0)),"")</f>
        <v>Schedule guided practice in the standard workflow environment.</v>
      </c>
      <c r="I37" s="151"/>
    </row>
    <row r="38" spans="1:9" ht="39.6" customHeight="1">
      <c r="A38" s="4" t="str">
        <f>IFERROR(INDEX(Lists!$BA$4:$BA$203,MATCH(6,Lists!$BJ$4:$BJ$203,0)),"")</f>
        <v>Dakota Ward</v>
      </c>
      <c r="B38" s="4" t="str">
        <f>IFERROR(INDEX(Lists!$BC$4:$BC$203,MATCH(6,Lists!$BJ$4:$BJ$203,0)),"")</f>
        <v>Endpoint Provisioning</v>
      </c>
      <c r="C38" s="8" t="str">
        <f>IFERROR(INDEX(Lists!$BB$4:$BB$203,MATCH(6,Lists!$BJ$4:$BJ$203,0)),"")</f>
        <v>IT Operations</v>
      </c>
      <c r="D38" s="8" t="str">
        <f>IFERROR(INDEX(Lists!$BF$4:$BF$203,MATCH(6,Lists!$BJ$4:$BJ$203,0)),"")</f>
        <v>In Progress</v>
      </c>
      <c r="E38" s="10">
        <f>IFERROR(INDEX(Lists!$BE$4:$BE$203,MATCH(6,Lists!$BJ$4:$BJ$203,0)),"")</f>
        <v>46327</v>
      </c>
      <c r="F38" s="8" t="str">
        <f>IFERROR(INDEX(Lists!$BH$4:$BH$203,MATCH(6,Lists!$BJ$4:$BJ$203,0)),"")</f>
        <v>Riley Stone</v>
      </c>
      <c r="G38" s="29" t="str">
        <f t="shared" ca="1" si="2"/>
        <v>75 days</v>
      </c>
      <c r="H38" s="151" t="str">
        <f>IFERROR(INDEX(Lists!$BD$4:$BD$203,MATCH(6,Lists!$BJ$4:$BJ$203,0)),"")</f>
        <v>Shadow a qualified peer and complete the observation checklist.</v>
      </c>
      <c r="I38" s="151"/>
    </row>
    <row r="39" spans="1:9" ht="39.6" customHeight="1">
      <c r="A39" s="4" t="str">
        <f>IFERROR(INDEX(Lists!$BA$4:$BA$203,MATCH(7,Lists!$BJ$4:$BJ$203,0)),"")</f>
        <v>Robin Cooper</v>
      </c>
      <c r="B39" s="4" t="str">
        <f>IFERROR(INDEX(Lists!$BC$4:$BC$203,MATCH(7,Lists!$BJ$4:$BJ$203,0)),"")</f>
        <v>Vulnerability Scanning</v>
      </c>
      <c r="C39" s="8" t="str">
        <f>IFERROR(INDEX(Lists!$BB$4:$BB$203,MATCH(7,Lists!$BJ$4:$BJ$203,0)),"")</f>
        <v>Quality Assurance</v>
      </c>
      <c r="D39" s="8" t="str">
        <f>IFERROR(INDEX(Lists!$BF$4:$BF$203,MATCH(7,Lists!$BJ$4:$BJ$203,0)),"")</f>
        <v>In Progress</v>
      </c>
      <c r="E39" s="10">
        <f>IFERROR(INDEX(Lists!$BE$4:$BE$203,MATCH(7,Lists!$BJ$4:$BJ$203,0)),"")</f>
        <v>46349</v>
      </c>
      <c r="F39" s="8" t="str">
        <f>IFERROR(INDEX(Lists!$BH$4:$BH$203,MATCH(7,Lists!$BJ$4:$BJ$203,0)),"")</f>
        <v>Cameron Wells</v>
      </c>
      <c r="G39" s="29" t="str">
        <f t="shared" ca="1" si="2"/>
        <v>97 days</v>
      </c>
      <c r="H39" s="151" t="str">
        <f>IFERROR(INDEX(Lists!$BD$4:$BD$203,MATCH(7,Lists!$BJ$4:$BJ$203,0)),"")</f>
        <v>Schedule guided practice in the standard workflow environment.</v>
      </c>
      <c r="I39" s="151"/>
    </row>
    <row r="40" spans="1:9" ht="39.6" customHeight="1">
      <c r="A40" s="4" t="str">
        <f>IFERROR(INDEX(Lists!$BA$4:$BA$203,MATCH(8,Lists!$BJ$4:$BJ$203,0)),"")</f>
        <v>Rowan Carter</v>
      </c>
      <c r="B40" s="4" t="str">
        <f>IFERROR(INDEX(Lists!$BC$4:$BC$203,MATCH(8,Lists!$BJ$4:$BJ$203,0)),"")</f>
        <v>Disaster Recovery</v>
      </c>
      <c r="C40" s="8" t="str">
        <f>IFERROR(INDEX(Lists!$BB$4:$BB$203,MATCH(8,Lists!$BJ$4:$BJ$203,0)),"")</f>
        <v>Software Engineering</v>
      </c>
      <c r="D40" s="8" t="str">
        <f>IFERROR(INDEX(Lists!$BF$4:$BF$203,MATCH(8,Lists!$BJ$4:$BJ$203,0)),"")</f>
        <v>In Progress</v>
      </c>
      <c r="E40" s="10">
        <f>IFERROR(INDEX(Lists!$BE$4:$BE$203,MATCH(8,Lists!$BJ$4:$BJ$203,0)),"")</f>
        <v>46356</v>
      </c>
      <c r="F40" s="8" t="str">
        <f>IFERROR(INDEX(Lists!$BH$4:$BH$203,MATCH(8,Lists!$BJ$4:$BJ$203,0)),"")</f>
        <v>Casey Hart</v>
      </c>
      <c r="G40" s="29" t="str">
        <f t="shared" ca="1" si="2"/>
        <v>104 days</v>
      </c>
      <c r="H40" s="151" t="str">
        <f>IFERROR(INDEX(Lists!$BD$4:$BD$203,MATCH(8,Lists!$BJ$4:$BJ$203,0)),"")</f>
        <v>Shadow a qualified peer and complete the observation checklist.</v>
      </c>
      <c r="I40" s="151"/>
    </row>
    <row r="41" spans="1:9" ht="39.6" customHeight="1">
      <c r="A41" s="4" t="str">
        <f>IFERROR(INDEX(Lists!$BA$4:$BA$203,MATCH(9,Lists!$BJ$4:$BJ$203,0)),"")</f>
        <v>Kendall Washington</v>
      </c>
      <c r="B41" s="4" t="str">
        <f>IFERROR(INDEX(Lists!$BC$4:$BC$203,MATCH(9,Lists!$BJ$4:$BJ$203,0)),"")</f>
        <v>Business Continuity Basics</v>
      </c>
      <c r="C41" s="8" t="str">
        <f>IFERROR(INDEX(Lists!$BB$4:$BB$203,MATCH(9,Lists!$BJ$4:$BJ$203,0)),"")</f>
        <v>IT Operations</v>
      </c>
      <c r="D41" s="8" t="str">
        <f>IFERROR(INDEX(Lists!$BF$4:$BF$203,MATCH(9,Lists!$BJ$4:$BJ$203,0)),"")</f>
        <v>Not Started</v>
      </c>
      <c r="E41" s="10">
        <f>IFERROR(INDEX(Lists!$BE$4:$BE$203,MATCH(9,Lists!$BJ$4:$BJ$203,0)),"")</f>
        <v>46277</v>
      </c>
      <c r="F41" s="8" t="str">
        <f>IFERROR(INDEX(Lists!$BH$4:$BH$203,MATCH(9,Lists!$BJ$4:$BJ$203,0)),"")</f>
        <v>Riley Stone</v>
      </c>
      <c r="G41" s="29" t="str">
        <f t="shared" ca="1" si="2"/>
        <v>25 days</v>
      </c>
      <c r="H41" s="151" t="str">
        <f>IFERROR(INDEX(Lists!$BD$4:$BD$203,MATCH(9,Lists!$BJ$4:$BJ$203,0)),"")</f>
        <v>Shadow a qualified peer and complete the observation checklist.</v>
      </c>
      <c r="I41" s="151"/>
    </row>
    <row r="42" spans="1:9" ht="39.6" customHeight="1">
      <c r="A42" s="4" t="str">
        <f>IFERROR(INDEX(Lists!$BA$4:$BA$203,MATCH(10,Lists!$BJ$4:$BJ$203,0)),"")</f>
        <v>Bailey Hughes</v>
      </c>
      <c r="B42" s="4" t="str">
        <f>IFERROR(INDEX(Lists!$BC$4:$BC$203,MATCH(10,Lists!$BJ$4:$BJ$203,0)),"")</f>
        <v>Test Case Design</v>
      </c>
      <c r="C42" s="8" t="str">
        <f>IFERROR(INDEX(Lists!$BB$4:$BB$203,MATCH(10,Lists!$BJ$4:$BJ$203,0)),"")</f>
        <v>Quality Assurance</v>
      </c>
      <c r="D42" s="8" t="str">
        <f>IFERROR(INDEX(Lists!$BF$4:$BF$203,MATCH(10,Lists!$BJ$4:$BJ$203,0)),"")</f>
        <v>Not Started</v>
      </c>
      <c r="E42" s="10">
        <f>IFERROR(INDEX(Lists!$BE$4:$BE$203,MATCH(10,Lists!$BJ$4:$BJ$203,0)),"")</f>
        <v>46283</v>
      </c>
      <c r="F42" s="8" t="str">
        <f>IFERROR(INDEX(Lists!$BH$4:$BH$203,MATCH(10,Lists!$BJ$4:$BJ$203,0)),"")</f>
        <v>Cameron Wells</v>
      </c>
      <c r="G42" s="29" t="str">
        <f t="shared" ca="1" si="2"/>
        <v>31 days</v>
      </c>
      <c r="H42" s="151" t="str">
        <f>IFERROR(INDEX(Lists!$BD$4:$BD$203,MATCH(10,Lists!$BJ$4:$BJ$203,0)),"")</f>
        <v>Schedule guided practice in the standard workflow environment.</v>
      </c>
      <c r="I42" s="151"/>
    </row>
    <row r="44" spans="1:9">
      <c r="A44" s="124" t="s">
        <v>349</v>
      </c>
      <c r="B44" s="67"/>
      <c r="C44" s="67"/>
      <c r="D44" s="67"/>
      <c r="E44" s="67"/>
      <c r="F44" s="67"/>
      <c r="G44" s="67"/>
      <c r="H44" s="67"/>
      <c r="I44" s="67"/>
    </row>
    <row r="62" spans="1:9">
      <c r="A62" s="73" t="s">
        <v>350</v>
      </c>
      <c r="B62" s="66"/>
      <c r="C62" s="66"/>
      <c r="D62" s="66"/>
      <c r="E62" s="66"/>
      <c r="F62" s="66"/>
      <c r="G62" s="66"/>
      <c r="H62" s="66"/>
      <c r="I62" s="66"/>
    </row>
    <row r="63" spans="1:9">
      <c r="A63" s="21" t="s">
        <v>216</v>
      </c>
      <c r="B63" s="90" t="s">
        <v>351</v>
      </c>
      <c r="C63" s="71"/>
      <c r="D63" s="90" t="s">
        <v>352</v>
      </c>
      <c r="E63" s="70"/>
      <c r="F63" s="70"/>
      <c r="G63" s="70"/>
      <c r="H63" s="70"/>
      <c r="I63" s="71"/>
    </row>
    <row r="64" spans="1:9">
      <c r="A64" s="21" t="s">
        <v>218</v>
      </c>
      <c r="B64" s="90" t="s">
        <v>353</v>
      </c>
      <c r="C64" s="71"/>
      <c r="D64" s="90" t="s">
        <v>354</v>
      </c>
      <c r="E64" s="70"/>
      <c r="F64" s="70"/>
      <c r="G64" s="70"/>
      <c r="H64" s="70"/>
      <c r="I64" s="71"/>
    </row>
    <row r="65" spans="1:11">
      <c r="A65" s="21" t="s">
        <v>220</v>
      </c>
      <c r="B65" s="90" t="s">
        <v>355</v>
      </c>
      <c r="C65" s="71"/>
      <c r="D65" s="90" t="s">
        <v>356</v>
      </c>
      <c r="E65" s="70"/>
      <c r="F65" s="70"/>
      <c r="G65" s="70"/>
      <c r="H65" s="70"/>
      <c r="I65" s="71"/>
    </row>
    <row r="66" spans="1:11">
      <c r="A66" s="21" t="s">
        <v>342</v>
      </c>
      <c r="B66" s="90" t="s">
        <v>357</v>
      </c>
      <c r="C66" s="71"/>
      <c r="D66" s="90" t="s">
        <v>358</v>
      </c>
      <c r="E66" s="70"/>
      <c r="F66" s="70"/>
      <c r="G66" s="70"/>
      <c r="H66" s="70"/>
      <c r="I66" s="71"/>
    </row>
    <row r="67" spans="1:11">
      <c r="A67" s="21" t="s">
        <v>345</v>
      </c>
      <c r="B67" s="90" t="s">
        <v>359</v>
      </c>
      <c r="C67" s="71"/>
      <c r="D67" s="90" t="s">
        <v>360</v>
      </c>
      <c r="E67" s="70"/>
      <c r="F67" s="70"/>
      <c r="G67" s="70"/>
      <c r="H67" s="70"/>
      <c r="I67" s="71"/>
    </row>
    <row r="69" spans="1:11">
      <c r="A69" s="73" t="s">
        <v>361</v>
      </c>
      <c r="B69" s="66"/>
      <c r="C69" s="66"/>
      <c r="D69" s="66"/>
      <c r="E69" s="66"/>
      <c r="F69" s="66"/>
      <c r="G69" s="66"/>
      <c r="H69" s="66"/>
      <c r="I69" s="66"/>
      <c r="J69" s="66"/>
      <c r="K69" s="66"/>
    </row>
    <row r="70" spans="1:11" ht="14.4" customHeight="1">
      <c r="A70" s="65" t="s">
        <v>362</v>
      </c>
      <c r="B70" s="67"/>
      <c r="C70" s="67"/>
      <c r="D70" s="67"/>
      <c r="E70" s="67"/>
      <c r="F70" s="67"/>
      <c r="G70" s="67"/>
      <c r="H70" s="67"/>
      <c r="I70" s="67"/>
      <c r="J70" s="67"/>
      <c r="K70" s="67"/>
    </row>
    <row r="72" spans="1:11" ht="27.6" customHeight="1">
      <c r="A72" s="20" t="s">
        <v>4</v>
      </c>
      <c r="B72" s="20" t="s">
        <v>300</v>
      </c>
      <c r="C72" s="20" t="s">
        <v>363</v>
      </c>
      <c r="D72" s="20" t="s">
        <v>364</v>
      </c>
      <c r="E72" s="20" t="s">
        <v>292</v>
      </c>
      <c r="F72" s="20" t="s">
        <v>365</v>
      </c>
    </row>
    <row r="73" spans="1:11">
      <c r="A73" s="4" t="s">
        <v>304</v>
      </c>
      <c r="B73" s="4">
        <f>COUNTIF('Skills Matrix'!$A$6:$A$205,A73)</f>
        <v>6</v>
      </c>
      <c r="C73" s="4">
        <f>COUNTIF('Skills Matrix'!$G$4:$DE$4,A73)</f>
        <v>16</v>
      </c>
      <c r="D73" s="4">
        <f>B100</f>
        <v>12</v>
      </c>
      <c r="E73" s="4">
        <f>B113</f>
        <v>29</v>
      </c>
      <c r="F73" s="6">
        <f>IFERROR(AVERAGEIF('Skills Matrix'!$A$6:$A$205,A73,'Skills Matrix'!$DI$6:$DI$205),0)</f>
        <v>0.45833333333333331</v>
      </c>
    </row>
    <row r="74" spans="1:11">
      <c r="A74" s="4" t="s">
        <v>305</v>
      </c>
      <c r="B74" s="4">
        <f>COUNTIF('Skills Matrix'!$A$6:$A$205,A74)</f>
        <v>6</v>
      </c>
      <c r="C74" s="4">
        <f>COUNTIF('Skills Matrix'!$G$4:$DE$4,A74)</f>
        <v>14</v>
      </c>
      <c r="D74" s="4">
        <f>C101</f>
        <v>15</v>
      </c>
      <c r="E74" s="4">
        <f>C114</f>
        <v>16</v>
      </c>
      <c r="F74" s="6">
        <f>IFERROR(AVERAGEIF('Skills Matrix'!$A$6:$A$205,A74,'Skills Matrix'!$DI$6:$DI$205),0)</f>
        <v>0.45238095238095238</v>
      </c>
    </row>
    <row r="75" spans="1:11">
      <c r="A75" s="4" t="s">
        <v>306</v>
      </c>
      <c r="B75" s="4">
        <f>COUNTIF('Skills Matrix'!$A$6:$A$205,A75)</f>
        <v>6</v>
      </c>
      <c r="C75" s="4">
        <f>COUNTIF('Skills Matrix'!$G$4:$DE$4,A75)</f>
        <v>9</v>
      </c>
      <c r="D75" s="4">
        <f>D102</f>
        <v>10</v>
      </c>
      <c r="E75" s="4">
        <f>D115</f>
        <v>26</v>
      </c>
      <c r="F75" s="6">
        <f>IFERROR(AVERAGEIF('Skills Matrix'!$A$6:$A$205,A75,'Skills Matrix'!$DI$6:$DI$205),0)</f>
        <v>0.85185185185185175</v>
      </c>
    </row>
    <row r="76" spans="1:11">
      <c r="A76" s="4" t="s">
        <v>307</v>
      </c>
      <c r="B76" s="4">
        <f>COUNTIF('Skills Matrix'!$A$6:$A$205,A76)</f>
        <v>6</v>
      </c>
      <c r="C76" s="4">
        <f>COUNTIF('Skills Matrix'!$G$4:$DE$4,A76)</f>
        <v>8</v>
      </c>
      <c r="D76" s="4">
        <f>E103</f>
        <v>6</v>
      </c>
      <c r="E76" s="4">
        <f>E116</f>
        <v>15</v>
      </c>
      <c r="F76" s="6">
        <f>IFERROR(AVERAGEIF('Skills Matrix'!$A$6:$A$205,A76,'Skills Matrix'!$DI$6:$DI$205),0)</f>
        <v>0.54166666666666663</v>
      </c>
    </row>
    <row r="77" spans="1:11">
      <c r="A77" s="4" t="s">
        <v>308</v>
      </c>
      <c r="B77" s="4">
        <f>COUNTIF('Skills Matrix'!$A$6:$A$205,A77)</f>
        <v>6</v>
      </c>
      <c r="C77" s="4">
        <f>COUNTIF('Skills Matrix'!$G$4:$DE$4,A77)</f>
        <v>6</v>
      </c>
      <c r="D77" s="4">
        <f>F104</f>
        <v>6</v>
      </c>
      <c r="E77" s="4">
        <f>F117</f>
        <v>17</v>
      </c>
      <c r="F77" s="6">
        <f>IFERROR(AVERAGEIF('Skills Matrix'!$A$6:$A$205,A77,'Skills Matrix'!$DI$6:$DI$205),0)</f>
        <v>0.72222222222222221</v>
      </c>
    </row>
    <row r="78" spans="1:11">
      <c r="A78" s="4" t="s">
        <v>309</v>
      </c>
      <c r="B78" s="4">
        <f>COUNTIF('Skills Matrix'!$A$6:$A$205,A78)</f>
        <v>6</v>
      </c>
      <c r="C78" s="4">
        <f>COUNTIF('Skills Matrix'!$G$4:$DE$4,A78)</f>
        <v>17</v>
      </c>
      <c r="D78" s="4">
        <f>G105</f>
        <v>11</v>
      </c>
      <c r="E78" s="4">
        <f>G118</f>
        <v>28</v>
      </c>
      <c r="F78" s="6">
        <f>IFERROR(AVERAGEIF('Skills Matrix'!$A$6:$A$205,A78,'Skills Matrix'!$DI$6:$DI$205),0)</f>
        <v>0.40196078431372545</v>
      </c>
    </row>
    <row r="79" spans="1:11">
      <c r="A79" s="4" t="s">
        <v>310</v>
      </c>
      <c r="B79" s="4">
        <f>COUNTIF('Skills Matrix'!$A$6:$A$205,A79)</f>
        <v>0</v>
      </c>
      <c r="C79" s="4">
        <f>COUNTIF('Skills Matrix'!$G$4:$DE$4,A79)</f>
        <v>9</v>
      </c>
      <c r="D79" s="4">
        <f>H106</f>
        <v>0</v>
      </c>
      <c r="E79" s="4">
        <f>H119</f>
        <v>0</v>
      </c>
      <c r="F79" s="6">
        <f>IFERROR(AVERAGEIF('Skills Matrix'!$A$6:$A$205,A79,'Skills Matrix'!$DI$6:$DI$205),0)</f>
        <v>0</v>
      </c>
    </row>
    <row r="80" spans="1:11">
      <c r="A80" s="4" t="s">
        <v>311</v>
      </c>
      <c r="B80" s="4">
        <f>COUNTIF('Skills Matrix'!$A$6:$A$205,A80)</f>
        <v>0</v>
      </c>
      <c r="C80" s="4">
        <f>COUNTIF('Skills Matrix'!$G$4:$DE$4,A80)</f>
        <v>21</v>
      </c>
      <c r="D80" s="4">
        <f>I107</f>
        <v>0</v>
      </c>
      <c r="E80" s="4">
        <f>I120</f>
        <v>0</v>
      </c>
      <c r="F80" s="6">
        <f>IFERROR(AVERAGEIF('Skills Matrix'!$A$6:$A$205,A80,'Skills Matrix'!$DI$6:$DI$205),0)</f>
        <v>0</v>
      </c>
    </row>
    <row r="81" spans="1:6">
      <c r="A81" s="4" t="s">
        <v>312</v>
      </c>
      <c r="B81" s="4">
        <f>COUNTIF('Skills Matrix'!$A$6:$A$205,A81)</f>
        <v>0</v>
      </c>
      <c r="C81" s="4">
        <f>COUNTIF('Skills Matrix'!$G$4:$DE$4,A81)</f>
        <v>0</v>
      </c>
      <c r="D81" s="4">
        <f>J108</f>
        <v>0</v>
      </c>
      <c r="E81" s="4">
        <f>J121</f>
        <v>0</v>
      </c>
      <c r="F81" s="6">
        <f>IFERROR(AVERAGEIF('Skills Matrix'!$A$6:$A$205,A81,'Skills Matrix'!$DI$6:$DI$205),0)</f>
        <v>0</v>
      </c>
    </row>
    <row r="82" spans="1:6">
      <c r="A82" s="4" t="s">
        <v>213</v>
      </c>
      <c r="B82" s="4">
        <f>COUNTIF('Skills Matrix'!$A$6:$A$205,A82)</f>
        <v>0</v>
      </c>
      <c r="C82" s="4">
        <f>COUNTIF('Skills Matrix'!$G$4:$DE$4,A82)</f>
        <v>3</v>
      </c>
      <c r="D82" s="4">
        <f>K109</f>
        <v>0</v>
      </c>
      <c r="E82" s="4">
        <f>K122</f>
        <v>0</v>
      </c>
      <c r="F82" s="6">
        <f>IFERROR(AVERAGEIF('Skills Matrix'!$A$6:$A$205,A82,'Skills Matrix'!$DI$6:$DI$205),0)</f>
        <v>0</v>
      </c>
    </row>
    <row r="98" spans="1:11">
      <c r="A98" s="73" t="s">
        <v>366</v>
      </c>
      <c r="B98" s="67"/>
      <c r="C98" s="67"/>
      <c r="D98" s="67"/>
      <c r="E98" s="67"/>
      <c r="F98" s="67"/>
      <c r="G98" s="67"/>
      <c r="H98" s="67"/>
      <c r="I98" s="67"/>
      <c r="J98" s="67"/>
      <c r="K98" s="67"/>
    </row>
    <row r="99" spans="1:11" ht="42" customHeight="1">
      <c r="A99" s="20" t="s">
        <v>367</v>
      </c>
      <c r="B99" s="20" t="s">
        <v>304</v>
      </c>
      <c r="C99" s="20" t="s">
        <v>305</v>
      </c>
      <c r="D99" s="20" t="s">
        <v>306</v>
      </c>
      <c r="E99" s="20" t="s">
        <v>307</v>
      </c>
      <c r="F99" s="20" t="s">
        <v>308</v>
      </c>
      <c r="G99" s="20" t="s">
        <v>309</v>
      </c>
      <c r="H99" s="20" t="s">
        <v>310</v>
      </c>
      <c r="I99" s="20" t="s">
        <v>311</v>
      </c>
      <c r="J99" s="20" t="s">
        <v>312</v>
      </c>
      <c r="K99" s="20" t="s">
        <v>213</v>
      </c>
    </row>
    <row r="100" spans="1:11">
      <c r="A100" s="23" t="s">
        <v>304</v>
      </c>
      <c r="B100" s="8">
        <f>COUNTIFS('Skills Matrix'!$A$6:$A$205,$A100,'Skills Matrix'!$G$6:$G$205,2)+COUNTIFS('Skills Matrix'!$A$6:$A$205,$A100,'Skills Matrix'!$H$6:$H$205,2)+COUNTIFS('Skills Matrix'!$A$6:$A$205,$A100,'Skills Matrix'!$I$6:$I$205,2)+COUNTIFS('Skills Matrix'!$A$6:$A$205,$A100,'Skills Matrix'!$J$6:$J$205,2)+COUNTIFS('Skills Matrix'!$A$6:$A$205,$A100,'Skills Matrix'!$K$6:$K$205,2)+COUNTIFS('Skills Matrix'!$A$6:$A$205,$A100,'Skills Matrix'!$L$6:$L$205,2)+COUNTIFS('Skills Matrix'!$A$6:$A$205,$A100,'Skills Matrix'!$M$6:$M$205,2)+COUNTIFS('Skills Matrix'!$A$6:$A$205,$A100,'Skills Matrix'!$N$6:$N$205,2)+COUNTIFS('Skills Matrix'!$A$6:$A$205,$A100,'Skills Matrix'!$O$6:$O$205,2)+COUNTIFS('Skills Matrix'!$A$6:$A$205,$A100,'Skills Matrix'!$P$6:$P$205,2)+COUNTIFS('Skills Matrix'!$A$6:$A$205,$A100,'Skills Matrix'!$Q$6:$Q$205,2)+COUNTIFS('Skills Matrix'!$A$6:$A$205,$A100,'Skills Matrix'!$R$6:$R$205,2)+COUNTIFS('Skills Matrix'!$A$6:$A$205,$A100,'Skills Matrix'!$S$6:$S$205,2)+COUNTIFS('Skills Matrix'!$A$6:$A$205,$A100,'Skills Matrix'!$T$6:$T$205,2)+COUNTIFS('Skills Matrix'!$A$6:$A$205,$A100,'Skills Matrix'!$U$6:$U$205,2)+COUNTIFS('Skills Matrix'!$A$6:$A$205,$A100,'Skills Matrix'!$V$6:$V$205,2)</f>
        <v>12</v>
      </c>
      <c r="C100" s="8">
        <f>COUNTIFS('Skills Matrix'!$A$6:$A$205,$A100,'Skills Matrix'!$W$6:$W$205,2)+COUNTIFS('Skills Matrix'!$A$6:$A$205,$A100,'Skills Matrix'!$X$6:$X$205,2)+COUNTIFS('Skills Matrix'!$A$6:$A$205,$A100,'Skills Matrix'!$Y$6:$Y$205,2)+COUNTIFS('Skills Matrix'!$A$6:$A$205,$A100,'Skills Matrix'!$Z$6:$Z$205,2)+COUNTIFS('Skills Matrix'!$A$6:$A$205,$A100,'Skills Matrix'!$AA$6:$AA$205,2)+COUNTIFS('Skills Matrix'!$A$6:$A$205,$A100,'Skills Matrix'!$AB$6:$AB$205,2)+COUNTIFS('Skills Matrix'!$A$6:$A$205,$A100,'Skills Matrix'!$AC$6:$AC$205,2)+COUNTIFS('Skills Matrix'!$A$6:$A$205,$A100,'Skills Matrix'!$AD$6:$AD$205,2)+COUNTIFS('Skills Matrix'!$A$6:$A$205,$A100,'Skills Matrix'!$AE$6:$AE$205,2)+COUNTIFS('Skills Matrix'!$A$6:$A$205,$A100,'Skills Matrix'!$AF$6:$AF$205,2)+COUNTIFS('Skills Matrix'!$A$6:$A$205,$A100,'Skills Matrix'!$AG$6:$AG$205,2)+COUNTIFS('Skills Matrix'!$A$6:$A$205,$A100,'Skills Matrix'!$AH$6:$AH$205,2)+COUNTIFS('Skills Matrix'!$A$6:$A$205,$A100,'Skills Matrix'!$AI$6:$AI$205,2)+COUNTIFS('Skills Matrix'!$A$6:$A$205,$A100,'Skills Matrix'!$AJ$6:$AJ$205,2)</f>
        <v>0</v>
      </c>
      <c r="D100" s="8">
        <f>COUNTIFS('Skills Matrix'!$A$6:$A$205,$A100,'Skills Matrix'!$AK$6:$AK$205,2)+COUNTIFS('Skills Matrix'!$A$6:$A$205,$A100,'Skills Matrix'!$AL$6:$AL$205,2)+COUNTIFS('Skills Matrix'!$A$6:$A$205,$A100,'Skills Matrix'!$AM$6:$AM$205,2)+COUNTIFS('Skills Matrix'!$A$6:$A$205,$A100,'Skills Matrix'!$AN$6:$AN$205,2)+COUNTIFS('Skills Matrix'!$A$6:$A$205,$A100,'Skills Matrix'!$AO$6:$AO$205,2)+COUNTIFS('Skills Matrix'!$A$6:$A$205,$A100,'Skills Matrix'!$AP$6:$AP$205,2)+COUNTIFS('Skills Matrix'!$A$6:$A$205,$A100,'Skills Matrix'!$AQ$6:$AQ$205,2)+COUNTIFS('Skills Matrix'!$A$6:$A$205,$A100,'Skills Matrix'!$AR$6:$AR$205,2)+COUNTIFS('Skills Matrix'!$A$6:$A$205,$A100,'Skills Matrix'!$AS$6:$AS$205,2)</f>
        <v>0</v>
      </c>
      <c r="E100" s="8">
        <f>COUNTIFS('Skills Matrix'!$A$6:$A$205,$A100,'Skills Matrix'!$AT$6:$AT$205,2)+COUNTIFS('Skills Matrix'!$A$6:$A$205,$A100,'Skills Matrix'!$AU$6:$AU$205,2)+COUNTIFS('Skills Matrix'!$A$6:$A$205,$A100,'Skills Matrix'!$AV$6:$AV$205,2)+COUNTIFS('Skills Matrix'!$A$6:$A$205,$A100,'Skills Matrix'!$AW$6:$AW$205,2)+COUNTIFS('Skills Matrix'!$A$6:$A$205,$A100,'Skills Matrix'!$AX$6:$AX$205,2)+COUNTIFS('Skills Matrix'!$A$6:$A$205,$A100,'Skills Matrix'!$AY$6:$AY$205,2)+COUNTIFS('Skills Matrix'!$A$6:$A$205,$A100,'Skills Matrix'!$AZ$6:$AZ$205,2)+COUNTIFS('Skills Matrix'!$A$6:$A$205,$A100,'Skills Matrix'!$BA$6:$BA$205,2)</f>
        <v>0</v>
      </c>
      <c r="F100" s="8">
        <f>COUNTIFS('Skills Matrix'!$A$6:$A$205,$A100,'Skills Matrix'!$BB$6:$BB$205,2)+COUNTIFS('Skills Matrix'!$A$6:$A$205,$A100,'Skills Matrix'!$BC$6:$BC$205,2)+COUNTIFS('Skills Matrix'!$A$6:$A$205,$A100,'Skills Matrix'!$BD$6:$BD$205,2)+COUNTIFS('Skills Matrix'!$A$6:$A$205,$A100,'Skills Matrix'!$BE$6:$BE$205,2)+COUNTIFS('Skills Matrix'!$A$6:$A$205,$A100,'Skills Matrix'!$BF$6:$BF$205,2)+COUNTIFS('Skills Matrix'!$A$6:$A$205,$A100,'Skills Matrix'!$BG$6:$BG$205,2)+COUNTIFS('Skills Matrix'!$A$6:$A$205,$A100,'Skills Matrix'!$BH$6:$BH$205,2)</f>
        <v>1</v>
      </c>
      <c r="G100" s="8">
        <f>COUNTIFS('Skills Matrix'!$A$6:$A$205,$A100,'Skills Matrix'!$BI$6:$BI$205,2)+COUNTIFS('Skills Matrix'!$A$6:$A$205,$A100,'Skills Matrix'!$BJ$6:$BJ$205,2)+COUNTIFS('Skills Matrix'!$A$6:$A$205,$A100,'Skills Matrix'!$BK$6:$BK$205,2)+COUNTIFS('Skills Matrix'!$A$6:$A$205,$A100,'Skills Matrix'!$BL$6:$BL$205,2)+COUNTIFS('Skills Matrix'!$A$6:$A$205,$A100,'Skills Matrix'!$BM$6:$BM$205,2)+COUNTIFS('Skills Matrix'!$A$6:$A$205,$A100,'Skills Matrix'!$BN$6:$BN$205,2)+COUNTIFS('Skills Matrix'!$A$6:$A$205,$A100,'Skills Matrix'!$BO$6:$BO$205,2)+COUNTIFS('Skills Matrix'!$A$6:$A$205,$A100,'Skills Matrix'!$BP$6:$BP$205,2)+COUNTIFS('Skills Matrix'!$A$6:$A$205,$A100,'Skills Matrix'!$BQ$6:$BQ$205,2)+COUNTIFS('Skills Matrix'!$A$6:$A$205,$A100,'Skills Matrix'!$BR$6:$BR$205,2)+COUNTIFS('Skills Matrix'!$A$6:$A$205,$A100,'Skills Matrix'!$BS$6:$BS$205,2)+COUNTIFS('Skills Matrix'!$A$6:$A$205,$A100,'Skills Matrix'!$BT$6:$BT$205,2)+COUNTIFS('Skills Matrix'!$A$6:$A$205,$A100,'Skills Matrix'!$BU$6:$BU$205,2)+COUNTIFS('Skills Matrix'!$A$6:$A$205,$A100,'Skills Matrix'!$BV$6:$BV$205,2)+COUNTIFS('Skills Matrix'!$A$6:$A$205,$A100,'Skills Matrix'!$BW$6:$BW$205,2)+COUNTIFS('Skills Matrix'!$A$6:$A$205,$A100,'Skills Matrix'!$BX$6:$BX$205,2)+COUNTIFS('Skills Matrix'!$A$6:$A$205,$A100,'Skills Matrix'!$BY$6:$BY$205,2)</f>
        <v>1</v>
      </c>
      <c r="H100" s="8">
        <f>COUNTIFS('Skills Matrix'!$A$6:$A$205,$A100,'Skills Matrix'!$BZ$6:$BZ$205,2)+COUNTIFS('Skills Matrix'!$A$6:$A$205,$A100,'Skills Matrix'!$CA$6:$CA$205,2)+COUNTIFS('Skills Matrix'!$A$6:$A$205,$A100,'Skills Matrix'!$CB$6:$CB$205,2)+COUNTIFS('Skills Matrix'!$A$6:$A$205,$A100,'Skills Matrix'!$CC$6:$CC$205,2)+COUNTIFS('Skills Matrix'!$A$6:$A$205,$A100,'Skills Matrix'!$CD$6:$CD$205,2)+COUNTIFS('Skills Matrix'!$A$6:$A$205,$A100,'Skills Matrix'!$CE$6:$CE$205,2)+COUNTIFS('Skills Matrix'!$A$6:$A$205,$A100,'Skills Matrix'!$CF$6:$CF$205,2)+COUNTIFS('Skills Matrix'!$A$6:$A$205,$A100,'Skills Matrix'!$CG$6:$CG$205,2)+COUNTIFS('Skills Matrix'!$A$6:$A$205,$A100,'Skills Matrix'!$CH$6:$CH$205,2)</f>
        <v>0</v>
      </c>
      <c r="I100" s="8">
        <f>COUNTIFS('Skills Matrix'!$A$6:$A$205,$A100,'Skills Matrix'!$CI$6:$CI$205,2)+COUNTIFS('Skills Matrix'!$A$6:$A$205,$A100,'Skills Matrix'!$CJ$6:$CJ$205,2)+COUNTIFS('Skills Matrix'!$A$6:$A$205,$A100,'Skills Matrix'!$CK$6:$CK$205,2)+COUNTIFS('Skills Matrix'!$A$6:$A$205,$A100,'Skills Matrix'!$CL$6:$CL$205,2)+COUNTIFS('Skills Matrix'!$A$6:$A$205,$A100,'Skills Matrix'!$CM$6:$CM$205,2)+COUNTIFS('Skills Matrix'!$A$6:$A$205,$A100,'Skills Matrix'!$CN$6:$CN$205,2)+COUNTIFS('Skills Matrix'!$A$6:$A$205,$A100,'Skills Matrix'!$CO$6:$CO$205,2)+COUNTIFS('Skills Matrix'!$A$6:$A$205,$A100,'Skills Matrix'!$CP$6:$CP$205,2)+COUNTIFS('Skills Matrix'!$A$6:$A$205,$A100,'Skills Matrix'!$CQ$6:$CQ$205,2)+COUNTIFS('Skills Matrix'!$A$6:$A$205,$A100,'Skills Matrix'!$CR$6:$CR$205,2)+COUNTIFS('Skills Matrix'!$A$6:$A$205,$A100,'Skills Matrix'!$CS$6:$CS$205,2)+COUNTIFS('Skills Matrix'!$A$6:$A$205,$A100,'Skills Matrix'!$CT$6:$CT$205,2)+COUNTIFS('Skills Matrix'!$A$6:$A$205,$A100,'Skills Matrix'!$CU$6:$CU$205,2)+COUNTIFS('Skills Matrix'!$A$6:$A$205,$A100,'Skills Matrix'!$CV$6:$CV$205,2)+COUNTIFS('Skills Matrix'!$A$6:$A$205,$A100,'Skills Matrix'!$CW$6:$CW$205,2)+COUNTIFS('Skills Matrix'!$A$6:$A$205,$A100,'Skills Matrix'!$CX$6:$CX$205,2)+COUNTIFS('Skills Matrix'!$A$6:$A$205,$A100,'Skills Matrix'!$CY$6:$CY$205,2)+COUNTIFS('Skills Matrix'!$A$6:$A$205,$A100,'Skills Matrix'!$CZ$6:$CZ$205,2)+COUNTIFS('Skills Matrix'!$A$6:$A$205,$A100,'Skills Matrix'!$DA$6:$DA$205,2)+COUNTIFS('Skills Matrix'!$A$6:$A$205,$A100,'Skills Matrix'!$DB$6:$DB$205,2)+COUNTIFS('Skills Matrix'!$A$6:$A$205,$A100,'Skills Matrix'!$DC$6:$DC$205,2)</f>
        <v>0</v>
      </c>
      <c r="J100" s="8">
        <f>0</f>
        <v>0</v>
      </c>
      <c r="K100" s="8">
        <f>COUNTIFS('Skills Matrix'!$A$6:$A$205,$A100,'Skills Matrix'!$DD$6:$DD$205,2)+COUNTIFS('Skills Matrix'!$A$6:$A$205,$A100,'Skills Matrix'!$DE$6:$DE$205,2)</f>
        <v>1</v>
      </c>
    </row>
    <row r="101" spans="1:11">
      <c r="A101" s="23" t="s">
        <v>305</v>
      </c>
      <c r="B101" s="8">
        <f>COUNTIFS('Skills Matrix'!$A$6:$A$205,$A101,'Skills Matrix'!$G$6:$G$205,2)+COUNTIFS('Skills Matrix'!$A$6:$A$205,$A101,'Skills Matrix'!$H$6:$H$205,2)+COUNTIFS('Skills Matrix'!$A$6:$A$205,$A101,'Skills Matrix'!$I$6:$I$205,2)+COUNTIFS('Skills Matrix'!$A$6:$A$205,$A101,'Skills Matrix'!$J$6:$J$205,2)+COUNTIFS('Skills Matrix'!$A$6:$A$205,$A101,'Skills Matrix'!$K$6:$K$205,2)+COUNTIFS('Skills Matrix'!$A$6:$A$205,$A101,'Skills Matrix'!$L$6:$L$205,2)+COUNTIFS('Skills Matrix'!$A$6:$A$205,$A101,'Skills Matrix'!$M$6:$M$205,2)+COUNTIFS('Skills Matrix'!$A$6:$A$205,$A101,'Skills Matrix'!$N$6:$N$205,2)+COUNTIFS('Skills Matrix'!$A$6:$A$205,$A101,'Skills Matrix'!$O$6:$O$205,2)+COUNTIFS('Skills Matrix'!$A$6:$A$205,$A101,'Skills Matrix'!$P$6:$P$205,2)+COUNTIFS('Skills Matrix'!$A$6:$A$205,$A101,'Skills Matrix'!$Q$6:$Q$205,2)+COUNTIFS('Skills Matrix'!$A$6:$A$205,$A101,'Skills Matrix'!$R$6:$R$205,2)+COUNTIFS('Skills Matrix'!$A$6:$A$205,$A101,'Skills Matrix'!$S$6:$S$205,2)+COUNTIFS('Skills Matrix'!$A$6:$A$205,$A101,'Skills Matrix'!$T$6:$T$205,2)+COUNTIFS('Skills Matrix'!$A$6:$A$205,$A101,'Skills Matrix'!$U$6:$U$205,2)+COUNTIFS('Skills Matrix'!$A$6:$A$205,$A101,'Skills Matrix'!$V$6:$V$205,2)</f>
        <v>0</v>
      </c>
      <c r="C101" s="8">
        <f>COUNTIFS('Skills Matrix'!$A$6:$A$205,$A101,'Skills Matrix'!$W$6:$W$205,2)+COUNTIFS('Skills Matrix'!$A$6:$A$205,$A101,'Skills Matrix'!$X$6:$X$205,2)+COUNTIFS('Skills Matrix'!$A$6:$A$205,$A101,'Skills Matrix'!$Y$6:$Y$205,2)+COUNTIFS('Skills Matrix'!$A$6:$A$205,$A101,'Skills Matrix'!$Z$6:$Z$205,2)+COUNTIFS('Skills Matrix'!$A$6:$A$205,$A101,'Skills Matrix'!$AA$6:$AA$205,2)+COUNTIFS('Skills Matrix'!$A$6:$A$205,$A101,'Skills Matrix'!$AB$6:$AB$205,2)+COUNTIFS('Skills Matrix'!$A$6:$A$205,$A101,'Skills Matrix'!$AC$6:$AC$205,2)+COUNTIFS('Skills Matrix'!$A$6:$A$205,$A101,'Skills Matrix'!$AD$6:$AD$205,2)+COUNTIFS('Skills Matrix'!$A$6:$A$205,$A101,'Skills Matrix'!$AE$6:$AE$205,2)+COUNTIFS('Skills Matrix'!$A$6:$A$205,$A101,'Skills Matrix'!$AF$6:$AF$205,2)+COUNTIFS('Skills Matrix'!$A$6:$A$205,$A101,'Skills Matrix'!$AG$6:$AG$205,2)+COUNTIFS('Skills Matrix'!$A$6:$A$205,$A101,'Skills Matrix'!$AH$6:$AH$205,2)+COUNTIFS('Skills Matrix'!$A$6:$A$205,$A101,'Skills Matrix'!$AI$6:$AI$205,2)+COUNTIFS('Skills Matrix'!$A$6:$A$205,$A101,'Skills Matrix'!$AJ$6:$AJ$205,2)</f>
        <v>15</v>
      </c>
      <c r="D101" s="8">
        <f>COUNTIFS('Skills Matrix'!$A$6:$A$205,$A101,'Skills Matrix'!$AK$6:$AK$205,2)+COUNTIFS('Skills Matrix'!$A$6:$A$205,$A101,'Skills Matrix'!$AL$6:$AL$205,2)+COUNTIFS('Skills Matrix'!$A$6:$A$205,$A101,'Skills Matrix'!$AM$6:$AM$205,2)+COUNTIFS('Skills Matrix'!$A$6:$A$205,$A101,'Skills Matrix'!$AN$6:$AN$205,2)+COUNTIFS('Skills Matrix'!$A$6:$A$205,$A101,'Skills Matrix'!$AO$6:$AO$205,2)+COUNTIFS('Skills Matrix'!$A$6:$A$205,$A101,'Skills Matrix'!$AP$6:$AP$205,2)+COUNTIFS('Skills Matrix'!$A$6:$A$205,$A101,'Skills Matrix'!$AQ$6:$AQ$205,2)+COUNTIFS('Skills Matrix'!$A$6:$A$205,$A101,'Skills Matrix'!$AR$6:$AR$205,2)+COUNTIFS('Skills Matrix'!$A$6:$A$205,$A101,'Skills Matrix'!$AS$6:$AS$205,2)</f>
        <v>0</v>
      </c>
      <c r="E101" s="8">
        <f>COUNTIFS('Skills Matrix'!$A$6:$A$205,$A101,'Skills Matrix'!$AT$6:$AT$205,2)+COUNTIFS('Skills Matrix'!$A$6:$A$205,$A101,'Skills Matrix'!$AU$6:$AU$205,2)+COUNTIFS('Skills Matrix'!$A$6:$A$205,$A101,'Skills Matrix'!$AV$6:$AV$205,2)+COUNTIFS('Skills Matrix'!$A$6:$A$205,$A101,'Skills Matrix'!$AW$6:$AW$205,2)+COUNTIFS('Skills Matrix'!$A$6:$A$205,$A101,'Skills Matrix'!$AX$6:$AX$205,2)+COUNTIFS('Skills Matrix'!$A$6:$A$205,$A101,'Skills Matrix'!$AY$6:$AY$205,2)+COUNTIFS('Skills Matrix'!$A$6:$A$205,$A101,'Skills Matrix'!$AZ$6:$AZ$205,2)+COUNTIFS('Skills Matrix'!$A$6:$A$205,$A101,'Skills Matrix'!$BA$6:$BA$205,2)</f>
        <v>0</v>
      </c>
      <c r="F101" s="8">
        <f>COUNTIFS('Skills Matrix'!$A$6:$A$205,$A101,'Skills Matrix'!$BB$6:$BB$205,2)+COUNTIFS('Skills Matrix'!$A$6:$A$205,$A101,'Skills Matrix'!$BC$6:$BC$205,2)+COUNTIFS('Skills Matrix'!$A$6:$A$205,$A101,'Skills Matrix'!$BD$6:$BD$205,2)+COUNTIFS('Skills Matrix'!$A$6:$A$205,$A101,'Skills Matrix'!$BE$6:$BE$205,2)+COUNTIFS('Skills Matrix'!$A$6:$A$205,$A101,'Skills Matrix'!$BF$6:$BF$205,2)+COUNTIFS('Skills Matrix'!$A$6:$A$205,$A101,'Skills Matrix'!$BG$6:$BG$205,2)+COUNTIFS('Skills Matrix'!$A$6:$A$205,$A101,'Skills Matrix'!$BH$6:$BH$205,2)</f>
        <v>0</v>
      </c>
      <c r="G101" s="8">
        <f>COUNTIFS('Skills Matrix'!$A$6:$A$205,$A101,'Skills Matrix'!$BI$6:$BI$205,2)+COUNTIFS('Skills Matrix'!$A$6:$A$205,$A101,'Skills Matrix'!$BJ$6:$BJ$205,2)+COUNTIFS('Skills Matrix'!$A$6:$A$205,$A101,'Skills Matrix'!$BK$6:$BK$205,2)+COUNTIFS('Skills Matrix'!$A$6:$A$205,$A101,'Skills Matrix'!$BL$6:$BL$205,2)+COUNTIFS('Skills Matrix'!$A$6:$A$205,$A101,'Skills Matrix'!$BM$6:$BM$205,2)+COUNTIFS('Skills Matrix'!$A$6:$A$205,$A101,'Skills Matrix'!$BN$6:$BN$205,2)+COUNTIFS('Skills Matrix'!$A$6:$A$205,$A101,'Skills Matrix'!$BO$6:$BO$205,2)+COUNTIFS('Skills Matrix'!$A$6:$A$205,$A101,'Skills Matrix'!$BP$6:$BP$205,2)+COUNTIFS('Skills Matrix'!$A$6:$A$205,$A101,'Skills Matrix'!$BQ$6:$BQ$205,2)+COUNTIFS('Skills Matrix'!$A$6:$A$205,$A101,'Skills Matrix'!$BR$6:$BR$205,2)+COUNTIFS('Skills Matrix'!$A$6:$A$205,$A101,'Skills Matrix'!$BS$6:$BS$205,2)+COUNTIFS('Skills Matrix'!$A$6:$A$205,$A101,'Skills Matrix'!$BT$6:$BT$205,2)+COUNTIFS('Skills Matrix'!$A$6:$A$205,$A101,'Skills Matrix'!$BU$6:$BU$205,2)+COUNTIFS('Skills Matrix'!$A$6:$A$205,$A101,'Skills Matrix'!$BV$6:$BV$205,2)+COUNTIFS('Skills Matrix'!$A$6:$A$205,$A101,'Skills Matrix'!$BW$6:$BW$205,2)+COUNTIFS('Skills Matrix'!$A$6:$A$205,$A101,'Skills Matrix'!$BX$6:$BX$205,2)+COUNTIFS('Skills Matrix'!$A$6:$A$205,$A101,'Skills Matrix'!$BY$6:$BY$205,2)</f>
        <v>1</v>
      </c>
      <c r="H101" s="8">
        <f>COUNTIFS('Skills Matrix'!$A$6:$A$205,$A101,'Skills Matrix'!$BZ$6:$BZ$205,2)+COUNTIFS('Skills Matrix'!$A$6:$A$205,$A101,'Skills Matrix'!$CA$6:$CA$205,2)+COUNTIFS('Skills Matrix'!$A$6:$A$205,$A101,'Skills Matrix'!$CB$6:$CB$205,2)+COUNTIFS('Skills Matrix'!$A$6:$A$205,$A101,'Skills Matrix'!$CC$6:$CC$205,2)+COUNTIFS('Skills Matrix'!$A$6:$A$205,$A101,'Skills Matrix'!$CD$6:$CD$205,2)+COUNTIFS('Skills Matrix'!$A$6:$A$205,$A101,'Skills Matrix'!$CE$6:$CE$205,2)+COUNTIFS('Skills Matrix'!$A$6:$A$205,$A101,'Skills Matrix'!$CF$6:$CF$205,2)+COUNTIFS('Skills Matrix'!$A$6:$A$205,$A101,'Skills Matrix'!$CG$6:$CG$205,2)+COUNTIFS('Skills Matrix'!$A$6:$A$205,$A101,'Skills Matrix'!$CH$6:$CH$205,2)</f>
        <v>0</v>
      </c>
      <c r="I101" s="8">
        <f>COUNTIFS('Skills Matrix'!$A$6:$A$205,$A101,'Skills Matrix'!$CI$6:$CI$205,2)+COUNTIFS('Skills Matrix'!$A$6:$A$205,$A101,'Skills Matrix'!$CJ$6:$CJ$205,2)+COUNTIFS('Skills Matrix'!$A$6:$A$205,$A101,'Skills Matrix'!$CK$6:$CK$205,2)+COUNTIFS('Skills Matrix'!$A$6:$A$205,$A101,'Skills Matrix'!$CL$6:$CL$205,2)+COUNTIFS('Skills Matrix'!$A$6:$A$205,$A101,'Skills Matrix'!$CM$6:$CM$205,2)+COUNTIFS('Skills Matrix'!$A$6:$A$205,$A101,'Skills Matrix'!$CN$6:$CN$205,2)+COUNTIFS('Skills Matrix'!$A$6:$A$205,$A101,'Skills Matrix'!$CO$6:$CO$205,2)+COUNTIFS('Skills Matrix'!$A$6:$A$205,$A101,'Skills Matrix'!$CP$6:$CP$205,2)+COUNTIFS('Skills Matrix'!$A$6:$A$205,$A101,'Skills Matrix'!$CQ$6:$CQ$205,2)+COUNTIFS('Skills Matrix'!$A$6:$A$205,$A101,'Skills Matrix'!$CR$6:$CR$205,2)+COUNTIFS('Skills Matrix'!$A$6:$A$205,$A101,'Skills Matrix'!$CS$6:$CS$205,2)+COUNTIFS('Skills Matrix'!$A$6:$A$205,$A101,'Skills Matrix'!$CT$6:$CT$205,2)+COUNTIFS('Skills Matrix'!$A$6:$A$205,$A101,'Skills Matrix'!$CU$6:$CU$205,2)+COUNTIFS('Skills Matrix'!$A$6:$A$205,$A101,'Skills Matrix'!$CV$6:$CV$205,2)+COUNTIFS('Skills Matrix'!$A$6:$A$205,$A101,'Skills Matrix'!$CW$6:$CW$205,2)+COUNTIFS('Skills Matrix'!$A$6:$A$205,$A101,'Skills Matrix'!$CX$6:$CX$205,2)+COUNTIFS('Skills Matrix'!$A$6:$A$205,$A101,'Skills Matrix'!$CY$6:$CY$205,2)+COUNTIFS('Skills Matrix'!$A$6:$A$205,$A101,'Skills Matrix'!$CZ$6:$CZ$205,2)+COUNTIFS('Skills Matrix'!$A$6:$A$205,$A101,'Skills Matrix'!$DA$6:$DA$205,2)+COUNTIFS('Skills Matrix'!$A$6:$A$205,$A101,'Skills Matrix'!$DB$6:$DB$205,2)+COUNTIFS('Skills Matrix'!$A$6:$A$205,$A101,'Skills Matrix'!$DC$6:$DC$205,2)</f>
        <v>0</v>
      </c>
      <c r="J101" s="8">
        <f>0</f>
        <v>0</v>
      </c>
      <c r="K101" s="8">
        <f>COUNTIFS('Skills Matrix'!$A$6:$A$205,$A101,'Skills Matrix'!$DD$6:$DD$205,2)+COUNTIFS('Skills Matrix'!$A$6:$A$205,$A101,'Skills Matrix'!$DE$6:$DE$205,2)</f>
        <v>0</v>
      </c>
    </row>
    <row r="102" spans="1:11">
      <c r="A102" s="23" t="s">
        <v>306</v>
      </c>
      <c r="B102" s="8">
        <f>COUNTIFS('Skills Matrix'!$A$6:$A$205,$A102,'Skills Matrix'!$G$6:$G$205,2)+COUNTIFS('Skills Matrix'!$A$6:$A$205,$A102,'Skills Matrix'!$H$6:$H$205,2)+COUNTIFS('Skills Matrix'!$A$6:$A$205,$A102,'Skills Matrix'!$I$6:$I$205,2)+COUNTIFS('Skills Matrix'!$A$6:$A$205,$A102,'Skills Matrix'!$J$6:$J$205,2)+COUNTIFS('Skills Matrix'!$A$6:$A$205,$A102,'Skills Matrix'!$K$6:$K$205,2)+COUNTIFS('Skills Matrix'!$A$6:$A$205,$A102,'Skills Matrix'!$L$6:$L$205,2)+COUNTIFS('Skills Matrix'!$A$6:$A$205,$A102,'Skills Matrix'!$M$6:$M$205,2)+COUNTIFS('Skills Matrix'!$A$6:$A$205,$A102,'Skills Matrix'!$N$6:$N$205,2)+COUNTIFS('Skills Matrix'!$A$6:$A$205,$A102,'Skills Matrix'!$O$6:$O$205,2)+COUNTIFS('Skills Matrix'!$A$6:$A$205,$A102,'Skills Matrix'!$P$6:$P$205,2)+COUNTIFS('Skills Matrix'!$A$6:$A$205,$A102,'Skills Matrix'!$Q$6:$Q$205,2)+COUNTIFS('Skills Matrix'!$A$6:$A$205,$A102,'Skills Matrix'!$R$6:$R$205,2)+COUNTIFS('Skills Matrix'!$A$6:$A$205,$A102,'Skills Matrix'!$S$6:$S$205,2)+COUNTIFS('Skills Matrix'!$A$6:$A$205,$A102,'Skills Matrix'!$T$6:$T$205,2)+COUNTIFS('Skills Matrix'!$A$6:$A$205,$A102,'Skills Matrix'!$U$6:$U$205,2)+COUNTIFS('Skills Matrix'!$A$6:$A$205,$A102,'Skills Matrix'!$V$6:$V$205,2)</f>
        <v>0</v>
      </c>
      <c r="C102" s="8">
        <f>COUNTIFS('Skills Matrix'!$A$6:$A$205,$A102,'Skills Matrix'!$W$6:$W$205,2)+COUNTIFS('Skills Matrix'!$A$6:$A$205,$A102,'Skills Matrix'!$X$6:$X$205,2)+COUNTIFS('Skills Matrix'!$A$6:$A$205,$A102,'Skills Matrix'!$Y$6:$Y$205,2)+COUNTIFS('Skills Matrix'!$A$6:$A$205,$A102,'Skills Matrix'!$Z$6:$Z$205,2)+COUNTIFS('Skills Matrix'!$A$6:$A$205,$A102,'Skills Matrix'!$AA$6:$AA$205,2)+COUNTIFS('Skills Matrix'!$A$6:$A$205,$A102,'Skills Matrix'!$AB$6:$AB$205,2)+COUNTIFS('Skills Matrix'!$A$6:$A$205,$A102,'Skills Matrix'!$AC$6:$AC$205,2)+COUNTIFS('Skills Matrix'!$A$6:$A$205,$A102,'Skills Matrix'!$AD$6:$AD$205,2)+COUNTIFS('Skills Matrix'!$A$6:$A$205,$A102,'Skills Matrix'!$AE$6:$AE$205,2)+COUNTIFS('Skills Matrix'!$A$6:$A$205,$A102,'Skills Matrix'!$AF$6:$AF$205,2)+COUNTIFS('Skills Matrix'!$A$6:$A$205,$A102,'Skills Matrix'!$AG$6:$AG$205,2)+COUNTIFS('Skills Matrix'!$A$6:$A$205,$A102,'Skills Matrix'!$AH$6:$AH$205,2)+COUNTIFS('Skills Matrix'!$A$6:$A$205,$A102,'Skills Matrix'!$AI$6:$AI$205,2)+COUNTIFS('Skills Matrix'!$A$6:$A$205,$A102,'Skills Matrix'!$AJ$6:$AJ$205,2)</f>
        <v>0</v>
      </c>
      <c r="D102" s="8">
        <f>COUNTIFS('Skills Matrix'!$A$6:$A$205,$A102,'Skills Matrix'!$AK$6:$AK$205,2)+COUNTIFS('Skills Matrix'!$A$6:$A$205,$A102,'Skills Matrix'!$AL$6:$AL$205,2)+COUNTIFS('Skills Matrix'!$A$6:$A$205,$A102,'Skills Matrix'!$AM$6:$AM$205,2)+COUNTIFS('Skills Matrix'!$A$6:$A$205,$A102,'Skills Matrix'!$AN$6:$AN$205,2)+COUNTIFS('Skills Matrix'!$A$6:$A$205,$A102,'Skills Matrix'!$AO$6:$AO$205,2)+COUNTIFS('Skills Matrix'!$A$6:$A$205,$A102,'Skills Matrix'!$AP$6:$AP$205,2)+COUNTIFS('Skills Matrix'!$A$6:$A$205,$A102,'Skills Matrix'!$AQ$6:$AQ$205,2)+COUNTIFS('Skills Matrix'!$A$6:$A$205,$A102,'Skills Matrix'!$AR$6:$AR$205,2)+COUNTIFS('Skills Matrix'!$A$6:$A$205,$A102,'Skills Matrix'!$AS$6:$AS$205,2)</f>
        <v>10</v>
      </c>
      <c r="E102" s="8">
        <f>COUNTIFS('Skills Matrix'!$A$6:$A$205,$A102,'Skills Matrix'!$AT$6:$AT$205,2)+COUNTIFS('Skills Matrix'!$A$6:$A$205,$A102,'Skills Matrix'!$AU$6:$AU$205,2)+COUNTIFS('Skills Matrix'!$A$6:$A$205,$A102,'Skills Matrix'!$AV$6:$AV$205,2)+COUNTIFS('Skills Matrix'!$A$6:$A$205,$A102,'Skills Matrix'!$AW$6:$AW$205,2)+COUNTIFS('Skills Matrix'!$A$6:$A$205,$A102,'Skills Matrix'!$AX$6:$AX$205,2)+COUNTIFS('Skills Matrix'!$A$6:$A$205,$A102,'Skills Matrix'!$AY$6:$AY$205,2)+COUNTIFS('Skills Matrix'!$A$6:$A$205,$A102,'Skills Matrix'!$AZ$6:$AZ$205,2)+COUNTIFS('Skills Matrix'!$A$6:$A$205,$A102,'Skills Matrix'!$BA$6:$BA$205,2)</f>
        <v>0</v>
      </c>
      <c r="F102" s="8">
        <f>COUNTIFS('Skills Matrix'!$A$6:$A$205,$A102,'Skills Matrix'!$BB$6:$BB$205,2)+COUNTIFS('Skills Matrix'!$A$6:$A$205,$A102,'Skills Matrix'!$BC$6:$BC$205,2)+COUNTIFS('Skills Matrix'!$A$6:$A$205,$A102,'Skills Matrix'!$BD$6:$BD$205,2)+COUNTIFS('Skills Matrix'!$A$6:$A$205,$A102,'Skills Matrix'!$BE$6:$BE$205,2)+COUNTIFS('Skills Matrix'!$A$6:$A$205,$A102,'Skills Matrix'!$BF$6:$BF$205,2)+COUNTIFS('Skills Matrix'!$A$6:$A$205,$A102,'Skills Matrix'!$BG$6:$BG$205,2)+COUNTIFS('Skills Matrix'!$A$6:$A$205,$A102,'Skills Matrix'!$BH$6:$BH$205,2)</f>
        <v>0</v>
      </c>
      <c r="G102" s="8">
        <f>COUNTIFS('Skills Matrix'!$A$6:$A$205,$A102,'Skills Matrix'!$BI$6:$BI$205,2)+COUNTIFS('Skills Matrix'!$A$6:$A$205,$A102,'Skills Matrix'!$BJ$6:$BJ$205,2)+COUNTIFS('Skills Matrix'!$A$6:$A$205,$A102,'Skills Matrix'!$BK$6:$BK$205,2)+COUNTIFS('Skills Matrix'!$A$6:$A$205,$A102,'Skills Matrix'!$BL$6:$BL$205,2)+COUNTIFS('Skills Matrix'!$A$6:$A$205,$A102,'Skills Matrix'!$BM$6:$BM$205,2)+COUNTIFS('Skills Matrix'!$A$6:$A$205,$A102,'Skills Matrix'!$BN$6:$BN$205,2)+COUNTIFS('Skills Matrix'!$A$6:$A$205,$A102,'Skills Matrix'!$BO$6:$BO$205,2)+COUNTIFS('Skills Matrix'!$A$6:$A$205,$A102,'Skills Matrix'!$BP$6:$BP$205,2)+COUNTIFS('Skills Matrix'!$A$6:$A$205,$A102,'Skills Matrix'!$BQ$6:$BQ$205,2)+COUNTIFS('Skills Matrix'!$A$6:$A$205,$A102,'Skills Matrix'!$BR$6:$BR$205,2)+COUNTIFS('Skills Matrix'!$A$6:$A$205,$A102,'Skills Matrix'!$BS$6:$BS$205,2)+COUNTIFS('Skills Matrix'!$A$6:$A$205,$A102,'Skills Matrix'!$BT$6:$BT$205,2)+COUNTIFS('Skills Matrix'!$A$6:$A$205,$A102,'Skills Matrix'!$BU$6:$BU$205,2)+COUNTIFS('Skills Matrix'!$A$6:$A$205,$A102,'Skills Matrix'!$BV$6:$BV$205,2)+COUNTIFS('Skills Matrix'!$A$6:$A$205,$A102,'Skills Matrix'!$BW$6:$BW$205,2)+COUNTIFS('Skills Matrix'!$A$6:$A$205,$A102,'Skills Matrix'!$BX$6:$BX$205,2)+COUNTIFS('Skills Matrix'!$A$6:$A$205,$A102,'Skills Matrix'!$BY$6:$BY$205,2)</f>
        <v>2</v>
      </c>
      <c r="H102" s="8">
        <f>COUNTIFS('Skills Matrix'!$A$6:$A$205,$A102,'Skills Matrix'!$BZ$6:$BZ$205,2)+COUNTIFS('Skills Matrix'!$A$6:$A$205,$A102,'Skills Matrix'!$CA$6:$CA$205,2)+COUNTIFS('Skills Matrix'!$A$6:$A$205,$A102,'Skills Matrix'!$CB$6:$CB$205,2)+COUNTIFS('Skills Matrix'!$A$6:$A$205,$A102,'Skills Matrix'!$CC$6:$CC$205,2)+COUNTIFS('Skills Matrix'!$A$6:$A$205,$A102,'Skills Matrix'!$CD$6:$CD$205,2)+COUNTIFS('Skills Matrix'!$A$6:$A$205,$A102,'Skills Matrix'!$CE$6:$CE$205,2)+COUNTIFS('Skills Matrix'!$A$6:$A$205,$A102,'Skills Matrix'!$CF$6:$CF$205,2)+COUNTIFS('Skills Matrix'!$A$6:$A$205,$A102,'Skills Matrix'!$CG$6:$CG$205,2)+COUNTIFS('Skills Matrix'!$A$6:$A$205,$A102,'Skills Matrix'!$CH$6:$CH$205,2)</f>
        <v>0</v>
      </c>
      <c r="I102" s="8">
        <f>COUNTIFS('Skills Matrix'!$A$6:$A$205,$A102,'Skills Matrix'!$CI$6:$CI$205,2)+COUNTIFS('Skills Matrix'!$A$6:$A$205,$A102,'Skills Matrix'!$CJ$6:$CJ$205,2)+COUNTIFS('Skills Matrix'!$A$6:$A$205,$A102,'Skills Matrix'!$CK$6:$CK$205,2)+COUNTIFS('Skills Matrix'!$A$6:$A$205,$A102,'Skills Matrix'!$CL$6:$CL$205,2)+COUNTIFS('Skills Matrix'!$A$6:$A$205,$A102,'Skills Matrix'!$CM$6:$CM$205,2)+COUNTIFS('Skills Matrix'!$A$6:$A$205,$A102,'Skills Matrix'!$CN$6:$CN$205,2)+COUNTIFS('Skills Matrix'!$A$6:$A$205,$A102,'Skills Matrix'!$CO$6:$CO$205,2)+COUNTIFS('Skills Matrix'!$A$6:$A$205,$A102,'Skills Matrix'!$CP$6:$CP$205,2)+COUNTIFS('Skills Matrix'!$A$6:$A$205,$A102,'Skills Matrix'!$CQ$6:$CQ$205,2)+COUNTIFS('Skills Matrix'!$A$6:$A$205,$A102,'Skills Matrix'!$CR$6:$CR$205,2)+COUNTIFS('Skills Matrix'!$A$6:$A$205,$A102,'Skills Matrix'!$CS$6:$CS$205,2)+COUNTIFS('Skills Matrix'!$A$6:$A$205,$A102,'Skills Matrix'!$CT$6:$CT$205,2)+COUNTIFS('Skills Matrix'!$A$6:$A$205,$A102,'Skills Matrix'!$CU$6:$CU$205,2)+COUNTIFS('Skills Matrix'!$A$6:$A$205,$A102,'Skills Matrix'!$CV$6:$CV$205,2)+COUNTIFS('Skills Matrix'!$A$6:$A$205,$A102,'Skills Matrix'!$CW$6:$CW$205,2)+COUNTIFS('Skills Matrix'!$A$6:$A$205,$A102,'Skills Matrix'!$CX$6:$CX$205,2)+COUNTIFS('Skills Matrix'!$A$6:$A$205,$A102,'Skills Matrix'!$CY$6:$CY$205,2)+COUNTIFS('Skills Matrix'!$A$6:$A$205,$A102,'Skills Matrix'!$CZ$6:$CZ$205,2)+COUNTIFS('Skills Matrix'!$A$6:$A$205,$A102,'Skills Matrix'!$DA$6:$DA$205,2)+COUNTIFS('Skills Matrix'!$A$6:$A$205,$A102,'Skills Matrix'!$DB$6:$DB$205,2)+COUNTIFS('Skills Matrix'!$A$6:$A$205,$A102,'Skills Matrix'!$DC$6:$DC$205,2)</f>
        <v>0</v>
      </c>
      <c r="J102" s="8">
        <f>0</f>
        <v>0</v>
      </c>
      <c r="K102" s="8">
        <f>COUNTIFS('Skills Matrix'!$A$6:$A$205,$A102,'Skills Matrix'!$DD$6:$DD$205,2)+COUNTIFS('Skills Matrix'!$A$6:$A$205,$A102,'Skills Matrix'!$DE$6:$DE$205,2)</f>
        <v>2</v>
      </c>
    </row>
    <row r="103" spans="1:11">
      <c r="A103" s="23" t="s">
        <v>307</v>
      </c>
      <c r="B103" s="8">
        <f>COUNTIFS('Skills Matrix'!$A$6:$A$205,$A103,'Skills Matrix'!$G$6:$G$205,2)+COUNTIFS('Skills Matrix'!$A$6:$A$205,$A103,'Skills Matrix'!$H$6:$H$205,2)+COUNTIFS('Skills Matrix'!$A$6:$A$205,$A103,'Skills Matrix'!$I$6:$I$205,2)+COUNTIFS('Skills Matrix'!$A$6:$A$205,$A103,'Skills Matrix'!$J$6:$J$205,2)+COUNTIFS('Skills Matrix'!$A$6:$A$205,$A103,'Skills Matrix'!$K$6:$K$205,2)+COUNTIFS('Skills Matrix'!$A$6:$A$205,$A103,'Skills Matrix'!$L$6:$L$205,2)+COUNTIFS('Skills Matrix'!$A$6:$A$205,$A103,'Skills Matrix'!$M$6:$M$205,2)+COUNTIFS('Skills Matrix'!$A$6:$A$205,$A103,'Skills Matrix'!$N$6:$N$205,2)+COUNTIFS('Skills Matrix'!$A$6:$A$205,$A103,'Skills Matrix'!$O$6:$O$205,2)+COUNTIFS('Skills Matrix'!$A$6:$A$205,$A103,'Skills Matrix'!$P$6:$P$205,2)+COUNTIFS('Skills Matrix'!$A$6:$A$205,$A103,'Skills Matrix'!$Q$6:$Q$205,2)+COUNTIFS('Skills Matrix'!$A$6:$A$205,$A103,'Skills Matrix'!$R$6:$R$205,2)+COUNTIFS('Skills Matrix'!$A$6:$A$205,$A103,'Skills Matrix'!$S$6:$S$205,2)+COUNTIFS('Skills Matrix'!$A$6:$A$205,$A103,'Skills Matrix'!$T$6:$T$205,2)+COUNTIFS('Skills Matrix'!$A$6:$A$205,$A103,'Skills Matrix'!$U$6:$U$205,2)+COUNTIFS('Skills Matrix'!$A$6:$A$205,$A103,'Skills Matrix'!$V$6:$V$205,2)</f>
        <v>0</v>
      </c>
      <c r="C103" s="8">
        <f>COUNTIFS('Skills Matrix'!$A$6:$A$205,$A103,'Skills Matrix'!$W$6:$W$205,2)+COUNTIFS('Skills Matrix'!$A$6:$A$205,$A103,'Skills Matrix'!$X$6:$X$205,2)+COUNTIFS('Skills Matrix'!$A$6:$A$205,$A103,'Skills Matrix'!$Y$6:$Y$205,2)+COUNTIFS('Skills Matrix'!$A$6:$A$205,$A103,'Skills Matrix'!$Z$6:$Z$205,2)+COUNTIFS('Skills Matrix'!$A$6:$A$205,$A103,'Skills Matrix'!$AA$6:$AA$205,2)+COUNTIFS('Skills Matrix'!$A$6:$A$205,$A103,'Skills Matrix'!$AB$6:$AB$205,2)+COUNTIFS('Skills Matrix'!$A$6:$A$205,$A103,'Skills Matrix'!$AC$6:$AC$205,2)+COUNTIFS('Skills Matrix'!$A$6:$A$205,$A103,'Skills Matrix'!$AD$6:$AD$205,2)+COUNTIFS('Skills Matrix'!$A$6:$A$205,$A103,'Skills Matrix'!$AE$6:$AE$205,2)+COUNTIFS('Skills Matrix'!$A$6:$A$205,$A103,'Skills Matrix'!$AF$6:$AF$205,2)+COUNTIFS('Skills Matrix'!$A$6:$A$205,$A103,'Skills Matrix'!$AG$6:$AG$205,2)+COUNTIFS('Skills Matrix'!$A$6:$A$205,$A103,'Skills Matrix'!$AH$6:$AH$205,2)+COUNTIFS('Skills Matrix'!$A$6:$A$205,$A103,'Skills Matrix'!$AI$6:$AI$205,2)+COUNTIFS('Skills Matrix'!$A$6:$A$205,$A103,'Skills Matrix'!$AJ$6:$AJ$205,2)</f>
        <v>1</v>
      </c>
      <c r="D103" s="8">
        <f>COUNTIFS('Skills Matrix'!$A$6:$A$205,$A103,'Skills Matrix'!$AK$6:$AK$205,2)+COUNTIFS('Skills Matrix'!$A$6:$A$205,$A103,'Skills Matrix'!$AL$6:$AL$205,2)+COUNTIFS('Skills Matrix'!$A$6:$A$205,$A103,'Skills Matrix'!$AM$6:$AM$205,2)+COUNTIFS('Skills Matrix'!$A$6:$A$205,$A103,'Skills Matrix'!$AN$6:$AN$205,2)+COUNTIFS('Skills Matrix'!$A$6:$A$205,$A103,'Skills Matrix'!$AO$6:$AO$205,2)+COUNTIFS('Skills Matrix'!$A$6:$A$205,$A103,'Skills Matrix'!$AP$6:$AP$205,2)+COUNTIFS('Skills Matrix'!$A$6:$A$205,$A103,'Skills Matrix'!$AQ$6:$AQ$205,2)+COUNTIFS('Skills Matrix'!$A$6:$A$205,$A103,'Skills Matrix'!$AR$6:$AR$205,2)+COUNTIFS('Skills Matrix'!$A$6:$A$205,$A103,'Skills Matrix'!$AS$6:$AS$205,2)</f>
        <v>2</v>
      </c>
      <c r="E103" s="8">
        <f>COUNTIFS('Skills Matrix'!$A$6:$A$205,$A103,'Skills Matrix'!$AT$6:$AT$205,2)+COUNTIFS('Skills Matrix'!$A$6:$A$205,$A103,'Skills Matrix'!$AU$6:$AU$205,2)+COUNTIFS('Skills Matrix'!$A$6:$A$205,$A103,'Skills Matrix'!$AV$6:$AV$205,2)+COUNTIFS('Skills Matrix'!$A$6:$A$205,$A103,'Skills Matrix'!$AW$6:$AW$205,2)+COUNTIFS('Skills Matrix'!$A$6:$A$205,$A103,'Skills Matrix'!$AX$6:$AX$205,2)+COUNTIFS('Skills Matrix'!$A$6:$A$205,$A103,'Skills Matrix'!$AY$6:$AY$205,2)+COUNTIFS('Skills Matrix'!$A$6:$A$205,$A103,'Skills Matrix'!$AZ$6:$AZ$205,2)+COUNTIFS('Skills Matrix'!$A$6:$A$205,$A103,'Skills Matrix'!$BA$6:$BA$205,2)</f>
        <v>6</v>
      </c>
      <c r="F103" s="8">
        <f>COUNTIFS('Skills Matrix'!$A$6:$A$205,$A103,'Skills Matrix'!$BB$6:$BB$205,2)+COUNTIFS('Skills Matrix'!$A$6:$A$205,$A103,'Skills Matrix'!$BC$6:$BC$205,2)+COUNTIFS('Skills Matrix'!$A$6:$A$205,$A103,'Skills Matrix'!$BD$6:$BD$205,2)+COUNTIFS('Skills Matrix'!$A$6:$A$205,$A103,'Skills Matrix'!$BE$6:$BE$205,2)+COUNTIFS('Skills Matrix'!$A$6:$A$205,$A103,'Skills Matrix'!$BF$6:$BF$205,2)+COUNTIFS('Skills Matrix'!$A$6:$A$205,$A103,'Skills Matrix'!$BG$6:$BG$205,2)+COUNTIFS('Skills Matrix'!$A$6:$A$205,$A103,'Skills Matrix'!$BH$6:$BH$205,2)</f>
        <v>0</v>
      </c>
      <c r="G103" s="8">
        <f>COUNTIFS('Skills Matrix'!$A$6:$A$205,$A103,'Skills Matrix'!$BI$6:$BI$205,2)+COUNTIFS('Skills Matrix'!$A$6:$A$205,$A103,'Skills Matrix'!$BJ$6:$BJ$205,2)+COUNTIFS('Skills Matrix'!$A$6:$A$205,$A103,'Skills Matrix'!$BK$6:$BK$205,2)+COUNTIFS('Skills Matrix'!$A$6:$A$205,$A103,'Skills Matrix'!$BL$6:$BL$205,2)+COUNTIFS('Skills Matrix'!$A$6:$A$205,$A103,'Skills Matrix'!$BM$6:$BM$205,2)+COUNTIFS('Skills Matrix'!$A$6:$A$205,$A103,'Skills Matrix'!$BN$6:$BN$205,2)+COUNTIFS('Skills Matrix'!$A$6:$A$205,$A103,'Skills Matrix'!$BO$6:$BO$205,2)+COUNTIFS('Skills Matrix'!$A$6:$A$205,$A103,'Skills Matrix'!$BP$6:$BP$205,2)+COUNTIFS('Skills Matrix'!$A$6:$A$205,$A103,'Skills Matrix'!$BQ$6:$BQ$205,2)+COUNTIFS('Skills Matrix'!$A$6:$A$205,$A103,'Skills Matrix'!$BR$6:$BR$205,2)+COUNTIFS('Skills Matrix'!$A$6:$A$205,$A103,'Skills Matrix'!$BS$6:$BS$205,2)+COUNTIFS('Skills Matrix'!$A$6:$A$205,$A103,'Skills Matrix'!$BT$6:$BT$205,2)+COUNTIFS('Skills Matrix'!$A$6:$A$205,$A103,'Skills Matrix'!$BU$6:$BU$205,2)+COUNTIFS('Skills Matrix'!$A$6:$A$205,$A103,'Skills Matrix'!$BV$6:$BV$205,2)+COUNTIFS('Skills Matrix'!$A$6:$A$205,$A103,'Skills Matrix'!$BW$6:$BW$205,2)+COUNTIFS('Skills Matrix'!$A$6:$A$205,$A103,'Skills Matrix'!$BX$6:$BX$205,2)+COUNTIFS('Skills Matrix'!$A$6:$A$205,$A103,'Skills Matrix'!$BY$6:$BY$205,2)</f>
        <v>0</v>
      </c>
      <c r="H103" s="8">
        <f>COUNTIFS('Skills Matrix'!$A$6:$A$205,$A103,'Skills Matrix'!$BZ$6:$BZ$205,2)+COUNTIFS('Skills Matrix'!$A$6:$A$205,$A103,'Skills Matrix'!$CA$6:$CA$205,2)+COUNTIFS('Skills Matrix'!$A$6:$A$205,$A103,'Skills Matrix'!$CB$6:$CB$205,2)+COUNTIFS('Skills Matrix'!$A$6:$A$205,$A103,'Skills Matrix'!$CC$6:$CC$205,2)+COUNTIFS('Skills Matrix'!$A$6:$A$205,$A103,'Skills Matrix'!$CD$6:$CD$205,2)+COUNTIFS('Skills Matrix'!$A$6:$A$205,$A103,'Skills Matrix'!$CE$6:$CE$205,2)+COUNTIFS('Skills Matrix'!$A$6:$A$205,$A103,'Skills Matrix'!$CF$6:$CF$205,2)+COUNTIFS('Skills Matrix'!$A$6:$A$205,$A103,'Skills Matrix'!$CG$6:$CG$205,2)+COUNTIFS('Skills Matrix'!$A$6:$A$205,$A103,'Skills Matrix'!$CH$6:$CH$205,2)</f>
        <v>0</v>
      </c>
      <c r="I103" s="8">
        <f>COUNTIFS('Skills Matrix'!$A$6:$A$205,$A103,'Skills Matrix'!$CI$6:$CI$205,2)+COUNTIFS('Skills Matrix'!$A$6:$A$205,$A103,'Skills Matrix'!$CJ$6:$CJ$205,2)+COUNTIFS('Skills Matrix'!$A$6:$A$205,$A103,'Skills Matrix'!$CK$6:$CK$205,2)+COUNTIFS('Skills Matrix'!$A$6:$A$205,$A103,'Skills Matrix'!$CL$6:$CL$205,2)+COUNTIFS('Skills Matrix'!$A$6:$A$205,$A103,'Skills Matrix'!$CM$6:$CM$205,2)+COUNTIFS('Skills Matrix'!$A$6:$A$205,$A103,'Skills Matrix'!$CN$6:$CN$205,2)+COUNTIFS('Skills Matrix'!$A$6:$A$205,$A103,'Skills Matrix'!$CO$6:$CO$205,2)+COUNTIFS('Skills Matrix'!$A$6:$A$205,$A103,'Skills Matrix'!$CP$6:$CP$205,2)+COUNTIFS('Skills Matrix'!$A$6:$A$205,$A103,'Skills Matrix'!$CQ$6:$CQ$205,2)+COUNTIFS('Skills Matrix'!$A$6:$A$205,$A103,'Skills Matrix'!$CR$6:$CR$205,2)+COUNTIFS('Skills Matrix'!$A$6:$A$205,$A103,'Skills Matrix'!$CS$6:$CS$205,2)+COUNTIFS('Skills Matrix'!$A$6:$A$205,$A103,'Skills Matrix'!$CT$6:$CT$205,2)+COUNTIFS('Skills Matrix'!$A$6:$A$205,$A103,'Skills Matrix'!$CU$6:$CU$205,2)+COUNTIFS('Skills Matrix'!$A$6:$A$205,$A103,'Skills Matrix'!$CV$6:$CV$205,2)+COUNTIFS('Skills Matrix'!$A$6:$A$205,$A103,'Skills Matrix'!$CW$6:$CW$205,2)+COUNTIFS('Skills Matrix'!$A$6:$A$205,$A103,'Skills Matrix'!$CX$6:$CX$205,2)+COUNTIFS('Skills Matrix'!$A$6:$A$205,$A103,'Skills Matrix'!$CY$6:$CY$205,2)+COUNTIFS('Skills Matrix'!$A$6:$A$205,$A103,'Skills Matrix'!$CZ$6:$CZ$205,2)+COUNTIFS('Skills Matrix'!$A$6:$A$205,$A103,'Skills Matrix'!$DA$6:$DA$205,2)+COUNTIFS('Skills Matrix'!$A$6:$A$205,$A103,'Skills Matrix'!$DB$6:$DB$205,2)+COUNTIFS('Skills Matrix'!$A$6:$A$205,$A103,'Skills Matrix'!$DC$6:$DC$205,2)</f>
        <v>0</v>
      </c>
      <c r="J103" s="8">
        <f>0</f>
        <v>0</v>
      </c>
      <c r="K103" s="8">
        <f>COUNTIFS('Skills Matrix'!$A$6:$A$205,$A103,'Skills Matrix'!$DD$6:$DD$205,2)+COUNTIFS('Skills Matrix'!$A$6:$A$205,$A103,'Skills Matrix'!$DE$6:$DE$205,2)</f>
        <v>1</v>
      </c>
    </row>
    <row r="104" spans="1:11">
      <c r="A104" s="23" t="s">
        <v>308</v>
      </c>
      <c r="B104" s="8">
        <f>COUNTIFS('Skills Matrix'!$A$6:$A$205,$A104,'Skills Matrix'!$G$6:$G$205,2)+COUNTIFS('Skills Matrix'!$A$6:$A$205,$A104,'Skills Matrix'!$H$6:$H$205,2)+COUNTIFS('Skills Matrix'!$A$6:$A$205,$A104,'Skills Matrix'!$I$6:$I$205,2)+COUNTIFS('Skills Matrix'!$A$6:$A$205,$A104,'Skills Matrix'!$J$6:$J$205,2)+COUNTIFS('Skills Matrix'!$A$6:$A$205,$A104,'Skills Matrix'!$K$6:$K$205,2)+COUNTIFS('Skills Matrix'!$A$6:$A$205,$A104,'Skills Matrix'!$L$6:$L$205,2)+COUNTIFS('Skills Matrix'!$A$6:$A$205,$A104,'Skills Matrix'!$M$6:$M$205,2)+COUNTIFS('Skills Matrix'!$A$6:$A$205,$A104,'Skills Matrix'!$N$6:$N$205,2)+COUNTIFS('Skills Matrix'!$A$6:$A$205,$A104,'Skills Matrix'!$O$6:$O$205,2)+COUNTIFS('Skills Matrix'!$A$6:$A$205,$A104,'Skills Matrix'!$P$6:$P$205,2)+COUNTIFS('Skills Matrix'!$A$6:$A$205,$A104,'Skills Matrix'!$Q$6:$Q$205,2)+COUNTIFS('Skills Matrix'!$A$6:$A$205,$A104,'Skills Matrix'!$R$6:$R$205,2)+COUNTIFS('Skills Matrix'!$A$6:$A$205,$A104,'Skills Matrix'!$S$6:$S$205,2)+COUNTIFS('Skills Matrix'!$A$6:$A$205,$A104,'Skills Matrix'!$T$6:$T$205,2)+COUNTIFS('Skills Matrix'!$A$6:$A$205,$A104,'Skills Matrix'!$U$6:$U$205,2)+COUNTIFS('Skills Matrix'!$A$6:$A$205,$A104,'Skills Matrix'!$V$6:$V$205,2)</f>
        <v>0</v>
      </c>
      <c r="C104" s="8">
        <f>COUNTIFS('Skills Matrix'!$A$6:$A$205,$A104,'Skills Matrix'!$W$6:$W$205,2)+COUNTIFS('Skills Matrix'!$A$6:$A$205,$A104,'Skills Matrix'!$X$6:$X$205,2)+COUNTIFS('Skills Matrix'!$A$6:$A$205,$A104,'Skills Matrix'!$Y$6:$Y$205,2)+COUNTIFS('Skills Matrix'!$A$6:$A$205,$A104,'Skills Matrix'!$Z$6:$Z$205,2)+COUNTIFS('Skills Matrix'!$A$6:$A$205,$A104,'Skills Matrix'!$AA$6:$AA$205,2)+COUNTIFS('Skills Matrix'!$A$6:$A$205,$A104,'Skills Matrix'!$AB$6:$AB$205,2)+COUNTIFS('Skills Matrix'!$A$6:$A$205,$A104,'Skills Matrix'!$AC$6:$AC$205,2)+COUNTIFS('Skills Matrix'!$A$6:$A$205,$A104,'Skills Matrix'!$AD$6:$AD$205,2)+COUNTIFS('Skills Matrix'!$A$6:$A$205,$A104,'Skills Matrix'!$AE$6:$AE$205,2)+COUNTIFS('Skills Matrix'!$A$6:$A$205,$A104,'Skills Matrix'!$AF$6:$AF$205,2)+COUNTIFS('Skills Matrix'!$A$6:$A$205,$A104,'Skills Matrix'!$AG$6:$AG$205,2)+COUNTIFS('Skills Matrix'!$A$6:$A$205,$A104,'Skills Matrix'!$AH$6:$AH$205,2)+COUNTIFS('Skills Matrix'!$A$6:$A$205,$A104,'Skills Matrix'!$AI$6:$AI$205,2)+COUNTIFS('Skills Matrix'!$A$6:$A$205,$A104,'Skills Matrix'!$AJ$6:$AJ$205,2)</f>
        <v>1</v>
      </c>
      <c r="D104" s="8">
        <f>COUNTIFS('Skills Matrix'!$A$6:$A$205,$A104,'Skills Matrix'!$AK$6:$AK$205,2)+COUNTIFS('Skills Matrix'!$A$6:$A$205,$A104,'Skills Matrix'!$AL$6:$AL$205,2)+COUNTIFS('Skills Matrix'!$A$6:$A$205,$A104,'Skills Matrix'!$AM$6:$AM$205,2)+COUNTIFS('Skills Matrix'!$A$6:$A$205,$A104,'Skills Matrix'!$AN$6:$AN$205,2)+COUNTIFS('Skills Matrix'!$A$6:$A$205,$A104,'Skills Matrix'!$AO$6:$AO$205,2)+COUNTIFS('Skills Matrix'!$A$6:$A$205,$A104,'Skills Matrix'!$AP$6:$AP$205,2)+COUNTIFS('Skills Matrix'!$A$6:$A$205,$A104,'Skills Matrix'!$AQ$6:$AQ$205,2)+COUNTIFS('Skills Matrix'!$A$6:$A$205,$A104,'Skills Matrix'!$AR$6:$AR$205,2)+COUNTIFS('Skills Matrix'!$A$6:$A$205,$A104,'Skills Matrix'!$AS$6:$AS$205,2)</f>
        <v>0</v>
      </c>
      <c r="E104" s="8">
        <f>COUNTIFS('Skills Matrix'!$A$6:$A$205,$A104,'Skills Matrix'!$AT$6:$AT$205,2)+COUNTIFS('Skills Matrix'!$A$6:$A$205,$A104,'Skills Matrix'!$AU$6:$AU$205,2)+COUNTIFS('Skills Matrix'!$A$6:$A$205,$A104,'Skills Matrix'!$AV$6:$AV$205,2)+COUNTIFS('Skills Matrix'!$A$6:$A$205,$A104,'Skills Matrix'!$AW$6:$AW$205,2)+COUNTIFS('Skills Matrix'!$A$6:$A$205,$A104,'Skills Matrix'!$AX$6:$AX$205,2)+COUNTIFS('Skills Matrix'!$A$6:$A$205,$A104,'Skills Matrix'!$AY$6:$AY$205,2)+COUNTIFS('Skills Matrix'!$A$6:$A$205,$A104,'Skills Matrix'!$AZ$6:$AZ$205,2)+COUNTIFS('Skills Matrix'!$A$6:$A$205,$A104,'Skills Matrix'!$BA$6:$BA$205,2)</f>
        <v>1</v>
      </c>
      <c r="F104" s="8">
        <f>COUNTIFS('Skills Matrix'!$A$6:$A$205,$A104,'Skills Matrix'!$BB$6:$BB$205,2)+COUNTIFS('Skills Matrix'!$A$6:$A$205,$A104,'Skills Matrix'!$BC$6:$BC$205,2)+COUNTIFS('Skills Matrix'!$A$6:$A$205,$A104,'Skills Matrix'!$BD$6:$BD$205,2)+COUNTIFS('Skills Matrix'!$A$6:$A$205,$A104,'Skills Matrix'!$BE$6:$BE$205,2)+COUNTIFS('Skills Matrix'!$A$6:$A$205,$A104,'Skills Matrix'!$BF$6:$BF$205,2)+COUNTIFS('Skills Matrix'!$A$6:$A$205,$A104,'Skills Matrix'!$BG$6:$BG$205,2)+COUNTIFS('Skills Matrix'!$A$6:$A$205,$A104,'Skills Matrix'!$BH$6:$BH$205,2)</f>
        <v>6</v>
      </c>
      <c r="G104" s="8">
        <f>COUNTIFS('Skills Matrix'!$A$6:$A$205,$A104,'Skills Matrix'!$BI$6:$BI$205,2)+COUNTIFS('Skills Matrix'!$A$6:$A$205,$A104,'Skills Matrix'!$BJ$6:$BJ$205,2)+COUNTIFS('Skills Matrix'!$A$6:$A$205,$A104,'Skills Matrix'!$BK$6:$BK$205,2)+COUNTIFS('Skills Matrix'!$A$6:$A$205,$A104,'Skills Matrix'!$BL$6:$BL$205,2)+COUNTIFS('Skills Matrix'!$A$6:$A$205,$A104,'Skills Matrix'!$BM$6:$BM$205,2)+COUNTIFS('Skills Matrix'!$A$6:$A$205,$A104,'Skills Matrix'!$BN$6:$BN$205,2)+COUNTIFS('Skills Matrix'!$A$6:$A$205,$A104,'Skills Matrix'!$BO$6:$BO$205,2)+COUNTIFS('Skills Matrix'!$A$6:$A$205,$A104,'Skills Matrix'!$BP$6:$BP$205,2)+COUNTIFS('Skills Matrix'!$A$6:$A$205,$A104,'Skills Matrix'!$BQ$6:$BQ$205,2)+COUNTIFS('Skills Matrix'!$A$6:$A$205,$A104,'Skills Matrix'!$BR$6:$BR$205,2)+COUNTIFS('Skills Matrix'!$A$6:$A$205,$A104,'Skills Matrix'!$BS$6:$BS$205,2)+COUNTIFS('Skills Matrix'!$A$6:$A$205,$A104,'Skills Matrix'!$BT$6:$BT$205,2)+COUNTIFS('Skills Matrix'!$A$6:$A$205,$A104,'Skills Matrix'!$BU$6:$BU$205,2)+COUNTIFS('Skills Matrix'!$A$6:$A$205,$A104,'Skills Matrix'!$BV$6:$BV$205,2)+COUNTIFS('Skills Matrix'!$A$6:$A$205,$A104,'Skills Matrix'!$BW$6:$BW$205,2)+COUNTIFS('Skills Matrix'!$A$6:$A$205,$A104,'Skills Matrix'!$BX$6:$BX$205,2)+COUNTIFS('Skills Matrix'!$A$6:$A$205,$A104,'Skills Matrix'!$BY$6:$BY$205,2)</f>
        <v>0</v>
      </c>
      <c r="H104" s="8">
        <f>COUNTIFS('Skills Matrix'!$A$6:$A$205,$A104,'Skills Matrix'!$BZ$6:$BZ$205,2)+COUNTIFS('Skills Matrix'!$A$6:$A$205,$A104,'Skills Matrix'!$CA$6:$CA$205,2)+COUNTIFS('Skills Matrix'!$A$6:$A$205,$A104,'Skills Matrix'!$CB$6:$CB$205,2)+COUNTIFS('Skills Matrix'!$A$6:$A$205,$A104,'Skills Matrix'!$CC$6:$CC$205,2)+COUNTIFS('Skills Matrix'!$A$6:$A$205,$A104,'Skills Matrix'!$CD$6:$CD$205,2)+COUNTIFS('Skills Matrix'!$A$6:$A$205,$A104,'Skills Matrix'!$CE$6:$CE$205,2)+COUNTIFS('Skills Matrix'!$A$6:$A$205,$A104,'Skills Matrix'!$CF$6:$CF$205,2)+COUNTIFS('Skills Matrix'!$A$6:$A$205,$A104,'Skills Matrix'!$CG$6:$CG$205,2)+COUNTIFS('Skills Matrix'!$A$6:$A$205,$A104,'Skills Matrix'!$CH$6:$CH$205,2)</f>
        <v>0</v>
      </c>
      <c r="I104" s="8">
        <f>COUNTIFS('Skills Matrix'!$A$6:$A$205,$A104,'Skills Matrix'!$CI$6:$CI$205,2)+COUNTIFS('Skills Matrix'!$A$6:$A$205,$A104,'Skills Matrix'!$CJ$6:$CJ$205,2)+COUNTIFS('Skills Matrix'!$A$6:$A$205,$A104,'Skills Matrix'!$CK$6:$CK$205,2)+COUNTIFS('Skills Matrix'!$A$6:$A$205,$A104,'Skills Matrix'!$CL$6:$CL$205,2)+COUNTIFS('Skills Matrix'!$A$6:$A$205,$A104,'Skills Matrix'!$CM$6:$CM$205,2)+COUNTIFS('Skills Matrix'!$A$6:$A$205,$A104,'Skills Matrix'!$CN$6:$CN$205,2)+COUNTIFS('Skills Matrix'!$A$6:$A$205,$A104,'Skills Matrix'!$CO$6:$CO$205,2)+COUNTIFS('Skills Matrix'!$A$6:$A$205,$A104,'Skills Matrix'!$CP$6:$CP$205,2)+COUNTIFS('Skills Matrix'!$A$6:$A$205,$A104,'Skills Matrix'!$CQ$6:$CQ$205,2)+COUNTIFS('Skills Matrix'!$A$6:$A$205,$A104,'Skills Matrix'!$CR$6:$CR$205,2)+COUNTIFS('Skills Matrix'!$A$6:$A$205,$A104,'Skills Matrix'!$CS$6:$CS$205,2)+COUNTIFS('Skills Matrix'!$A$6:$A$205,$A104,'Skills Matrix'!$CT$6:$CT$205,2)+COUNTIFS('Skills Matrix'!$A$6:$A$205,$A104,'Skills Matrix'!$CU$6:$CU$205,2)+COUNTIFS('Skills Matrix'!$A$6:$A$205,$A104,'Skills Matrix'!$CV$6:$CV$205,2)+COUNTIFS('Skills Matrix'!$A$6:$A$205,$A104,'Skills Matrix'!$CW$6:$CW$205,2)+COUNTIFS('Skills Matrix'!$A$6:$A$205,$A104,'Skills Matrix'!$CX$6:$CX$205,2)+COUNTIFS('Skills Matrix'!$A$6:$A$205,$A104,'Skills Matrix'!$CY$6:$CY$205,2)+COUNTIFS('Skills Matrix'!$A$6:$A$205,$A104,'Skills Matrix'!$CZ$6:$CZ$205,2)+COUNTIFS('Skills Matrix'!$A$6:$A$205,$A104,'Skills Matrix'!$DA$6:$DA$205,2)+COUNTIFS('Skills Matrix'!$A$6:$A$205,$A104,'Skills Matrix'!$DB$6:$DB$205,2)+COUNTIFS('Skills Matrix'!$A$6:$A$205,$A104,'Skills Matrix'!$DC$6:$DC$205,2)</f>
        <v>2</v>
      </c>
      <c r="J104" s="8">
        <f>0</f>
        <v>0</v>
      </c>
      <c r="K104" s="8">
        <f>COUNTIFS('Skills Matrix'!$A$6:$A$205,$A104,'Skills Matrix'!$DD$6:$DD$205,2)+COUNTIFS('Skills Matrix'!$A$6:$A$205,$A104,'Skills Matrix'!$DE$6:$DE$205,2)</f>
        <v>2</v>
      </c>
    </row>
    <row r="105" spans="1:11">
      <c r="A105" s="23" t="s">
        <v>309</v>
      </c>
      <c r="B105" s="8">
        <f>COUNTIFS('Skills Matrix'!$A$6:$A$205,$A105,'Skills Matrix'!$G$6:$G$205,2)+COUNTIFS('Skills Matrix'!$A$6:$A$205,$A105,'Skills Matrix'!$H$6:$H$205,2)+COUNTIFS('Skills Matrix'!$A$6:$A$205,$A105,'Skills Matrix'!$I$6:$I$205,2)+COUNTIFS('Skills Matrix'!$A$6:$A$205,$A105,'Skills Matrix'!$J$6:$J$205,2)+COUNTIFS('Skills Matrix'!$A$6:$A$205,$A105,'Skills Matrix'!$K$6:$K$205,2)+COUNTIFS('Skills Matrix'!$A$6:$A$205,$A105,'Skills Matrix'!$L$6:$L$205,2)+COUNTIFS('Skills Matrix'!$A$6:$A$205,$A105,'Skills Matrix'!$M$6:$M$205,2)+COUNTIFS('Skills Matrix'!$A$6:$A$205,$A105,'Skills Matrix'!$N$6:$N$205,2)+COUNTIFS('Skills Matrix'!$A$6:$A$205,$A105,'Skills Matrix'!$O$6:$O$205,2)+COUNTIFS('Skills Matrix'!$A$6:$A$205,$A105,'Skills Matrix'!$P$6:$P$205,2)+COUNTIFS('Skills Matrix'!$A$6:$A$205,$A105,'Skills Matrix'!$Q$6:$Q$205,2)+COUNTIFS('Skills Matrix'!$A$6:$A$205,$A105,'Skills Matrix'!$R$6:$R$205,2)+COUNTIFS('Skills Matrix'!$A$6:$A$205,$A105,'Skills Matrix'!$S$6:$S$205,2)+COUNTIFS('Skills Matrix'!$A$6:$A$205,$A105,'Skills Matrix'!$T$6:$T$205,2)+COUNTIFS('Skills Matrix'!$A$6:$A$205,$A105,'Skills Matrix'!$U$6:$U$205,2)+COUNTIFS('Skills Matrix'!$A$6:$A$205,$A105,'Skills Matrix'!$V$6:$V$205,2)</f>
        <v>0</v>
      </c>
      <c r="C105" s="8">
        <f>COUNTIFS('Skills Matrix'!$A$6:$A$205,$A105,'Skills Matrix'!$W$6:$W$205,2)+COUNTIFS('Skills Matrix'!$A$6:$A$205,$A105,'Skills Matrix'!$X$6:$X$205,2)+COUNTIFS('Skills Matrix'!$A$6:$A$205,$A105,'Skills Matrix'!$Y$6:$Y$205,2)+COUNTIFS('Skills Matrix'!$A$6:$A$205,$A105,'Skills Matrix'!$Z$6:$Z$205,2)+COUNTIFS('Skills Matrix'!$A$6:$A$205,$A105,'Skills Matrix'!$AA$6:$AA$205,2)+COUNTIFS('Skills Matrix'!$A$6:$A$205,$A105,'Skills Matrix'!$AB$6:$AB$205,2)+COUNTIFS('Skills Matrix'!$A$6:$A$205,$A105,'Skills Matrix'!$AC$6:$AC$205,2)+COUNTIFS('Skills Matrix'!$A$6:$A$205,$A105,'Skills Matrix'!$AD$6:$AD$205,2)+COUNTIFS('Skills Matrix'!$A$6:$A$205,$A105,'Skills Matrix'!$AE$6:$AE$205,2)+COUNTIFS('Skills Matrix'!$A$6:$A$205,$A105,'Skills Matrix'!$AF$6:$AF$205,2)+COUNTIFS('Skills Matrix'!$A$6:$A$205,$A105,'Skills Matrix'!$AG$6:$AG$205,2)+COUNTIFS('Skills Matrix'!$A$6:$A$205,$A105,'Skills Matrix'!$AH$6:$AH$205,2)+COUNTIFS('Skills Matrix'!$A$6:$A$205,$A105,'Skills Matrix'!$AI$6:$AI$205,2)+COUNTIFS('Skills Matrix'!$A$6:$A$205,$A105,'Skills Matrix'!$AJ$6:$AJ$205,2)</f>
        <v>0</v>
      </c>
      <c r="D105" s="8">
        <f>COUNTIFS('Skills Matrix'!$A$6:$A$205,$A105,'Skills Matrix'!$AK$6:$AK$205,2)+COUNTIFS('Skills Matrix'!$A$6:$A$205,$A105,'Skills Matrix'!$AL$6:$AL$205,2)+COUNTIFS('Skills Matrix'!$A$6:$A$205,$A105,'Skills Matrix'!$AM$6:$AM$205,2)+COUNTIFS('Skills Matrix'!$A$6:$A$205,$A105,'Skills Matrix'!$AN$6:$AN$205,2)+COUNTIFS('Skills Matrix'!$A$6:$A$205,$A105,'Skills Matrix'!$AO$6:$AO$205,2)+COUNTIFS('Skills Matrix'!$A$6:$A$205,$A105,'Skills Matrix'!$AP$6:$AP$205,2)+COUNTIFS('Skills Matrix'!$A$6:$A$205,$A105,'Skills Matrix'!$AQ$6:$AQ$205,2)+COUNTIFS('Skills Matrix'!$A$6:$A$205,$A105,'Skills Matrix'!$AR$6:$AR$205,2)+COUNTIFS('Skills Matrix'!$A$6:$A$205,$A105,'Skills Matrix'!$AS$6:$AS$205,2)</f>
        <v>1</v>
      </c>
      <c r="E105" s="8">
        <f>COUNTIFS('Skills Matrix'!$A$6:$A$205,$A105,'Skills Matrix'!$AT$6:$AT$205,2)+COUNTIFS('Skills Matrix'!$A$6:$A$205,$A105,'Skills Matrix'!$AU$6:$AU$205,2)+COUNTIFS('Skills Matrix'!$A$6:$A$205,$A105,'Skills Matrix'!$AV$6:$AV$205,2)+COUNTIFS('Skills Matrix'!$A$6:$A$205,$A105,'Skills Matrix'!$AW$6:$AW$205,2)+COUNTIFS('Skills Matrix'!$A$6:$A$205,$A105,'Skills Matrix'!$AX$6:$AX$205,2)+COUNTIFS('Skills Matrix'!$A$6:$A$205,$A105,'Skills Matrix'!$AY$6:$AY$205,2)+COUNTIFS('Skills Matrix'!$A$6:$A$205,$A105,'Skills Matrix'!$AZ$6:$AZ$205,2)+COUNTIFS('Skills Matrix'!$A$6:$A$205,$A105,'Skills Matrix'!$BA$6:$BA$205,2)</f>
        <v>1</v>
      </c>
      <c r="F105" s="8">
        <f>COUNTIFS('Skills Matrix'!$A$6:$A$205,$A105,'Skills Matrix'!$BB$6:$BB$205,2)+COUNTIFS('Skills Matrix'!$A$6:$A$205,$A105,'Skills Matrix'!$BC$6:$BC$205,2)+COUNTIFS('Skills Matrix'!$A$6:$A$205,$A105,'Skills Matrix'!$BD$6:$BD$205,2)+COUNTIFS('Skills Matrix'!$A$6:$A$205,$A105,'Skills Matrix'!$BE$6:$BE$205,2)+COUNTIFS('Skills Matrix'!$A$6:$A$205,$A105,'Skills Matrix'!$BF$6:$BF$205,2)+COUNTIFS('Skills Matrix'!$A$6:$A$205,$A105,'Skills Matrix'!$BG$6:$BG$205,2)+COUNTIFS('Skills Matrix'!$A$6:$A$205,$A105,'Skills Matrix'!$BH$6:$BH$205,2)</f>
        <v>0</v>
      </c>
      <c r="G105" s="8">
        <f>COUNTIFS('Skills Matrix'!$A$6:$A$205,$A105,'Skills Matrix'!$BI$6:$BI$205,2)+COUNTIFS('Skills Matrix'!$A$6:$A$205,$A105,'Skills Matrix'!$BJ$6:$BJ$205,2)+COUNTIFS('Skills Matrix'!$A$6:$A$205,$A105,'Skills Matrix'!$BK$6:$BK$205,2)+COUNTIFS('Skills Matrix'!$A$6:$A$205,$A105,'Skills Matrix'!$BL$6:$BL$205,2)+COUNTIFS('Skills Matrix'!$A$6:$A$205,$A105,'Skills Matrix'!$BM$6:$BM$205,2)+COUNTIFS('Skills Matrix'!$A$6:$A$205,$A105,'Skills Matrix'!$BN$6:$BN$205,2)+COUNTIFS('Skills Matrix'!$A$6:$A$205,$A105,'Skills Matrix'!$BO$6:$BO$205,2)+COUNTIFS('Skills Matrix'!$A$6:$A$205,$A105,'Skills Matrix'!$BP$6:$BP$205,2)+COUNTIFS('Skills Matrix'!$A$6:$A$205,$A105,'Skills Matrix'!$BQ$6:$BQ$205,2)+COUNTIFS('Skills Matrix'!$A$6:$A$205,$A105,'Skills Matrix'!$BR$6:$BR$205,2)+COUNTIFS('Skills Matrix'!$A$6:$A$205,$A105,'Skills Matrix'!$BS$6:$BS$205,2)+COUNTIFS('Skills Matrix'!$A$6:$A$205,$A105,'Skills Matrix'!$BT$6:$BT$205,2)+COUNTIFS('Skills Matrix'!$A$6:$A$205,$A105,'Skills Matrix'!$BU$6:$BU$205,2)+COUNTIFS('Skills Matrix'!$A$6:$A$205,$A105,'Skills Matrix'!$BV$6:$BV$205,2)+COUNTIFS('Skills Matrix'!$A$6:$A$205,$A105,'Skills Matrix'!$BW$6:$BW$205,2)+COUNTIFS('Skills Matrix'!$A$6:$A$205,$A105,'Skills Matrix'!$BX$6:$BX$205,2)+COUNTIFS('Skills Matrix'!$A$6:$A$205,$A105,'Skills Matrix'!$BY$6:$BY$205,2)</f>
        <v>11</v>
      </c>
      <c r="H105" s="8">
        <f>COUNTIFS('Skills Matrix'!$A$6:$A$205,$A105,'Skills Matrix'!$BZ$6:$BZ$205,2)+COUNTIFS('Skills Matrix'!$A$6:$A$205,$A105,'Skills Matrix'!$CA$6:$CA$205,2)+COUNTIFS('Skills Matrix'!$A$6:$A$205,$A105,'Skills Matrix'!$CB$6:$CB$205,2)+COUNTIFS('Skills Matrix'!$A$6:$A$205,$A105,'Skills Matrix'!$CC$6:$CC$205,2)+COUNTIFS('Skills Matrix'!$A$6:$A$205,$A105,'Skills Matrix'!$CD$6:$CD$205,2)+COUNTIFS('Skills Matrix'!$A$6:$A$205,$A105,'Skills Matrix'!$CE$6:$CE$205,2)+COUNTIFS('Skills Matrix'!$A$6:$A$205,$A105,'Skills Matrix'!$CF$6:$CF$205,2)+COUNTIFS('Skills Matrix'!$A$6:$A$205,$A105,'Skills Matrix'!$CG$6:$CG$205,2)+COUNTIFS('Skills Matrix'!$A$6:$A$205,$A105,'Skills Matrix'!$CH$6:$CH$205,2)</f>
        <v>0</v>
      </c>
      <c r="I105" s="8">
        <f>COUNTIFS('Skills Matrix'!$A$6:$A$205,$A105,'Skills Matrix'!$CI$6:$CI$205,2)+COUNTIFS('Skills Matrix'!$A$6:$A$205,$A105,'Skills Matrix'!$CJ$6:$CJ$205,2)+COUNTIFS('Skills Matrix'!$A$6:$A$205,$A105,'Skills Matrix'!$CK$6:$CK$205,2)+COUNTIFS('Skills Matrix'!$A$6:$A$205,$A105,'Skills Matrix'!$CL$6:$CL$205,2)+COUNTIFS('Skills Matrix'!$A$6:$A$205,$A105,'Skills Matrix'!$CM$6:$CM$205,2)+COUNTIFS('Skills Matrix'!$A$6:$A$205,$A105,'Skills Matrix'!$CN$6:$CN$205,2)+COUNTIFS('Skills Matrix'!$A$6:$A$205,$A105,'Skills Matrix'!$CO$6:$CO$205,2)+COUNTIFS('Skills Matrix'!$A$6:$A$205,$A105,'Skills Matrix'!$CP$6:$CP$205,2)+COUNTIFS('Skills Matrix'!$A$6:$A$205,$A105,'Skills Matrix'!$CQ$6:$CQ$205,2)+COUNTIFS('Skills Matrix'!$A$6:$A$205,$A105,'Skills Matrix'!$CR$6:$CR$205,2)+COUNTIFS('Skills Matrix'!$A$6:$A$205,$A105,'Skills Matrix'!$CS$6:$CS$205,2)+COUNTIFS('Skills Matrix'!$A$6:$A$205,$A105,'Skills Matrix'!$CT$6:$CT$205,2)+COUNTIFS('Skills Matrix'!$A$6:$A$205,$A105,'Skills Matrix'!$CU$6:$CU$205,2)+COUNTIFS('Skills Matrix'!$A$6:$A$205,$A105,'Skills Matrix'!$CV$6:$CV$205,2)+COUNTIFS('Skills Matrix'!$A$6:$A$205,$A105,'Skills Matrix'!$CW$6:$CW$205,2)+COUNTIFS('Skills Matrix'!$A$6:$A$205,$A105,'Skills Matrix'!$CX$6:$CX$205,2)+COUNTIFS('Skills Matrix'!$A$6:$A$205,$A105,'Skills Matrix'!$CY$6:$CY$205,2)+COUNTIFS('Skills Matrix'!$A$6:$A$205,$A105,'Skills Matrix'!$CZ$6:$CZ$205,2)+COUNTIFS('Skills Matrix'!$A$6:$A$205,$A105,'Skills Matrix'!$DA$6:$DA$205,2)+COUNTIFS('Skills Matrix'!$A$6:$A$205,$A105,'Skills Matrix'!$DB$6:$DB$205,2)+COUNTIFS('Skills Matrix'!$A$6:$A$205,$A105,'Skills Matrix'!$DC$6:$DC$205,2)</f>
        <v>1</v>
      </c>
      <c r="J105" s="8">
        <f>0</f>
        <v>0</v>
      </c>
      <c r="K105" s="8">
        <f>COUNTIFS('Skills Matrix'!$A$6:$A$205,$A105,'Skills Matrix'!$DD$6:$DD$205,2)+COUNTIFS('Skills Matrix'!$A$6:$A$205,$A105,'Skills Matrix'!$DE$6:$DE$205,2)</f>
        <v>0</v>
      </c>
    </row>
    <row r="106" spans="1:11">
      <c r="A106" s="23" t="s">
        <v>310</v>
      </c>
      <c r="B106" s="8">
        <f>COUNTIFS('Skills Matrix'!$A$6:$A$205,$A106,'Skills Matrix'!$G$6:$G$205,2)+COUNTIFS('Skills Matrix'!$A$6:$A$205,$A106,'Skills Matrix'!$H$6:$H$205,2)+COUNTIFS('Skills Matrix'!$A$6:$A$205,$A106,'Skills Matrix'!$I$6:$I$205,2)+COUNTIFS('Skills Matrix'!$A$6:$A$205,$A106,'Skills Matrix'!$J$6:$J$205,2)+COUNTIFS('Skills Matrix'!$A$6:$A$205,$A106,'Skills Matrix'!$K$6:$K$205,2)+COUNTIFS('Skills Matrix'!$A$6:$A$205,$A106,'Skills Matrix'!$L$6:$L$205,2)+COUNTIFS('Skills Matrix'!$A$6:$A$205,$A106,'Skills Matrix'!$M$6:$M$205,2)+COUNTIFS('Skills Matrix'!$A$6:$A$205,$A106,'Skills Matrix'!$N$6:$N$205,2)+COUNTIFS('Skills Matrix'!$A$6:$A$205,$A106,'Skills Matrix'!$O$6:$O$205,2)+COUNTIFS('Skills Matrix'!$A$6:$A$205,$A106,'Skills Matrix'!$P$6:$P$205,2)+COUNTIFS('Skills Matrix'!$A$6:$A$205,$A106,'Skills Matrix'!$Q$6:$Q$205,2)+COUNTIFS('Skills Matrix'!$A$6:$A$205,$A106,'Skills Matrix'!$R$6:$R$205,2)+COUNTIFS('Skills Matrix'!$A$6:$A$205,$A106,'Skills Matrix'!$S$6:$S$205,2)+COUNTIFS('Skills Matrix'!$A$6:$A$205,$A106,'Skills Matrix'!$T$6:$T$205,2)+COUNTIFS('Skills Matrix'!$A$6:$A$205,$A106,'Skills Matrix'!$U$6:$U$205,2)+COUNTIFS('Skills Matrix'!$A$6:$A$205,$A106,'Skills Matrix'!$V$6:$V$205,2)</f>
        <v>0</v>
      </c>
      <c r="C106" s="8">
        <f>COUNTIFS('Skills Matrix'!$A$6:$A$205,$A106,'Skills Matrix'!$W$6:$W$205,2)+COUNTIFS('Skills Matrix'!$A$6:$A$205,$A106,'Skills Matrix'!$X$6:$X$205,2)+COUNTIFS('Skills Matrix'!$A$6:$A$205,$A106,'Skills Matrix'!$Y$6:$Y$205,2)+COUNTIFS('Skills Matrix'!$A$6:$A$205,$A106,'Skills Matrix'!$Z$6:$Z$205,2)+COUNTIFS('Skills Matrix'!$A$6:$A$205,$A106,'Skills Matrix'!$AA$6:$AA$205,2)+COUNTIFS('Skills Matrix'!$A$6:$A$205,$A106,'Skills Matrix'!$AB$6:$AB$205,2)+COUNTIFS('Skills Matrix'!$A$6:$A$205,$A106,'Skills Matrix'!$AC$6:$AC$205,2)+COUNTIFS('Skills Matrix'!$A$6:$A$205,$A106,'Skills Matrix'!$AD$6:$AD$205,2)+COUNTIFS('Skills Matrix'!$A$6:$A$205,$A106,'Skills Matrix'!$AE$6:$AE$205,2)+COUNTIFS('Skills Matrix'!$A$6:$A$205,$A106,'Skills Matrix'!$AF$6:$AF$205,2)+COUNTIFS('Skills Matrix'!$A$6:$A$205,$A106,'Skills Matrix'!$AG$6:$AG$205,2)+COUNTIFS('Skills Matrix'!$A$6:$A$205,$A106,'Skills Matrix'!$AH$6:$AH$205,2)+COUNTIFS('Skills Matrix'!$A$6:$A$205,$A106,'Skills Matrix'!$AI$6:$AI$205,2)+COUNTIFS('Skills Matrix'!$A$6:$A$205,$A106,'Skills Matrix'!$AJ$6:$AJ$205,2)</f>
        <v>0</v>
      </c>
      <c r="D106" s="8">
        <f>COUNTIFS('Skills Matrix'!$A$6:$A$205,$A106,'Skills Matrix'!$AK$6:$AK$205,2)+COUNTIFS('Skills Matrix'!$A$6:$A$205,$A106,'Skills Matrix'!$AL$6:$AL$205,2)+COUNTIFS('Skills Matrix'!$A$6:$A$205,$A106,'Skills Matrix'!$AM$6:$AM$205,2)+COUNTIFS('Skills Matrix'!$A$6:$A$205,$A106,'Skills Matrix'!$AN$6:$AN$205,2)+COUNTIFS('Skills Matrix'!$A$6:$A$205,$A106,'Skills Matrix'!$AO$6:$AO$205,2)+COUNTIFS('Skills Matrix'!$A$6:$A$205,$A106,'Skills Matrix'!$AP$6:$AP$205,2)+COUNTIFS('Skills Matrix'!$A$6:$A$205,$A106,'Skills Matrix'!$AQ$6:$AQ$205,2)+COUNTIFS('Skills Matrix'!$A$6:$A$205,$A106,'Skills Matrix'!$AR$6:$AR$205,2)+COUNTIFS('Skills Matrix'!$A$6:$A$205,$A106,'Skills Matrix'!$AS$6:$AS$205,2)</f>
        <v>0</v>
      </c>
      <c r="E106" s="8">
        <f>COUNTIFS('Skills Matrix'!$A$6:$A$205,$A106,'Skills Matrix'!$AT$6:$AT$205,2)+COUNTIFS('Skills Matrix'!$A$6:$A$205,$A106,'Skills Matrix'!$AU$6:$AU$205,2)+COUNTIFS('Skills Matrix'!$A$6:$A$205,$A106,'Skills Matrix'!$AV$6:$AV$205,2)+COUNTIFS('Skills Matrix'!$A$6:$A$205,$A106,'Skills Matrix'!$AW$6:$AW$205,2)+COUNTIFS('Skills Matrix'!$A$6:$A$205,$A106,'Skills Matrix'!$AX$6:$AX$205,2)+COUNTIFS('Skills Matrix'!$A$6:$A$205,$A106,'Skills Matrix'!$AY$6:$AY$205,2)+COUNTIFS('Skills Matrix'!$A$6:$A$205,$A106,'Skills Matrix'!$AZ$6:$AZ$205,2)+COUNTIFS('Skills Matrix'!$A$6:$A$205,$A106,'Skills Matrix'!$BA$6:$BA$205,2)</f>
        <v>0</v>
      </c>
      <c r="F106" s="8">
        <f>COUNTIFS('Skills Matrix'!$A$6:$A$205,$A106,'Skills Matrix'!$BB$6:$BB$205,2)+COUNTIFS('Skills Matrix'!$A$6:$A$205,$A106,'Skills Matrix'!$BC$6:$BC$205,2)+COUNTIFS('Skills Matrix'!$A$6:$A$205,$A106,'Skills Matrix'!$BD$6:$BD$205,2)+COUNTIFS('Skills Matrix'!$A$6:$A$205,$A106,'Skills Matrix'!$BE$6:$BE$205,2)+COUNTIFS('Skills Matrix'!$A$6:$A$205,$A106,'Skills Matrix'!$BF$6:$BF$205,2)+COUNTIFS('Skills Matrix'!$A$6:$A$205,$A106,'Skills Matrix'!$BG$6:$BG$205,2)+COUNTIFS('Skills Matrix'!$A$6:$A$205,$A106,'Skills Matrix'!$BH$6:$BH$205,2)</f>
        <v>0</v>
      </c>
      <c r="G106" s="8">
        <f>COUNTIFS('Skills Matrix'!$A$6:$A$205,$A106,'Skills Matrix'!$BI$6:$BI$205,2)+COUNTIFS('Skills Matrix'!$A$6:$A$205,$A106,'Skills Matrix'!$BJ$6:$BJ$205,2)+COUNTIFS('Skills Matrix'!$A$6:$A$205,$A106,'Skills Matrix'!$BK$6:$BK$205,2)+COUNTIFS('Skills Matrix'!$A$6:$A$205,$A106,'Skills Matrix'!$BL$6:$BL$205,2)+COUNTIFS('Skills Matrix'!$A$6:$A$205,$A106,'Skills Matrix'!$BM$6:$BM$205,2)+COUNTIFS('Skills Matrix'!$A$6:$A$205,$A106,'Skills Matrix'!$BN$6:$BN$205,2)+COUNTIFS('Skills Matrix'!$A$6:$A$205,$A106,'Skills Matrix'!$BO$6:$BO$205,2)+COUNTIFS('Skills Matrix'!$A$6:$A$205,$A106,'Skills Matrix'!$BP$6:$BP$205,2)+COUNTIFS('Skills Matrix'!$A$6:$A$205,$A106,'Skills Matrix'!$BQ$6:$BQ$205,2)+COUNTIFS('Skills Matrix'!$A$6:$A$205,$A106,'Skills Matrix'!$BR$6:$BR$205,2)+COUNTIFS('Skills Matrix'!$A$6:$A$205,$A106,'Skills Matrix'!$BS$6:$BS$205,2)+COUNTIFS('Skills Matrix'!$A$6:$A$205,$A106,'Skills Matrix'!$BT$6:$BT$205,2)+COUNTIFS('Skills Matrix'!$A$6:$A$205,$A106,'Skills Matrix'!$BU$6:$BU$205,2)+COUNTIFS('Skills Matrix'!$A$6:$A$205,$A106,'Skills Matrix'!$BV$6:$BV$205,2)+COUNTIFS('Skills Matrix'!$A$6:$A$205,$A106,'Skills Matrix'!$BW$6:$BW$205,2)+COUNTIFS('Skills Matrix'!$A$6:$A$205,$A106,'Skills Matrix'!$BX$6:$BX$205,2)+COUNTIFS('Skills Matrix'!$A$6:$A$205,$A106,'Skills Matrix'!$BY$6:$BY$205,2)</f>
        <v>0</v>
      </c>
      <c r="H106" s="8">
        <f>COUNTIFS('Skills Matrix'!$A$6:$A$205,$A106,'Skills Matrix'!$BZ$6:$BZ$205,2)+COUNTIFS('Skills Matrix'!$A$6:$A$205,$A106,'Skills Matrix'!$CA$6:$CA$205,2)+COUNTIFS('Skills Matrix'!$A$6:$A$205,$A106,'Skills Matrix'!$CB$6:$CB$205,2)+COUNTIFS('Skills Matrix'!$A$6:$A$205,$A106,'Skills Matrix'!$CC$6:$CC$205,2)+COUNTIFS('Skills Matrix'!$A$6:$A$205,$A106,'Skills Matrix'!$CD$6:$CD$205,2)+COUNTIFS('Skills Matrix'!$A$6:$A$205,$A106,'Skills Matrix'!$CE$6:$CE$205,2)+COUNTIFS('Skills Matrix'!$A$6:$A$205,$A106,'Skills Matrix'!$CF$6:$CF$205,2)+COUNTIFS('Skills Matrix'!$A$6:$A$205,$A106,'Skills Matrix'!$CG$6:$CG$205,2)+COUNTIFS('Skills Matrix'!$A$6:$A$205,$A106,'Skills Matrix'!$CH$6:$CH$205,2)</f>
        <v>0</v>
      </c>
      <c r="I106" s="8">
        <f>COUNTIFS('Skills Matrix'!$A$6:$A$205,$A106,'Skills Matrix'!$CI$6:$CI$205,2)+COUNTIFS('Skills Matrix'!$A$6:$A$205,$A106,'Skills Matrix'!$CJ$6:$CJ$205,2)+COUNTIFS('Skills Matrix'!$A$6:$A$205,$A106,'Skills Matrix'!$CK$6:$CK$205,2)+COUNTIFS('Skills Matrix'!$A$6:$A$205,$A106,'Skills Matrix'!$CL$6:$CL$205,2)+COUNTIFS('Skills Matrix'!$A$6:$A$205,$A106,'Skills Matrix'!$CM$6:$CM$205,2)+COUNTIFS('Skills Matrix'!$A$6:$A$205,$A106,'Skills Matrix'!$CN$6:$CN$205,2)+COUNTIFS('Skills Matrix'!$A$6:$A$205,$A106,'Skills Matrix'!$CO$6:$CO$205,2)+COUNTIFS('Skills Matrix'!$A$6:$A$205,$A106,'Skills Matrix'!$CP$6:$CP$205,2)+COUNTIFS('Skills Matrix'!$A$6:$A$205,$A106,'Skills Matrix'!$CQ$6:$CQ$205,2)+COUNTIFS('Skills Matrix'!$A$6:$A$205,$A106,'Skills Matrix'!$CR$6:$CR$205,2)+COUNTIFS('Skills Matrix'!$A$6:$A$205,$A106,'Skills Matrix'!$CS$6:$CS$205,2)+COUNTIFS('Skills Matrix'!$A$6:$A$205,$A106,'Skills Matrix'!$CT$6:$CT$205,2)+COUNTIFS('Skills Matrix'!$A$6:$A$205,$A106,'Skills Matrix'!$CU$6:$CU$205,2)+COUNTIFS('Skills Matrix'!$A$6:$A$205,$A106,'Skills Matrix'!$CV$6:$CV$205,2)+COUNTIFS('Skills Matrix'!$A$6:$A$205,$A106,'Skills Matrix'!$CW$6:$CW$205,2)+COUNTIFS('Skills Matrix'!$A$6:$A$205,$A106,'Skills Matrix'!$CX$6:$CX$205,2)+COUNTIFS('Skills Matrix'!$A$6:$A$205,$A106,'Skills Matrix'!$CY$6:$CY$205,2)+COUNTIFS('Skills Matrix'!$A$6:$A$205,$A106,'Skills Matrix'!$CZ$6:$CZ$205,2)+COUNTIFS('Skills Matrix'!$A$6:$A$205,$A106,'Skills Matrix'!$DA$6:$DA$205,2)+COUNTIFS('Skills Matrix'!$A$6:$A$205,$A106,'Skills Matrix'!$DB$6:$DB$205,2)+COUNTIFS('Skills Matrix'!$A$6:$A$205,$A106,'Skills Matrix'!$DC$6:$DC$205,2)</f>
        <v>0</v>
      </c>
      <c r="J106" s="8">
        <f>0</f>
        <v>0</v>
      </c>
      <c r="K106" s="8">
        <f>COUNTIFS('Skills Matrix'!$A$6:$A$205,$A106,'Skills Matrix'!$DD$6:$DD$205,2)+COUNTIFS('Skills Matrix'!$A$6:$A$205,$A106,'Skills Matrix'!$DE$6:$DE$205,2)</f>
        <v>0</v>
      </c>
    </row>
    <row r="107" spans="1:11">
      <c r="A107" s="23" t="s">
        <v>311</v>
      </c>
      <c r="B107" s="8">
        <f>COUNTIFS('Skills Matrix'!$A$6:$A$205,$A107,'Skills Matrix'!$G$6:$G$205,2)+COUNTIFS('Skills Matrix'!$A$6:$A$205,$A107,'Skills Matrix'!$H$6:$H$205,2)+COUNTIFS('Skills Matrix'!$A$6:$A$205,$A107,'Skills Matrix'!$I$6:$I$205,2)+COUNTIFS('Skills Matrix'!$A$6:$A$205,$A107,'Skills Matrix'!$J$6:$J$205,2)+COUNTIFS('Skills Matrix'!$A$6:$A$205,$A107,'Skills Matrix'!$K$6:$K$205,2)+COUNTIFS('Skills Matrix'!$A$6:$A$205,$A107,'Skills Matrix'!$L$6:$L$205,2)+COUNTIFS('Skills Matrix'!$A$6:$A$205,$A107,'Skills Matrix'!$M$6:$M$205,2)+COUNTIFS('Skills Matrix'!$A$6:$A$205,$A107,'Skills Matrix'!$N$6:$N$205,2)+COUNTIFS('Skills Matrix'!$A$6:$A$205,$A107,'Skills Matrix'!$O$6:$O$205,2)+COUNTIFS('Skills Matrix'!$A$6:$A$205,$A107,'Skills Matrix'!$P$6:$P$205,2)+COUNTIFS('Skills Matrix'!$A$6:$A$205,$A107,'Skills Matrix'!$Q$6:$Q$205,2)+COUNTIFS('Skills Matrix'!$A$6:$A$205,$A107,'Skills Matrix'!$R$6:$R$205,2)+COUNTIFS('Skills Matrix'!$A$6:$A$205,$A107,'Skills Matrix'!$S$6:$S$205,2)+COUNTIFS('Skills Matrix'!$A$6:$A$205,$A107,'Skills Matrix'!$T$6:$T$205,2)+COUNTIFS('Skills Matrix'!$A$6:$A$205,$A107,'Skills Matrix'!$U$6:$U$205,2)+COUNTIFS('Skills Matrix'!$A$6:$A$205,$A107,'Skills Matrix'!$V$6:$V$205,2)</f>
        <v>0</v>
      </c>
      <c r="C107" s="8">
        <f>COUNTIFS('Skills Matrix'!$A$6:$A$205,$A107,'Skills Matrix'!$W$6:$W$205,2)+COUNTIFS('Skills Matrix'!$A$6:$A$205,$A107,'Skills Matrix'!$X$6:$X$205,2)+COUNTIFS('Skills Matrix'!$A$6:$A$205,$A107,'Skills Matrix'!$Y$6:$Y$205,2)+COUNTIFS('Skills Matrix'!$A$6:$A$205,$A107,'Skills Matrix'!$Z$6:$Z$205,2)+COUNTIFS('Skills Matrix'!$A$6:$A$205,$A107,'Skills Matrix'!$AA$6:$AA$205,2)+COUNTIFS('Skills Matrix'!$A$6:$A$205,$A107,'Skills Matrix'!$AB$6:$AB$205,2)+COUNTIFS('Skills Matrix'!$A$6:$A$205,$A107,'Skills Matrix'!$AC$6:$AC$205,2)+COUNTIFS('Skills Matrix'!$A$6:$A$205,$A107,'Skills Matrix'!$AD$6:$AD$205,2)+COUNTIFS('Skills Matrix'!$A$6:$A$205,$A107,'Skills Matrix'!$AE$6:$AE$205,2)+COUNTIFS('Skills Matrix'!$A$6:$A$205,$A107,'Skills Matrix'!$AF$6:$AF$205,2)+COUNTIFS('Skills Matrix'!$A$6:$A$205,$A107,'Skills Matrix'!$AG$6:$AG$205,2)+COUNTIFS('Skills Matrix'!$A$6:$A$205,$A107,'Skills Matrix'!$AH$6:$AH$205,2)+COUNTIFS('Skills Matrix'!$A$6:$A$205,$A107,'Skills Matrix'!$AI$6:$AI$205,2)+COUNTIFS('Skills Matrix'!$A$6:$A$205,$A107,'Skills Matrix'!$AJ$6:$AJ$205,2)</f>
        <v>0</v>
      </c>
      <c r="D107" s="8">
        <f>COUNTIFS('Skills Matrix'!$A$6:$A$205,$A107,'Skills Matrix'!$AK$6:$AK$205,2)+COUNTIFS('Skills Matrix'!$A$6:$A$205,$A107,'Skills Matrix'!$AL$6:$AL$205,2)+COUNTIFS('Skills Matrix'!$A$6:$A$205,$A107,'Skills Matrix'!$AM$6:$AM$205,2)+COUNTIFS('Skills Matrix'!$A$6:$A$205,$A107,'Skills Matrix'!$AN$6:$AN$205,2)+COUNTIFS('Skills Matrix'!$A$6:$A$205,$A107,'Skills Matrix'!$AO$6:$AO$205,2)+COUNTIFS('Skills Matrix'!$A$6:$A$205,$A107,'Skills Matrix'!$AP$6:$AP$205,2)+COUNTIFS('Skills Matrix'!$A$6:$A$205,$A107,'Skills Matrix'!$AQ$6:$AQ$205,2)+COUNTIFS('Skills Matrix'!$A$6:$A$205,$A107,'Skills Matrix'!$AR$6:$AR$205,2)+COUNTIFS('Skills Matrix'!$A$6:$A$205,$A107,'Skills Matrix'!$AS$6:$AS$205,2)</f>
        <v>0</v>
      </c>
      <c r="E107" s="8">
        <f>COUNTIFS('Skills Matrix'!$A$6:$A$205,$A107,'Skills Matrix'!$AT$6:$AT$205,2)+COUNTIFS('Skills Matrix'!$A$6:$A$205,$A107,'Skills Matrix'!$AU$6:$AU$205,2)+COUNTIFS('Skills Matrix'!$A$6:$A$205,$A107,'Skills Matrix'!$AV$6:$AV$205,2)+COUNTIFS('Skills Matrix'!$A$6:$A$205,$A107,'Skills Matrix'!$AW$6:$AW$205,2)+COUNTIFS('Skills Matrix'!$A$6:$A$205,$A107,'Skills Matrix'!$AX$6:$AX$205,2)+COUNTIFS('Skills Matrix'!$A$6:$A$205,$A107,'Skills Matrix'!$AY$6:$AY$205,2)+COUNTIFS('Skills Matrix'!$A$6:$A$205,$A107,'Skills Matrix'!$AZ$6:$AZ$205,2)+COUNTIFS('Skills Matrix'!$A$6:$A$205,$A107,'Skills Matrix'!$BA$6:$BA$205,2)</f>
        <v>0</v>
      </c>
      <c r="F107" s="8">
        <f>COUNTIFS('Skills Matrix'!$A$6:$A$205,$A107,'Skills Matrix'!$BB$6:$BB$205,2)+COUNTIFS('Skills Matrix'!$A$6:$A$205,$A107,'Skills Matrix'!$BC$6:$BC$205,2)+COUNTIFS('Skills Matrix'!$A$6:$A$205,$A107,'Skills Matrix'!$BD$6:$BD$205,2)+COUNTIFS('Skills Matrix'!$A$6:$A$205,$A107,'Skills Matrix'!$BE$6:$BE$205,2)+COUNTIFS('Skills Matrix'!$A$6:$A$205,$A107,'Skills Matrix'!$BF$6:$BF$205,2)+COUNTIFS('Skills Matrix'!$A$6:$A$205,$A107,'Skills Matrix'!$BG$6:$BG$205,2)+COUNTIFS('Skills Matrix'!$A$6:$A$205,$A107,'Skills Matrix'!$BH$6:$BH$205,2)</f>
        <v>0</v>
      </c>
      <c r="G107" s="8">
        <f>COUNTIFS('Skills Matrix'!$A$6:$A$205,$A107,'Skills Matrix'!$BI$6:$BI$205,2)+COUNTIFS('Skills Matrix'!$A$6:$A$205,$A107,'Skills Matrix'!$BJ$6:$BJ$205,2)+COUNTIFS('Skills Matrix'!$A$6:$A$205,$A107,'Skills Matrix'!$BK$6:$BK$205,2)+COUNTIFS('Skills Matrix'!$A$6:$A$205,$A107,'Skills Matrix'!$BL$6:$BL$205,2)+COUNTIFS('Skills Matrix'!$A$6:$A$205,$A107,'Skills Matrix'!$BM$6:$BM$205,2)+COUNTIFS('Skills Matrix'!$A$6:$A$205,$A107,'Skills Matrix'!$BN$6:$BN$205,2)+COUNTIFS('Skills Matrix'!$A$6:$A$205,$A107,'Skills Matrix'!$BO$6:$BO$205,2)+COUNTIFS('Skills Matrix'!$A$6:$A$205,$A107,'Skills Matrix'!$BP$6:$BP$205,2)+COUNTIFS('Skills Matrix'!$A$6:$A$205,$A107,'Skills Matrix'!$BQ$6:$BQ$205,2)+COUNTIFS('Skills Matrix'!$A$6:$A$205,$A107,'Skills Matrix'!$BR$6:$BR$205,2)+COUNTIFS('Skills Matrix'!$A$6:$A$205,$A107,'Skills Matrix'!$BS$6:$BS$205,2)+COUNTIFS('Skills Matrix'!$A$6:$A$205,$A107,'Skills Matrix'!$BT$6:$BT$205,2)+COUNTIFS('Skills Matrix'!$A$6:$A$205,$A107,'Skills Matrix'!$BU$6:$BU$205,2)+COUNTIFS('Skills Matrix'!$A$6:$A$205,$A107,'Skills Matrix'!$BV$6:$BV$205,2)+COUNTIFS('Skills Matrix'!$A$6:$A$205,$A107,'Skills Matrix'!$BW$6:$BW$205,2)+COUNTIFS('Skills Matrix'!$A$6:$A$205,$A107,'Skills Matrix'!$BX$6:$BX$205,2)+COUNTIFS('Skills Matrix'!$A$6:$A$205,$A107,'Skills Matrix'!$BY$6:$BY$205,2)</f>
        <v>0</v>
      </c>
      <c r="H107" s="8">
        <f>COUNTIFS('Skills Matrix'!$A$6:$A$205,$A107,'Skills Matrix'!$BZ$6:$BZ$205,2)+COUNTIFS('Skills Matrix'!$A$6:$A$205,$A107,'Skills Matrix'!$CA$6:$CA$205,2)+COUNTIFS('Skills Matrix'!$A$6:$A$205,$A107,'Skills Matrix'!$CB$6:$CB$205,2)+COUNTIFS('Skills Matrix'!$A$6:$A$205,$A107,'Skills Matrix'!$CC$6:$CC$205,2)+COUNTIFS('Skills Matrix'!$A$6:$A$205,$A107,'Skills Matrix'!$CD$6:$CD$205,2)+COUNTIFS('Skills Matrix'!$A$6:$A$205,$A107,'Skills Matrix'!$CE$6:$CE$205,2)+COUNTIFS('Skills Matrix'!$A$6:$A$205,$A107,'Skills Matrix'!$CF$6:$CF$205,2)+COUNTIFS('Skills Matrix'!$A$6:$A$205,$A107,'Skills Matrix'!$CG$6:$CG$205,2)+COUNTIFS('Skills Matrix'!$A$6:$A$205,$A107,'Skills Matrix'!$CH$6:$CH$205,2)</f>
        <v>0</v>
      </c>
      <c r="I107" s="8">
        <f>COUNTIFS('Skills Matrix'!$A$6:$A$205,$A107,'Skills Matrix'!$CI$6:$CI$205,2)+COUNTIFS('Skills Matrix'!$A$6:$A$205,$A107,'Skills Matrix'!$CJ$6:$CJ$205,2)+COUNTIFS('Skills Matrix'!$A$6:$A$205,$A107,'Skills Matrix'!$CK$6:$CK$205,2)+COUNTIFS('Skills Matrix'!$A$6:$A$205,$A107,'Skills Matrix'!$CL$6:$CL$205,2)+COUNTIFS('Skills Matrix'!$A$6:$A$205,$A107,'Skills Matrix'!$CM$6:$CM$205,2)+COUNTIFS('Skills Matrix'!$A$6:$A$205,$A107,'Skills Matrix'!$CN$6:$CN$205,2)+COUNTIFS('Skills Matrix'!$A$6:$A$205,$A107,'Skills Matrix'!$CO$6:$CO$205,2)+COUNTIFS('Skills Matrix'!$A$6:$A$205,$A107,'Skills Matrix'!$CP$6:$CP$205,2)+COUNTIFS('Skills Matrix'!$A$6:$A$205,$A107,'Skills Matrix'!$CQ$6:$CQ$205,2)+COUNTIFS('Skills Matrix'!$A$6:$A$205,$A107,'Skills Matrix'!$CR$6:$CR$205,2)+COUNTIFS('Skills Matrix'!$A$6:$A$205,$A107,'Skills Matrix'!$CS$6:$CS$205,2)+COUNTIFS('Skills Matrix'!$A$6:$A$205,$A107,'Skills Matrix'!$CT$6:$CT$205,2)+COUNTIFS('Skills Matrix'!$A$6:$A$205,$A107,'Skills Matrix'!$CU$6:$CU$205,2)+COUNTIFS('Skills Matrix'!$A$6:$A$205,$A107,'Skills Matrix'!$CV$6:$CV$205,2)+COUNTIFS('Skills Matrix'!$A$6:$A$205,$A107,'Skills Matrix'!$CW$6:$CW$205,2)+COUNTIFS('Skills Matrix'!$A$6:$A$205,$A107,'Skills Matrix'!$CX$6:$CX$205,2)+COUNTIFS('Skills Matrix'!$A$6:$A$205,$A107,'Skills Matrix'!$CY$6:$CY$205,2)+COUNTIFS('Skills Matrix'!$A$6:$A$205,$A107,'Skills Matrix'!$CZ$6:$CZ$205,2)+COUNTIFS('Skills Matrix'!$A$6:$A$205,$A107,'Skills Matrix'!$DA$6:$DA$205,2)+COUNTIFS('Skills Matrix'!$A$6:$A$205,$A107,'Skills Matrix'!$DB$6:$DB$205,2)+COUNTIFS('Skills Matrix'!$A$6:$A$205,$A107,'Skills Matrix'!$DC$6:$DC$205,2)</f>
        <v>0</v>
      </c>
      <c r="J107" s="8">
        <f>0</f>
        <v>0</v>
      </c>
      <c r="K107" s="8">
        <f>COUNTIFS('Skills Matrix'!$A$6:$A$205,$A107,'Skills Matrix'!$DD$6:$DD$205,2)+COUNTIFS('Skills Matrix'!$A$6:$A$205,$A107,'Skills Matrix'!$DE$6:$DE$205,2)</f>
        <v>0</v>
      </c>
    </row>
    <row r="108" spans="1:11">
      <c r="A108" s="23" t="s">
        <v>312</v>
      </c>
      <c r="B108" s="8">
        <f>COUNTIFS('Skills Matrix'!$A$6:$A$205,$A108,'Skills Matrix'!$G$6:$G$205,2)+COUNTIFS('Skills Matrix'!$A$6:$A$205,$A108,'Skills Matrix'!$H$6:$H$205,2)+COUNTIFS('Skills Matrix'!$A$6:$A$205,$A108,'Skills Matrix'!$I$6:$I$205,2)+COUNTIFS('Skills Matrix'!$A$6:$A$205,$A108,'Skills Matrix'!$J$6:$J$205,2)+COUNTIFS('Skills Matrix'!$A$6:$A$205,$A108,'Skills Matrix'!$K$6:$K$205,2)+COUNTIFS('Skills Matrix'!$A$6:$A$205,$A108,'Skills Matrix'!$L$6:$L$205,2)+COUNTIFS('Skills Matrix'!$A$6:$A$205,$A108,'Skills Matrix'!$M$6:$M$205,2)+COUNTIFS('Skills Matrix'!$A$6:$A$205,$A108,'Skills Matrix'!$N$6:$N$205,2)+COUNTIFS('Skills Matrix'!$A$6:$A$205,$A108,'Skills Matrix'!$O$6:$O$205,2)+COUNTIFS('Skills Matrix'!$A$6:$A$205,$A108,'Skills Matrix'!$P$6:$P$205,2)+COUNTIFS('Skills Matrix'!$A$6:$A$205,$A108,'Skills Matrix'!$Q$6:$Q$205,2)+COUNTIFS('Skills Matrix'!$A$6:$A$205,$A108,'Skills Matrix'!$R$6:$R$205,2)+COUNTIFS('Skills Matrix'!$A$6:$A$205,$A108,'Skills Matrix'!$S$6:$S$205,2)+COUNTIFS('Skills Matrix'!$A$6:$A$205,$A108,'Skills Matrix'!$T$6:$T$205,2)+COUNTIFS('Skills Matrix'!$A$6:$A$205,$A108,'Skills Matrix'!$U$6:$U$205,2)+COUNTIFS('Skills Matrix'!$A$6:$A$205,$A108,'Skills Matrix'!$V$6:$V$205,2)</f>
        <v>0</v>
      </c>
      <c r="C108" s="8">
        <f>COUNTIFS('Skills Matrix'!$A$6:$A$205,$A108,'Skills Matrix'!$W$6:$W$205,2)+COUNTIFS('Skills Matrix'!$A$6:$A$205,$A108,'Skills Matrix'!$X$6:$X$205,2)+COUNTIFS('Skills Matrix'!$A$6:$A$205,$A108,'Skills Matrix'!$Y$6:$Y$205,2)+COUNTIFS('Skills Matrix'!$A$6:$A$205,$A108,'Skills Matrix'!$Z$6:$Z$205,2)+COUNTIFS('Skills Matrix'!$A$6:$A$205,$A108,'Skills Matrix'!$AA$6:$AA$205,2)+COUNTIFS('Skills Matrix'!$A$6:$A$205,$A108,'Skills Matrix'!$AB$6:$AB$205,2)+COUNTIFS('Skills Matrix'!$A$6:$A$205,$A108,'Skills Matrix'!$AC$6:$AC$205,2)+COUNTIFS('Skills Matrix'!$A$6:$A$205,$A108,'Skills Matrix'!$AD$6:$AD$205,2)+COUNTIFS('Skills Matrix'!$A$6:$A$205,$A108,'Skills Matrix'!$AE$6:$AE$205,2)+COUNTIFS('Skills Matrix'!$A$6:$A$205,$A108,'Skills Matrix'!$AF$6:$AF$205,2)+COUNTIFS('Skills Matrix'!$A$6:$A$205,$A108,'Skills Matrix'!$AG$6:$AG$205,2)+COUNTIFS('Skills Matrix'!$A$6:$A$205,$A108,'Skills Matrix'!$AH$6:$AH$205,2)+COUNTIFS('Skills Matrix'!$A$6:$A$205,$A108,'Skills Matrix'!$AI$6:$AI$205,2)+COUNTIFS('Skills Matrix'!$A$6:$A$205,$A108,'Skills Matrix'!$AJ$6:$AJ$205,2)</f>
        <v>0</v>
      </c>
      <c r="D108" s="8">
        <f>COUNTIFS('Skills Matrix'!$A$6:$A$205,$A108,'Skills Matrix'!$AK$6:$AK$205,2)+COUNTIFS('Skills Matrix'!$A$6:$A$205,$A108,'Skills Matrix'!$AL$6:$AL$205,2)+COUNTIFS('Skills Matrix'!$A$6:$A$205,$A108,'Skills Matrix'!$AM$6:$AM$205,2)+COUNTIFS('Skills Matrix'!$A$6:$A$205,$A108,'Skills Matrix'!$AN$6:$AN$205,2)+COUNTIFS('Skills Matrix'!$A$6:$A$205,$A108,'Skills Matrix'!$AO$6:$AO$205,2)+COUNTIFS('Skills Matrix'!$A$6:$A$205,$A108,'Skills Matrix'!$AP$6:$AP$205,2)+COUNTIFS('Skills Matrix'!$A$6:$A$205,$A108,'Skills Matrix'!$AQ$6:$AQ$205,2)+COUNTIFS('Skills Matrix'!$A$6:$A$205,$A108,'Skills Matrix'!$AR$6:$AR$205,2)+COUNTIFS('Skills Matrix'!$A$6:$A$205,$A108,'Skills Matrix'!$AS$6:$AS$205,2)</f>
        <v>0</v>
      </c>
      <c r="E108" s="8">
        <f>COUNTIFS('Skills Matrix'!$A$6:$A$205,$A108,'Skills Matrix'!$AT$6:$AT$205,2)+COUNTIFS('Skills Matrix'!$A$6:$A$205,$A108,'Skills Matrix'!$AU$6:$AU$205,2)+COUNTIFS('Skills Matrix'!$A$6:$A$205,$A108,'Skills Matrix'!$AV$6:$AV$205,2)+COUNTIFS('Skills Matrix'!$A$6:$A$205,$A108,'Skills Matrix'!$AW$6:$AW$205,2)+COUNTIFS('Skills Matrix'!$A$6:$A$205,$A108,'Skills Matrix'!$AX$6:$AX$205,2)+COUNTIFS('Skills Matrix'!$A$6:$A$205,$A108,'Skills Matrix'!$AY$6:$AY$205,2)+COUNTIFS('Skills Matrix'!$A$6:$A$205,$A108,'Skills Matrix'!$AZ$6:$AZ$205,2)+COUNTIFS('Skills Matrix'!$A$6:$A$205,$A108,'Skills Matrix'!$BA$6:$BA$205,2)</f>
        <v>0</v>
      </c>
      <c r="F108" s="8">
        <f>COUNTIFS('Skills Matrix'!$A$6:$A$205,$A108,'Skills Matrix'!$BB$6:$BB$205,2)+COUNTIFS('Skills Matrix'!$A$6:$A$205,$A108,'Skills Matrix'!$BC$6:$BC$205,2)+COUNTIFS('Skills Matrix'!$A$6:$A$205,$A108,'Skills Matrix'!$BD$6:$BD$205,2)+COUNTIFS('Skills Matrix'!$A$6:$A$205,$A108,'Skills Matrix'!$BE$6:$BE$205,2)+COUNTIFS('Skills Matrix'!$A$6:$A$205,$A108,'Skills Matrix'!$BF$6:$BF$205,2)+COUNTIFS('Skills Matrix'!$A$6:$A$205,$A108,'Skills Matrix'!$BG$6:$BG$205,2)+COUNTIFS('Skills Matrix'!$A$6:$A$205,$A108,'Skills Matrix'!$BH$6:$BH$205,2)</f>
        <v>0</v>
      </c>
      <c r="G108" s="8">
        <f>COUNTIFS('Skills Matrix'!$A$6:$A$205,$A108,'Skills Matrix'!$BI$6:$BI$205,2)+COUNTIFS('Skills Matrix'!$A$6:$A$205,$A108,'Skills Matrix'!$BJ$6:$BJ$205,2)+COUNTIFS('Skills Matrix'!$A$6:$A$205,$A108,'Skills Matrix'!$BK$6:$BK$205,2)+COUNTIFS('Skills Matrix'!$A$6:$A$205,$A108,'Skills Matrix'!$BL$6:$BL$205,2)+COUNTIFS('Skills Matrix'!$A$6:$A$205,$A108,'Skills Matrix'!$BM$6:$BM$205,2)+COUNTIFS('Skills Matrix'!$A$6:$A$205,$A108,'Skills Matrix'!$BN$6:$BN$205,2)+COUNTIFS('Skills Matrix'!$A$6:$A$205,$A108,'Skills Matrix'!$BO$6:$BO$205,2)+COUNTIFS('Skills Matrix'!$A$6:$A$205,$A108,'Skills Matrix'!$BP$6:$BP$205,2)+COUNTIFS('Skills Matrix'!$A$6:$A$205,$A108,'Skills Matrix'!$BQ$6:$BQ$205,2)+COUNTIFS('Skills Matrix'!$A$6:$A$205,$A108,'Skills Matrix'!$BR$6:$BR$205,2)+COUNTIFS('Skills Matrix'!$A$6:$A$205,$A108,'Skills Matrix'!$BS$6:$BS$205,2)+COUNTIFS('Skills Matrix'!$A$6:$A$205,$A108,'Skills Matrix'!$BT$6:$BT$205,2)+COUNTIFS('Skills Matrix'!$A$6:$A$205,$A108,'Skills Matrix'!$BU$6:$BU$205,2)+COUNTIFS('Skills Matrix'!$A$6:$A$205,$A108,'Skills Matrix'!$BV$6:$BV$205,2)+COUNTIFS('Skills Matrix'!$A$6:$A$205,$A108,'Skills Matrix'!$BW$6:$BW$205,2)+COUNTIFS('Skills Matrix'!$A$6:$A$205,$A108,'Skills Matrix'!$BX$6:$BX$205,2)+COUNTIFS('Skills Matrix'!$A$6:$A$205,$A108,'Skills Matrix'!$BY$6:$BY$205,2)</f>
        <v>0</v>
      </c>
      <c r="H108" s="8">
        <f>COUNTIFS('Skills Matrix'!$A$6:$A$205,$A108,'Skills Matrix'!$BZ$6:$BZ$205,2)+COUNTIFS('Skills Matrix'!$A$6:$A$205,$A108,'Skills Matrix'!$CA$6:$CA$205,2)+COUNTIFS('Skills Matrix'!$A$6:$A$205,$A108,'Skills Matrix'!$CB$6:$CB$205,2)+COUNTIFS('Skills Matrix'!$A$6:$A$205,$A108,'Skills Matrix'!$CC$6:$CC$205,2)+COUNTIFS('Skills Matrix'!$A$6:$A$205,$A108,'Skills Matrix'!$CD$6:$CD$205,2)+COUNTIFS('Skills Matrix'!$A$6:$A$205,$A108,'Skills Matrix'!$CE$6:$CE$205,2)+COUNTIFS('Skills Matrix'!$A$6:$A$205,$A108,'Skills Matrix'!$CF$6:$CF$205,2)+COUNTIFS('Skills Matrix'!$A$6:$A$205,$A108,'Skills Matrix'!$CG$6:$CG$205,2)+COUNTIFS('Skills Matrix'!$A$6:$A$205,$A108,'Skills Matrix'!$CH$6:$CH$205,2)</f>
        <v>0</v>
      </c>
      <c r="I108" s="8">
        <f>COUNTIFS('Skills Matrix'!$A$6:$A$205,$A108,'Skills Matrix'!$CI$6:$CI$205,2)+COUNTIFS('Skills Matrix'!$A$6:$A$205,$A108,'Skills Matrix'!$CJ$6:$CJ$205,2)+COUNTIFS('Skills Matrix'!$A$6:$A$205,$A108,'Skills Matrix'!$CK$6:$CK$205,2)+COUNTIFS('Skills Matrix'!$A$6:$A$205,$A108,'Skills Matrix'!$CL$6:$CL$205,2)+COUNTIFS('Skills Matrix'!$A$6:$A$205,$A108,'Skills Matrix'!$CM$6:$CM$205,2)+COUNTIFS('Skills Matrix'!$A$6:$A$205,$A108,'Skills Matrix'!$CN$6:$CN$205,2)+COUNTIFS('Skills Matrix'!$A$6:$A$205,$A108,'Skills Matrix'!$CO$6:$CO$205,2)+COUNTIFS('Skills Matrix'!$A$6:$A$205,$A108,'Skills Matrix'!$CP$6:$CP$205,2)+COUNTIFS('Skills Matrix'!$A$6:$A$205,$A108,'Skills Matrix'!$CQ$6:$CQ$205,2)+COUNTIFS('Skills Matrix'!$A$6:$A$205,$A108,'Skills Matrix'!$CR$6:$CR$205,2)+COUNTIFS('Skills Matrix'!$A$6:$A$205,$A108,'Skills Matrix'!$CS$6:$CS$205,2)+COUNTIFS('Skills Matrix'!$A$6:$A$205,$A108,'Skills Matrix'!$CT$6:$CT$205,2)+COUNTIFS('Skills Matrix'!$A$6:$A$205,$A108,'Skills Matrix'!$CU$6:$CU$205,2)+COUNTIFS('Skills Matrix'!$A$6:$A$205,$A108,'Skills Matrix'!$CV$6:$CV$205,2)+COUNTIFS('Skills Matrix'!$A$6:$A$205,$A108,'Skills Matrix'!$CW$6:$CW$205,2)+COUNTIFS('Skills Matrix'!$A$6:$A$205,$A108,'Skills Matrix'!$CX$6:$CX$205,2)+COUNTIFS('Skills Matrix'!$A$6:$A$205,$A108,'Skills Matrix'!$CY$6:$CY$205,2)+COUNTIFS('Skills Matrix'!$A$6:$A$205,$A108,'Skills Matrix'!$CZ$6:$CZ$205,2)+COUNTIFS('Skills Matrix'!$A$6:$A$205,$A108,'Skills Matrix'!$DA$6:$DA$205,2)+COUNTIFS('Skills Matrix'!$A$6:$A$205,$A108,'Skills Matrix'!$DB$6:$DB$205,2)+COUNTIFS('Skills Matrix'!$A$6:$A$205,$A108,'Skills Matrix'!$DC$6:$DC$205,2)</f>
        <v>0</v>
      </c>
      <c r="J108" s="8">
        <f>0</f>
        <v>0</v>
      </c>
      <c r="K108" s="8">
        <f>COUNTIFS('Skills Matrix'!$A$6:$A$205,$A108,'Skills Matrix'!$DD$6:$DD$205,2)+COUNTIFS('Skills Matrix'!$A$6:$A$205,$A108,'Skills Matrix'!$DE$6:$DE$205,2)</f>
        <v>0</v>
      </c>
    </row>
    <row r="109" spans="1:11">
      <c r="A109" s="23" t="s">
        <v>213</v>
      </c>
      <c r="B109" s="8">
        <f>COUNTIFS('Skills Matrix'!$A$6:$A$205,$A109,'Skills Matrix'!$G$6:$G$205,2)+COUNTIFS('Skills Matrix'!$A$6:$A$205,$A109,'Skills Matrix'!$H$6:$H$205,2)+COUNTIFS('Skills Matrix'!$A$6:$A$205,$A109,'Skills Matrix'!$I$6:$I$205,2)+COUNTIFS('Skills Matrix'!$A$6:$A$205,$A109,'Skills Matrix'!$J$6:$J$205,2)+COUNTIFS('Skills Matrix'!$A$6:$A$205,$A109,'Skills Matrix'!$K$6:$K$205,2)+COUNTIFS('Skills Matrix'!$A$6:$A$205,$A109,'Skills Matrix'!$L$6:$L$205,2)+COUNTIFS('Skills Matrix'!$A$6:$A$205,$A109,'Skills Matrix'!$M$6:$M$205,2)+COUNTIFS('Skills Matrix'!$A$6:$A$205,$A109,'Skills Matrix'!$N$6:$N$205,2)+COUNTIFS('Skills Matrix'!$A$6:$A$205,$A109,'Skills Matrix'!$O$6:$O$205,2)+COUNTIFS('Skills Matrix'!$A$6:$A$205,$A109,'Skills Matrix'!$P$6:$P$205,2)+COUNTIFS('Skills Matrix'!$A$6:$A$205,$A109,'Skills Matrix'!$Q$6:$Q$205,2)+COUNTIFS('Skills Matrix'!$A$6:$A$205,$A109,'Skills Matrix'!$R$6:$R$205,2)+COUNTIFS('Skills Matrix'!$A$6:$A$205,$A109,'Skills Matrix'!$S$6:$S$205,2)+COUNTIFS('Skills Matrix'!$A$6:$A$205,$A109,'Skills Matrix'!$T$6:$T$205,2)+COUNTIFS('Skills Matrix'!$A$6:$A$205,$A109,'Skills Matrix'!$U$6:$U$205,2)+COUNTIFS('Skills Matrix'!$A$6:$A$205,$A109,'Skills Matrix'!$V$6:$V$205,2)</f>
        <v>0</v>
      </c>
      <c r="C109" s="8">
        <f>COUNTIFS('Skills Matrix'!$A$6:$A$205,$A109,'Skills Matrix'!$W$6:$W$205,2)+COUNTIFS('Skills Matrix'!$A$6:$A$205,$A109,'Skills Matrix'!$X$6:$X$205,2)+COUNTIFS('Skills Matrix'!$A$6:$A$205,$A109,'Skills Matrix'!$Y$6:$Y$205,2)+COUNTIFS('Skills Matrix'!$A$6:$A$205,$A109,'Skills Matrix'!$Z$6:$Z$205,2)+COUNTIFS('Skills Matrix'!$A$6:$A$205,$A109,'Skills Matrix'!$AA$6:$AA$205,2)+COUNTIFS('Skills Matrix'!$A$6:$A$205,$A109,'Skills Matrix'!$AB$6:$AB$205,2)+COUNTIFS('Skills Matrix'!$A$6:$A$205,$A109,'Skills Matrix'!$AC$6:$AC$205,2)+COUNTIFS('Skills Matrix'!$A$6:$A$205,$A109,'Skills Matrix'!$AD$6:$AD$205,2)+COUNTIFS('Skills Matrix'!$A$6:$A$205,$A109,'Skills Matrix'!$AE$6:$AE$205,2)+COUNTIFS('Skills Matrix'!$A$6:$A$205,$A109,'Skills Matrix'!$AF$6:$AF$205,2)+COUNTIFS('Skills Matrix'!$A$6:$A$205,$A109,'Skills Matrix'!$AG$6:$AG$205,2)+COUNTIFS('Skills Matrix'!$A$6:$A$205,$A109,'Skills Matrix'!$AH$6:$AH$205,2)+COUNTIFS('Skills Matrix'!$A$6:$A$205,$A109,'Skills Matrix'!$AI$6:$AI$205,2)+COUNTIFS('Skills Matrix'!$A$6:$A$205,$A109,'Skills Matrix'!$AJ$6:$AJ$205,2)</f>
        <v>0</v>
      </c>
      <c r="D109" s="8">
        <f>COUNTIFS('Skills Matrix'!$A$6:$A$205,$A109,'Skills Matrix'!$AK$6:$AK$205,2)+COUNTIFS('Skills Matrix'!$A$6:$A$205,$A109,'Skills Matrix'!$AL$6:$AL$205,2)+COUNTIFS('Skills Matrix'!$A$6:$A$205,$A109,'Skills Matrix'!$AM$6:$AM$205,2)+COUNTIFS('Skills Matrix'!$A$6:$A$205,$A109,'Skills Matrix'!$AN$6:$AN$205,2)+COUNTIFS('Skills Matrix'!$A$6:$A$205,$A109,'Skills Matrix'!$AO$6:$AO$205,2)+COUNTIFS('Skills Matrix'!$A$6:$A$205,$A109,'Skills Matrix'!$AP$6:$AP$205,2)+COUNTIFS('Skills Matrix'!$A$6:$A$205,$A109,'Skills Matrix'!$AQ$6:$AQ$205,2)+COUNTIFS('Skills Matrix'!$A$6:$A$205,$A109,'Skills Matrix'!$AR$6:$AR$205,2)+COUNTIFS('Skills Matrix'!$A$6:$A$205,$A109,'Skills Matrix'!$AS$6:$AS$205,2)</f>
        <v>0</v>
      </c>
      <c r="E109" s="8">
        <f>COUNTIFS('Skills Matrix'!$A$6:$A$205,$A109,'Skills Matrix'!$AT$6:$AT$205,2)+COUNTIFS('Skills Matrix'!$A$6:$A$205,$A109,'Skills Matrix'!$AU$6:$AU$205,2)+COUNTIFS('Skills Matrix'!$A$6:$A$205,$A109,'Skills Matrix'!$AV$6:$AV$205,2)+COUNTIFS('Skills Matrix'!$A$6:$A$205,$A109,'Skills Matrix'!$AW$6:$AW$205,2)+COUNTIFS('Skills Matrix'!$A$6:$A$205,$A109,'Skills Matrix'!$AX$6:$AX$205,2)+COUNTIFS('Skills Matrix'!$A$6:$A$205,$A109,'Skills Matrix'!$AY$6:$AY$205,2)+COUNTIFS('Skills Matrix'!$A$6:$A$205,$A109,'Skills Matrix'!$AZ$6:$AZ$205,2)+COUNTIFS('Skills Matrix'!$A$6:$A$205,$A109,'Skills Matrix'!$BA$6:$BA$205,2)</f>
        <v>0</v>
      </c>
      <c r="F109" s="8">
        <f>COUNTIFS('Skills Matrix'!$A$6:$A$205,$A109,'Skills Matrix'!$BB$6:$BB$205,2)+COUNTIFS('Skills Matrix'!$A$6:$A$205,$A109,'Skills Matrix'!$BC$6:$BC$205,2)+COUNTIFS('Skills Matrix'!$A$6:$A$205,$A109,'Skills Matrix'!$BD$6:$BD$205,2)+COUNTIFS('Skills Matrix'!$A$6:$A$205,$A109,'Skills Matrix'!$BE$6:$BE$205,2)+COUNTIFS('Skills Matrix'!$A$6:$A$205,$A109,'Skills Matrix'!$BF$6:$BF$205,2)+COUNTIFS('Skills Matrix'!$A$6:$A$205,$A109,'Skills Matrix'!$BG$6:$BG$205,2)+COUNTIFS('Skills Matrix'!$A$6:$A$205,$A109,'Skills Matrix'!$BH$6:$BH$205,2)</f>
        <v>0</v>
      </c>
      <c r="G109" s="8">
        <f>COUNTIFS('Skills Matrix'!$A$6:$A$205,$A109,'Skills Matrix'!$BI$6:$BI$205,2)+COUNTIFS('Skills Matrix'!$A$6:$A$205,$A109,'Skills Matrix'!$BJ$6:$BJ$205,2)+COUNTIFS('Skills Matrix'!$A$6:$A$205,$A109,'Skills Matrix'!$BK$6:$BK$205,2)+COUNTIFS('Skills Matrix'!$A$6:$A$205,$A109,'Skills Matrix'!$BL$6:$BL$205,2)+COUNTIFS('Skills Matrix'!$A$6:$A$205,$A109,'Skills Matrix'!$BM$6:$BM$205,2)+COUNTIFS('Skills Matrix'!$A$6:$A$205,$A109,'Skills Matrix'!$BN$6:$BN$205,2)+COUNTIFS('Skills Matrix'!$A$6:$A$205,$A109,'Skills Matrix'!$BO$6:$BO$205,2)+COUNTIFS('Skills Matrix'!$A$6:$A$205,$A109,'Skills Matrix'!$BP$6:$BP$205,2)+COUNTIFS('Skills Matrix'!$A$6:$A$205,$A109,'Skills Matrix'!$BQ$6:$BQ$205,2)+COUNTIFS('Skills Matrix'!$A$6:$A$205,$A109,'Skills Matrix'!$BR$6:$BR$205,2)+COUNTIFS('Skills Matrix'!$A$6:$A$205,$A109,'Skills Matrix'!$BS$6:$BS$205,2)+COUNTIFS('Skills Matrix'!$A$6:$A$205,$A109,'Skills Matrix'!$BT$6:$BT$205,2)+COUNTIFS('Skills Matrix'!$A$6:$A$205,$A109,'Skills Matrix'!$BU$6:$BU$205,2)+COUNTIFS('Skills Matrix'!$A$6:$A$205,$A109,'Skills Matrix'!$BV$6:$BV$205,2)+COUNTIFS('Skills Matrix'!$A$6:$A$205,$A109,'Skills Matrix'!$BW$6:$BW$205,2)+COUNTIFS('Skills Matrix'!$A$6:$A$205,$A109,'Skills Matrix'!$BX$6:$BX$205,2)+COUNTIFS('Skills Matrix'!$A$6:$A$205,$A109,'Skills Matrix'!$BY$6:$BY$205,2)</f>
        <v>0</v>
      </c>
      <c r="H109" s="8">
        <f>COUNTIFS('Skills Matrix'!$A$6:$A$205,$A109,'Skills Matrix'!$BZ$6:$BZ$205,2)+COUNTIFS('Skills Matrix'!$A$6:$A$205,$A109,'Skills Matrix'!$CA$6:$CA$205,2)+COUNTIFS('Skills Matrix'!$A$6:$A$205,$A109,'Skills Matrix'!$CB$6:$CB$205,2)+COUNTIFS('Skills Matrix'!$A$6:$A$205,$A109,'Skills Matrix'!$CC$6:$CC$205,2)+COUNTIFS('Skills Matrix'!$A$6:$A$205,$A109,'Skills Matrix'!$CD$6:$CD$205,2)+COUNTIFS('Skills Matrix'!$A$6:$A$205,$A109,'Skills Matrix'!$CE$6:$CE$205,2)+COUNTIFS('Skills Matrix'!$A$6:$A$205,$A109,'Skills Matrix'!$CF$6:$CF$205,2)+COUNTIFS('Skills Matrix'!$A$6:$A$205,$A109,'Skills Matrix'!$CG$6:$CG$205,2)+COUNTIFS('Skills Matrix'!$A$6:$A$205,$A109,'Skills Matrix'!$CH$6:$CH$205,2)</f>
        <v>0</v>
      </c>
      <c r="I109" s="8">
        <f>COUNTIFS('Skills Matrix'!$A$6:$A$205,$A109,'Skills Matrix'!$CI$6:$CI$205,2)+COUNTIFS('Skills Matrix'!$A$6:$A$205,$A109,'Skills Matrix'!$CJ$6:$CJ$205,2)+COUNTIFS('Skills Matrix'!$A$6:$A$205,$A109,'Skills Matrix'!$CK$6:$CK$205,2)+COUNTIFS('Skills Matrix'!$A$6:$A$205,$A109,'Skills Matrix'!$CL$6:$CL$205,2)+COUNTIFS('Skills Matrix'!$A$6:$A$205,$A109,'Skills Matrix'!$CM$6:$CM$205,2)+COUNTIFS('Skills Matrix'!$A$6:$A$205,$A109,'Skills Matrix'!$CN$6:$CN$205,2)+COUNTIFS('Skills Matrix'!$A$6:$A$205,$A109,'Skills Matrix'!$CO$6:$CO$205,2)+COUNTIFS('Skills Matrix'!$A$6:$A$205,$A109,'Skills Matrix'!$CP$6:$CP$205,2)+COUNTIFS('Skills Matrix'!$A$6:$A$205,$A109,'Skills Matrix'!$CQ$6:$CQ$205,2)+COUNTIFS('Skills Matrix'!$A$6:$A$205,$A109,'Skills Matrix'!$CR$6:$CR$205,2)+COUNTIFS('Skills Matrix'!$A$6:$A$205,$A109,'Skills Matrix'!$CS$6:$CS$205,2)+COUNTIFS('Skills Matrix'!$A$6:$A$205,$A109,'Skills Matrix'!$CT$6:$CT$205,2)+COUNTIFS('Skills Matrix'!$A$6:$A$205,$A109,'Skills Matrix'!$CU$6:$CU$205,2)+COUNTIFS('Skills Matrix'!$A$6:$A$205,$A109,'Skills Matrix'!$CV$6:$CV$205,2)+COUNTIFS('Skills Matrix'!$A$6:$A$205,$A109,'Skills Matrix'!$CW$6:$CW$205,2)+COUNTIFS('Skills Matrix'!$A$6:$A$205,$A109,'Skills Matrix'!$CX$6:$CX$205,2)+COUNTIFS('Skills Matrix'!$A$6:$A$205,$A109,'Skills Matrix'!$CY$6:$CY$205,2)+COUNTIFS('Skills Matrix'!$A$6:$A$205,$A109,'Skills Matrix'!$CZ$6:$CZ$205,2)+COUNTIFS('Skills Matrix'!$A$6:$A$205,$A109,'Skills Matrix'!$DA$6:$DA$205,2)+COUNTIFS('Skills Matrix'!$A$6:$A$205,$A109,'Skills Matrix'!$DB$6:$DB$205,2)+COUNTIFS('Skills Matrix'!$A$6:$A$205,$A109,'Skills Matrix'!$DC$6:$DC$205,2)</f>
        <v>0</v>
      </c>
      <c r="J109" s="8">
        <f>0</f>
        <v>0</v>
      </c>
      <c r="K109" s="8">
        <f>COUNTIFS('Skills Matrix'!$A$6:$A$205,$A109,'Skills Matrix'!$DD$6:$DD$205,2)+COUNTIFS('Skills Matrix'!$A$6:$A$205,$A109,'Skills Matrix'!$DE$6:$DE$205,2)</f>
        <v>0</v>
      </c>
    </row>
    <row r="111" spans="1:11">
      <c r="A111" s="73" t="s">
        <v>368</v>
      </c>
      <c r="B111" s="67"/>
      <c r="C111" s="67"/>
      <c r="D111" s="67"/>
      <c r="E111" s="67"/>
      <c r="F111" s="67"/>
      <c r="G111" s="67"/>
      <c r="H111" s="67"/>
      <c r="I111" s="67"/>
      <c r="J111" s="67"/>
      <c r="K111" s="67"/>
    </row>
    <row r="112" spans="1:11" ht="42" customHeight="1">
      <c r="A112" s="20" t="s">
        <v>367</v>
      </c>
      <c r="B112" s="20" t="s">
        <v>304</v>
      </c>
      <c r="C112" s="20" t="s">
        <v>305</v>
      </c>
      <c r="D112" s="20" t="s">
        <v>306</v>
      </c>
      <c r="E112" s="20" t="s">
        <v>307</v>
      </c>
      <c r="F112" s="20" t="s">
        <v>308</v>
      </c>
      <c r="G112" s="20" t="s">
        <v>309</v>
      </c>
      <c r="H112" s="20" t="s">
        <v>310</v>
      </c>
      <c r="I112" s="20" t="s">
        <v>311</v>
      </c>
      <c r="J112" s="20" t="s">
        <v>312</v>
      </c>
      <c r="K112" s="20" t="s">
        <v>213</v>
      </c>
    </row>
    <row r="113" spans="1:11">
      <c r="A113" s="23" t="s">
        <v>304</v>
      </c>
      <c r="B113" s="8">
        <f>COUNTIFS('Skills Matrix'!$A$6:$A$205,$A113,'Skills Matrix'!$G$6:$G$205,3)+COUNTIFS('Skills Matrix'!$A$6:$A$205,$A113,'Skills Matrix'!$H$6:$H$205,3)+COUNTIFS('Skills Matrix'!$A$6:$A$205,$A113,'Skills Matrix'!$I$6:$I$205,3)+COUNTIFS('Skills Matrix'!$A$6:$A$205,$A113,'Skills Matrix'!$J$6:$J$205,3)+COUNTIFS('Skills Matrix'!$A$6:$A$205,$A113,'Skills Matrix'!$K$6:$K$205,3)+COUNTIFS('Skills Matrix'!$A$6:$A$205,$A113,'Skills Matrix'!$L$6:$L$205,3)+COUNTIFS('Skills Matrix'!$A$6:$A$205,$A113,'Skills Matrix'!$M$6:$M$205,3)+COUNTIFS('Skills Matrix'!$A$6:$A$205,$A113,'Skills Matrix'!$N$6:$N$205,3)+COUNTIFS('Skills Matrix'!$A$6:$A$205,$A113,'Skills Matrix'!$O$6:$O$205,3)+COUNTIFS('Skills Matrix'!$A$6:$A$205,$A113,'Skills Matrix'!$P$6:$P$205,3)+COUNTIFS('Skills Matrix'!$A$6:$A$205,$A113,'Skills Matrix'!$Q$6:$Q$205,3)+COUNTIFS('Skills Matrix'!$A$6:$A$205,$A113,'Skills Matrix'!$R$6:$R$205,3)+COUNTIFS('Skills Matrix'!$A$6:$A$205,$A113,'Skills Matrix'!$S$6:$S$205,3)+COUNTIFS('Skills Matrix'!$A$6:$A$205,$A113,'Skills Matrix'!$T$6:$T$205,3)+COUNTIFS('Skills Matrix'!$A$6:$A$205,$A113,'Skills Matrix'!$U$6:$U$205,3)+COUNTIFS('Skills Matrix'!$A$6:$A$205,$A113,'Skills Matrix'!$V$6:$V$205,3)</f>
        <v>29</v>
      </c>
      <c r="C113" s="8">
        <f>COUNTIFS('Skills Matrix'!$A$6:$A$205,$A113,'Skills Matrix'!$W$6:$W$205,3)+COUNTIFS('Skills Matrix'!$A$6:$A$205,$A113,'Skills Matrix'!$X$6:$X$205,3)+COUNTIFS('Skills Matrix'!$A$6:$A$205,$A113,'Skills Matrix'!$Y$6:$Y$205,3)+COUNTIFS('Skills Matrix'!$A$6:$A$205,$A113,'Skills Matrix'!$Z$6:$Z$205,3)+COUNTIFS('Skills Matrix'!$A$6:$A$205,$A113,'Skills Matrix'!$AA$6:$AA$205,3)+COUNTIFS('Skills Matrix'!$A$6:$A$205,$A113,'Skills Matrix'!$AB$6:$AB$205,3)+COUNTIFS('Skills Matrix'!$A$6:$A$205,$A113,'Skills Matrix'!$AC$6:$AC$205,3)+COUNTIFS('Skills Matrix'!$A$6:$A$205,$A113,'Skills Matrix'!$AD$6:$AD$205,3)+COUNTIFS('Skills Matrix'!$A$6:$A$205,$A113,'Skills Matrix'!$AE$6:$AE$205,3)+COUNTIFS('Skills Matrix'!$A$6:$A$205,$A113,'Skills Matrix'!$AF$6:$AF$205,3)+COUNTIFS('Skills Matrix'!$A$6:$A$205,$A113,'Skills Matrix'!$AG$6:$AG$205,3)+COUNTIFS('Skills Matrix'!$A$6:$A$205,$A113,'Skills Matrix'!$AH$6:$AH$205,3)+COUNTIFS('Skills Matrix'!$A$6:$A$205,$A113,'Skills Matrix'!$AI$6:$AI$205,3)+COUNTIFS('Skills Matrix'!$A$6:$A$205,$A113,'Skills Matrix'!$AJ$6:$AJ$205,3)</f>
        <v>1</v>
      </c>
      <c r="D113" s="8">
        <f>COUNTIFS('Skills Matrix'!$A$6:$A$205,$A113,'Skills Matrix'!$AK$6:$AK$205,3)+COUNTIFS('Skills Matrix'!$A$6:$A$205,$A113,'Skills Matrix'!$AL$6:$AL$205,3)+COUNTIFS('Skills Matrix'!$A$6:$A$205,$A113,'Skills Matrix'!$AM$6:$AM$205,3)+COUNTIFS('Skills Matrix'!$A$6:$A$205,$A113,'Skills Matrix'!$AN$6:$AN$205,3)+COUNTIFS('Skills Matrix'!$A$6:$A$205,$A113,'Skills Matrix'!$AO$6:$AO$205,3)+COUNTIFS('Skills Matrix'!$A$6:$A$205,$A113,'Skills Matrix'!$AP$6:$AP$205,3)+COUNTIFS('Skills Matrix'!$A$6:$A$205,$A113,'Skills Matrix'!$AQ$6:$AQ$205,3)+COUNTIFS('Skills Matrix'!$A$6:$A$205,$A113,'Skills Matrix'!$AR$6:$AR$205,3)+COUNTIFS('Skills Matrix'!$A$6:$A$205,$A113,'Skills Matrix'!$AS$6:$AS$205,3)</f>
        <v>0</v>
      </c>
      <c r="E113" s="8">
        <f>COUNTIFS('Skills Matrix'!$A$6:$A$205,$A113,'Skills Matrix'!$AT$6:$AT$205,3)+COUNTIFS('Skills Matrix'!$A$6:$A$205,$A113,'Skills Matrix'!$AU$6:$AU$205,3)+COUNTIFS('Skills Matrix'!$A$6:$A$205,$A113,'Skills Matrix'!$AV$6:$AV$205,3)+COUNTIFS('Skills Matrix'!$A$6:$A$205,$A113,'Skills Matrix'!$AW$6:$AW$205,3)+COUNTIFS('Skills Matrix'!$A$6:$A$205,$A113,'Skills Matrix'!$AX$6:$AX$205,3)+COUNTIFS('Skills Matrix'!$A$6:$A$205,$A113,'Skills Matrix'!$AY$6:$AY$205,3)+COUNTIFS('Skills Matrix'!$A$6:$A$205,$A113,'Skills Matrix'!$AZ$6:$AZ$205,3)+COUNTIFS('Skills Matrix'!$A$6:$A$205,$A113,'Skills Matrix'!$BA$6:$BA$205,3)</f>
        <v>0</v>
      </c>
      <c r="F113" s="8">
        <f>COUNTIFS('Skills Matrix'!$A$6:$A$205,$A113,'Skills Matrix'!$BB$6:$BB$205,3)+COUNTIFS('Skills Matrix'!$A$6:$A$205,$A113,'Skills Matrix'!$BC$6:$BC$205,3)+COUNTIFS('Skills Matrix'!$A$6:$A$205,$A113,'Skills Matrix'!$BD$6:$BD$205,3)+COUNTIFS('Skills Matrix'!$A$6:$A$205,$A113,'Skills Matrix'!$BE$6:$BE$205,3)+COUNTIFS('Skills Matrix'!$A$6:$A$205,$A113,'Skills Matrix'!$BF$6:$BF$205,3)+COUNTIFS('Skills Matrix'!$A$6:$A$205,$A113,'Skills Matrix'!$BG$6:$BG$205,3)+COUNTIFS('Skills Matrix'!$A$6:$A$205,$A113,'Skills Matrix'!$BH$6:$BH$205,3)</f>
        <v>1</v>
      </c>
      <c r="G113" s="8">
        <f>COUNTIFS('Skills Matrix'!$A$6:$A$205,$A113,'Skills Matrix'!$BI$6:$BI$205,3)+COUNTIFS('Skills Matrix'!$A$6:$A$205,$A113,'Skills Matrix'!$BJ$6:$BJ$205,3)+COUNTIFS('Skills Matrix'!$A$6:$A$205,$A113,'Skills Matrix'!$BK$6:$BK$205,3)+COUNTIFS('Skills Matrix'!$A$6:$A$205,$A113,'Skills Matrix'!$BL$6:$BL$205,3)+COUNTIFS('Skills Matrix'!$A$6:$A$205,$A113,'Skills Matrix'!$BM$6:$BM$205,3)+COUNTIFS('Skills Matrix'!$A$6:$A$205,$A113,'Skills Matrix'!$BN$6:$BN$205,3)+COUNTIFS('Skills Matrix'!$A$6:$A$205,$A113,'Skills Matrix'!$BO$6:$BO$205,3)+COUNTIFS('Skills Matrix'!$A$6:$A$205,$A113,'Skills Matrix'!$BP$6:$BP$205,3)+COUNTIFS('Skills Matrix'!$A$6:$A$205,$A113,'Skills Matrix'!$BQ$6:$BQ$205,3)+COUNTIFS('Skills Matrix'!$A$6:$A$205,$A113,'Skills Matrix'!$BR$6:$BR$205,3)+COUNTIFS('Skills Matrix'!$A$6:$A$205,$A113,'Skills Matrix'!$BS$6:$BS$205,3)+COUNTIFS('Skills Matrix'!$A$6:$A$205,$A113,'Skills Matrix'!$BT$6:$BT$205,3)+COUNTIFS('Skills Matrix'!$A$6:$A$205,$A113,'Skills Matrix'!$BU$6:$BU$205,3)+COUNTIFS('Skills Matrix'!$A$6:$A$205,$A113,'Skills Matrix'!$BV$6:$BV$205,3)+COUNTIFS('Skills Matrix'!$A$6:$A$205,$A113,'Skills Matrix'!$BW$6:$BW$205,3)+COUNTIFS('Skills Matrix'!$A$6:$A$205,$A113,'Skills Matrix'!$BX$6:$BX$205,3)+COUNTIFS('Skills Matrix'!$A$6:$A$205,$A113,'Skills Matrix'!$BY$6:$BY$205,3)</f>
        <v>3</v>
      </c>
      <c r="H113" s="8">
        <f>COUNTIFS('Skills Matrix'!$A$6:$A$205,$A113,'Skills Matrix'!$BZ$6:$BZ$205,3)+COUNTIFS('Skills Matrix'!$A$6:$A$205,$A113,'Skills Matrix'!$CA$6:$CA$205,3)+COUNTIFS('Skills Matrix'!$A$6:$A$205,$A113,'Skills Matrix'!$CB$6:$CB$205,3)+COUNTIFS('Skills Matrix'!$A$6:$A$205,$A113,'Skills Matrix'!$CC$6:$CC$205,3)+COUNTIFS('Skills Matrix'!$A$6:$A$205,$A113,'Skills Matrix'!$CD$6:$CD$205,3)+COUNTIFS('Skills Matrix'!$A$6:$A$205,$A113,'Skills Matrix'!$CE$6:$CE$205,3)+COUNTIFS('Skills Matrix'!$A$6:$A$205,$A113,'Skills Matrix'!$CF$6:$CF$205,3)+COUNTIFS('Skills Matrix'!$A$6:$A$205,$A113,'Skills Matrix'!$CG$6:$CG$205,3)+COUNTIFS('Skills Matrix'!$A$6:$A$205,$A113,'Skills Matrix'!$CH$6:$CH$205,3)</f>
        <v>0</v>
      </c>
      <c r="I113" s="8">
        <f>COUNTIFS('Skills Matrix'!$A$6:$A$205,$A113,'Skills Matrix'!$CI$6:$CI$205,3)+COUNTIFS('Skills Matrix'!$A$6:$A$205,$A113,'Skills Matrix'!$CJ$6:$CJ$205,3)+COUNTIFS('Skills Matrix'!$A$6:$A$205,$A113,'Skills Matrix'!$CK$6:$CK$205,3)+COUNTIFS('Skills Matrix'!$A$6:$A$205,$A113,'Skills Matrix'!$CL$6:$CL$205,3)+COUNTIFS('Skills Matrix'!$A$6:$A$205,$A113,'Skills Matrix'!$CM$6:$CM$205,3)+COUNTIFS('Skills Matrix'!$A$6:$A$205,$A113,'Skills Matrix'!$CN$6:$CN$205,3)+COUNTIFS('Skills Matrix'!$A$6:$A$205,$A113,'Skills Matrix'!$CO$6:$CO$205,3)+COUNTIFS('Skills Matrix'!$A$6:$A$205,$A113,'Skills Matrix'!$CP$6:$CP$205,3)+COUNTIFS('Skills Matrix'!$A$6:$A$205,$A113,'Skills Matrix'!$CQ$6:$CQ$205,3)+COUNTIFS('Skills Matrix'!$A$6:$A$205,$A113,'Skills Matrix'!$CR$6:$CR$205,3)+COUNTIFS('Skills Matrix'!$A$6:$A$205,$A113,'Skills Matrix'!$CS$6:$CS$205,3)+COUNTIFS('Skills Matrix'!$A$6:$A$205,$A113,'Skills Matrix'!$CT$6:$CT$205,3)+COUNTIFS('Skills Matrix'!$A$6:$A$205,$A113,'Skills Matrix'!$CU$6:$CU$205,3)+COUNTIFS('Skills Matrix'!$A$6:$A$205,$A113,'Skills Matrix'!$CV$6:$CV$205,3)+COUNTIFS('Skills Matrix'!$A$6:$A$205,$A113,'Skills Matrix'!$CW$6:$CW$205,3)+COUNTIFS('Skills Matrix'!$A$6:$A$205,$A113,'Skills Matrix'!$CX$6:$CX$205,3)+COUNTIFS('Skills Matrix'!$A$6:$A$205,$A113,'Skills Matrix'!$CY$6:$CY$205,3)+COUNTIFS('Skills Matrix'!$A$6:$A$205,$A113,'Skills Matrix'!$CZ$6:$CZ$205,3)+COUNTIFS('Skills Matrix'!$A$6:$A$205,$A113,'Skills Matrix'!$DA$6:$DA$205,3)+COUNTIFS('Skills Matrix'!$A$6:$A$205,$A113,'Skills Matrix'!$DB$6:$DB$205,3)+COUNTIFS('Skills Matrix'!$A$6:$A$205,$A113,'Skills Matrix'!$DC$6:$DC$205,3)</f>
        <v>1</v>
      </c>
      <c r="J113" s="8">
        <f>0</f>
        <v>0</v>
      </c>
      <c r="K113" s="8">
        <f>COUNTIFS('Skills Matrix'!$A$6:$A$205,$A113,'Skills Matrix'!$DD$6:$DD$205,3)+COUNTIFS('Skills Matrix'!$A$6:$A$205,$A113,'Skills Matrix'!$DE$6:$DE$205,3)</f>
        <v>3</v>
      </c>
    </row>
    <row r="114" spans="1:11">
      <c r="A114" s="23" t="s">
        <v>305</v>
      </c>
      <c r="B114" s="8">
        <f>COUNTIFS('Skills Matrix'!$A$6:$A$205,$A114,'Skills Matrix'!$G$6:$G$205,3)+COUNTIFS('Skills Matrix'!$A$6:$A$205,$A114,'Skills Matrix'!$H$6:$H$205,3)+COUNTIFS('Skills Matrix'!$A$6:$A$205,$A114,'Skills Matrix'!$I$6:$I$205,3)+COUNTIFS('Skills Matrix'!$A$6:$A$205,$A114,'Skills Matrix'!$J$6:$J$205,3)+COUNTIFS('Skills Matrix'!$A$6:$A$205,$A114,'Skills Matrix'!$K$6:$K$205,3)+COUNTIFS('Skills Matrix'!$A$6:$A$205,$A114,'Skills Matrix'!$L$6:$L$205,3)+COUNTIFS('Skills Matrix'!$A$6:$A$205,$A114,'Skills Matrix'!$M$6:$M$205,3)+COUNTIFS('Skills Matrix'!$A$6:$A$205,$A114,'Skills Matrix'!$N$6:$N$205,3)+COUNTIFS('Skills Matrix'!$A$6:$A$205,$A114,'Skills Matrix'!$O$6:$O$205,3)+COUNTIFS('Skills Matrix'!$A$6:$A$205,$A114,'Skills Matrix'!$P$6:$P$205,3)+COUNTIFS('Skills Matrix'!$A$6:$A$205,$A114,'Skills Matrix'!$Q$6:$Q$205,3)+COUNTIFS('Skills Matrix'!$A$6:$A$205,$A114,'Skills Matrix'!$R$6:$R$205,3)+COUNTIFS('Skills Matrix'!$A$6:$A$205,$A114,'Skills Matrix'!$S$6:$S$205,3)+COUNTIFS('Skills Matrix'!$A$6:$A$205,$A114,'Skills Matrix'!$T$6:$T$205,3)+COUNTIFS('Skills Matrix'!$A$6:$A$205,$A114,'Skills Matrix'!$U$6:$U$205,3)+COUNTIFS('Skills Matrix'!$A$6:$A$205,$A114,'Skills Matrix'!$V$6:$V$205,3)</f>
        <v>0</v>
      </c>
      <c r="C114" s="8">
        <f>COUNTIFS('Skills Matrix'!$A$6:$A$205,$A114,'Skills Matrix'!$W$6:$W$205,3)+COUNTIFS('Skills Matrix'!$A$6:$A$205,$A114,'Skills Matrix'!$X$6:$X$205,3)+COUNTIFS('Skills Matrix'!$A$6:$A$205,$A114,'Skills Matrix'!$Y$6:$Y$205,3)+COUNTIFS('Skills Matrix'!$A$6:$A$205,$A114,'Skills Matrix'!$Z$6:$Z$205,3)+COUNTIFS('Skills Matrix'!$A$6:$A$205,$A114,'Skills Matrix'!$AA$6:$AA$205,3)+COUNTIFS('Skills Matrix'!$A$6:$A$205,$A114,'Skills Matrix'!$AB$6:$AB$205,3)+COUNTIFS('Skills Matrix'!$A$6:$A$205,$A114,'Skills Matrix'!$AC$6:$AC$205,3)+COUNTIFS('Skills Matrix'!$A$6:$A$205,$A114,'Skills Matrix'!$AD$6:$AD$205,3)+COUNTIFS('Skills Matrix'!$A$6:$A$205,$A114,'Skills Matrix'!$AE$6:$AE$205,3)+COUNTIFS('Skills Matrix'!$A$6:$A$205,$A114,'Skills Matrix'!$AF$6:$AF$205,3)+COUNTIFS('Skills Matrix'!$A$6:$A$205,$A114,'Skills Matrix'!$AG$6:$AG$205,3)+COUNTIFS('Skills Matrix'!$A$6:$A$205,$A114,'Skills Matrix'!$AH$6:$AH$205,3)+COUNTIFS('Skills Matrix'!$A$6:$A$205,$A114,'Skills Matrix'!$AI$6:$AI$205,3)+COUNTIFS('Skills Matrix'!$A$6:$A$205,$A114,'Skills Matrix'!$AJ$6:$AJ$205,3)</f>
        <v>16</v>
      </c>
      <c r="D114" s="8">
        <f>COUNTIFS('Skills Matrix'!$A$6:$A$205,$A114,'Skills Matrix'!$AK$6:$AK$205,3)+COUNTIFS('Skills Matrix'!$A$6:$A$205,$A114,'Skills Matrix'!$AL$6:$AL$205,3)+COUNTIFS('Skills Matrix'!$A$6:$A$205,$A114,'Skills Matrix'!$AM$6:$AM$205,3)+COUNTIFS('Skills Matrix'!$A$6:$A$205,$A114,'Skills Matrix'!$AN$6:$AN$205,3)+COUNTIFS('Skills Matrix'!$A$6:$A$205,$A114,'Skills Matrix'!$AO$6:$AO$205,3)+COUNTIFS('Skills Matrix'!$A$6:$A$205,$A114,'Skills Matrix'!$AP$6:$AP$205,3)+COUNTIFS('Skills Matrix'!$A$6:$A$205,$A114,'Skills Matrix'!$AQ$6:$AQ$205,3)+COUNTIFS('Skills Matrix'!$A$6:$A$205,$A114,'Skills Matrix'!$AR$6:$AR$205,3)+COUNTIFS('Skills Matrix'!$A$6:$A$205,$A114,'Skills Matrix'!$AS$6:$AS$205,3)</f>
        <v>1</v>
      </c>
      <c r="E114" s="8">
        <f>COUNTIFS('Skills Matrix'!$A$6:$A$205,$A114,'Skills Matrix'!$AT$6:$AT$205,3)+COUNTIFS('Skills Matrix'!$A$6:$A$205,$A114,'Skills Matrix'!$AU$6:$AU$205,3)+COUNTIFS('Skills Matrix'!$A$6:$A$205,$A114,'Skills Matrix'!$AV$6:$AV$205,3)+COUNTIFS('Skills Matrix'!$A$6:$A$205,$A114,'Skills Matrix'!$AW$6:$AW$205,3)+COUNTIFS('Skills Matrix'!$A$6:$A$205,$A114,'Skills Matrix'!$AX$6:$AX$205,3)+COUNTIFS('Skills Matrix'!$A$6:$A$205,$A114,'Skills Matrix'!$AY$6:$AY$205,3)+COUNTIFS('Skills Matrix'!$A$6:$A$205,$A114,'Skills Matrix'!$AZ$6:$AZ$205,3)+COUNTIFS('Skills Matrix'!$A$6:$A$205,$A114,'Skills Matrix'!$BA$6:$BA$205,3)</f>
        <v>0</v>
      </c>
      <c r="F114" s="8">
        <f>COUNTIFS('Skills Matrix'!$A$6:$A$205,$A114,'Skills Matrix'!$BB$6:$BB$205,3)+COUNTIFS('Skills Matrix'!$A$6:$A$205,$A114,'Skills Matrix'!$BC$6:$BC$205,3)+COUNTIFS('Skills Matrix'!$A$6:$A$205,$A114,'Skills Matrix'!$BD$6:$BD$205,3)+COUNTIFS('Skills Matrix'!$A$6:$A$205,$A114,'Skills Matrix'!$BE$6:$BE$205,3)+COUNTIFS('Skills Matrix'!$A$6:$A$205,$A114,'Skills Matrix'!$BF$6:$BF$205,3)+COUNTIFS('Skills Matrix'!$A$6:$A$205,$A114,'Skills Matrix'!$BG$6:$BG$205,3)+COUNTIFS('Skills Matrix'!$A$6:$A$205,$A114,'Skills Matrix'!$BH$6:$BH$205,3)</f>
        <v>0</v>
      </c>
      <c r="G114" s="8">
        <f>COUNTIFS('Skills Matrix'!$A$6:$A$205,$A114,'Skills Matrix'!$BI$6:$BI$205,3)+COUNTIFS('Skills Matrix'!$A$6:$A$205,$A114,'Skills Matrix'!$BJ$6:$BJ$205,3)+COUNTIFS('Skills Matrix'!$A$6:$A$205,$A114,'Skills Matrix'!$BK$6:$BK$205,3)+COUNTIFS('Skills Matrix'!$A$6:$A$205,$A114,'Skills Matrix'!$BL$6:$BL$205,3)+COUNTIFS('Skills Matrix'!$A$6:$A$205,$A114,'Skills Matrix'!$BM$6:$BM$205,3)+COUNTIFS('Skills Matrix'!$A$6:$A$205,$A114,'Skills Matrix'!$BN$6:$BN$205,3)+COUNTIFS('Skills Matrix'!$A$6:$A$205,$A114,'Skills Matrix'!$BO$6:$BO$205,3)+COUNTIFS('Skills Matrix'!$A$6:$A$205,$A114,'Skills Matrix'!$BP$6:$BP$205,3)+COUNTIFS('Skills Matrix'!$A$6:$A$205,$A114,'Skills Matrix'!$BQ$6:$BQ$205,3)+COUNTIFS('Skills Matrix'!$A$6:$A$205,$A114,'Skills Matrix'!$BR$6:$BR$205,3)+COUNTIFS('Skills Matrix'!$A$6:$A$205,$A114,'Skills Matrix'!$BS$6:$BS$205,3)+COUNTIFS('Skills Matrix'!$A$6:$A$205,$A114,'Skills Matrix'!$BT$6:$BT$205,3)+COUNTIFS('Skills Matrix'!$A$6:$A$205,$A114,'Skills Matrix'!$BU$6:$BU$205,3)+COUNTIFS('Skills Matrix'!$A$6:$A$205,$A114,'Skills Matrix'!$BV$6:$BV$205,3)+COUNTIFS('Skills Matrix'!$A$6:$A$205,$A114,'Skills Matrix'!$BW$6:$BW$205,3)+COUNTIFS('Skills Matrix'!$A$6:$A$205,$A114,'Skills Matrix'!$BX$6:$BX$205,3)+COUNTIFS('Skills Matrix'!$A$6:$A$205,$A114,'Skills Matrix'!$BY$6:$BY$205,3)</f>
        <v>0</v>
      </c>
      <c r="H114" s="8">
        <f>COUNTIFS('Skills Matrix'!$A$6:$A$205,$A114,'Skills Matrix'!$BZ$6:$BZ$205,3)+COUNTIFS('Skills Matrix'!$A$6:$A$205,$A114,'Skills Matrix'!$CA$6:$CA$205,3)+COUNTIFS('Skills Matrix'!$A$6:$A$205,$A114,'Skills Matrix'!$CB$6:$CB$205,3)+COUNTIFS('Skills Matrix'!$A$6:$A$205,$A114,'Skills Matrix'!$CC$6:$CC$205,3)+COUNTIFS('Skills Matrix'!$A$6:$A$205,$A114,'Skills Matrix'!$CD$6:$CD$205,3)+COUNTIFS('Skills Matrix'!$A$6:$A$205,$A114,'Skills Matrix'!$CE$6:$CE$205,3)+COUNTIFS('Skills Matrix'!$A$6:$A$205,$A114,'Skills Matrix'!$CF$6:$CF$205,3)+COUNTIFS('Skills Matrix'!$A$6:$A$205,$A114,'Skills Matrix'!$CG$6:$CG$205,3)+COUNTIFS('Skills Matrix'!$A$6:$A$205,$A114,'Skills Matrix'!$CH$6:$CH$205,3)</f>
        <v>0</v>
      </c>
      <c r="I114" s="8">
        <f>COUNTIFS('Skills Matrix'!$A$6:$A$205,$A114,'Skills Matrix'!$CI$6:$CI$205,3)+COUNTIFS('Skills Matrix'!$A$6:$A$205,$A114,'Skills Matrix'!$CJ$6:$CJ$205,3)+COUNTIFS('Skills Matrix'!$A$6:$A$205,$A114,'Skills Matrix'!$CK$6:$CK$205,3)+COUNTIFS('Skills Matrix'!$A$6:$A$205,$A114,'Skills Matrix'!$CL$6:$CL$205,3)+COUNTIFS('Skills Matrix'!$A$6:$A$205,$A114,'Skills Matrix'!$CM$6:$CM$205,3)+COUNTIFS('Skills Matrix'!$A$6:$A$205,$A114,'Skills Matrix'!$CN$6:$CN$205,3)+COUNTIFS('Skills Matrix'!$A$6:$A$205,$A114,'Skills Matrix'!$CO$6:$CO$205,3)+COUNTIFS('Skills Matrix'!$A$6:$A$205,$A114,'Skills Matrix'!$CP$6:$CP$205,3)+COUNTIFS('Skills Matrix'!$A$6:$A$205,$A114,'Skills Matrix'!$CQ$6:$CQ$205,3)+COUNTIFS('Skills Matrix'!$A$6:$A$205,$A114,'Skills Matrix'!$CR$6:$CR$205,3)+COUNTIFS('Skills Matrix'!$A$6:$A$205,$A114,'Skills Matrix'!$CS$6:$CS$205,3)+COUNTIFS('Skills Matrix'!$A$6:$A$205,$A114,'Skills Matrix'!$CT$6:$CT$205,3)+COUNTIFS('Skills Matrix'!$A$6:$A$205,$A114,'Skills Matrix'!$CU$6:$CU$205,3)+COUNTIFS('Skills Matrix'!$A$6:$A$205,$A114,'Skills Matrix'!$CV$6:$CV$205,3)+COUNTIFS('Skills Matrix'!$A$6:$A$205,$A114,'Skills Matrix'!$CW$6:$CW$205,3)+COUNTIFS('Skills Matrix'!$A$6:$A$205,$A114,'Skills Matrix'!$CX$6:$CX$205,3)+COUNTIFS('Skills Matrix'!$A$6:$A$205,$A114,'Skills Matrix'!$CY$6:$CY$205,3)+COUNTIFS('Skills Matrix'!$A$6:$A$205,$A114,'Skills Matrix'!$CZ$6:$CZ$205,3)+COUNTIFS('Skills Matrix'!$A$6:$A$205,$A114,'Skills Matrix'!$DA$6:$DA$205,3)+COUNTIFS('Skills Matrix'!$A$6:$A$205,$A114,'Skills Matrix'!$DB$6:$DB$205,3)+COUNTIFS('Skills Matrix'!$A$6:$A$205,$A114,'Skills Matrix'!$DC$6:$DC$205,3)</f>
        <v>1</v>
      </c>
      <c r="J114" s="8">
        <f>0</f>
        <v>0</v>
      </c>
      <c r="K114" s="8">
        <f>COUNTIFS('Skills Matrix'!$A$6:$A$205,$A114,'Skills Matrix'!$DD$6:$DD$205,3)+COUNTIFS('Skills Matrix'!$A$6:$A$205,$A114,'Skills Matrix'!$DE$6:$DE$205,3)</f>
        <v>2</v>
      </c>
    </row>
    <row r="115" spans="1:11">
      <c r="A115" s="23" t="s">
        <v>306</v>
      </c>
      <c r="B115" s="8">
        <f>COUNTIFS('Skills Matrix'!$A$6:$A$205,$A115,'Skills Matrix'!$G$6:$G$205,3)+COUNTIFS('Skills Matrix'!$A$6:$A$205,$A115,'Skills Matrix'!$H$6:$H$205,3)+COUNTIFS('Skills Matrix'!$A$6:$A$205,$A115,'Skills Matrix'!$I$6:$I$205,3)+COUNTIFS('Skills Matrix'!$A$6:$A$205,$A115,'Skills Matrix'!$J$6:$J$205,3)+COUNTIFS('Skills Matrix'!$A$6:$A$205,$A115,'Skills Matrix'!$K$6:$K$205,3)+COUNTIFS('Skills Matrix'!$A$6:$A$205,$A115,'Skills Matrix'!$L$6:$L$205,3)+COUNTIFS('Skills Matrix'!$A$6:$A$205,$A115,'Skills Matrix'!$M$6:$M$205,3)+COUNTIFS('Skills Matrix'!$A$6:$A$205,$A115,'Skills Matrix'!$N$6:$N$205,3)+COUNTIFS('Skills Matrix'!$A$6:$A$205,$A115,'Skills Matrix'!$O$6:$O$205,3)+COUNTIFS('Skills Matrix'!$A$6:$A$205,$A115,'Skills Matrix'!$P$6:$P$205,3)+COUNTIFS('Skills Matrix'!$A$6:$A$205,$A115,'Skills Matrix'!$Q$6:$Q$205,3)+COUNTIFS('Skills Matrix'!$A$6:$A$205,$A115,'Skills Matrix'!$R$6:$R$205,3)+COUNTIFS('Skills Matrix'!$A$6:$A$205,$A115,'Skills Matrix'!$S$6:$S$205,3)+COUNTIFS('Skills Matrix'!$A$6:$A$205,$A115,'Skills Matrix'!$T$6:$T$205,3)+COUNTIFS('Skills Matrix'!$A$6:$A$205,$A115,'Skills Matrix'!$U$6:$U$205,3)+COUNTIFS('Skills Matrix'!$A$6:$A$205,$A115,'Skills Matrix'!$V$6:$V$205,3)</f>
        <v>0</v>
      </c>
      <c r="C115" s="8">
        <f>COUNTIFS('Skills Matrix'!$A$6:$A$205,$A115,'Skills Matrix'!$W$6:$W$205,3)+COUNTIFS('Skills Matrix'!$A$6:$A$205,$A115,'Skills Matrix'!$X$6:$X$205,3)+COUNTIFS('Skills Matrix'!$A$6:$A$205,$A115,'Skills Matrix'!$Y$6:$Y$205,3)+COUNTIFS('Skills Matrix'!$A$6:$A$205,$A115,'Skills Matrix'!$Z$6:$Z$205,3)+COUNTIFS('Skills Matrix'!$A$6:$A$205,$A115,'Skills Matrix'!$AA$6:$AA$205,3)+COUNTIFS('Skills Matrix'!$A$6:$A$205,$A115,'Skills Matrix'!$AB$6:$AB$205,3)+COUNTIFS('Skills Matrix'!$A$6:$A$205,$A115,'Skills Matrix'!$AC$6:$AC$205,3)+COUNTIFS('Skills Matrix'!$A$6:$A$205,$A115,'Skills Matrix'!$AD$6:$AD$205,3)+COUNTIFS('Skills Matrix'!$A$6:$A$205,$A115,'Skills Matrix'!$AE$6:$AE$205,3)+COUNTIFS('Skills Matrix'!$A$6:$A$205,$A115,'Skills Matrix'!$AF$6:$AF$205,3)+COUNTIFS('Skills Matrix'!$A$6:$A$205,$A115,'Skills Matrix'!$AG$6:$AG$205,3)+COUNTIFS('Skills Matrix'!$A$6:$A$205,$A115,'Skills Matrix'!$AH$6:$AH$205,3)+COUNTIFS('Skills Matrix'!$A$6:$A$205,$A115,'Skills Matrix'!$AI$6:$AI$205,3)+COUNTIFS('Skills Matrix'!$A$6:$A$205,$A115,'Skills Matrix'!$AJ$6:$AJ$205,3)</f>
        <v>1</v>
      </c>
      <c r="D115" s="8">
        <f>COUNTIFS('Skills Matrix'!$A$6:$A$205,$A115,'Skills Matrix'!$AK$6:$AK$205,3)+COUNTIFS('Skills Matrix'!$A$6:$A$205,$A115,'Skills Matrix'!$AL$6:$AL$205,3)+COUNTIFS('Skills Matrix'!$A$6:$A$205,$A115,'Skills Matrix'!$AM$6:$AM$205,3)+COUNTIFS('Skills Matrix'!$A$6:$A$205,$A115,'Skills Matrix'!$AN$6:$AN$205,3)+COUNTIFS('Skills Matrix'!$A$6:$A$205,$A115,'Skills Matrix'!$AO$6:$AO$205,3)+COUNTIFS('Skills Matrix'!$A$6:$A$205,$A115,'Skills Matrix'!$AP$6:$AP$205,3)+COUNTIFS('Skills Matrix'!$A$6:$A$205,$A115,'Skills Matrix'!$AQ$6:$AQ$205,3)+COUNTIFS('Skills Matrix'!$A$6:$A$205,$A115,'Skills Matrix'!$AR$6:$AR$205,3)+COUNTIFS('Skills Matrix'!$A$6:$A$205,$A115,'Skills Matrix'!$AS$6:$AS$205,3)</f>
        <v>26</v>
      </c>
      <c r="E115" s="8">
        <f>COUNTIFS('Skills Matrix'!$A$6:$A$205,$A115,'Skills Matrix'!$AT$6:$AT$205,3)+COUNTIFS('Skills Matrix'!$A$6:$A$205,$A115,'Skills Matrix'!$AU$6:$AU$205,3)+COUNTIFS('Skills Matrix'!$A$6:$A$205,$A115,'Skills Matrix'!$AV$6:$AV$205,3)+COUNTIFS('Skills Matrix'!$A$6:$A$205,$A115,'Skills Matrix'!$AW$6:$AW$205,3)+COUNTIFS('Skills Matrix'!$A$6:$A$205,$A115,'Skills Matrix'!$AX$6:$AX$205,3)+COUNTIFS('Skills Matrix'!$A$6:$A$205,$A115,'Skills Matrix'!$AY$6:$AY$205,3)+COUNTIFS('Skills Matrix'!$A$6:$A$205,$A115,'Skills Matrix'!$AZ$6:$AZ$205,3)+COUNTIFS('Skills Matrix'!$A$6:$A$205,$A115,'Skills Matrix'!$BA$6:$BA$205,3)</f>
        <v>0</v>
      </c>
      <c r="F115" s="8">
        <f>COUNTIFS('Skills Matrix'!$A$6:$A$205,$A115,'Skills Matrix'!$BB$6:$BB$205,3)+COUNTIFS('Skills Matrix'!$A$6:$A$205,$A115,'Skills Matrix'!$BC$6:$BC$205,3)+COUNTIFS('Skills Matrix'!$A$6:$A$205,$A115,'Skills Matrix'!$BD$6:$BD$205,3)+COUNTIFS('Skills Matrix'!$A$6:$A$205,$A115,'Skills Matrix'!$BE$6:$BE$205,3)+COUNTIFS('Skills Matrix'!$A$6:$A$205,$A115,'Skills Matrix'!$BF$6:$BF$205,3)+COUNTIFS('Skills Matrix'!$A$6:$A$205,$A115,'Skills Matrix'!$BG$6:$BG$205,3)+COUNTIFS('Skills Matrix'!$A$6:$A$205,$A115,'Skills Matrix'!$BH$6:$BH$205,3)</f>
        <v>0</v>
      </c>
      <c r="G115" s="8">
        <f>COUNTIFS('Skills Matrix'!$A$6:$A$205,$A115,'Skills Matrix'!$BI$6:$BI$205,3)+COUNTIFS('Skills Matrix'!$A$6:$A$205,$A115,'Skills Matrix'!$BJ$6:$BJ$205,3)+COUNTIFS('Skills Matrix'!$A$6:$A$205,$A115,'Skills Matrix'!$BK$6:$BK$205,3)+COUNTIFS('Skills Matrix'!$A$6:$A$205,$A115,'Skills Matrix'!$BL$6:$BL$205,3)+COUNTIFS('Skills Matrix'!$A$6:$A$205,$A115,'Skills Matrix'!$BM$6:$BM$205,3)+COUNTIFS('Skills Matrix'!$A$6:$A$205,$A115,'Skills Matrix'!$BN$6:$BN$205,3)+COUNTIFS('Skills Matrix'!$A$6:$A$205,$A115,'Skills Matrix'!$BO$6:$BO$205,3)+COUNTIFS('Skills Matrix'!$A$6:$A$205,$A115,'Skills Matrix'!$BP$6:$BP$205,3)+COUNTIFS('Skills Matrix'!$A$6:$A$205,$A115,'Skills Matrix'!$BQ$6:$BQ$205,3)+COUNTIFS('Skills Matrix'!$A$6:$A$205,$A115,'Skills Matrix'!$BR$6:$BR$205,3)+COUNTIFS('Skills Matrix'!$A$6:$A$205,$A115,'Skills Matrix'!$BS$6:$BS$205,3)+COUNTIFS('Skills Matrix'!$A$6:$A$205,$A115,'Skills Matrix'!$BT$6:$BT$205,3)+COUNTIFS('Skills Matrix'!$A$6:$A$205,$A115,'Skills Matrix'!$BU$6:$BU$205,3)+COUNTIFS('Skills Matrix'!$A$6:$A$205,$A115,'Skills Matrix'!$BV$6:$BV$205,3)+COUNTIFS('Skills Matrix'!$A$6:$A$205,$A115,'Skills Matrix'!$BW$6:$BW$205,3)+COUNTIFS('Skills Matrix'!$A$6:$A$205,$A115,'Skills Matrix'!$BX$6:$BX$205,3)+COUNTIFS('Skills Matrix'!$A$6:$A$205,$A115,'Skills Matrix'!$BY$6:$BY$205,3)</f>
        <v>0</v>
      </c>
      <c r="H115" s="8">
        <f>COUNTIFS('Skills Matrix'!$A$6:$A$205,$A115,'Skills Matrix'!$BZ$6:$BZ$205,3)+COUNTIFS('Skills Matrix'!$A$6:$A$205,$A115,'Skills Matrix'!$CA$6:$CA$205,3)+COUNTIFS('Skills Matrix'!$A$6:$A$205,$A115,'Skills Matrix'!$CB$6:$CB$205,3)+COUNTIFS('Skills Matrix'!$A$6:$A$205,$A115,'Skills Matrix'!$CC$6:$CC$205,3)+COUNTIFS('Skills Matrix'!$A$6:$A$205,$A115,'Skills Matrix'!$CD$6:$CD$205,3)+COUNTIFS('Skills Matrix'!$A$6:$A$205,$A115,'Skills Matrix'!$CE$6:$CE$205,3)+COUNTIFS('Skills Matrix'!$A$6:$A$205,$A115,'Skills Matrix'!$CF$6:$CF$205,3)+COUNTIFS('Skills Matrix'!$A$6:$A$205,$A115,'Skills Matrix'!$CG$6:$CG$205,3)+COUNTIFS('Skills Matrix'!$A$6:$A$205,$A115,'Skills Matrix'!$CH$6:$CH$205,3)</f>
        <v>0</v>
      </c>
      <c r="I115" s="8">
        <f>COUNTIFS('Skills Matrix'!$A$6:$A$205,$A115,'Skills Matrix'!$CI$6:$CI$205,3)+COUNTIFS('Skills Matrix'!$A$6:$A$205,$A115,'Skills Matrix'!$CJ$6:$CJ$205,3)+COUNTIFS('Skills Matrix'!$A$6:$A$205,$A115,'Skills Matrix'!$CK$6:$CK$205,3)+COUNTIFS('Skills Matrix'!$A$6:$A$205,$A115,'Skills Matrix'!$CL$6:$CL$205,3)+COUNTIFS('Skills Matrix'!$A$6:$A$205,$A115,'Skills Matrix'!$CM$6:$CM$205,3)+COUNTIFS('Skills Matrix'!$A$6:$A$205,$A115,'Skills Matrix'!$CN$6:$CN$205,3)+COUNTIFS('Skills Matrix'!$A$6:$A$205,$A115,'Skills Matrix'!$CO$6:$CO$205,3)+COUNTIFS('Skills Matrix'!$A$6:$A$205,$A115,'Skills Matrix'!$CP$6:$CP$205,3)+COUNTIFS('Skills Matrix'!$A$6:$A$205,$A115,'Skills Matrix'!$CQ$6:$CQ$205,3)+COUNTIFS('Skills Matrix'!$A$6:$A$205,$A115,'Skills Matrix'!$CR$6:$CR$205,3)+COUNTIFS('Skills Matrix'!$A$6:$A$205,$A115,'Skills Matrix'!$CS$6:$CS$205,3)+COUNTIFS('Skills Matrix'!$A$6:$A$205,$A115,'Skills Matrix'!$CT$6:$CT$205,3)+COUNTIFS('Skills Matrix'!$A$6:$A$205,$A115,'Skills Matrix'!$CU$6:$CU$205,3)+COUNTIFS('Skills Matrix'!$A$6:$A$205,$A115,'Skills Matrix'!$CV$6:$CV$205,3)+COUNTIFS('Skills Matrix'!$A$6:$A$205,$A115,'Skills Matrix'!$CW$6:$CW$205,3)+COUNTIFS('Skills Matrix'!$A$6:$A$205,$A115,'Skills Matrix'!$CX$6:$CX$205,3)+COUNTIFS('Skills Matrix'!$A$6:$A$205,$A115,'Skills Matrix'!$CY$6:$CY$205,3)+COUNTIFS('Skills Matrix'!$A$6:$A$205,$A115,'Skills Matrix'!$CZ$6:$CZ$205,3)+COUNTIFS('Skills Matrix'!$A$6:$A$205,$A115,'Skills Matrix'!$DA$6:$DA$205,3)+COUNTIFS('Skills Matrix'!$A$6:$A$205,$A115,'Skills Matrix'!$DB$6:$DB$205,3)+COUNTIFS('Skills Matrix'!$A$6:$A$205,$A115,'Skills Matrix'!$DC$6:$DC$205,3)</f>
        <v>1</v>
      </c>
      <c r="J115" s="8">
        <f>0</f>
        <v>0</v>
      </c>
      <c r="K115" s="8">
        <f>COUNTIFS('Skills Matrix'!$A$6:$A$205,$A115,'Skills Matrix'!$DD$6:$DD$205,3)+COUNTIFS('Skills Matrix'!$A$6:$A$205,$A115,'Skills Matrix'!$DE$6:$DE$205,3)</f>
        <v>1</v>
      </c>
    </row>
    <row r="116" spans="1:11">
      <c r="A116" s="23" t="s">
        <v>307</v>
      </c>
      <c r="B116" s="8">
        <f>COUNTIFS('Skills Matrix'!$A$6:$A$205,$A116,'Skills Matrix'!$G$6:$G$205,3)+COUNTIFS('Skills Matrix'!$A$6:$A$205,$A116,'Skills Matrix'!$H$6:$H$205,3)+COUNTIFS('Skills Matrix'!$A$6:$A$205,$A116,'Skills Matrix'!$I$6:$I$205,3)+COUNTIFS('Skills Matrix'!$A$6:$A$205,$A116,'Skills Matrix'!$J$6:$J$205,3)+COUNTIFS('Skills Matrix'!$A$6:$A$205,$A116,'Skills Matrix'!$K$6:$K$205,3)+COUNTIFS('Skills Matrix'!$A$6:$A$205,$A116,'Skills Matrix'!$L$6:$L$205,3)+COUNTIFS('Skills Matrix'!$A$6:$A$205,$A116,'Skills Matrix'!$M$6:$M$205,3)+COUNTIFS('Skills Matrix'!$A$6:$A$205,$A116,'Skills Matrix'!$N$6:$N$205,3)+COUNTIFS('Skills Matrix'!$A$6:$A$205,$A116,'Skills Matrix'!$O$6:$O$205,3)+COUNTIFS('Skills Matrix'!$A$6:$A$205,$A116,'Skills Matrix'!$P$6:$P$205,3)+COUNTIFS('Skills Matrix'!$A$6:$A$205,$A116,'Skills Matrix'!$Q$6:$Q$205,3)+COUNTIFS('Skills Matrix'!$A$6:$A$205,$A116,'Skills Matrix'!$R$6:$R$205,3)+COUNTIFS('Skills Matrix'!$A$6:$A$205,$A116,'Skills Matrix'!$S$6:$S$205,3)+COUNTIFS('Skills Matrix'!$A$6:$A$205,$A116,'Skills Matrix'!$T$6:$T$205,3)+COUNTIFS('Skills Matrix'!$A$6:$A$205,$A116,'Skills Matrix'!$U$6:$U$205,3)+COUNTIFS('Skills Matrix'!$A$6:$A$205,$A116,'Skills Matrix'!$V$6:$V$205,3)</f>
        <v>0</v>
      </c>
      <c r="C116" s="8">
        <f>COUNTIFS('Skills Matrix'!$A$6:$A$205,$A116,'Skills Matrix'!$W$6:$W$205,3)+COUNTIFS('Skills Matrix'!$A$6:$A$205,$A116,'Skills Matrix'!$X$6:$X$205,3)+COUNTIFS('Skills Matrix'!$A$6:$A$205,$A116,'Skills Matrix'!$Y$6:$Y$205,3)+COUNTIFS('Skills Matrix'!$A$6:$A$205,$A116,'Skills Matrix'!$Z$6:$Z$205,3)+COUNTIFS('Skills Matrix'!$A$6:$A$205,$A116,'Skills Matrix'!$AA$6:$AA$205,3)+COUNTIFS('Skills Matrix'!$A$6:$A$205,$A116,'Skills Matrix'!$AB$6:$AB$205,3)+COUNTIFS('Skills Matrix'!$A$6:$A$205,$A116,'Skills Matrix'!$AC$6:$AC$205,3)+COUNTIFS('Skills Matrix'!$A$6:$A$205,$A116,'Skills Matrix'!$AD$6:$AD$205,3)+COUNTIFS('Skills Matrix'!$A$6:$A$205,$A116,'Skills Matrix'!$AE$6:$AE$205,3)+COUNTIFS('Skills Matrix'!$A$6:$A$205,$A116,'Skills Matrix'!$AF$6:$AF$205,3)+COUNTIFS('Skills Matrix'!$A$6:$A$205,$A116,'Skills Matrix'!$AG$6:$AG$205,3)+COUNTIFS('Skills Matrix'!$A$6:$A$205,$A116,'Skills Matrix'!$AH$6:$AH$205,3)+COUNTIFS('Skills Matrix'!$A$6:$A$205,$A116,'Skills Matrix'!$AI$6:$AI$205,3)+COUNTIFS('Skills Matrix'!$A$6:$A$205,$A116,'Skills Matrix'!$AJ$6:$AJ$205,3)</f>
        <v>0</v>
      </c>
      <c r="D116" s="8">
        <f>COUNTIFS('Skills Matrix'!$A$6:$A$205,$A116,'Skills Matrix'!$AK$6:$AK$205,3)+COUNTIFS('Skills Matrix'!$A$6:$A$205,$A116,'Skills Matrix'!$AL$6:$AL$205,3)+COUNTIFS('Skills Matrix'!$A$6:$A$205,$A116,'Skills Matrix'!$AM$6:$AM$205,3)+COUNTIFS('Skills Matrix'!$A$6:$A$205,$A116,'Skills Matrix'!$AN$6:$AN$205,3)+COUNTIFS('Skills Matrix'!$A$6:$A$205,$A116,'Skills Matrix'!$AO$6:$AO$205,3)+COUNTIFS('Skills Matrix'!$A$6:$A$205,$A116,'Skills Matrix'!$AP$6:$AP$205,3)+COUNTIFS('Skills Matrix'!$A$6:$A$205,$A116,'Skills Matrix'!$AQ$6:$AQ$205,3)+COUNTIFS('Skills Matrix'!$A$6:$A$205,$A116,'Skills Matrix'!$AR$6:$AR$205,3)+COUNTIFS('Skills Matrix'!$A$6:$A$205,$A116,'Skills Matrix'!$AS$6:$AS$205,3)</f>
        <v>4</v>
      </c>
      <c r="E116" s="8">
        <f>COUNTIFS('Skills Matrix'!$A$6:$A$205,$A116,'Skills Matrix'!$AT$6:$AT$205,3)+COUNTIFS('Skills Matrix'!$A$6:$A$205,$A116,'Skills Matrix'!$AU$6:$AU$205,3)+COUNTIFS('Skills Matrix'!$A$6:$A$205,$A116,'Skills Matrix'!$AV$6:$AV$205,3)+COUNTIFS('Skills Matrix'!$A$6:$A$205,$A116,'Skills Matrix'!$AW$6:$AW$205,3)+COUNTIFS('Skills Matrix'!$A$6:$A$205,$A116,'Skills Matrix'!$AX$6:$AX$205,3)+COUNTIFS('Skills Matrix'!$A$6:$A$205,$A116,'Skills Matrix'!$AY$6:$AY$205,3)+COUNTIFS('Skills Matrix'!$A$6:$A$205,$A116,'Skills Matrix'!$AZ$6:$AZ$205,3)+COUNTIFS('Skills Matrix'!$A$6:$A$205,$A116,'Skills Matrix'!$BA$6:$BA$205,3)</f>
        <v>15</v>
      </c>
      <c r="F116" s="8">
        <f>COUNTIFS('Skills Matrix'!$A$6:$A$205,$A116,'Skills Matrix'!$BB$6:$BB$205,3)+COUNTIFS('Skills Matrix'!$A$6:$A$205,$A116,'Skills Matrix'!$BC$6:$BC$205,3)+COUNTIFS('Skills Matrix'!$A$6:$A$205,$A116,'Skills Matrix'!$BD$6:$BD$205,3)+COUNTIFS('Skills Matrix'!$A$6:$A$205,$A116,'Skills Matrix'!$BE$6:$BE$205,3)+COUNTIFS('Skills Matrix'!$A$6:$A$205,$A116,'Skills Matrix'!$BF$6:$BF$205,3)+COUNTIFS('Skills Matrix'!$A$6:$A$205,$A116,'Skills Matrix'!$BG$6:$BG$205,3)+COUNTIFS('Skills Matrix'!$A$6:$A$205,$A116,'Skills Matrix'!$BH$6:$BH$205,3)</f>
        <v>0</v>
      </c>
      <c r="G116" s="8">
        <f>COUNTIFS('Skills Matrix'!$A$6:$A$205,$A116,'Skills Matrix'!$BI$6:$BI$205,3)+COUNTIFS('Skills Matrix'!$A$6:$A$205,$A116,'Skills Matrix'!$BJ$6:$BJ$205,3)+COUNTIFS('Skills Matrix'!$A$6:$A$205,$A116,'Skills Matrix'!$BK$6:$BK$205,3)+COUNTIFS('Skills Matrix'!$A$6:$A$205,$A116,'Skills Matrix'!$BL$6:$BL$205,3)+COUNTIFS('Skills Matrix'!$A$6:$A$205,$A116,'Skills Matrix'!$BM$6:$BM$205,3)+COUNTIFS('Skills Matrix'!$A$6:$A$205,$A116,'Skills Matrix'!$BN$6:$BN$205,3)+COUNTIFS('Skills Matrix'!$A$6:$A$205,$A116,'Skills Matrix'!$BO$6:$BO$205,3)+COUNTIFS('Skills Matrix'!$A$6:$A$205,$A116,'Skills Matrix'!$BP$6:$BP$205,3)+COUNTIFS('Skills Matrix'!$A$6:$A$205,$A116,'Skills Matrix'!$BQ$6:$BQ$205,3)+COUNTIFS('Skills Matrix'!$A$6:$A$205,$A116,'Skills Matrix'!$BR$6:$BR$205,3)+COUNTIFS('Skills Matrix'!$A$6:$A$205,$A116,'Skills Matrix'!$BS$6:$BS$205,3)+COUNTIFS('Skills Matrix'!$A$6:$A$205,$A116,'Skills Matrix'!$BT$6:$BT$205,3)+COUNTIFS('Skills Matrix'!$A$6:$A$205,$A116,'Skills Matrix'!$BU$6:$BU$205,3)+COUNTIFS('Skills Matrix'!$A$6:$A$205,$A116,'Skills Matrix'!$BV$6:$BV$205,3)+COUNTIFS('Skills Matrix'!$A$6:$A$205,$A116,'Skills Matrix'!$BW$6:$BW$205,3)+COUNTIFS('Skills Matrix'!$A$6:$A$205,$A116,'Skills Matrix'!$BX$6:$BX$205,3)+COUNTIFS('Skills Matrix'!$A$6:$A$205,$A116,'Skills Matrix'!$BY$6:$BY$205,3)</f>
        <v>1</v>
      </c>
      <c r="H116" s="8">
        <f>COUNTIFS('Skills Matrix'!$A$6:$A$205,$A116,'Skills Matrix'!$BZ$6:$BZ$205,3)+COUNTIFS('Skills Matrix'!$A$6:$A$205,$A116,'Skills Matrix'!$CA$6:$CA$205,3)+COUNTIFS('Skills Matrix'!$A$6:$A$205,$A116,'Skills Matrix'!$CB$6:$CB$205,3)+COUNTIFS('Skills Matrix'!$A$6:$A$205,$A116,'Skills Matrix'!$CC$6:$CC$205,3)+COUNTIFS('Skills Matrix'!$A$6:$A$205,$A116,'Skills Matrix'!$CD$6:$CD$205,3)+COUNTIFS('Skills Matrix'!$A$6:$A$205,$A116,'Skills Matrix'!$CE$6:$CE$205,3)+COUNTIFS('Skills Matrix'!$A$6:$A$205,$A116,'Skills Matrix'!$CF$6:$CF$205,3)+COUNTIFS('Skills Matrix'!$A$6:$A$205,$A116,'Skills Matrix'!$CG$6:$CG$205,3)+COUNTIFS('Skills Matrix'!$A$6:$A$205,$A116,'Skills Matrix'!$CH$6:$CH$205,3)</f>
        <v>0</v>
      </c>
      <c r="I116" s="8">
        <f>COUNTIFS('Skills Matrix'!$A$6:$A$205,$A116,'Skills Matrix'!$CI$6:$CI$205,3)+COUNTIFS('Skills Matrix'!$A$6:$A$205,$A116,'Skills Matrix'!$CJ$6:$CJ$205,3)+COUNTIFS('Skills Matrix'!$A$6:$A$205,$A116,'Skills Matrix'!$CK$6:$CK$205,3)+COUNTIFS('Skills Matrix'!$A$6:$A$205,$A116,'Skills Matrix'!$CL$6:$CL$205,3)+COUNTIFS('Skills Matrix'!$A$6:$A$205,$A116,'Skills Matrix'!$CM$6:$CM$205,3)+COUNTIFS('Skills Matrix'!$A$6:$A$205,$A116,'Skills Matrix'!$CN$6:$CN$205,3)+COUNTIFS('Skills Matrix'!$A$6:$A$205,$A116,'Skills Matrix'!$CO$6:$CO$205,3)+COUNTIFS('Skills Matrix'!$A$6:$A$205,$A116,'Skills Matrix'!$CP$6:$CP$205,3)+COUNTIFS('Skills Matrix'!$A$6:$A$205,$A116,'Skills Matrix'!$CQ$6:$CQ$205,3)+COUNTIFS('Skills Matrix'!$A$6:$A$205,$A116,'Skills Matrix'!$CR$6:$CR$205,3)+COUNTIFS('Skills Matrix'!$A$6:$A$205,$A116,'Skills Matrix'!$CS$6:$CS$205,3)+COUNTIFS('Skills Matrix'!$A$6:$A$205,$A116,'Skills Matrix'!$CT$6:$CT$205,3)+COUNTIFS('Skills Matrix'!$A$6:$A$205,$A116,'Skills Matrix'!$CU$6:$CU$205,3)+COUNTIFS('Skills Matrix'!$A$6:$A$205,$A116,'Skills Matrix'!$CV$6:$CV$205,3)+COUNTIFS('Skills Matrix'!$A$6:$A$205,$A116,'Skills Matrix'!$CW$6:$CW$205,3)+COUNTIFS('Skills Matrix'!$A$6:$A$205,$A116,'Skills Matrix'!$CX$6:$CX$205,3)+COUNTIFS('Skills Matrix'!$A$6:$A$205,$A116,'Skills Matrix'!$CY$6:$CY$205,3)+COUNTIFS('Skills Matrix'!$A$6:$A$205,$A116,'Skills Matrix'!$CZ$6:$CZ$205,3)+COUNTIFS('Skills Matrix'!$A$6:$A$205,$A116,'Skills Matrix'!$DA$6:$DA$205,3)+COUNTIFS('Skills Matrix'!$A$6:$A$205,$A116,'Skills Matrix'!$DB$6:$DB$205,3)+COUNTIFS('Skills Matrix'!$A$6:$A$205,$A116,'Skills Matrix'!$DC$6:$DC$205,3)</f>
        <v>0</v>
      </c>
      <c r="J116" s="8">
        <f>0</f>
        <v>0</v>
      </c>
      <c r="K116" s="8">
        <f>COUNTIFS('Skills Matrix'!$A$6:$A$205,$A116,'Skills Matrix'!$DD$6:$DD$205,3)+COUNTIFS('Skills Matrix'!$A$6:$A$205,$A116,'Skills Matrix'!$DE$6:$DE$205,3)</f>
        <v>2</v>
      </c>
    </row>
    <row r="117" spans="1:11">
      <c r="A117" s="23" t="s">
        <v>308</v>
      </c>
      <c r="B117" s="8">
        <f>COUNTIFS('Skills Matrix'!$A$6:$A$205,$A117,'Skills Matrix'!$G$6:$G$205,3)+COUNTIFS('Skills Matrix'!$A$6:$A$205,$A117,'Skills Matrix'!$H$6:$H$205,3)+COUNTIFS('Skills Matrix'!$A$6:$A$205,$A117,'Skills Matrix'!$I$6:$I$205,3)+COUNTIFS('Skills Matrix'!$A$6:$A$205,$A117,'Skills Matrix'!$J$6:$J$205,3)+COUNTIFS('Skills Matrix'!$A$6:$A$205,$A117,'Skills Matrix'!$K$6:$K$205,3)+COUNTIFS('Skills Matrix'!$A$6:$A$205,$A117,'Skills Matrix'!$L$6:$L$205,3)+COUNTIFS('Skills Matrix'!$A$6:$A$205,$A117,'Skills Matrix'!$M$6:$M$205,3)+COUNTIFS('Skills Matrix'!$A$6:$A$205,$A117,'Skills Matrix'!$N$6:$N$205,3)+COUNTIFS('Skills Matrix'!$A$6:$A$205,$A117,'Skills Matrix'!$O$6:$O$205,3)+COUNTIFS('Skills Matrix'!$A$6:$A$205,$A117,'Skills Matrix'!$P$6:$P$205,3)+COUNTIFS('Skills Matrix'!$A$6:$A$205,$A117,'Skills Matrix'!$Q$6:$Q$205,3)+COUNTIFS('Skills Matrix'!$A$6:$A$205,$A117,'Skills Matrix'!$R$6:$R$205,3)+COUNTIFS('Skills Matrix'!$A$6:$A$205,$A117,'Skills Matrix'!$S$6:$S$205,3)+COUNTIFS('Skills Matrix'!$A$6:$A$205,$A117,'Skills Matrix'!$T$6:$T$205,3)+COUNTIFS('Skills Matrix'!$A$6:$A$205,$A117,'Skills Matrix'!$U$6:$U$205,3)+COUNTIFS('Skills Matrix'!$A$6:$A$205,$A117,'Skills Matrix'!$V$6:$V$205,3)</f>
        <v>2</v>
      </c>
      <c r="C117" s="8">
        <f>COUNTIFS('Skills Matrix'!$A$6:$A$205,$A117,'Skills Matrix'!$W$6:$W$205,3)+COUNTIFS('Skills Matrix'!$A$6:$A$205,$A117,'Skills Matrix'!$X$6:$X$205,3)+COUNTIFS('Skills Matrix'!$A$6:$A$205,$A117,'Skills Matrix'!$Y$6:$Y$205,3)+COUNTIFS('Skills Matrix'!$A$6:$A$205,$A117,'Skills Matrix'!$Z$6:$Z$205,3)+COUNTIFS('Skills Matrix'!$A$6:$A$205,$A117,'Skills Matrix'!$AA$6:$AA$205,3)+COUNTIFS('Skills Matrix'!$A$6:$A$205,$A117,'Skills Matrix'!$AB$6:$AB$205,3)+COUNTIFS('Skills Matrix'!$A$6:$A$205,$A117,'Skills Matrix'!$AC$6:$AC$205,3)+COUNTIFS('Skills Matrix'!$A$6:$A$205,$A117,'Skills Matrix'!$AD$6:$AD$205,3)+COUNTIFS('Skills Matrix'!$A$6:$A$205,$A117,'Skills Matrix'!$AE$6:$AE$205,3)+COUNTIFS('Skills Matrix'!$A$6:$A$205,$A117,'Skills Matrix'!$AF$6:$AF$205,3)+COUNTIFS('Skills Matrix'!$A$6:$A$205,$A117,'Skills Matrix'!$AG$6:$AG$205,3)+COUNTIFS('Skills Matrix'!$A$6:$A$205,$A117,'Skills Matrix'!$AH$6:$AH$205,3)+COUNTIFS('Skills Matrix'!$A$6:$A$205,$A117,'Skills Matrix'!$AI$6:$AI$205,3)+COUNTIFS('Skills Matrix'!$A$6:$A$205,$A117,'Skills Matrix'!$AJ$6:$AJ$205,3)</f>
        <v>0</v>
      </c>
      <c r="D117" s="8">
        <f>COUNTIFS('Skills Matrix'!$A$6:$A$205,$A117,'Skills Matrix'!$AK$6:$AK$205,3)+COUNTIFS('Skills Matrix'!$A$6:$A$205,$A117,'Skills Matrix'!$AL$6:$AL$205,3)+COUNTIFS('Skills Matrix'!$A$6:$A$205,$A117,'Skills Matrix'!$AM$6:$AM$205,3)+COUNTIFS('Skills Matrix'!$A$6:$A$205,$A117,'Skills Matrix'!$AN$6:$AN$205,3)+COUNTIFS('Skills Matrix'!$A$6:$A$205,$A117,'Skills Matrix'!$AO$6:$AO$205,3)+COUNTIFS('Skills Matrix'!$A$6:$A$205,$A117,'Skills Matrix'!$AP$6:$AP$205,3)+COUNTIFS('Skills Matrix'!$A$6:$A$205,$A117,'Skills Matrix'!$AQ$6:$AQ$205,3)+COUNTIFS('Skills Matrix'!$A$6:$A$205,$A117,'Skills Matrix'!$AR$6:$AR$205,3)+COUNTIFS('Skills Matrix'!$A$6:$A$205,$A117,'Skills Matrix'!$AS$6:$AS$205,3)</f>
        <v>0</v>
      </c>
      <c r="E117" s="8">
        <f>COUNTIFS('Skills Matrix'!$A$6:$A$205,$A117,'Skills Matrix'!$AT$6:$AT$205,3)+COUNTIFS('Skills Matrix'!$A$6:$A$205,$A117,'Skills Matrix'!$AU$6:$AU$205,3)+COUNTIFS('Skills Matrix'!$A$6:$A$205,$A117,'Skills Matrix'!$AV$6:$AV$205,3)+COUNTIFS('Skills Matrix'!$A$6:$A$205,$A117,'Skills Matrix'!$AW$6:$AW$205,3)+COUNTIFS('Skills Matrix'!$A$6:$A$205,$A117,'Skills Matrix'!$AX$6:$AX$205,3)+COUNTIFS('Skills Matrix'!$A$6:$A$205,$A117,'Skills Matrix'!$AY$6:$AY$205,3)+COUNTIFS('Skills Matrix'!$A$6:$A$205,$A117,'Skills Matrix'!$AZ$6:$AZ$205,3)+COUNTIFS('Skills Matrix'!$A$6:$A$205,$A117,'Skills Matrix'!$BA$6:$BA$205,3)</f>
        <v>3</v>
      </c>
      <c r="F117" s="8">
        <f>COUNTIFS('Skills Matrix'!$A$6:$A$205,$A117,'Skills Matrix'!$BB$6:$BB$205,3)+COUNTIFS('Skills Matrix'!$A$6:$A$205,$A117,'Skills Matrix'!$BC$6:$BC$205,3)+COUNTIFS('Skills Matrix'!$A$6:$A$205,$A117,'Skills Matrix'!$BD$6:$BD$205,3)+COUNTIFS('Skills Matrix'!$A$6:$A$205,$A117,'Skills Matrix'!$BE$6:$BE$205,3)+COUNTIFS('Skills Matrix'!$A$6:$A$205,$A117,'Skills Matrix'!$BF$6:$BF$205,3)+COUNTIFS('Skills Matrix'!$A$6:$A$205,$A117,'Skills Matrix'!$BG$6:$BG$205,3)+COUNTIFS('Skills Matrix'!$A$6:$A$205,$A117,'Skills Matrix'!$BH$6:$BH$205,3)</f>
        <v>17</v>
      </c>
      <c r="G117" s="8">
        <f>COUNTIFS('Skills Matrix'!$A$6:$A$205,$A117,'Skills Matrix'!$BI$6:$BI$205,3)+COUNTIFS('Skills Matrix'!$A$6:$A$205,$A117,'Skills Matrix'!$BJ$6:$BJ$205,3)+COUNTIFS('Skills Matrix'!$A$6:$A$205,$A117,'Skills Matrix'!$BK$6:$BK$205,3)+COUNTIFS('Skills Matrix'!$A$6:$A$205,$A117,'Skills Matrix'!$BL$6:$BL$205,3)+COUNTIFS('Skills Matrix'!$A$6:$A$205,$A117,'Skills Matrix'!$BM$6:$BM$205,3)+COUNTIFS('Skills Matrix'!$A$6:$A$205,$A117,'Skills Matrix'!$BN$6:$BN$205,3)+COUNTIFS('Skills Matrix'!$A$6:$A$205,$A117,'Skills Matrix'!$BO$6:$BO$205,3)+COUNTIFS('Skills Matrix'!$A$6:$A$205,$A117,'Skills Matrix'!$BP$6:$BP$205,3)+COUNTIFS('Skills Matrix'!$A$6:$A$205,$A117,'Skills Matrix'!$BQ$6:$BQ$205,3)+COUNTIFS('Skills Matrix'!$A$6:$A$205,$A117,'Skills Matrix'!$BR$6:$BR$205,3)+COUNTIFS('Skills Matrix'!$A$6:$A$205,$A117,'Skills Matrix'!$BS$6:$BS$205,3)+COUNTIFS('Skills Matrix'!$A$6:$A$205,$A117,'Skills Matrix'!$BT$6:$BT$205,3)+COUNTIFS('Skills Matrix'!$A$6:$A$205,$A117,'Skills Matrix'!$BU$6:$BU$205,3)+COUNTIFS('Skills Matrix'!$A$6:$A$205,$A117,'Skills Matrix'!$BV$6:$BV$205,3)+COUNTIFS('Skills Matrix'!$A$6:$A$205,$A117,'Skills Matrix'!$BW$6:$BW$205,3)+COUNTIFS('Skills Matrix'!$A$6:$A$205,$A117,'Skills Matrix'!$BX$6:$BX$205,3)+COUNTIFS('Skills Matrix'!$A$6:$A$205,$A117,'Skills Matrix'!$BY$6:$BY$205,3)</f>
        <v>1</v>
      </c>
      <c r="H117" s="8">
        <f>COUNTIFS('Skills Matrix'!$A$6:$A$205,$A117,'Skills Matrix'!$BZ$6:$BZ$205,3)+COUNTIFS('Skills Matrix'!$A$6:$A$205,$A117,'Skills Matrix'!$CA$6:$CA$205,3)+COUNTIFS('Skills Matrix'!$A$6:$A$205,$A117,'Skills Matrix'!$CB$6:$CB$205,3)+COUNTIFS('Skills Matrix'!$A$6:$A$205,$A117,'Skills Matrix'!$CC$6:$CC$205,3)+COUNTIFS('Skills Matrix'!$A$6:$A$205,$A117,'Skills Matrix'!$CD$6:$CD$205,3)+COUNTIFS('Skills Matrix'!$A$6:$A$205,$A117,'Skills Matrix'!$CE$6:$CE$205,3)+COUNTIFS('Skills Matrix'!$A$6:$A$205,$A117,'Skills Matrix'!$CF$6:$CF$205,3)+COUNTIFS('Skills Matrix'!$A$6:$A$205,$A117,'Skills Matrix'!$CG$6:$CG$205,3)+COUNTIFS('Skills Matrix'!$A$6:$A$205,$A117,'Skills Matrix'!$CH$6:$CH$205,3)</f>
        <v>0</v>
      </c>
      <c r="I117" s="8">
        <f>COUNTIFS('Skills Matrix'!$A$6:$A$205,$A117,'Skills Matrix'!$CI$6:$CI$205,3)+COUNTIFS('Skills Matrix'!$A$6:$A$205,$A117,'Skills Matrix'!$CJ$6:$CJ$205,3)+COUNTIFS('Skills Matrix'!$A$6:$A$205,$A117,'Skills Matrix'!$CK$6:$CK$205,3)+COUNTIFS('Skills Matrix'!$A$6:$A$205,$A117,'Skills Matrix'!$CL$6:$CL$205,3)+COUNTIFS('Skills Matrix'!$A$6:$A$205,$A117,'Skills Matrix'!$CM$6:$CM$205,3)+COUNTIFS('Skills Matrix'!$A$6:$A$205,$A117,'Skills Matrix'!$CN$6:$CN$205,3)+COUNTIFS('Skills Matrix'!$A$6:$A$205,$A117,'Skills Matrix'!$CO$6:$CO$205,3)+COUNTIFS('Skills Matrix'!$A$6:$A$205,$A117,'Skills Matrix'!$CP$6:$CP$205,3)+COUNTIFS('Skills Matrix'!$A$6:$A$205,$A117,'Skills Matrix'!$CQ$6:$CQ$205,3)+COUNTIFS('Skills Matrix'!$A$6:$A$205,$A117,'Skills Matrix'!$CR$6:$CR$205,3)+COUNTIFS('Skills Matrix'!$A$6:$A$205,$A117,'Skills Matrix'!$CS$6:$CS$205,3)+COUNTIFS('Skills Matrix'!$A$6:$A$205,$A117,'Skills Matrix'!$CT$6:$CT$205,3)+COUNTIFS('Skills Matrix'!$A$6:$A$205,$A117,'Skills Matrix'!$CU$6:$CU$205,3)+COUNTIFS('Skills Matrix'!$A$6:$A$205,$A117,'Skills Matrix'!$CV$6:$CV$205,3)+COUNTIFS('Skills Matrix'!$A$6:$A$205,$A117,'Skills Matrix'!$CW$6:$CW$205,3)+COUNTIFS('Skills Matrix'!$A$6:$A$205,$A117,'Skills Matrix'!$CX$6:$CX$205,3)+COUNTIFS('Skills Matrix'!$A$6:$A$205,$A117,'Skills Matrix'!$CY$6:$CY$205,3)+COUNTIFS('Skills Matrix'!$A$6:$A$205,$A117,'Skills Matrix'!$CZ$6:$CZ$205,3)+COUNTIFS('Skills Matrix'!$A$6:$A$205,$A117,'Skills Matrix'!$DA$6:$DA$205,3)+COUNTIFS('Skills Matrix'!$A$6:$A$205,$A117,'Skills Matrix'!$DB$6:$DB$205,3)+COUNTIFS('Skills Matrix'!$A$6:$A$205,$A117,'Skills Matrix'!$DC$6:$DC$205,3)</f>
        <v>3</v>
      </c>
      <c r="J117" s="8">
        <f>0</f>
        <v>0</v>
      </c>
      <c r="K117" s="8">
        <f>COUNTIFS('Skills Matrix'!$A$6:$A$205,$A117,'Skills Matrix'!$DD$6:$DD$205,3)+COUNTIFS('Skills Matrix'!$A$6:$A$205,$A117,'Skills Matrix'!$DE$6:$DE$205,3)</f>
        <v>3</v>
      </c>
    </row>
    <row r="118" spans="1:11">
      <c r="A118" s="23" t="s">
        <v>309</v>
      </c>
      <c r="B118" s="8">
        <f>COUNTIFS('Skills Matrix'!$A$6:$A$205,$A118,'Skills Matrix'!$G$6:$G$205,3)+COUNTIFS('Skills Matrix'!$A$6:$A$205,$A118,'Skills Matrix'!$H$6:$H$205,3)+COUNTIFS('Skills Matrix'!$A$6:$A$205,$A118,'Skills Matrix'!$I$6:$I$205,3)+COUNTIFS('Skills Matrix'!$A$6:$A$205,$A118,'Skills Matrix'!$J$6:$J$205,3)+COUNTIFS('Skills Matrix'!$A$6:$A$205,$A118,'Skills Matrix'!$K$6:$K$205,3)+COUNTIFS('Skills Matrix'!$A$6:$A$205,$A118,'Skills Matrix'!$L$6:$L$205,3)+COUNTIFS('Skills Matrix'!$A$6:$A$205,$A118,'Skills Matrix'!$M$6:$M$205,3)+COUNTIFS('Skills Matrix'!$A$6:$A$205,$A118,'Skills Matrix'!$N$6:$N$205,3)+COUNTIFS('Skills Matrix'!$A$6:$A$205,$A118,'Skills Matrix'!$O$6:$O$205,3)+COUNTIFS('Skills Matrix'!$A$6:$A$205,$A118,'Skills Matrix'!$P$6:$P$205,3)+COUNTIFS('Skills Matrix'!$A$6:$A$205,$A118,'Skills Matrix'!$Q$6:$Q$205,3)+COUNTIFS('Skills Matrix'!$A$6:$A$205,$A118,'Skills Matrix'!$R$6:$R$205,3)+COUNTIFS('Skills Matrix'!$A$6:$A$205,$A118,'Skills Matrix'!$S$6:$S$205,3)+COUNTIFS('Skills Matrix'!$A$6:$A$205,$A118,'Skills Matrix'!$T$6:$T$205,3)+COUNTIFS('Skills Matrix'!$A$6:$A$205,$A118,'Skills Matrix'!$U$6:$U$205,3)+COUNTIFS('Skills Matrix'!$A$6:$A$205,$A118,'Skills Matrix'!$V$6:$V$205,3)</f>
        <v>0</v>
      </c>
      <c r="C118" s="8">
        <f>COUNTIFS('Skills Matrix'!$A$6:$A$205,$A118,'Skills Matrix'!$W$6:$W$205,3)+COUNTIFS('Skills Matrix'!$A$6:$A$205,$A118,'Skills Matrix'!$X$6:$X$205,3)+COUNTIFS('Skills Matrix'!$A$6:$A$205,$A118,'Skills Matrix'!$Y$6:$Y$205,3)+COUNTIFS('Skills Matrix'!$A$6:$A$205,$A118,'Skills Matrix'!$Z$6:$Z$205,3)+COUNTIFS('Skills Matrix'!$A$6:$A$205,$A118,'Skills Matrix'!$AA$6:$AA$205,3)+COUNTIFS('Skills Matrix'!$A$6:$A$205,$A118,'Skills Matrix'!$AB$6:$AB$205,3)+COUNTIFS('Skills Matrix'!$A$6:$A$205,$A118,'Skills Matrix'!$AC$6:$AC$205,3)+COUNTIFS('Skills Matrix'!$A$6:$A$205,$A118,'Skills Matrix'!$AD$6:$AD$205,3)+COUNTIFS('Skills Matrix'!$A$6:$A$205,$A118,'Skills Matrix'!$AE$6:$AE$205,3)+COUNTIFS('Skills Matrix'!$A$6:$A$205,$A118,'Skills Matrix'!$AF$6:$AF$205,3)+COUNTIFS('Skills Matrix'!$A$6:$A$205,$A118,'Skills Matrix'!$AG$6:$AG$205,3)+COUNTIFS('Skills Matrix'!$A$6:$A$205,$A118,'Skills Matrix'!$AH$6:$AH$205,3)+COUNTIFS('Skills Matrix'!$A$6:$A$205,$A118,'Skills Matrix'!$AI$6:$AI$205,3)+COUNTIFS('Skills Matrix'!$A$6:$A$205,$A118,'Skills Matrix'!$AJ$6:$AJ$205,3)</f>
        <v>1</v>
      </c>
      <c r="D118" s="8">
        <f>COUNTIFS('Skills Matrix'!$A$6:$A$205,$A118,'Skills Matrix'!$AK$6:$AK$205,3)+COUNTIFS('Skills Matrix'!$A$6:$A$205,$A118,'Skills Matrix'!$AL$6:$AL$205,3)+COUNTIFS('Skills Matrix'!$A$6:$A$205,$A118,'Skills Matrix'!$AM$6:$AM$205,3)+COUNTIFS('Skills Matrix'!$A$6:$A$205,$A118,'Skills Matrix'!$AN$6:$AN$205,3)+COUNTIFS('Skills Matrix'!$A$6:$A$205,$A118,'Skills Matrix'!$AO$6:$AO$205,3)+COUNTIFS('Skills Matrix'!$A$6:$A$205,$A118,'Skills Matrix'!$AP$6:$AP$205,3)+COUNTIFS('Skills Matrix'!$A$6:$A$205,$A118,'Skills Matrix'!$AQ$6:$AQ$205,3)+COUNTIFS('Skills Matrix'!$A$6:$A$205,$A118,'Skills Matrix'!$AR$6:$AR$205,3)+COUNTIFS('Skills Matrix'!$A$6:$A$205,$A118,'Skills Matrix'!$AS$6:$AS$205,3)</f>
        <v>1</v>
      </c>
      <c r="E118" s="8">
        <f>COUNTIFS('Skills Matrix'!$A$6:$A$205,$A118,'Skills Matrix'!$AT$6:$AT$205,3)+COUNTIFS('Skills Matrix'!$A$6:$A$205,$A118,'Skills Matrix'!$AU$6:$AU$205,3)+COUNTIFS('Skills Matrix'!$A$6:$A$205,$A118,'Skills Matrix'!$AV$6:$AV$205,3)+COUNTIFS('Skills Matrix'!$A$6:$A$205,$A118,'Skills Matrix'!$AW$6:$AW$205,3)+COUNTIFS('Skills Matrix'!$A$6:$A$205,$A118,'Skills Matrix'!$AX$6:$AX$205,3)+COUNTIFS('Skills Matrix'!$A$6:$A$205,$A118,'Skills Matrix'!$AY$6:$AY$205,3)+COUNTIFS('Skills Matrix'!$A$6:$A$205,$A118,'Skills Matrix'!$AZ$6:$AZ$205,3)+COUNTIFS('Skills Matrix'!$A$6:$A$205,$A118,'Skills Matrix'!$BA$6:$BA$205,3)</f>
        <v>1</v>
      </c>
      <c r="F118" s="8">
        <f>COUNTIFS('Skills Matrix'!$A$6:$A$205,$A118,'Skills Matrix'!$BB$6:$BB$205,3)+COUNTIFS('Skills Matrix'!$A$6:$A$205,$A118,'Skills Matrix'!$BC$6:$BC$205,3)+COUNTIFS('Skills Matrix'!$A$6:$A$205,$A118,'Skills Matrix'!$BD$6:$BD$205,3)+COUNTIFS('Skills Matrix'!$A$6:$A$205,$A118,'Skills Matrix'!$BE$6:$BE$205,3)+COUNTIFS('Skills Matrix'!$A$6:$A$205,$A118,'Skills Matrix'!$BF$6:$BF$205,3)+COUNTIFS('Skills Matrix'!$A$6:$A$205,$A118,'Skills Matrix'!$BG$6:$BG$205,3)+COUNTIFS('Skills Matrix'!$A$6:$A$205,$A118,'Skills Matrix'!$BH$6:$BH$205,3)</f>
        <v>2</v>
      </c>
      <c r="G118" s="8">
        <f>COUNTIFS('Skills Matrix'!$A$6:$A$205,$A118,'Skills Matrix'!$BI$6:$BI$205,3)+COUNTIFS('Skills Matrix'!$A$6:$A$205,$A118,'Skills Matrix'!$BJ$6:$BJ$205,3)+COUNTIFS('Skills Matrix'!$A$6:$A$205,$A118,'Skills Matrix'!$BK$6:$BK$205,3)+COUNTIFS('Skills Matrix'!$A$6:$A$205,$A118,'Skills Matrix'!$BL$6:$BL$205,3)+COUNTIFS('Skills Matrix'!$A$6:$A$205,$A118,'Skills Matrix'!$BM$6:$BM$205,3)+COUNTIFS('Skills Matrix'!$A$6:$A$205,$A118,'Skills Matrix'!$BN$6:$BN$205,3)+COUNTIFS('Skills Matrix'!$A$6:$A$205,$A118,'Skills Matrix'!$BO$6:$BO$205,3)+COUNTIFS('Skills Matrix'!$A$6:$A$205,$A118,'Skills Matrix'!$BP$6:$BP$205,3)+COUNTIFS('Skills Matrix'!$A$6:$A$205,$A118,'Skills Matrix'!$BQ$6:$BQ$205,3)+COUNTIFS('Skills Matrix'!$A$6:$A$205,$A118,'Skills Matrix'!$BR$6:$BR$205,3)+COUNTIFS('Skills Matrix'!$A$6:$A$205,$A118,'Skills Matrix'!$BS$6:$BS$205,3)+COUNTIFS('Skills Matrix'!$A$6:$A$205,$A118,'Skills Matrix'!$BT$6:$BT$205,3)+COUNTIFS('Skills Matrix'!$A$6:$A$205,$A118,'Skills Matrix'!$BU$6:$BU$205,3)+COUNTIFS('Skills Matrix'!$A$6:$A$205,$A118,'Skills Matrix'!$BV$6:$BV$205,3)+COUNTIFS('Skills Matrix'!$A$6:$A$205,$A118,'Skills Matrix'!$BW$6:$BW$205,3)+COUNTIFS('Skills Matrix'!$A$6:$A$205,$A118,'Skills Matrix'!$BX$6:$BX$205,3)+COUNTIFS('Skills Matrix'!$A$6:$A$205,$A118,'Skills Matrix'!$BY$6:$BY$205,3)</f>
        <v>28</v>
      </c>
      <c r="H118" s="8">
        <f>COUNTIFS('Skills Matrix'!$A$6:$A$205,$A118,'Skills Matrix'!$BZ$6:$BZ$205,3)+COUNTIFS('Skills Matrix'!$A$6:$A$205,$A118,'Skills Matrix'!$CA$6:$CA$205,3)+COUNTIFS('Skills Matrix'!$A$6:$A$205,$A118,'Skills Matrix'!$CB$6:$CB$205,3)+COUNTIFS('Skills Matrix'!$A$6:$A$205,$A118,'Skills Matrix'!$CC$6:$CC$205,3)+COUNTIFS('Skills Matrix'!$A$6:$A$205,$A118,'Skills Matrix'!$CD$6:$CD$205,3)+COUNTIFS('Skills Matrix'!$A$6:$A$205,$A118,'Skills Matrix'!$CE$6:$CE$205,3)+COUNTIFS('Skills Matrix'!$A$6:$A$205,$A118,'Skills Matrix'!$CF$6:$CF$205,3)+COUNTIFS('Skills Matrix'!$A$6:$A$205,$A118,'Skills Matrix'!$CG$6:$CG$205,3)+COUNTIFS('Skills Matrix'!$A$6:$A$205,$A118,'Skills Matrix'!$CH$6:$CH$205,3)</f>
        <v>2</v>
      </c>
      <c r="I118" s="8">
        <f>COUNTIFS('Skills Matrix'!$A$6:$A$205,$A118,'Skills Matrix'!$CI$6:$CI$205,3)+COUNTIFS('Skills Matrix'!$A$6:$A$205,$A118,'Skills Matrix'!$CJ$6:$CJ$205,3)+COUNTIFS('Skills Matrix'!$A$6:$A$205,$A118,'Skills Matrix'!$CK$6:$CK$205,3)+COUNTIFS('Skills Matrix'!$A$6:$A$205,$A118,'Skills Matrix'!$CL$6:$CL$205,3)+COUNTIFS('Skills Matrix'!$A$6:$A$205,$A118,'Skills Matrix'!$CM$6:$CM$205,3)+COUNTIFS('Skills Matrix'!$A$6:$A$205,$A118,'Skills Matrix'!$CN$6:$CN$205,3)+COUNTIFS('Skills Matrix'!$A$6:$A$205,$A118,'Skills Matrix'!$CO$6:$CO$205,3)+COUNTIFS('Skills Matrix'!$A$6:$A$205,$A118,'Skills Matrix'!$CP$6:$CP$205,3)+COUNTIFS('Skills Matrix'!$A$6:$A$205,$A118,'Skills Matrix'!$CQ$6:$CQ$205,3)+COUNTIFS('Skills Matrix'!$A$6:$A$205,$A118,'Skills Matrix'!$CR$6:$CR$205,3)+COUNTIFS('Skills Matrix'!$A$6:$A$205,$A118,'Skills Matrix'!$CS$6:$CS$205,3)+COUNTIFS('Skills Matrix'!$A$6:$A$205,$A118,'Skills Matrix'!$CT$6:$CT$205,3)+COUNTIFS('Skills Matrix'!$A$6:$A$205,$A118,'Skills Matrix'!$CU$6:$CU$205,3)+COUNTIFS('Skills Matrix'!$A$6:$A$205,$A118,'Skills Matrix'!$CV$6:$CV$205,3)+COUNTIFS('Skills Matrix'!$A$6:$A$205,$A118,'Skills Matrix'!$CW$6:$CW$205,3)+COUNTIFS('Skills Matrix'!$A$6:$A$205,$A118,'Skills Matrix'!$CX$6:$CX$205,3)+COUNTIFS('Skills Matrix'!$A$6:$A$205,$A118,'Skills Matrix'!$CY$6:$CY$205,3)+COUNTIFS('Skills Matrix'!$A$6:$A$205,$A118,'Skills Matrix'!$CZ$6:$CZ$205,3)+COUNTIFS('Skills Matrix'!$A$6:$A$205,$A118,'Skills Matrix'!$DA$6:$DA$205,3)+COUNTIFS('Skills Matrix'!$A$6:$A$205,$A118,'Skills Matrix'!$DB$6:$DB$205,3)+COUNTIFS('Skills Matrix'!$A$6:$A$205,$A118,'Skills Matrix'!$DC$6:$DC$205,3)</f>
        <v>0</v>
      </c>
      <c r="J118" s="8">
        <f>0</f>
        <v>0</v>
      </c>
      <c r="K118" s="8">
        <f>COUNTIFS('Skills Matrix'!$A$6:$A$205,$A118,'Skills Matrix'!$DD$6:$DD$205,3)+COUNTIFS('Skills Matrix'!$A$6:$A$205,$A118,'Skills Matrix'!$DE$6:$DE$205,3)</f>
        <v>1</v>
      </c>
    </row>
    <row r="119" spans="1:11">
      <c r="A119" s="23" t="s">
        <v>310</v>
      </c>
      <c r="B119" s="8">
        <f>COUNTIFS('Skills Matrix'!$A$6:$A$205,$A119,'Skills Matrix'!$G$6:$G$205,3)+COUNTIFS('Skills Matrix'!$A$6:$A$205,$A119,'Skills Matrix'!$H$6:$H$205,3)+COUNTIFS('Skills Matrix'!$A$6:$A$205,$A119,'Skills Matrix'!$I$6:$I$205,3)+COUNTIFS('Skills Matrix'!$A$6:$A$205,$A119,'Skills Matrix'!$J$6:$J$205,3)+COUNTIFS('Skills Matrix'!$A$6:$A$205,$A119,'Skills Matrix'!$K$6:$K$205,3)+COUNTIFS('Skills Matrix'!$A$6:$A$205,$A119,'Skills Matrix'!$L$6:$L$205,3)+COUNTIFS('Skills Matrix'!$A$6:$A$205,$A119,'Skills Matrix'!$M$6:$M$205,3)+COUNTIFS('Skills Matrix'!$A$6:$A$205,$A119,'Skills Matrix'!$N$6:$N$205,3)+COUNTIFS('Skills Matrix'!$A$6:$A$205,$A119,'Skills Matrix'!$O$6:$O$205,3)+COUNTIFS('Skills Matrix'!$A$6:$A$205,$A119,'Skills Matrix'!$P$6:$P$205,3)+COUNTIFS('Skills Matrix'!$A$6:$A$205,$A119,'Skills Matrix'!$Q$6:$Q$205,3)+COUNTIFS('Skills Matrix'!$A$6:$A$205,$A119,'Skills Matrix'!$R$6:$R$205,3)+COUNTIFS('Skills Matrix'!$A$6:$A$205,$A119,'Skills Matrix'!$S$6:$S$205,3)+COUNTIFS('Skills Matrix'!$A$6:$A$205,$A119,'Skills Matrix'!$T$6:$T$205,3)+COUNTIFS('Skills Matrix'!$A$6:$A$205,$A119,'Skills Matrix'!$U$6:$U$205,3)+COUNTIFS('Skills Matrix'!$A$6:$A$205,$A119,'Skills Matrix'!$V$6:$V$205,3)</f>
        <v>0</v>
      </c>
      <c r="C119" s="8">
        <f>COUNTIFS('Skills Matrix'!$A$6:$A$205,$A119,'Skills Matrix'!$W$6:$W$205,3)+COUNTIFS('Skills Matrix'!$A$6:$A$205,$A119,'Skills Matrix'!$X$6:$X$205,3)+COUNTIFS('Skills Matrix'!$A$6:$A$205,$A119,'Skills Matrix'!$Y$6:$Y$205,3)+COUNTIFS('Skills Matrix'!$A$6:$A$205,$A119,'Skills Matrix'!$Z$6:$Z$205,3)+COUNTIFS('Skills Matrix'!$A$6:$A$205,$A119,'Skills Matrix'!$AA$6:$AA$205,3)+COUNTIFS('Skills Matrix'!$A$6:$A$205,$A119,'Skills Matrix'!$AB$6:$AB$205,3)+COUNTIFS('Skills Matrix'!$A$6:$A$205,$A119,'Skills Matrix'!$AC$6:$AC$205,3)+COUNTIFS('Skills Matrix'!$A$6:$A$205,$A119,'Skills Matrix'!$AD$6:$AD$205,3)+COUNTIFS('Skills Matrix'!$A$6:$A$205,$A119,'Skills Matrix'!$AE$6:$AE$205,3)+COUNTIFS('Skills Matrix'!$A$6:$A$205,$A119,'Skills Matrix'!$AF$6:$AF$205,3)+COUNTIFS('Skills Matrix'!$A$6:$A$205,$A119,'Skills Matrix'!$AG$6:$AG$205,3)+COUNTIFS('Skills Matrix'!$A$6:$A$205,$A119,'Skills Matrix'!$AH$6:$AH$205,3)+COUNTIFS('Skills Matrix'!$A$6:$A$205,$A119,'Skills Matrix'!$AI$6:$AI$205,3)+COUNTIFS('Skills Matrix'!$A$6:$A$205,$A119,'Skills Matrix'!$AJ$6:$AJ$205,3)</f>
        <v>0</v>
      </c>
      <c r="D119" s="8">
        <f>COUNTIFS('Skills Matrix'!$A$6:$A$205,$A119,'Skills Matrix'!$AK$6:$AK$205,3)+COUNTIFS('Skills Matrix'!$A$6:$A$205,$A119,'Skills Matrix'!$AL$6:$AL$205,3)+COUNTIFS('Skills Matrix'!$A$6:$A$205,$A119,'Skills Matrix'!$AM$6:$AM$205,3)+COUNTIFS('Skills Matrix'!$A$6:$A$205,$A119,'Skills Matrix'!$AN$6:$AN$205,3)+COUNTIFS('Skills Matrix'!$A$6:$A$205,$A119,'Skills Matrix'!$AO$6:$AO$205,3)+COUNTIFS('Skills Matrix'!$A$6:$A$205,$A119,'Skills Matrix'!$AP$6:$AP$205,3)+COUNTIFS('Skills Matrix'!$A$6:$A$205,$A119,'Skills Matrix'!$AQ$6:$AQ$205,3)+COUNTIFS('Skills Matrix'!$A$6:$A$205,$A119,'Skills Matrix'!$AR$6:$AR$205,3)+COUNTIFS('Skills Matrix'!$A$6:$A$205,$A119,'Skills Matrix'!$AS$6:$AS$205,3)</f>
        <v>0</v>
      </c>
      <c r="E119" s="8">
        <f>COUNTIFS('Skills Matrix'!$A$6:$A$205,$A119,'Skills Matrix'!$AT$6:$AT$205,3)+COUNTIFS('Skills Matrix'!$A$6:$A$205,$A119,'Skills Matrix'!$AU$6:$AU$205,3)+COUNTIFS('Skills Matrix'!$A$6:$A$205,$A119,'Skills Matrix'!$AV$6:$AV$205,3)+COUNTIFS('Skills Matrix'!$A$6:$A$205,$A119,'Skills Matrix'!$AW$6:$AW$205,3)+COUNTIFS('Skills Matrix'!$A$6:$A$205,$A119,'Skills Matrix'!$AX$6:$AX$205,3)+COUNTIFS('Skills Matrix'!$A$6:$A$205,$A119,'Skills Matrix'!$AY$6:$AY$205,3)+COUNTIFS('Skills Matrix'!$A$6:$A$205,$A119,'Skills Matrix'!$AZ$6:$AZ$205,3)+COUNTIFS('Skills Matrix'!$A$6:$A$205,$A119,'Skills Matrix'!$BA$6:$BA$205,3)</f>
        <v>0</v>
      </c>
      <c r="F119" s="8">
        <f>COUNTIFS('Skills Matrix'!$A$6:$A$205,$A119,'Skills Matrix'!$BB$6:$BB$205,3)+COUNTIFS('Skills Matrix'!$A$6:$A$205,$A119,'Skills Matrix'!$BC$6:$BC$205,3)+COUNTIFS('Skills Matrix'!$A$6:$A$205,$A119,'Skills Matrix'!$BD$6:$BD$205,3)+COUNTIFS('Skills Matrix'!$A$6:$A$205,$A119,'Skills Matrix'!$BE$6:$BE$205,3)+COUNTIFS('Skills Matrix'!$A$6:$A$205,$A119,'Skills Matrix'!$BF$6:$BF$205,3)+COUNTIFS('Skills Matrix'!$A$6:$A$205,$A119,'Skills Matrix'!$BG$6:$BG$205,3)+COUNTIFS('Skills Matrix'!$A$6:$A$205,$A119,'Skills Matrix'!$BH$6:$BH$205,3)</f>
        <v>0</v>
      </c>
      <c r="G119" s="8">
        <f>COUNTIFS('Skills Matrix'!$A$6:$A$205,$A119,'Skills Matrix'!$BI$6:$BI$205,3)+COUNTIFS('Skills Matrix'!$A$6:$A$205,$A119,'Skills Matrix'!$BJ$6:$BJ$205,3)+COUNTIFS('Skills Matrix'!$A$6:$A$205,$A119,'Skills Matrix'!$BK$6:$BK$205,3)+COUNTIFS('Skills Matrix'!$A$6:$A$205,$A119,'Skills Matrix'!$BL$6:$BL$205,3)+COUNTIFS('Skills Matrix'!$A$6:$A$205,$A119,'Skills Matrix'!$BM$6:$BM$205,3)+COUNTIFS('Skills Matrix'!$A$6:$A$205,$A119,'Skills Matrix'!$BN$6:$BN$205,3)+COUNTIFS('Skills Matrix'!$A$6:$A$205,$A119,'Skills Matrix'!$BO$6:$BO$205,3)+COUNTIFS('Skills Matrix'!$A$6:$A$205,$A119,'Skills Matrix'!$BP$6:$BP$205,3)+COUNTIFS('Skills Matrix'!$A$6:$A$205,$A119,'Skills Matrix'!$BQ$6:$BQ$205,3)+COUNTIFS('Skills Matrix'!$A$6:$A$205,$A119,'Skills Matrix'!$BR$6:$BR$205,3)+COUNTIFS('Skills Matrix'!$A$6:$A$205,$A119,'Skills Matrix'!$BS$6:$BS$205,3)+COUNTIFS('Skills Matrix'!$A$6:$A$205,$A119,'Skills Matrix'!$BT$6:$BT$205,3)+COUNTIFS('Skills Matrix'!$A$6:$A$205,$A119,'Skills Matrix'!$BU$6:$BU$205,3)+COUNTIFS('Skills Matrix'!$A$6:$A$205,$A119,'Skills Matrix'!$BV$6:$BV$205,3)+COUNTIFS('Skills Matrix'!$A$6:$A$205,$A119,'Skills Matrix'!$BW$6:$BW$205,3)+COUNTIFS('Skills Matrix'!$A$6:$A$205,$A119,'Skills Matrix'!$BX$6:$BX$205,3)+COUNTIFS('Skills Matrix'!$A$6:$A$205,$A119,'Skills Matrix'!$BY$6:$BY$205,3)</f>
        <v>0</v>
      </c>
      <c r="H119" s="8">
        <f>COUNTIFS('Skills Matrix'!$A$6:$A$205,$A119,'Skills Matrix'!$BZ$6:$BZ$205,3)+COUNTIFS('Skills Matrix'!$A$6:$A$205,$A119,'Skills Matrix'!$CA$6:$CA$205,3)+COUNTIFS('Skills Matrix'!$A$6:$A$205,$A119,'Skills Matrix'!$CB$6:$CB$205,3)+COUNTIFS('Skills Matrix'!$A$6:$A$205,$A119,'Skills Matrix'!$CC$6:$CC$205,3)+COUNTIFS('Skills Matrix'!$A$6:$A$205,$A119,'Skills Matrix'!$CD$6:$CD$205,3)+COUNTIFS('Skills Matrix'!$A$6:$A$205,$A119,'Skills Matrix'!$CE$6:$CE$205,3)+COUNTIFS('Skills Matrix'!$A$6:$A$205,$A119,'Skills Matrix'!$CF$6:$CF$205,3)+COUNTIFS('Skills Matrix'!$A$6:$A$205,$A119,'Skills Matrix'!$CG$6:$CG$205,3)+COUNTIFS('Skills Matrix'!$A$6:$A$205,$A119,'Skills Matrix'!$CH$6:$CH$205,3)</f>
        <v>0</v>
      </c>
      <c r="I119" s="8">
        <f>COUNTIFS('Skills Matrix'!$A$6:$A$205,$A119,'Skills Matrix'!$CI$6:$CI$205,3)+COUNTIFS('Skills Matrix'!$A$6:$A$205,$A119,'Skills Matrix'!$CJ$6:$CJ$205,3)+COUNTIFS('Skills Matrix'!$A$6:$A$205,$A119,'Skills Matrix'!$CK$6:$CK$205,3)+COUNTIFS('Skills Matrix'!$A$6:$A$205,$A119,'Skills Matrix'!$CL$6:$CL$205,3)+COUNTIFS('Skills Matrix'!$A$6:$A$205,$A119,'Skills Matrix'!$CM$6:$CM$205,3)+COUNTIFS('Skills Matrix'!$A$6:$A$205,$A119,'Skills Matrix'!$CN$6:$CN$205,3)+COUNTIFS('Skills Matrix'!$A$6:$A$205,$A119,'Skills Matrix'!$CO$6:$CO$205,3)+COUNTIFS('Skills Matrix'!$A$6:$A$205,$A119,'Skills Matrix'!$CP$6:$CP$205,3)+COUNTIFS('Skills Matrix'!$A$6:$A$205,$A119,'Skills Matrix'!$CQ$6:$CQ$205,3)+COUNTIFS('Skills Matrix'!$A$6:$A$205,$A119,'Skills Matrix'!$CR$6:$CR$205,3)+COUNTIFS('Skills Matrix'!$A$6:$A$205,$A119,'Skills Matrix'!$CS$6:$CS$205,3)+COUNTIFS('Skills Matrix'!$A$6:$A$205,$A119,'Skills Matrix'!$CT$6:$CT$205,3)+COUNTIFS('Skills Matrix'!$A$6:$A$205,$A119,'Skills Matrix'!$CU$6:$CU$205,3)+COUNTIFS('Skills Matrix'!$A$6:$A$205,$A119,'Skills Matrix'!$CV$6:$CV$205,3)+COUNTIFS('Skills Matrix'!$A$6:$A$205,$A119,'Skills Matrix'!$CW$6:$CW$205,3)+COUNTIFS('Skills Matrix'!$A$6:$A$205,$A119,'Skills Matrix'!$CX$6:$CX$205,3)+COUNTIFS('Skills Matrix'!$A$6:$A$205,$A119,'Skills Matrix'!$CY$6:$CY$205,3)+COUNTIFS('Skills Matrix'!$A$6:$A$205,$A119,'Skills Matrix'!$CZ$6:$CZ$205,3)+COUNTIFS('Skills Matrix'!$A$6:$A$205,$A119,'Skills Matrix'!$DA$6:$DA$205,3)+COUNTIFS('Skills Matrix'!$A$6:$A$205,$A119,'Skills Matrix'!$DB$6:$DB$205,3)+COUNTIFS('Skills Matrix'!$A$6:$A$205,$A119,'Skills Matrix'!$DC$6:$DC$205,3)</f>
        <v>0</v>
      </c>
      <c r="J119" s="8">
        <f>0</f>
        <v>0</v>
      </c>
      <c r="K119" s="8">
        <f>COUNTIFS('Skills Matrix'!$A$6:$A$205,$A119,'Skills Matrix'!$DD$6:$DD$205,3)+COUNTIFS('Skills Matrix'!$A$6:$A$205,$A119,'Skills Matrix'!$DE$6:$DE$205,3)</f>
        <v>0</v>
      </c>
    </row>
    <row r="120" spans="1:11">
      <c r="A120" s="23" t="s">
        <v>311</v>
      </c>
      <c r="B120" s="8">
        <f>COUNTIFS('Skills Matrix'!$A$6:$A$205,$A120,'Skills Matrix'!$G$6:$G$205,3)+COUNTIFS('Skills Matrix'!$A$6:$A$205,$A120,'Skills Matrix'!$H$6:$H$205,3)+COUNTIFS('Skills Matrix'!$A$6:$A$205,$A120,'Skills Matrix'!$I$6:$I$205,3)+COUNTIFS('Skills Matrix'!$A$6:$A$205,$A120,'Skills Matrix'!$J$6:$J$205,3)+COUNTIFS('Skills Matrix'!$A$6:$A$205,$A120,'Skills Matrix'!$K$6:$K$205,3)+COUNTIFS('Skills Matrix'!$A$6:$A$205,$A120,'Skills Matrix'!$L$6:$L$205,3)+COUNTIFS('Skills Matrix'!$A$6:$A$205,$A120,'Skills Matrix'!$M$6:$M$205,3)+COUNTIFS('Skills Matrix'!$A$6:$A$205,$A120,'Skills Matrix'!$N$6:$N$205,3)+COUNTIFS('Skills Matrix'!$A$6:$A$205,$A120,'Skills Matrix'!$O$6:$O$205,3)+COUNTIFS('Skills Matrix'!$A$6:$A$205,$A120,'Skills Matrix'!$P$6:$P$205,3)+COUNTIFS('Skills Matrix'!$A$6:$A$205,$A120,'Skills Matrix'!$Q$6:$Q$205,3)+COUNTIFS('Skills Matrix'!$A$6:$A$205,$A120,'Skills Matrix'!$R$6:$R$205,3)+COUNTIFS('Skills Matrix'!$A$6:$A$205,$A120,'Skills Matrix'!$S$6:$S$205,3)+COUNTIFS('Skills Matrix'!$A$6:$A$205,$A120,'Skills Matrix'!$T$6:$T$205,3)+COUNTIFS('Skills Matrix'!$A$6:$A$205,$A120,'Skills Matrix'!$U$6:$U$205,3)+COUNTIFS('Skills Matrix'!$A$6:$A$205,$A120,'Skills Matrix'!$V$6:$V$205,3)</f>
        <v>0</v>
      </c>
      <c r="C120" s="8">
        <f>COUNTIFS('Skills Matrix'!$A$6:$A$205,$A120,'Skills Matrix'!$W$6:$W$205,3)+COUNTIFS('Skills Matrix'!$A$6:$A$205,$A120,'Skills Matrix'!$X$6:$X$205,3)+COUNTIFS('Skills Matrix'!$A$6:$A$205,$A120,'Skills Matrix'!$Y$6:$Y$205,3)+COUNTIFS('Skills Matrix'!$A$6:$A$205,$A120,'Skills Matrix'!$Z$6:$Z$205,3)+COUNTIFS('Skills Matrix'!$A$6:$A$205,$A120,'Skills Matrix'!$AA$6:$AA$205,3)+COUNTIFS('Skills Matrix'!$A$6:$A$205,$A120,'Skills Matrix'!$AB$6:$AB$205,3)+COUNTIFS('Skills Matrix'!$A$6:$A$205,$A120,'Skills Matrix'!$AC$6:$AC$205,3)+COUNTIFS('Skills Matrix'!$A$6:$A$205,$A120,'Skills Matrix'!$AD$6:$AD$205,3)+COUNTIFS('Skills Matrix'!$A$6:$A$205,$A120,'Skills Matrix'!$AE$6:$AE$205,3)+COUNTIFS('Skills Matrix'!$A$6:$A$205,$A120,'Skills Matrix'!$AF$6:$AF$205,3)+COUNTIFS('Skills Matrix'!$A$6:$A$205,$A120,'Skills Matrix'!$AG$6:$AG$205,3)+COUNTIFS('Skills Matrix'!$A$6:$A$205,$A120,'Skills Matrix'!$AH$6:$AH$205,3)+COUNTIFS('Skills Matrix'!$A$6:$A$205,$A120,'Skills Matrix'!$AI$6:$AI$205,3)+COUNTIFS('Skills Matrix'!$A$6:$A$205,$A120,'Skills Matrix'!$AJ$6:$AJ$205,3)</f>
        <v>0</v>
      </c>
      <c r="D120" s="8">
        <f>COUNTIFS('Skills Matrix'!$A$6:$A$205,$A120,'Skills Matrix'!$AK$6:$AK$205,3)+COUNTIFS('Skills Matrix'!$A$6:$A$205,$A120,'Skills Matrix'!$AL$6:$AL$205,3)+COUNTIFS('Skills Matrix'!$A$6:$A$205,$A120,'Skills Matrix'!$AM$6:$AM$205,3)+COUNTIFS('Skills Matrix'!$A$6:$A$205,$A120,'Skills Matrix'!$AN$6:$AN$205,3)+COUNTIFS('Skills Matrix'!$A$6:$A$205,$A120,'Skills Matrix'!$AO$6:$AO$205,3)+COUNTIFS('Skills Matrix'!$A$6:$A$205,$A120,'Skills Matrix'!$AP$6:$AP$205,3)+COUNTIFS('Skills Matrix'!$A$6:$A$205,$A120,'Skills Matrix'!$AQ$6:$AQ$205,3)+COUNTIFS('Skills Matrix'!$A$6:$A$205,$A120,'Skills Matrix'!$AR$6:$AR$205,3)+COUNTIFS('Skills Matrix'!$A$6:$A$205,$A120,'Skills Matrix'!$AS$6:$AS$205,3)</f>
        <v>0</v>
      </c>
      <c r="E120" s="8">
        <f>COUNTIFS('Skills Matrix'!$A$6:$A$205,$A120,'Skills Matrix'!$AT$6:$AT$205,3)+COUNTIFS('Skills Matrix'!$A$6:$A$205,$A120,'Skills Matrix'!$AU$6:$AU$205,3)+COUNTIFS('Skills Matrix'!$A$6:$A$205,$A120,'Skills Matrix'!$AV$6:$AV$205,3)+COUNTIFS('Skills Matrix'!$A$6:$A$205,$A120,'Skills Matrix'!$AW$6:$AW$205,3)+COUNTIFS('Skills Matrix'!$A$6:$A$205,$A120,'Skills Matrix'!$AX$6:$AX$205,3)+COUNTIFS('Skills Matrix'!$A$6:$A$205,$A120,'Skills Matrix'!$AY$6:$AY$205,3)+COUNTIFS('Skills Matrix'!$A$6:$A$205,$A120,'Skills Matrix'!$AZ$6:$AZ$205,3)+COUNTIFS('Skills Matrix'!$A$6:$A$205,$A120,'Skills Matrix'!$BA$6:$BA$205,3)</f>
        <v>0</v>
      </c>
      <c r="F120" s="8">
        <f>COUNTIFS('Skills Matrix'!$A$6:$A$205,$A120,'Skills Matrix'!$BB$6:$BB$205,3)+COUNTIFS('Skills Matrix'!$A$6:$A$205,$A120,'Skills Matrix'!$BC$6:$BC$205,3)+COUNTIFS('Skills Matrix'!$A$6:$A$205,$A120,'Skills Matrix'!$BD$6:$BD$205,3)+COUNTIFS('Skills Matrix'!$A$6:$A$205,$A120,'Skills Matrix'!$BE$6:$BE$205,3)+COUNTIFS('Skills Matrix'!$A$6:$A$205,$A120,'Skills Matrix'!$BF$6:$BF$205,3)+COUNTIFS('Skills Matrix'!$A$6:$A$205,$A120,'Skills Matrix'!$BG$6:$BG$205,3)+COUNTIFS('Skills Matrix'!$A$6:$A$205,$A120,'Skills Matrix'!$BH$6:$BH$205,3)</f>
        <v>0</v>
      </c>
      <c r="G120" s="8">
        <f>COUNTIFS('Skills Matrix'!$A$6:$A$205,$A120,'Skills Matrix'!$BI$6:$BI$205,3)+COUNTIFS('Skills Matrix'!$A$6:$A$205,$A120,'Skills Matrix'!$BJ$6:$BJ$205,3)+COUNTIFS('Skills Matrix'!$A$6:$A$205,$A120,'Skills Matrix'!$BK$6:$BK$205,3)+COUNTIFS('Skills Matrix'!$A$6:$A$205,$A120,'Skills Matrix'!$BL$6:$BL$205,3)+COUNTIFS('Skills Matrix'!$A$6:$A$205,$A120,'Skills Matrix'!$BM$6:$BM$205,3)+COUNTIFS('Skills Matrix'!$A$6:$A$205,$A120,'Skills Matrix'!$BN$6:$BN$205,3)+COUNTIFS('Skills Matrix'!$A$6:$A$205,$A120,'Skills Matrix'!$BO$6:$BO$205,3)+COUNTIFS('Skills Matrix'!$A$6:$A$205,$A120,'Skills Matrix'!$BP$6:$BP$205,3)+COUNTIFS('Skills Matrix'!$A$6:$A$205,$A120,'Skills Matrix'!$BQ$6:$BQ$205,3)+COUNTIFS('Skills Matrix'!$A$6:$A$205,$A120,'Skills Matrix'!$BR$6:$BR$205,3)+COUNTIFS('Skills Matrix'!$A$6:$A$205,$A120,'Skills Matrix'!$BS$6:$BS$205,3)+COUNTIFS('Skills Matrix'!$A$6:$A$205,$A120,'Skills Matrix'!$BT$6:$BT$205,3)+COUNTIFS('Skills Matrix'!$A$6:$A$205,$A120,'Skills Matrix'!$BU$6:$BU$205,3)+COUNTIFS('Skills Matrix'!$A$6:$A$205,$A120,'Skills Matrix'!$BV$6:$BV$205,3)+COUNTIFS('Skills Matrix'!$A$6:$A$205,$A120,'Skills Matrix'!$BW$6:$BW$205,3)+COUNTIFS('Skills Matrix'!$A$6:$A$205,$A120,'Skills Matrix'!$BX$6:$BX$205,3)+COUNTIFS('Skills Matrix'!$A$6:$A$205,$A120,'Skills Matrix'!$BY$6:$BY$205,3)</f>
        <v>0</v>
      </c>
      <c r="H120" s="8">
        <f>COUNTIFS('Skills Matrix'!$A$6:$A$205,$A120,'Skills Matrix'!$BZ$6:$BZ$205,3)+COUNTIFS('Skills Matrix'!$A$6:$A$205,$A120,'Skills Matrix'!$CA$6:$CA$205,3)+COUNTIFS('Skills Matrix'!$A$6:$A$205,$A120,'Skills Matrix'!$CB$6:$CB$205,3)+COUNTIFS('Skills Matrix'!$A$6:$A$205,$A120,'Skills Matrix'!$CC$6:$CC$205,3)+COUNTIFS('Skills Matrix'!$A$6:$A$205,$A120,'Skills Matrix'!$CD$6:$CD$205,3)+COUNTIFS('Skills Matrix'!$A$6:$A$205,$A120,'Skills Matrix'!$CE$6:$CE$205,3)+COUNTIFS('Skills Matrix'!$A$6:$A$205,$A120,'Skills Matrix'!$CF$6:$CF$205,3)+COUNTIFS('Skills Matrix'!$A$6:$A$205,$A120,'Skills Matrix'!$CG$6:$CG$205,3)+COUNTIFS('Skills Matrix'!$A$6:$A$205,$A120,'Skills Matrix'!$CH$6:$CH$205,3)</f>
        <v>0</v>
      </c>
      <c r="I120" s="8">
        <f>COUNTIFS('Skills Matrix'!$A$6:$A$205,$A120,'Skills Matrix'!$CI$6:$CI$205,3)+COUNTIFS('Skills Matrix'!$A$6:$A$205,$A120,'Skills Matrix'!$CJ$6:$CJ$205,3)+COUNTIFS('Skills Matrix'!$A$6:$A$205,$A120,'Skills Matrix'!$CK$6:$CK$205,3)+COUNTIFS('Skills Matrix'!$A$6:$A$205,$A120,'Skills Matrix'!$CL$6:$CL$205,3)+COUNTIFS('Skills Matrix'!$A$6:$A$205,$A120,'Skills Matrix'!$CM$6:$CM$205,3)+COUNTIFS('Skills Matrix'!$A$6:$A$205,$A120,'Skills Matrix'!$CN$6:$CN$205,3)+COUNTIFS('Skills Matrix'!$A$6:$A$205,$A120,'Skills Matrix'!$CO$6:$CO$205,3)+COUNTIFS('Skills Matrix'!$A$6:$A$205,$A120,'Skills Matrix'!$CP$6:$CP$205,3)+COUNTIFS('Skills Matrix'!$A$6:$A$205,$A120,'Skills Matrix'!$CQ$6:$CQ$205,3)+COUNTIFS('Skills Matrix'!$A$6:$A$205,$A120,'Skills Matrix'!$CR$6:$CR$205,3)+COUNTIFS('Skills Matrix'!$A$6:$A$205,$A120,'Skills Matrix'!$CS$6:$CS$205,3)+COUNTIFS('Skills Matrix'!$A$6:$A$205,$A120,'Skills Matrix'!$CT$6:$CT$205,3)+COUNTIFS('Skills Matrix'!$A$6:$A$205,$A120,'Skills Matrix'!$CU$6:$CU$205,3)+COUNTIFS('Skills Matrix'!$A$6:$A$205,$A120,'Skills Matrix'!$CV$6:$CV$205,3)+COUNTIFS('Skills Matrix'!$A$6:$A$205,$A120,'Skills Matrix'!$CW$6:$CW$205,3)+COUNTIFS('Skills Matrix'!$A$6:$A$205,$A120,'Skills Matrix'!$CX$6:$CX$205,3)+COUNTIFS('Skills Matrix'!$A$6:$A$205,$A120,'Skills Matrix'!$CY$6:$CY$205,3)+COUNTIFS('Skills Matrix'!$A$6:$A$205,$A120,'Skills Matrix'!$CZ$6:$CZ$205,3)+COUNTIFS('Skills Matrix'!$A$6:$A$205,$A120,'Skills Matrix'!$DA$6:$DA$205,3)+COUNTIFS('Skills Matrix'!$A$6:$A$205,$A120,'Skills Matrix'!$DB$6:$DB$205,3)+COUNTIFS('Skills Matrix'!$A$6:$A$205,$A120,'Skills Matrix'!$DC$6:$DC$205,3)</f>
        <v>0</v>
      </c>
      <c r="J120" s="8">
        <f>0</f>
        <v>0</v>
      </c>
      <c r="K120" s="8">
        <f>COUNTIFS('Skills Matrix'!$A$6:$A$205,$A120,'Skills Matrix'!$DD$6:$DD$205,3)+COUNTIFS('Skills Matrix'!$A$6:$A$205,$A120,'Skills Matrix'!$DE$6:$DE$205,3)</f>
        <v>0</v>
      </c>
    </row>
    <row r="121" spans="1:11">
      <c r="A121" s="23" t="s">
        <v>312</v>
      </c>
      <c r="B121" s="8">
        <f>COUNTIFS('Skills Matrix'!$A$6:$A$205,$A121,'Skills Matrix'!$G$6:$G$205,3)+COUNTIFS('Skills Matrix'!$A$6:$A$205,$A121,'Skills Matrix'!$H$6:$H$205,3)+COUNTIFS('Skills Matrix'!$A$6:$A$205,$A121,'Skills Matrix'!$I$6:$I$205,3)+COUNTIFS('Skills Matrix'!$A$6:$A$205,$A121,'Skills Matrix'!$J$6:$J$205,3)+COUNTIFS('Skills Matrix'!$A$6:$A$205,$A121,'Skills Matrix'!$K$6:$K$205,3)+COUNTIFS('Skills Matrix'!$A$6:$A$205,$A121,'Skills Matrix'!$L$6:$L$205,3)+COUNTIFS('Skills Matrix'!$A$6:$A$205,$A121,'Skills Matrix'!$M$6:$M$205,3)+COUNTIFS('Skills Matrix'!$A$6:$A$205,$A121,'Skills Matrix'!$N$6:$N$205,3)+COUNTIFS('Skills Matrix'!$A$6:$A$205,$A121,'Skills Matrix'!$O$6:$O$205,3)+COUNTIFS('Skills Matrix'!$A$6:$A$205,$A121,'Skills Matrix'!$P$6:$P$205,3)+COUNTIFS('Skills Matrix'!$A$6:$A$205,$A121,'Skills Matrix'!$Q$6:$Q$205,3)+COUNTIFS('Skills Matrix'!$A$6:$A$205,$A121,'Skills Matrix'!$R$6:$R$205,3)+COUNTIFS('Skills Matrix'!$A$6:$A$205,$A121,'Skills Matrix'!$S$6:$S$205,3)+COUNTIFS('Skills Matrix'!$A$6:$A$205,$A121,'Skills Matrix'!$T$6:$T$205,3)+COUNTIFS('Skills Matrix'!$A$6:$A$205,$A121,'Skills Matrix'!$U$6:$U$205,3)+COUNTIFS('Skills Matrix'!$A$6:$A$205,$A121,'Skills Matrix'!$V$6:$V$205,3)</f>
        <v>0</v>
      </c>
      <c r="C121" s="8">
        <f>COUNTIFS('Skills Matrix'!$A$6:$A$205,$A121,'Skills Matrix'!$W$6:$W$205,3)+COUNTIFS('Skills Matrix'!$A$6:$A$205,$A121,'Skills Matrix'!$X$6:$X$205,3)+COUNTIFS('Skills Matrix'!$A$6:$A$205,$A121,'Skills Matrix'!$Y$6:$Y$205,3)+COUNTIFS('Skills Matrix'!$A$6:$A$205,$A121,'Skills Matrix'!$Z$6:$Z$205,3)+COUNTIFS('Skills Matrix'!$A$6:$A$205,$A121,'Skills Matrix'!$AA$6:$AA$205,3)+COUNTIFS('Skills Matrix'!$A$6:$A$205,$A121,'Skills Matrix'!$AB$6:$AB$205,3)+COUNTIFS('Skills Matrix'!$A$6:$A$205,$A121,'Skills Matrix'!$AC$6:$AC$205,3)+COUNTIFS('Skills Matrix'!$A$6:$A$205,$A121,'Skills Matrix'!$AD$6:$AD$205,3)+COUNTIFS('Skills Matrix'!$A$6:$A$205,$A121,'Skills Matrix'!$AE$6:$AE$205,3)+COUNTIFS('Skills Matrix'!$A$6:$A$205,$A121,'Skills Matrix'!$AF$6:$AF$205,3)+COUNTIFS('Skills Matrix'!$A$6:$A$205,$A121,'Skills Matrix'!$AG$6:$AG$205,3)+COUNTIFS('Skills Matrix'!$A$6:$A$205,$A121,'Skills Matrix'!$AH$6:$AH$205,3)+COUNTIFS('Skills Matrix'!$A$6:$A$205,$A121,'Skills Matrix'!$AI$6:$AI$205,3)+COUNTIFS('Skills Matrix'!$A$6:$A$205,$A121,'Skills Matrix'!$AJ$6:$AJ$205,3)</f>
        <v>0</v>
      </c>
      <c r="D121" s="8">
        <f>COUNTIFS('Skills Matrix'!$A$6:$A$205,$A121,'Skills Matrix'!$AK$6:$AK$205,3)+COUNTIFS('Skills Matrix'!$A$6:$A$205,$A121,'Skills Matrix'!$AL$6:$AL$205,3)+COUNTIFS('Skills Matrix'!$A$6:$A$205,$A121,'Skills Matrix'!$AM$6:$AM$205,3)+COUNTIFS('Skills Matrix'!$A$6:$A$205,$A121,'Skills Matrix'!$AN$6:$AN$205,3)+COUNTIFS('Skills Matrix'!$A$6:$A$205,$A121,'Skills Matrix'!$AO$6:$AO$205,3)+COUNTIFS('Skills Matrix'!$A$6:$A$205,$A121,'Skills Matrix'!$AP$6:$AP$205,3)+COUNTIFS('Skills Matrix'!$A$6:$A$205,$A121,'Skills Matrix'!$AQ$6:$AQ$205,3)+COUNTIFS('Skills Matrix'!$A$6:$A$205,$A121,'Skills Matrix'!$AR$6:$AR$205,3)+COUNTIFS('Skills Matrix'!$A$6:$A$205,$A121,'Skills Matrix'!$AS$6:$AS$205,3)</f>
        <v>0</v>
      </c>
      <c r="E121" s="8">
        <f>COUNTIFS('Skills Matrix'!$A$6:$A$205,$A121,'Skills Matrix'!$AT$6:$AT$205,3)+COUNTIFS('Skills Matrix'!$A$6:$A$205,$A121,'Skills Matrix'!$AU$6:$AU$205,3)+COUNTIFS('Skills Matrix'!$A$6:$A$205,$A121,'Skills Matrix'!$AV$6:$AV$205,3)+COUNTIFS('Skills Matrix'!$A$6:$A$205,$A121,'Skills Matrix'!$AW$6:$AW$205,3)+COUNTIFS('Skills Matrix'!$A$6:$A$205,$A121,'Skills Matrix'!$AX$6:$AX$205,3)+COUNTIFS('Skills Matrix'!$A$6:$A$205,$A121,'Skills Matrix'!$AY$6:$AY$205,3)+COUNTIFS('Skills Matrix'!$A$6:$A$205,$A121,'Skills Matrix'!$AZ$6:$AZ$205,3)+COUNTIFS('Skills Matrix'!$A$6:$A$205,$A121,'Skills Matrix'!$BA$6:$BA$205,3)</f>
        <v>0</v>
      </c>
      <c r="F121" s="8">
        <f>COUNTIFS('Skills Matrix'!$A$6:$A$205,$A121,'Skills Matrix'!$BB$6:$BB$205,3)+COUNTIFS('Skills Matrix'!$A$6:$A$205,$A121,'Skills Matrix'!$BC$6:$BC$205,3)+COUNTIFS('Skills Matrix'!$A$6:$A$205,$A121,'Skills Matrix'!$BD$6:$BD$205,3)+COUNTIFS('Skills Matrix'!$A$6:$A$205,$A121,'Skills Matrix'!$BE$6:$BE$205,3)+COUNTIFS('Skills Matrix'!$A$6:$A$205,$A121,'Skills Matrix'!$BF$6:$BF$205,3)+COUNTIFS('Skills Matrix'!$A$6:$A$205,$A121,'Skills Matrix'!$BG$6:$BG$205,3)+COUNTIFS('Skills Matrix'!$A$6:$A$205,$A121,'Skills Matrix'!$BH$6:$BH$205,3)</f>
        <v>0</v>
      </c>
      <c r="G121" s="8">
        <f>COUNTIFS('Skills Matrix'!$A$6:$A$205,$A121,'Skills Matrix'!$BI$6:$BI$205,3)+COUNTIFS('Skills Matrix'!$A$6:$A$205,$A121,'Skills Matrix'!$BJ$6:$BJ$205,3)+COUNTIFS('Skills Matrix'!$A$6:$A$205,$A121,'Skills Matrix'!$BK$6:$BK$205,3)+COUNTIFS('Skills Matrix'!$A$6:$A$205,$A121,'Skills Matrix'!$BL$6:$BL$205,3)+COUNTIFS('Skills Matrix'!$A$6:$A$205,$A121,'Skills Matrix'!$BM$6:$BM$205,3)+COUNTIFS('Skills Matrix'!$A$6:$A$205,$A121,'Skills Matrix'!$BN$6:$BN$205,3)+COUNTIFS('Skills Matrix'!$A$6:$A$205,$A121,'Skills Matrix'!$BO$6:$BO$205,3)+COUNTIFS('Skills Matrix'!$A$6:$A$205,$A121,'Skills Matrix'!$BP$6:$BP$205,3)+COUNTIFS('Skills Matrix'!$A$6:$A$205,$A121,'Skills Matrix'!$BQ$6:$BQ$205,3)+COUNTIFS('Skills Matrix'!$A$6:$A$205,$A121,'Skills Matrix'!$BR$6:$BR$205,3)+COUNTIFS('Skills Matrix'!$A$6:$A$205,$A121,'Skills Matrix'!$BS$6:$BS$205,3)+COUNTIFS('Skills Matrix'!$A$6:$A$205,$A121,'Skills Matrix'!$BT$6:$BT$205,3)+COUNTIFS('Skills Matrix'!$A$6:$A$205,$A121,'Skills Matrix'!$BU$6:$BU$205,3)+COUNTIFS('Skills Matrix'!$A$6:$A$205,$A121,'Skills Matrix'!$BV$6:$BV$205,3)+COUNTIFS('Skills Matrix'!$A$6:$A$205,$A121,'Skills Matrix'!$BW$6:$BW$205,3)+COUNTIFS('Skills Matrix'!$A$6:$A$205,$A121,'Skills Matrix'!$BX$6:$BX$205,3)+COUNTIFS('Skills Matrix'!$A$6:$A$205,$A121,'Skills Matrix'!$BY$6:$BY$205,3)</f>
        <v>0</v>
      </c>
      <c r="H121" s="8">
        <f>COUNTIFS('Skills Matrix'!$A$6:$A$205,$A121,'Skills Matrix'!$BZ$6:$BZ$205,3)+COUNTIFS('Skills Matrix'!$A$6:$A$205,$A121,'Skills Matrix'!$CA$6:$CA$205,3)+COUNTIFS('Skills Matrix'!$A$6:$A$205,$A121,'Skills Matrix'!$CB$6:$CB$205,3)+COUNTIFS('Skills Matrix'!$A$6:$A$205,$A121,'Skills Matrix'!$CC$6:$CC$205,3)+COUNTIFS('Skills Matrix'!$A$6:$A$205,$A121,'Skills Matrix'!$CD$6:$CD$205,3)+COUNTIFS('Skills Matrix'!$A$6:$A$205,$A121,'Skills Matrix'!$CE$6:$CE$205,3)+COUNTIFS('Skills Matrix'!$A$6:$A$205,$A121,'Skills Matrix'!$CF$6:$CF$205,3)+COUNTIFS('Skills Matrix'!$A$6:$A$205,$A121,'Skills Matrix'!$CG$6:$CG$205,3)+COUNTIFS('Skills Matrix'!$A$6:$A$205,$A121,'Skills Matrix'!$CH$6:$CH$205,3)</f>
        <v>0</v>
      </c>
      <c r="I121" s="8">
        <f>COUNTIFS('Skills Matrix'!$A$6:$A$205,$A121,'Skills Matrix'!$CI$6:$CI$205,3)+COUNTIFS('Skills Matrix'!$A$6:$A$205,$A121,'Skills Matrix'!$CJ$6:$CJ$205,3)+COUNTIFS('Skills Matrix'!$A$6:$A$205,$A121,'Skills Matrix'!$CK$6:$CK$205,3)+COUNTIFS('Skills Matrix'!$A$6:$A$205,$A121,'Skills Matrix'!$CL$6:$CL$205,3)+COUNTIFS('Skills Matrix'!$A$6:$A$205,$A121,'Skills Matrix'!$CM$6:$CM$205,3)+COUNTIFS('Skills Matrix'!$A$6:$A$205,$A121,'Skills Matrix'!$CN$6:$CN$205,3)+COUNTIFS('Skills Matrix'!$A$6:$A$205,$A121,'Skills Matrix'!$CO$6:$CO$205,3)+COUNTIFS('Skills Matrix'!$A$6:$A$205,$A121,'Skills Matrix'!$CP$6:$CP$205,3)+COUNTIFS('Skills Matrix'!$A$6:$A$205,$A121,'Skills Matrix'!$CQ$6:$CQ$205,3)+COUNTIFS('Skills Matrix'!$A$6:$A$205,$A121,'Skills Matrix'!$CR$6:$CR$205,3)+COUNTIFS('Skills Matrix'!$A$6:$A$205,$A121,'Skills Matrix'!$CS$6:$CS$205,3)+COUNTIFS('Skills Matrix'!$A$6:$A$205,$A121,'Skills Matrix'!$CT$6:$CT$205,3)+COUNTIFS('Skills Matrix'!$A$6:$A$205,$A121,'Skills Matrix'!$CU$6:$CU$205,3)+COUNTIFS('Skills Matrix'!$A$6:$A$205,$A121,'Skills Matrix'!$CV$6:$CV$205,3)+COUNTIFS('Skills Matrix'!$A$6:$A$205,$A121,'Skills Matrix'!$CW$6:$CW$205,3)+COUNTIFS('Skills Matrix'!$A$6:$A$205,$A121,'Skills Matrix'!$CX$6:$CX$205,3)+COUNTIFS('Skills Matrix'!$A$6:$A$205,$A121,'Skills Matrix'!$CY$6:$CY$205,3)+COUNTIFS('Skills Matrix'!$A$6:$A$205,$A121,'Skills Matrix'!$CZ$6:$CZ$205,3)+COUNTIFS('Skills Matrix'!$A$6:$A$205,$A121,'Skills Matrix'!$DA$6:$DA$205,3)+COUNTIFS('Skills Matrix'!$A$6:$A$205,$A121,'Skills Matrix'!$DB$6:$DB$205,3)+COUNTIFS('Skills Matrix'!$A$6:$A$205,$A121,'Skills Matrix'!$DC$6:$DC$205,3)</f>
        <v>0</v>
      </c>
      <c r="J121" s="8">
        <f>0</f>
        <v>0</v>
      </c>
      <c r="K121" s="8">
        <f>COUNTIFS('Skills Matrix'!$A$6:$A$205,$A121,'Skills Matrix'!$DD$6:$DD$205,3)+COUNTIFS('Skills Matrix'!$A$6:$A$205,$A121,'Skills Matrix'!$DE$6:$DE$205,3)</f>
        <v>0</v>
      </c>
    </row>
    <row r="122" spans="1:11">
      <c r="A122" s="23" t="s">
        <v>213</v>
      </c>
      <c r="B122" s="8">
        <f>COUNTIFS('Skills Matrix'!$A$6:$A$205,$A122,'Skills Matrix'!$G$6:$G$205,3)+COUNTIFS('Skills Matrix'!$A$6:$A$205,$A122,'Skills Matrix'!$H$6:$H$205,3)+COUNTIFS('Skills Matrix'!$A$6:$A$205,$A122,'Skills Matrix'!$I$6:$I$205,3)+COUNTIFS('Skills Matrix'!$A$6:$A$205,$A122,'Skills Matrix'!$J$6:$J$205,3)+COUNTIFS('Skills Matrix'!$A$6:$A$205,$A122,'Skills Matrix'!$K$6:$K$205,3)+COUNTIFS('Skills Matrix'!$A$6:$A$205,$A122,'Skills Matrix'!$L$6:$L$205,3)+COUNTIFS('Skills Matrix'!$A$6:$A$205,$A122,'Skills Matrix'!$M$6:$M$205,3)+COUNTIFS('Skills Matrix'!$A$6:$A$205,$A122,'Skills Matrix'!$N$6:$N$205,3)+COUNTIFS('Skills Matrix'!$A$6:$A$205,$A122,'Skills Matrix'!$O$6:$O$205,3)+COUNTIFS('Skills Matrix'!$A$6:$A$205,$A122,'Skills Matrix'!$P$6:$P$205,3)+COUNTIFS('Skills Matrix'!$A$6:$A$205,$A122,'Skills Matrix'!$Q$6:$Q$205,3)+COUNTIFS('Skills Matrix'!$A$6:$A$205,$A122,'Skills Matrix'!$R$6:$R$205,3)+COUNTIFS('Skills Matrix'!$A$6:$A$205,$A122,'Skills Matrix'!$S$6:$S$205,3)+COUNTIFS('Skills Matrix'!$A$6:$A$205,$A122,'Skills Matrix'!$T$6:$T$205,3)+COUNTIFS('Skills Matrix'!$A$6:$A$205,$A122,'Skills Matrix'!$U$6:$U$205,3)+COUNTIFS('Skills Matrix'!$A$6:$A$205,$A122,'Skills Matrix'!$V$6:$V$205,3)</f>
        <v>0</v>
      </c>
      <c r="C122" s="8">
        <f>COUNTIFS('Skills Matrix'!$A$6:$A$205,$A122,'Skills Matrix'!$W$6:$W$205,3)+COUNTIFS('Skills Matrix'!$A$6:$A$205,$A122,'Skills Matrix'!$X$6:$X$205,3)+COUNTIFS('Skills Matrix'!$A$6:$A$205,$A122,'Skills Matrix'!$Y$6:$Y$205,3)+COUNTIFS('Skills Matrix'!$A$6:$A$205,$A122,'Skills Matrix'!$Z$6:$Z$205,3)+COUNTIFS('Skills Matrix'!$A$6:$A$205,$A122,'Skills Matrix'!$AA$6:$AA$205,3)+COUNTIFS('Skills Matrix'!$A$6:$A$205,$A122,'Skills Matrix'!$AB$6:$AB$205,3)+COUNTIFS('Skills Matrix'!$A$6:$A$205,$A122,'Skills Matrix'!$AC$6:$AC$205,3)+COUNTIFS('Skills Matrix'!$A$6:$A$205,$A122,'Skills Matrix'!$AD$6:$AD$205,3)+COUNTIFS('Skills Matrix'!$A$6:$A$205,$A122,'Skills Matrix'!$AE$6:$AE$205,3)+COUNTIFS('Skills Matrix'!$A$6:$A$205,$A122,'Skills Matrix'!$AF$6:$AF$205,3)+COUNTIFS('Skills Matrix'!$A$6:$A$205,$A122,'Skills Matrix'!$AG$6:$AG$205,3)+COUNTIFS('Skills Matrix'!$A$6:$A$205,$A122,'Skills Matrix'!$AH$6:$AH$205,3)+COUNTIFS('Skills Matrix'!$A$6:$A$205,$A122,'Skills Matrix'!$AI$6:$AI$205,3)+COUNTIFS('Skills Matrix'!$A$6:$A$205,$A122,'Skills Matrix'!$AJ$6:$AJ$205,3)</f>
        <v>0</v>
      </c>
      <c r="D122" s="8">
        <f>COUNTIFS('Skills Matrix'!$A$6:$A$205,$A122,'Skills Matrix'!$AK$6:$AK$205,3)+COUNTIFS('Skills Matrix'!$A$6:$A$205,$A122,'Skills Matrix'!$AL$6:$AL$205,3)+COUNTIFS('Skills Matrix'!$A$6:$A$205,$A122,'Skills Matrix'!$AM$6:$AM$205,3)+COUNTIFS('Skills Matrix'!$A$6:$A$205,$A122,'Skills Matrix'!$AN$6:$AN$205,3)+COUNTIFS('Skills Matrix'!$A$6:$A$205,$A122,'Skills Matrix'!$AO$6:$AO$205,3)+COUNTIFS('Skills Matrix'!$A$6:$A$205,$A122,'Skills Matrix'!$AP$6:$AP$205,3)+COUNTIFS('Skills Matrix'!$A$6:$A$205,$A122,'Skills Matrix'!$AQ$6:$AQ$205,3)+COUNTIFS('Skills Matrix'!$A$6:$A$205,$A122,'Skills Matrix'!$AR$6:$AR$205,3)+COUNTIFS('Skills Matrix'!$A$6:$A$205,$A122,'Skills Matrix'!$AS$6:$AS$205,3)</f>
        <v>0</v>
      </c>
      <c r="E122" s="8">
        <f>COUNTIFS('Skills Matrix'!$A$6:$A$205,$A122,'Skills Matrix'!$AT$6:$AT$205,3)+COUNTIFS('Skills Matrix'!$A$6:$A$205,$A122,'Skills Matrix'!$AU$6:$AU$205,3)+COUNTIFS('Skills Matrix'!$A$6:$A$205,$A122,'Skills Matrix'!$AV$6:$AV$205,3)+COUNTIFS('Skills Matrix'!$A$6:$A$205,$A122,'Skills Matrix'!$AW$6:$AW$205,3)+COUNTIFS('Skills Matrix'!$A$6:$A$205,$A122,'Skills Matrix'!$AX$6:$AX$205,3)+COUNTIFS('Skills Matrix'!$A$6:$A$205,$A122,'Skills Matrix'!$AY$6:$AY$205,3)+COUNTIFS('Skills Matrix'!$A$6:$A$205,$A122,'Skills Matrix'!$AZ$6:$AZ$205,3)+COUNTIFS('Skills Matrix'!$A$6:$A$205,$A122,'Skills Matrix'!$BA$6:$BA$205,3)</f>
        <v>0</v>
      </c>
      <c r="F122" s="8">
        <f>COUNTIFS('Skills Matrix'!$A$6:$A$205,$A122,'Skills Matrix'!$BB$6:$BB$205,3)+COUNTIFS('Skills Matrix'!$A$6:$A$205,$A122,'Skills Matrix'!$BC$6:$BC$205,3)+COUNTIFS('Skills Matrix'!$A$6:$A$205,$A122,'Skills Matrix'!$BD$6:$BD$205,3)+COUNTIFS('Skills Matrix'!$A$6:$A$205,$A122,'Skills Matrix'!$BE$6:$BE$205,3)+COUNTIFS('Skills Matrix'!$A$6:$A$205,$A122,'Skills Matrix'!$BF$6:$BF$205,3)+COUNTIFS('Skills Matrix'!$A$6:$A$205,$A122,'Skills Matrix'!$BG$6:$BG$205,3)+COUNTIFS('Skills Matrix'!$A$6:$A$205,$A122,'Skills Matrix'!$BH$6:$BH$205,3)</f>
        <v>0</v>
      </c>
      <c r="G122" s="8">
        <f>COUNTIFS('Skills Matrix'!$A$6:$A$205,$A122,'Skills Matrix'!$BI$6:$BI$205,3)+COUNTIFS('Skills Matrix'!$A$6:$A$205,$A122,'Skills Matrix'!$BJ$6:$BJ$205,3)+COUNTIFS('Skills Matrix'!$A$6:$A$205,$A122,'Skills Matrix'!$BK$6:$BK$205,3)+COUNTIFS('Skills Matrix'!$A$6:$A$205,$A122,'Skills Matrix'!$BL$6:$BL$205,3)+COUNTIFS('Skills Matrix'!$A$6:$A$205,$A122,'Skills Matrix'!$BM$6:$BM$205,3)+COUNTIFS('Skills Matrix'!$A$6:$A$205,$A122,'Skills Matrix'!$BN$6:$BN$205,3)+COUNTIFS('Skills Matrix'!$A$6:$A$205,$A122,'Skills Matrix'!$BO$6:$BO$205,3)+COUNTIFS('Skills Matrix'!$A$6:$A$205,$A122,'Skills Matrix'!$BP$6:$BP$205,3)+COUNTIFS('Skills Matrix'!$A$6:$A$205,$A122,'Skills Matrix'!$BQ$6:$BQ$205,3)+COUNTIFS('Skills Matrix'!$A$6:$A$205,$A122,'Skills Matrix'!$BR$6:$BR$205,3)+COUNTIFS('Skills Matrix'!$A$6:$A$205,$A122,'Skills Matrix'!$BS$6:$BS$205,3)+COUNTIFS('Skills Matrix'!$A$6:$A$205,$A122,'Skills Matrix'!$BT$6:$BT$205,3)+COUNTIFS('Skills Matrix'!$A$6:$A$205,$A122,'Skills Matrix'!$BU$6:$BU$205,3)+COUNTIFS('Skills Matrix'!$A$6:$A$205,$A122,'Skills Matrix'!$BV$6:$BV$205,3)+COUNTIFS('Skills Matrix'!$A$6:$A$205,$A122,'Skills Matrix'!$BW$6:$BW$205,3)+COUNTIFS('Skills Matrix'!$A$6:$A$205,$A122,'Skills Matrix'!$BX$6:$BX$205,3)+COUNTIFS('Skills Matrix'!$A$6:$A$205,$A122,'Skills Matrix'!$BY$6:$BY$205,3)</f>
        <v>0</v>
      </c>
      <c r="H122" s="8">
        <f>COUNTIFS('Skills Matrix'!$A$6:$A$205,$A122,'Skills Matrix'!$BZ$6:$BZ$205,3)+COUNTIFS('Skills Matrix'!$A$6:$A$205,$A122,'Skills Matrix'!$CA$6:$CA$205,3)+COUNTIFS('Skills Matrix'!$A$6:$A$205,$A122,'Skills Matrix'!$CB$6:$CB$205,3)+COUNTIFS('Skills Matrix'!$A$6:$A$205,$A122,'Skills Matrix'!$CC$6:$CC$205,3)+COUNTIFS('Skills Matrix'!$A$6:$A$205,$A122,'Skills Matrix'!$CD$6:$CD$205,3)+COUNTIFS('Skills Matrix'!$A$6:$A$205,$A122,'Skills Matrix'!$CE$6:$CE$205,3)+COUNTIFS('Skills Matrix'!$A$6:$A$205,$A122,'Skills Matrix'!$CF$6:$CF$205,3)+COUNTIFS('Skills Matrix'!$A$6:$A$205,$A122,'Skills Matrix'!$CG$6:$CG$205,3)+COUNTIFS('Skills Matrix'!$A$6:$A$205,$A122,'Skills Matrix'!$CH$6:$CH$205,3)</f>
        <v>0</v>
      </c>
      <c r="I122" s="8">
        <f>COUNTIFS('Skills Matrix'!$A$6:$A$205,$A122,'Skills Matrix'!$CI$6:$CI$205,3)+COUNTIFS('Skills Matrix'!$A$6:$A$205,$A122,'Skills Matrix'!$CJ$6:$CJ$205,3)+COUNTIFS('Skills Matrix'!$A$6:$A$205,$A122,'Skills Matrix'!$CK$6:$CK$205,3)+COUNTIFS('Skills Matrix'!$A$6:$A$205,$A122,'Skills Matrix'!$CL$6:$CL$205,3)+COUNTIFS('Skills Matrix'!$A$6:$A$205,$A122,'Skills Matrix'!$CM$6:$CM$205,3)+COUNTIFS('Skills Matrix'!$A$6:$A$205,$A122,'Skills Matrix'!$CN$6:$CN$205,3)+COUNTIFS('Skills Matrix'!$A$6:$A$205,$A122,'Skills Matrix'!$CO$6:$CO$205,3)+COUNTIFS('Skills Matrix'!$A$6:$A$205,$A122,'Skills Matrix'!$CP$6:$CP$205,3)+COUNTIFS('Skills Matrix'!$A$6:$A$205,$A122,'Skills Matrix'!$CQ$6:$CQ$205,3)+COUNTIFS('Skills Matrix'!$A$6:$A$205,$A122,'Skills Matrix'!$CR$6:$CR$205,3)+COUNTIFS('Skills Matrix'!$A$6:$A$205,$A122,'Skills Matrix'!$CS$6:$CS$205,3)+COUNTIFS('Skills Matrix'!$A$6:$A$205,$A122,'Skills Matrix'!$CT$6:$CT$205,3)+COUNTIFS('Skills Matrix'!$A$6:$A$205,$A122,'Skills Matrix'!$CU$6:$CU$205,3)+COUNTIFS('Skills Matrix'!$A$6:$A$205,$A122,'Skills Matrix'!$CV$6:$CV$205,3)+COUNTIFS('Skills Matrix'!$A$6:$A$205,$A122,'Skills Matrix'!$CW$6:$CW$205,3)+COUNTIFS('Skills Matrix'!$A$6:$A$205,$A122,'Skills Matrix'!$CX$6:$CX$205,3)+COUNTIFS('Skills Matrix'!$A$6:$A$205,$A122,'Skills Matrix'!$CY$6:$CY$205,3)+COUNTIFS('Skills Matrix'!$A$6:$A$205,$A122,'Skills Matrix'!$CZ$6:$CZ$205,3)+COUNTIFS('Skills Matrix'!$A$6:$A$205,$A122,'Skills Matrix'!$DA$6:$DA$205,3)+COUNTIFS('Skills Matrix'!$A$6:$A$205,$A122,'Skills Matrix'!$DB$6:$DB$205,3)+COUNTIFS('Skills Matrix'!$A$6:$A$205,$A122,'Skills Matrix'!$DC$6:$DC$205,3)</f>
        <v>0</v>
      </c>
      <c r="J122" s="8">
        <f>0</f>
        <v>0</v>
      </c>
      <c r="K122" s="8">
        <f>COUNTIFS('Skills Matrix'!$A$6:$A$205,$A122,'Skills Matrix'!$DD$6:$DD$205,3)+COUNTIFS('Skills Matrix'!$A$6:$A$205,$A122,'Skills Matrix'!$DE$6:$DE$205,3)</f>
        <v>0</v>
      </c>
    </row>
    <row r="124" spans="1:11" ht="14.4" customHeight="1">
      <c r="A124" s="122" t="s">
        <v>369</v>
      </c>
      <c r="B124" s="67"/>
      <c r="C124" s="67"/>
      <c r="D124" s="67"/>
      <c r="E124" s="67"/>
      <c r="F124" s="67"/>
      <c r="G124" s="67"/>
      <c r="H124" s="67"/>
      <c r="I124" s="67"/>
      <c r="J124" s="67"/>
      <c r="K124" s="67"/>
    </row>
  </sheetData>
  <mergeCells count="54">
    <mergeCell ref="A111:K111"/>
    <mergeCell ref="H33:I33"/>
    <mergeCell ref="H34:I34"/>
    <mergeCell ref="H35:I35"/>
    <mergeCell ref="H42:I42"/>
    <mergeCell ref="H39:I39"/>
    <mergeCell ref="H40:I40"/>
    <mergeCell ref="H41:I41"/>
    <mergeCell ref="H38:I38"/>
    <mergeCell ref="H36:I36"/>
    <mergeCell ref="H37:I37"/>
    <mergeCell ref="A124:K124"/>
    <mergeCell ref="D28:I28"/>
    <mergeCell ref="B67:C67"/>
    <mergeCell ref="D4:F4"/>
    <mergeCell ref="A4:C4"/>
    <mergeCell ref="A62:I62"/>
    <mergeCell ref="D25:I25"/>
    <mergeCell ref="A7:B9"/>
    <mergeCell ref="D64:I64"/>
    <mergeCell ref="B29:C29"/>
    <mergeCell ref="D29:I29"/>
    <mergeCell ref="D67:I67"/>
    <mergeCell ref="A44:I44"/>
    <mergeCell ref="B28:C28"/>
    <mergeCell ref="H6:K6"/>
    <mergeCell ref="E7:G9"/>
    <mergeCell ref="A98:K98"/>
    <mergeCell ref="D66:I66"/>
    <mergeCell ref="B27:C27"/>
    <mergeCell ref="A1:K1"/>
    <mergeCell ref="A6:B6"/>
    <mergeCell ref="E6:G6"/>
    <mergeCell ref="A70:K70"/>
    <mergeCell ref="A69:K69"/>
    <mergeCell ref="A2:K2"/>
    <mergeCell ref="A31:I31"/>
    <mergeCell ref="D26:I26"/>
    <mergeCell ref="B65:C65"/>
    <mergeCell ref="A24:I24"/>
    <mergeCell ref="G4:K4"/>
    <mergeCell ref="D63:I63"/>
    <mergeCell ref="B64:C64"/>
    <mergeCell ref="D27:I27"/>
    <mergeCell ref="C6:D6"/>
    <mergeCell ref="B25:C25"/>
    <mergeCell ref="H7:K9"/>
    <mergeCell ref="B66:C66"/>
    <mergeCell ref="A11:I11"/>
    <mergeCell ref="D65:I65"/>
    <mergeCell ref="B63:C63"/>
    <mergeCell ref="B26:C26"/>
    <mergeCell ref="C7:D9"/>
    <mergeCell ref="H32:I32"/>
  </mergeCells>
  <conditionalFormatting sqref="B100:K109">
    <cfRule type="colorScale" priority="2">
      <colorScale>
        <cfvo type="min"/>
        <cfvo type="percentile" val="50"/>
        <cfvo type="max"/>
        <color rgb="FFFFFFFF"/>
        <color rgb="FFFFF2CC"/>
        <color rgb="FFFFC000"/>
      </colorScale>
    </cfRule>
  </conditionalFormatting>
  <conditionalFormatting sqref="B113:K122">
    <cfRule type="colorScale" priority="3">
      <colorScale>
        <cfvo type="min"/>
        <cfvo type="percentile" val="50"/>
        <cfvo type="max"/>
        <color rgb="FFFFFFFF"/>
        <color rgb="FFE2F0D9"/>
        <color rgb="FF00B050"/>
      </colorScale>
    </cfRule>
  </conditionalFormatting>
  <conditionalFormatting sqref="G13:G22">
    <cfRule type="cellIs" dxfId="18" priority="1" operator="greaterThan">
      <formula>0</formula>
    </cfRule>
  </conditionalFormatting>
  <dataValidations disablePrompts="1" count="1">
    <dataValidation type="list" sqref="D4" xr:uid="{00000000-0002-0000-0200-000000000000}">
      <formula1>SkillManagementViewCatalog</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9"/>
  <sheetViews>
    <sheetView showGridLines="0" workbookViewId="0">
      <selection activeCell="B20" sqref="B20"/>
    </sheetView>
  </sheetViews>
  <sheetFormatPr defaultRowHeight="13.8"/>
  <cols>
    <col min="1" max="1" width="28.8984375" customWidth="1"/>
    <col min="2" max="2" width="26.59765625" customWidth="1"/>
    <col min="3" max="3" width="13" customWidth="1"/>
    <col min="4" max="4" width="21.296875" customWidth="1"/>
    <col min="5" max="6" width="18" customWidth="1"/>
    <col min="7" max="7" width="20" customWidth="1"/>
    <col min="8" max="8" width="18" customWidth="1"/>
  </cols>
  <sheetData>
    <row r="1" spans="1:8" ht="25.95" customHeight="1">
      <c r="A1" s="83" t="s">
        <v>370</v>
      </c>
      <c r="B1" s="67"/>
      <c r="C1" s="67"/>
      <c r="D1" s="67"/>
      <c r="E1" s="67"/>
      <c r="F1" s="67"/>
      <c r="G1" s="67"/>
      <c r="H1" s="67"/>
    </row>
    <row r="2" spans="1:8" ht="24" customHeight="1">
      <c r="A2" s="131" t="s">
        <v>371</v>
      </c>
      <c r="B2" s="67"/>
      <c r="C2" s="67"/>
      <c r="D2" s="67"/>
      <c r="E2" s="67"/>
      <c r="F2" s="67"/>
      <c r="G2" s="67"/>
      <c r="H2" s="67"/>
    </row>
    <row r="4" spans="1:8">
      <c r="A4" s="73" t="s">
        <v>264</v>
      </c>
      <c r="B4" s="67"/>
      <c r="C4" s="97" t="s">
        <v>20</v>
      </c>
      <c r="D4" s="95"/>
      <c r="E4" s="95"/>
      <c r="F4" s="95"/>
      <c r="G4" s="95"/>
      <c r="H4" s="96"/>
    </row>
    <row r="6" spans="1:8">
      <c r="A6" s="20" t="s">
        <v>372</v>
      </c>
      <c r="B6" s="126" t="str">
        <f>$C$4</f>
        <v>Alex Bennett</v>
      </c>
      <c r="C6" s="114"/>
      <c r="D6" s="93"/>
      <c r="E6" s="25" t="s">
        <v>373</v>
      </c>
      <c r="F6" s="134" t="str">
        <f>IFERROR(INDEX(Lists!$A$4:$A$203,MATCH($C$4,Lists!$B$4:$B$203,0)),"")</f>
        <v>D1001</v>
      </c>
      <c r="G6" s="135"/>
      <c r="H6" s="136"/>
    </row>
    <row r="7" spans="1:8" ht="27.6" customHeight="1">
      <c r="A7" s="20" t="s">
        <v>374</v>
      </c>
      <c r="B7" s="126" t="str">
        <f>IFERROR(INDEX(Lists!$C$4:$C$203,MATCH($C$4,Lists!$B$4:$B$203,0)),"")</f>
        <v>Customer Support</v>
      </c>
      <c r="C7" s="93"/>
      <c r="D7" s="25" t="s">
        <v>271</v>
      </c>
      <c r="E7" s="60">
        <f>IFERROR(INDEX(Lists!$D$4:$D$203,MATCH($C$4,Lists!$B$4:$B$203,0)),"")</f>
        <v>1</v>
      </c>
      <c r="F7" s="127"/>
      <c r="G7" s="128"/>
      <c r="H7" s="129"/>
    </row>
    <row r="8" spans="1:8">
      <c r="A8" s="20" t="s">
        <v>375</v>
      </c>
      <c r="B8" s="126" t="str">
        <f>IFERROR(INDEX(Lists!$E$4:$E$203,MATCH($C$4,Lists!$B$4:$B$203,0)),"")</f>
        <v>Jordan Blake</v>
      </c>
      <c r="C8" s="114"/>
      <c r="D8" s="93"/>
      <c r="E8" s="25" t="s">
        <v>376</v>
      </c>
      <c r="F8" s="61">
        <f>IFERROR(INDEX(Lists!$F$4:$F$203,MATCH($C$4,Lists!$B$4:$B$203,0)),"")</f>
        <v>45355</v>
      </c>
      <c r="G8" s="62" t="s">
        <v>377</v>
      </c>
      <c r="H8" s="63" t="str">
        <f>IFERROR(INDEX(Lists!$G$4:$G$203,MATCH($C$4,Lists!$B$4:$B$203,0)),"")</f>
        <v>Active</v>
      </c>
    </row>
    <row r="9" spans="1:8">
      <c r="A9" s="137"/>
      <c r="B9" s="135"/>
      <c r="C9" s="135"/>
      <c r="D9" s="135"/>
      <c r="E9" s="135"/>
      <c r="F9" s="135"/>
      <c r="G9" s="135"/>
      <c r="H9" s="136"/>
    </row>
    <row r="10" spans="1:8">
      <c r="A10" s="73" t="s">
        <v>378</v>
      </c>
      <c r="B10" s="67"/>
      <c r="C10" s="73" t="s">
        <v>273</v>
      </c>
      <c r="D10" s="67"/>
      <c r="E10" s="73" t="s">
        <v>379</v>
      </c>
      <c r="F10" s="67"/>
      <c r="G10" s="73" t="s">
        <v>380</v>
      </c>
      <c r="H10" s="67"/>
    </row>
    <row r="11" spans="1:8">
      <c r="A11" s="123">
        <f>COUNT(Lists!$BV$4:$BV$108)</f>
        <v>7</v>
      </c>
      <c r="B11" s="86"/>
      <c r="C11" s="120">
        <f>COUNTIF(Lists!$BV$4:$BV$108,3)</f>
        <v>7</v>
      </c>
      <c r="D11" s="86"/>
      <c r="E11" s="97">
        <f>COUNTIF(Lists!$BV$4:$BV$108,1)+COUNTIF(Lists!$BV$4:$BV$108,2)</f>
        <v>0</v>
      </c>
      <c r="F11" s="86"/>
      <c r="G11" s="133">
        <f>COUNTIFS(Lists!$BV$4:$BV$108,"&gt;0",Lists!$BU$4:$BU$108,"&lt;&gt;"&amp;$B$7)</f>
        <v>2</v>
      </c>
      <c r="H11" s="86"/>
    </row>
    <row r="12" spans="1:8">
      <c r="A12" s="99"/>
      <c r="B12" s="87"/>
      <c r="C12" s="99"/>
      <c r="D12" s="87"/>
      <c r="E12" s="99"/>
      <c r="F12" s="87"/>
      <c r="G12" s="99"/>
      <c r="H12" s="87"/>
    </row>
    <row r="13" spans="1:8">
      <c r="A13" s="100"/>
      <c r="B13" s="89"/>
      <c r="C13" s="100"/>
      <c r="D13" s="89"/>
      <c r="E13" s="100"/>
      <c r="F13" s="89"/>
      <c r="G13" s="100"/>
      <c r="H13" s="89"/>
    </row>
    <row r="15" spans="1:8">
      <c r="A15" s="73" t="s">
        <v>381</v>
      </c>
      <c r="B15" s="67"/>
      <c r="C15" s="67"/>
      <c r="D15" s="67"/>
      <c r="E15" s="67"/>
      <c r="F15" s="67"/>
      <c r="G15" s="67"/>
      <c r="H15" s="67"/>
    </row>
    <row r="16" spans="1:8" ht="27.6" customHeight="1">
      <c r="A16" s="58" t="s">
        <v>382</v>
      </c>
      <c r="B16" s="58" t="s">
        <v>383</v>
      </c>
      <c r="C16" s="58" t="s">
        <v>384</v>
      </c>
      <c r="D16" s="58" t="s">
        <v>284</v>
      </c>
      <c r="E16" s="20" t="s">
        <v>385</v>
      </c>
      <c r="F16" s="58" t="s">
        <v>386</v>
      </c>
      <c r="G16" s="132" t="s">
        <v>285</v>
      </c>
      <c r="H16" s="93"/>
    </row>
    <row r="17" spans="1:8">
      <c r="A17" s="8" t="str">
        <f>IFERROR(INDEX(Lists!$BT$4:$BT$108,MATCH(1,Lists!$CA$4:$CA$108,0)),"")</f>
        <v>CRM Case Management</v>
      </c>
      <c r="B17" s="8" t="str">
        <f>IFERROR(INDEX(Lists!$BU$4:$BU$108,MATCH(1,Lists!$CA$4:$CA$108,0)),"")</f>
        <v>Customer Support</v>
      </c>
      <c r="C17" s="8">
        <f>IFERROR(INDEX(Lists!$BV$4:$BV$108,MATCH(1,Lists!$CA$4:$CA$108,0)),"")</f>
        <v>3</v>
      </c>
      <c r="D17" s="8" t="str">
        <f t="shared" ref="D17:D48" si="0">IF(C17=3,"Qualified",IF(C17=2,"Developing",IF(C17=1,"New / Needs Training","")))</f>
        <v>Qualified</v>
      </c>
      <c r="E17" s="10">
        <f>IFERROR(IF(INDEX(Lists!$BW$4:$BW$108,MATCH(1,Lists!$CA$4:$CA$108,0))=0,"",INDEX(Lists!$BW$4:$BW$108,MATCH(1,Lists!$CA$4:$CA$108,0))),"")</f>
        <v>46219</v>
      </c>
      <c r="F17" s="8" t="str">
        <f t="shared" ref="F17:F48" si="1">IF(A17="","",IF(B17=$B$7,"Home Department","Cross-Trained"))</f>
        <v>Home Department</v>
      </c>
      <c r="G17" s="91" t="str">
        <f>IFERROR(INDEX(Lists!$BY$4:$BY$108,MATCH(1,Lists!$CA$4:$CA$108,0)),"")</f>
        <v>No</v>
      </c>
      <c r="H17" s="71"/>
    </row>
    <row r="18" spans="1:8">
      <c r="A18" s="8" t="str">
        <f>IFERROR(INDEX(Lists!$BT$4:$BT$108,MATCH(2,Lists!$CA$4:$CA$108,0)),"")</f>
        <v>Customer Onboarding Workflow</v>
      </c>
      <c r="B18" s="8" t="str">
        <f>IFERROR(INDEX(Lists!$BU$4:$BU$108,MATCH(2,Lists!$CA$4:$CA$108,0)),"")</f>
        <v>Customer Support</v>
      </c>
      <c r="C18" s="8">
        <f>IFERROR(INDEX(Lists!$BV$4:$BV$108,MATCH(2,Lists!$CA$4:$CA$108,0)),"")</f>
        <v>3</v>
      </c>
      <c r="D18" s="8" t="str">
        <f t="shared" si="0"/>
        <v>Qualified</v>
      </c>
      <c r="E18" s="10">
        <f>IFERROR(IF(INDEX(Lists!$BW$4:$BW$108,MATCH(2,Lists!$CA$4:$CA$108,0))=0,"",INDEX(Lists!$BW$4:$BW$108,MATCH(2,Lists!$CA$4:$CA$108,0))),"")</f>
        <v>45674</v>
      </c>
      <c r="F18" s="8" t="str">
        <f t="shared" si="1"/>
        <v>Home Department</v>
      </c>
      <c r="G18" s="91" t="str">
        <f>IFERROR(INDEX(Lists!$BY$4:$BY$108,MATCH(2,Lists!$CA$4:$CA$108,0)),"")</f>
        <v>No</v>
      </c>
      <c r="H18" s="71"/>
    </row>
    <row r="19" spans="1:8">
      <c r="A19" s="8" t="str">
        <f>IFERROR(INDEX(Lists!$BT$4:$BT$108,MATCH(3,Lists!$CA$4:$CA$108,0)),"")</f>
        <v>Data Privacy Handling</v>
      </c>
      <c r="B19" s="8" t="str">
        <f>IFERROR(INDEX(Lists!$BU$4:$BU$108,MATCH(3,Lists!$CA$4:$CA$108,0)),"")</f>
        <v>Customer Support</v>
      </c>
      <c r="C19" s="8">
        <f>IFERROR(INDEX(Lists!$BV$4:$BV$108,MATCH(3,Lists!$CA$4:$CA$108,0)),"")</f>
        <v>3</v>
      </c>
      <c r="D19" s="8" t="str">
        <f t="shared" si="0"/>
        <v>Qualified</v>
      </c>
      <c r="E19" s="10">
        <f>IFERROR(IF(INDEX(Lists!$BW$4:$BW$108,MATCH(3,Lists!$CA$4:$CA$108,0))=0,"",INDEX(Lists!$BW$4:$BW$108,MATCH(3,Lists!$CA$4:$CA$108,0))),"")</f>
        <v>46125</v>
      </c>
      <c r="F19" s="8" t="str">
        <f t="shared" si="1"/>
        <v>Home Department</v>
      </c>
      <c r="G19" s="91" t="str">
        <f>IFERROR(INDEX(Lists!$BY$4:$BY$108,MATCH(3,Lists!$CA$4:$CA$108,0)),"")</f>
        <v>No</v>
      </c>
      <c r="H19" s="71"/>
    </row>
    <row r="20" spans="1:8">
      <c r="A20" s="8" t="str">
        <f>IFERROR(INDEX(Lists!$BT$4:$BT$108,MATCH(4,Lists!$CA$4:$CA$108,0)),"")</f>
        <v>Troubleshooting Fundamentals</v>
      </c>
      <c r="B20" s="8" t="str">
        <f>IFERROR(INDEX(Lists!$BU$4:$BU$108,MATCH(4,Lists!$CA$4:$CA$108,0)),"")</f>
        <v>Customer Support</v>
      </c>
      <c r="C20" s="8">
        <f>IFERROR(INDEX(Lists!$BV$4:$BV$108,MATCH(4,Lists!$CA$4:$CA$108,0)),"")</f>
        <v>3</v>
      </c>
      <c r="D20" s="8" t="str">
        <f t="shared" si="0"/>
        <v>Qualified</v>
      </c>
      <c r="E20" s="10">
        <f>IFERROR(IF(INDEX(Lists!$BW$4:$BW$108,MATCH(4,Lists!$CA$4:$CA$108,0))=0,"",INDEX(Lists!$BW$4:$BW$108,MATCH(4,Lists!$CA$4:$CA$108,0))),"")</f>
        <v>45919</v>
      </c>
      <c r="F20" s="8" t="str">
        <f t="shared" si="1"/>
        <v>Home Department</v>
      </c>
      <c r="G20" s="91" t="str">
        <f>IFERROR(INDEX(Lists!$BY$4:$BY$108,MATCH(4,Lists!$CA$4:$CA$108,0)),"")</f>
        <v>No</v>
      </c>
      <c r="H20" s="71"/>
    </row>
    <row r="21" spans="1:8">
      <c r="A21" s="8" t="str">
        <f>IFERROR(INDEX(Lists!$BT$4:$BT$108,MATCH(5,Lists!$CA$4:$CA$108,0)),"")</f>
        <v>Customer Configuration Support</v>
      </c>
      <c r="B21" s="8" t="str">
        <f>IFERROR(INDEX(Lists!$BU$4:$BU$108,MATCH(5,Lists!$CA$4:$CA$108,0)),"")</f>
        <v>Customer Support</v>
      </c>
      <c r="C21" s="8">
        <f>IFERROR(INDEX(Lists!$BV$4:$BV$108,MATCH(5,Lists!$CA$4:$CA$108,0)),"")</f>
        <v>3</v>
      </c>
      <c r="D21" s="8" t="str">
        <f t="shared" si="0"/>
        <v>Qualified</v>
      </c>
      <c r="E21" s="10">
        <f>IFERROR(IF(INDEX(Lists!$BW$4:$BW$108,MATCH(5,Lists!$CA$4:$CA$108,0))=0,"",INDEX(Lists!$BW$4:$BW$108,MATCH(5,Lists!$CA$4:$CA$108,0))),"")</f>
        <v>46208</v>
      </c>
      <c r="F21" s="8" t="str">
        <f t="shared" si="1"/>
        <v>Home Department</v>
      </c>
      <c r="G21" s="91" t="str">
        <f>IFERROR(INDEX(Lists!$BY$4:$BY$108,MATCH(5,Lists!$CA$4:$CA$108,0)),"")</f>
        <v>No</v>
      </c>
      <c r="H21" s="71"/>
    </row>
    <row r="22" spans="1:8">
      <c r="A22" s="8" t="str">
        <f>IFERROR(INDEX(Lists!$BT$4:$BT$108,MATCH(6,Lists!$CA$4:$CA$108,0)),"")</f>
        <v>Backup Validation</v>
      </c>
      <c r="B22" s="8" t="str">
        <f>IFERROR(INDEX(Lists!$BU$4:$BU$108,MATCH(6,Lists!$CA$4:$CA$108,0)),"")</f>
        <v>Cloud &amp; Reliability</v>
      </c>
      <c r="C22" s="8">
        <f>IFERROR(INDEX(Lists!$BV$4:$BV$108,MATCH(6,Lists!$CA$4:$CA$108,0)),"")</f>
        <v>3</v>
      </c>
      <c r="D22" s="8" t="str">
        <f t="shared" si="0"/>
        <v>Qualified</v>
      </c>
      <c r="E22" s="10">
        <f>IFERROR(IF(INDEX(Lists!$BW$4:$BW$108,MATCH(6,Lists!$CA$4:$CA$108,0))=0,"",INDEX(Lists!$BW$4:$BW$108,MATCH(6,Lists!$CA$4:$CA$108,0))),"")</f>
        <v>45832</v>
      </c>
      <c r="F22" s="8" t="str">
        <f t="shared" si="1"/>
        <v>Cross-Trained</v>
      </c>
      <c r="G22" s="91" t="str">
        <f>IFERROR(INDEX(Lists!$BY$4:$BY$108,MATCH(6,Lists!$CA$4:$CA$108,0)),"")</f>
        <v>Yes</v>
      </c>
      <c r="H22" s="71"/>
    </row>
    <row r="23" spans="1:8">
      <c r="A23" s="8" t="str">
        <f>IFERROR(INDEX(Lists!$BT$4:$BT$108,MATCH(7,Lists!$CA$4:$CA$108,0)),"")</f>
        <v>Data Privacy &amp; Acceptable Use</v>
      </c>
      <c r="B23" s="8" t="str">
        <f>IFERROR(INDEX(Lists!$BU$4:$BU$108,MATCH(7,Lists!$CA$4:$CA$108,0)),"")</f>
        <v>Compliance &amp; Core Training</v>
      </c>
      <c r="C23" s="8">
        <f>IFERROR(INDEX(Lists!$BV$4:$BV$108,MATCH(7,Lists!$CA$4:$CA$108,0)),"")</f>
        <v>3</v>
      </c>
      <c r="D23" s="8" t="str">
        <f t="shared" si="0"/>
        <v>Qualified</v>
      </c>
      <c r="E23" s="10">
        <f>IFERROR(IF(INDEX(Lists!$BW$4:$BW$108,MATCH(7,Lists!$CA$4:$CA$108,0))=0,"",INDEX(Lists!$BW$4:$BW$108,MATCH(7,Lists!$CA$4:$CA$108,0))),"")</f>
        <v>45868</v>
      </c>
      <c r="F23" s="8" t="str">
        <f t="shared" si="1"/>
        <v>Cross-Trained</v>
      </c>
      <c r="G23" s="91" t="str">
        <f>IFERROR(INDEX(Lists!$BY$4:$BY$108,MATCH(7,Lists!$CA$4:$CA$108,0)),"")</f>
        <v>Yes</v>
      </c>
      <c r="H23" s="71"/>
    </row>
    <row r="24" spans="1:8">
      <c r="A24" s="8" t="str">
        <f>IFERROR(INDEX(Lists!$BT$4:$BT$108,MATCH(8,Lists!$CA$4:$CA$108,0)),"")</f>
        <v/>
      </c>
      <c r="B24" s="8" t="str">
        <f>IFERROR(INDEX(Lists!$BU$4:$BU$108,MATCH(8,Lists!$CA$4:$CA$108,0)),"")</f>
        <v/>
      </c>
      <c r="C24" s="8" t="str">
        <f>IFERROR(INDEX(Lists!$BV$4:$BV$108,MATCH(8,Lists!$CA$4:$CA$108,0)),"")</f>
        <v/>
      </c>
      <c r="D24" s="8" t="str">
        <f t="shared" si="0"/>
        <v/>
      </c>
      <c r="E24" s="10" t="str">
        <f>IFERROR(IF(INDEX(Lists!$BW$4:$BW$108,MATCH(8,Lists!$CA$4:$CA$108,0))=0,"",INDEX(Lists!$BW$4:$BW$108,MATCH(8,Lists!$CA$4:$CA$108,0))),"")</f>
        <v/>
      </c>
      <c r="F24" s="8" t="str">
        <f t="shared" si="1"/>
        <v/>
      </c>
      <c r="G24" s="91" t="str">
        <f>IFERROR(INDEX(Lists!$BY$4:$BY$108,MATCH(8,Lists!$CA$4:$CA$108,0)),"")</f>
        <v/>
      </c>
      <c r="H24" s="71"/>
    </row>
    <row r="25" spans="1:8">
      <c r="A25" s="8" t="str">
        <f>IFERROR(INDEX(Lists!$BT$4:$BT$108,MATCH(9,Lists!$CA$4:$CA$108,0)),"")</f>
        <v/>
      </c>
      <c r="B25" s="8" t="str">
        <f>IFERROR(INDEX(Lists!$BU$4:$BU$108,MATCH(9,Lists!$CA$4:$CA$108,0)),"")</f>
        <v/>
      </c>
      <c r="C25" s="8" t="str">
        <f>IFERROR(INDEX(Lists!$BV$4:$BV$108,MATCH(9,Lists!$CA$4:$CA$108,0)),"")</f>
        <v/>
      </c>
      <c r="D25" s="8" t="str">
        <f t="shared" si="0"/>
        <v/>
      </c>
      <c r="E25" s="10" t="str">
        <f>IFERROR(IF(INDEX(Lists!$BW$4:$BW$108,MATCH(9,Lists!$CA$4:$CA$108,0))=0,"",INDEX(Lists!$BW$4:$BW$108,MATCH(9,Lists!$CA$4:$CA$108,0))),"")</f>
        <v/>
      </c>
      <c r="F25" s="8" t="str">
        <f t="shared" si="1"/>
        <v/>
      </c>
      <c r="G25" s="91" t="str">
        <f>IFERROR(INDEX(Lists!$BY$4:$BY$108,MATCH(9,Lists!$CA$4:$CA$108,0)),"")</f>
        <v/>
      </c>
      <c r="H25" s="71"/>
    </row>
    <row r="26" spans="1:8">
      <c r="A26" s="8" t="str">
        <f>IFERROR(INDEX(Lists!$BT$4:$BT$108,MATCH(10,Lists!$CA$4:$CA$108,0)),"")</f>
        <v/>
      </c>
      <c r="B26" s="8" t="str">
        <f>IFERROR(INDEX(Lists!$BU$4:$BU$108,MATCH(10,Lists!$CA$4:$CA$108,0)),"")</f>
        <v/>
      </c>
      <c r="C26" s="8" t="str">
        <f>IFERROR(INDEX(Lists!$BV$4:$BV$108,MATCH(10,Lists!$CA$4:$CA$108,0)),"")</f>
        <v/>
      </c>
      <c r="D26" s="8" t="str">
        <f t="shared" si="0"/>
        <v/>
      </c>
      <c r="E26" s="10" t="str">
        <f>IFERROR(IF(INDEX(Lists!$BW$4:$BW$108,MATCH(10,Lists!$CA$4:$CA$108,0))=0,"",INDEX(Lists!$BW$4:$BW$108,MATCH(10,Lists!$CA$4:$CA$108,0))),"")</f>
        <v/>
      </c>
      <c r="F26" s="8" t="str">
        <f t="shared" si="1"/>
        <v/>
      </c>
      <c r="G26" s="91" t="str">
        <f>IFERROR(INDEX(Lists!$BY$4:$BY$108,MATCH(10,Lists!$CA$4:$CA$108,0)),"")</f>
        <v/>
      </c>
      <c r="H26" s="71"/>
    </row>
    <row r="27" spans="1:8">
      <c r="A27" s="8" t="str">
        <f>IFERROR(INDEX(Lists!$BT$4:$BT$108,MATCH(11,Lists!$CA$4:$CA$108,0)),"")</f>
        <v/>
      </c>
      <c r="B27" s="8" t="str">
        <f>IFERROR(INDEX(Lists!$BU$4:$BU$108,MATCH(11,Lists!$CA$4:$CA$108,0)),"")</f>
        <v/>
      </c>
      <c r="C27" s="8" t="str">
        <f>IFERROR(INDEX(Lists!$BV$4:$BV$108,MATCH(11,Lists!$CA$4:$CA$108,0)),"")</f>
        <v/>
      </c>
      <c r="D27" s="8" t="str">
        <f t="shared" si="0"/>
        <v/>
      </c>
      <c r="E27" s="10" t="str">
        <f>IFERROR(IF(INDEX(Lists!$BW$4:$BW$108,MATCH(11,Lists!$CA$4:$CA$108,0))=0,"",INDEX(Lists!$BW$4:$BW$108,MATCH(11,Lists!$CA$4:$CA$108,0))),"")</f>
        <v/>
      </c>
      <c r="F27" s="8" t="str">
        <f t="shared" si="1"/>
        <v/>
      </c>
      <c r="G27" s="91" t="str">
        <f>IFERROR(INDEX(Lists!$BY$4:$BY$108,MATCH(11,Lists!$CA$4:$CA$108,0)),"")</f>
        <v/>
      </c>
      <c r="H27" s="71"/>
    </row>
    <row r="28" spans="1:8">
      <c r="A28" s="8" t="str">
        <f>IFERROR(INDEX(Lists!$BT$4:$BT$108,MATCH(12,Lists!$CA$4:$CA$108,0)),"")</f>
        <v/>
      </c>
      <c r="B28" s="8" t="str">
        <f>IFERROR(INDEX(Lists!$BU$4:$BU$108,MATCH(12,Lists!$CA$4:$CA$108,0)),"")</f>
        <v/>
      </c>
      <c r="C28" s="8" t="str">
        <f>IFERROR(INDEX(Lists!$BV$4:$BV$108,MATCH(12,Lists!$CA$4:$CA$108,0)),"")</f>
        <v/>
      </c>
      <c r="D28" s="8" t="str">
        <f t="shared" si="0"/>
        <v/>
      </c>
      <c r="E28" s="10" t="str">
        <f>IFERROR(IF(INDEX(Lists!$BW$4:$BW$108,MATCH(12,Lists!$CA$4:$CA$108,0))=0,"",INDEX(Lists!$BW$4:$BW$108,MATCH(12,Lists!$CA$4:$CA$108,0))),"")</f>
        <v/>
      </c>
      <c r="F28" s="8" t="str">
        <f t="shared" si="1"/>
        <v/>
      </c>
      <c r="G28" s="91" t="str">
        <f>IFERROR(INDEX(Lists!$BY$4:$BY$108,MATCH(12,Lists!$CA$4:$CA$108,0)),"")</f>
        <v/>
      </c>
      <c r="H28" s="71"/>
    </row>
    <row r="29" spans="1:8">
      <c r="A29" s="8" t="str">
        <f>IFERROR(INDEX(Lists!$BT$4:$BT$108,MATCH(13,Lists!$CA$4:$CA$108,0)),"")</f>
        <v/>
      </c>
      <c r="B29" s="8" t="str">
        <f>IFERROR(INDEX(Lists!$BU$4:$BU$108,MATCH(13,Lists!$CA$4:$CA$108,0)),"")</f>
        <v/>
      </c>
      <c r="C29" s="8" t="str">
        <f>IFERROR(INDEX(Lists!$BV$4:$BV$108,MATCH(13,Lists!$CA$4:$CA$108,0)),"")</f>
        <v/>
      </c>
      <c r="D29" s="8" t="str">
        <f t="shared" si="0"/>
        <v/>
      </c>
      <c r="E29" s="10" t="str">
        <f>IFERROR(IF(INDEX(Lists!$BW$4:$BW$108,MATCH(13,Lists!$CA$4:$CA$108,0))=0,"",INDEX(Lists!$BW$4:$BW$108,MATCH(13,Lists!$CA$4:$CA$108,0))),"")</f>
        <v/>
      </c>
      <c r="F29" s="8" t="str">
        <f t="shared" si="1"/>
        <v/>
      </c>
      <c r="G29" s="91" t="str">
        <f>IFERROR(INDEX(Lists!$BY$4:$BY$108,MATCH(13,Lists!$CA$4:$CA$108,0)),"")</f>
        <v/>
      </c>
      <c r="H29" s="71"/>
    </row>
    <row r="30" spans="1:8">
      <c r="A30" s="8" t="str">
        <f>IFERROR(INDEX(Lists!$BT$4:$BT$108,MATCH(14,Lists!$CA$4:$CA$108,0)),"")</f>
        <v/>
      </c>
      <c r="B30" s="8" t="str">
        <f>IFERROR(INDEX(Lists!$BU$4:$BU$108,MATCH(14,Lists!$CA$4:$CA$108,0)),"")</f>
        <v/>
      </c>
      <c r="C30" s="8" t="str">
        <f>IFERROR(INDEX(Lists!$BV$4:$BV$108,MATCH(14,Lists!$CA$4:$CA$108,0)),"")</f>
        <v/>
      </c>
      <c r="D30" s="8" t="str">
        <f t="shared" si="0"/>
        <v/>
      </c>
      <c r="E30" s="10" t="str">
        <f>IFERROR(IF(INDEX(Lists!$BW$4:$BW$108,MATCH(14,Lists!$CA$4:$CA$108,0))=0,"",INDEX(Lists!$BW$4:$BW$108,MATCH(14,Lists!$CA$4:$CA$108,0))),"")</f>
        <v/>
      </c>
      <c r="F30" s="8" t="str">
        <f t="shared" si="1"/>
        <v/>
      </c>
      <c r="G30" s="91" t="str">
        <f>IFERROR(INDEX(Lists!$BY$4:$BY$108,MATCH(14,Lists!$CA$4:$CA$108,0)),"")</f>
        <v/>
      </c>
      <c r="H30" s="71"/>
    </row>
    <row r="31" spans="1:8">
      <c r="A31" s="8" t="str">
        <f>IFERROR(INDEX(Lists!$BT$4:$BT$108,MATCH(15,Lists!$CA$4:$CA$108,0)),"")</f>
        <v/>
      </c>
      <c r="B31" s="8" t="str">
        <f>IFERROR(INDEX(Lists!$BU$4:$BU$108,MATCH(15,Lists!$CA$4:$CA$108,0)),"")</f>
        <v/>
      </c>
      <c r="C31" s="8" t="str">
        <f>IFERROR(INDEX(Lists!$BV$4:$BV$108,MATCH(15,Lists!$CA$4:$CA$108,0)),"")</f>
        <v/>
      </c>
      <c r="D31" s="8" t="str">
        <f t="shared" si="0"/>
        <v/>
      </c>
      <c r="E31" s="10" t="str">
        <f>IFERROR(IF(INDEX(Lists!$BW$4:$BW$108,MATCH(15,Lists!$CA$4:$CA$108,0))=0,"",INDEX(Lists!$BW$4:$BW$108,MATCH(15,Lists!$CA$4:$CA$108,0))),"")</f>
        <v/>
      </c>
      <c r="F31" s="8" t="str">
        <f t="shared" si="1"/>
        <v/>
      </c>
      <c r="G31" s="91" t="str">
        <f>IFERROR(INDEX(Lists!$BY$4:$BY$108,MATCH(15,Lists!$CA$4:$CA$108,0)),"")</f>
        <v/>
      </c>
      <c r="H31" s="71"/>
    </row>
    <row r="32" spans="1:8">
      <c r="A32" s="8" t="str">
        <f>IFERROR(INDEX(Lists!$BT$4:$BT$108,MATCH(16,Lists!$CA$4:$CA$108,0)),"")</f>
        <v/>
      </c>
      <c r="B32" s="8" t="str">
        <f>IFERROR(INDEX(Lists!$BU$4:$BU$108,MATCH(16,Lists!$CA$4:$CA$108,0)),"")</f>
        <v/>
      </c>
      <c r="C32" s="8" t="str">
        <f>IFERROR(INDEX(Lists!$BV$4:$BV$108,MATCH(16,Lists!$CA$4:$CA$108,0)),"")</f>
        <v/>
      </c>
      <c r="D32" s="8" t="str">
        <f t="shared" si="0"/>
        <v/>
      </c>
      <c r="E32" s="10" t="str">
        <f>IFERROR(IF(INDEX(Lists!$BW$4:$BW$108,MATCH(16,Lists!$CA$4:$CA$108,0))=0,"",INDEX(Lists!$BW$4:$BW$108,MATCH(16,Lists!$CA$4:$CA$108,0))),"")</f>
        <v/>
      </c>
      <c r="F32" s="8" t="str">
        <f t="shared" si="1"/>
        <v/>
      </c>
      <c r="G32" s="91" t="str">
        <f>IFERROR(INDEX(Lists!$BY$4:$BY$108,MATCH(16,Lists!$CA$4:$CA$108,0)),"")</f>
        <v/>
      </c>
      <c r="H32" s="71"/>
    </row>
    <row r="33" spans="1:8">
      <c r="A33" s="8" t="str">
        <f>IFERROR(INDEX(Lists!$BT$4:$BT$108,MATCH(17,Lists!$CA$4:$CA$108,0)),"")</f>
        <v/>
      </c>
      <c r="B33" s="8" t="str">
        <f>IFERROR(INDEX(Lists!$BU$4:$BU$108,MATCH(17,Lists!$CA$4:$CA$108,0)),"")</f>
        <v/>
      </c>
      <c r="C33" s="8" t="str">
        <f>IFERROR(INDEX(Lists!$BV$4:$BV$108,MATCH(17,Lists!$CA$4:$CA$108,0)),"")</f>
        <v/>
      </c>
      <c r="D33" s="8" t="str">
        <f t="shared" si="0"/>
        <v/>
      </c>
      <c r="E33" s="10" t="str">
        <f>IFERROR(IF(INDEX(Lists!$BW$4:$BW$108,MATCH(17,Lists!$CA$4:$CA$108,0))=0,"",INDEX(Lists!$BW$4:$BW$108,MATCH(17,Lists!$CA$4:$CA$108,0))),"")</f>
        <v/>
      </c>
      <c r="F33" s="8" t="str">
        <f t="shared" si="1"/>
        <v/>
      </c>
      <c r="G33" s="91" t="str">
        <f>IFERROR(INDEX(Lists!$BY$4:$BY$108,MATCH(17,Lists!$CA$4:$CA$108,0)),"")</f>
        <v/>
      </c>
      <c r="H33" s="71"/>
    </row>
    <row r="34" spans="1:8">
      <c r="A34" s="8" t="str">
        <f>IFERROR(INDEX(Lists!$BT$4:$BT$108,MATCH(18,Lists!$CA$4:$CA$108,0)),"")</f>
        <v/>
      </c>
      <c r="B34" s="8" t="str">
        <f>IFERROR(INDEX(Lists!$BU$4:$BU$108,MATCH(18,Lists!$CA$4:$CA$108,0)),"")</f>
        <v/>
      </c>
      <c r="C34" s="8" t="str">
        <f>IFERROR(INDEX(Lists!$BV$4:$BV$108,MATCH(18,Lists!$CA$4:$CA$108,0)),"")</f>
        <v/>
      </c>
      <c r="D34" s="8" t="str">
        <f t="shared" si="0"/>
        <v/>
      </c>
      <c r="E34" s="10" t="str">
        <f>IFERROR(IF(INDEX(Lists!$BW$4:$BW$108,MATCH(18,Lists!$CA$4:$CA$108,0))=0,"",INDEX(Lists!$BW$4:$BW$108,MATCH(18,Lists!$CA$4:$CA$108,0))),"")</f>
        <v/>
      </c>
      <c r="F34" s="8" t="str">
        <f t="shared" si="1"/>
        <v/>
      </c>
      <c r="G34" s="91" t="str">
        <f>IFERROR(INDEX(Lists!$BY$4:$BY$108,MATCH(18,Lists!$CA$4:$CA$108,0)),"")</f>
        <v/>
      </c>
      <c r="H34" s="71"/>
    </row>
    <row r="35" spans="1:8">
      <c r="A35" s="8" t="str">
        <f>IFERROR(INDEX(Lists!$BT$4:$BT$108,MATCH(19,Lists!$CA$4:$CA$108,0)),"")</f>
        <v/>
      </c>
      <c r="B35" s="8" t="str">
        <f>IFERROR(INDEX(Lists!$BU$4:$BU$108,MATCH(19,Lists!$CA$4:$CA$108,0)),"")</f>
        <v/>
      </c>
      <c r="C35" s="8" t="str">
        <f>IFERROR(INDEX(Lists!$BV$4:$BV$108,MATCH(19,Lists!$CA$4:$CA$108,0)),"")</f>
        <v/>
      </c>
      <c r="D35" s="8" t="str">
        <f t="shared" si="0"/>
        <v/>
      </c>
      <c r="E35" s="10" t="str">
        <f>IFERROR(IF(INDEX(Lists!$BW$4:$BW$108,MATCH(19,Lists!$CA$4:$CA$108,0))=0,"",INDEX(Lists!$BW$4:$BW$108,MATCH(19,Lists!$CA$4:$CA$108,0))),"")</f>
        <v/>
      </c>
      <c r="F35" s="8" t="str">
        <f t="shared" si="1"/>
        <v/>
      </c>
      <c r="G35" s="91" t="str">
        <f>IFERROR(INDEX(Lists!$BY$4:$BY$108,MATCH(19,Lists!$CA$4:$CA$108,0)),"")</f>
        <v/>
      </c>
      <c r="H35" s="71"/>
    </row>
    <row r="36" spans="1:8">
      <c r="A36" s="8" t="str">
        <f>IFERROR(INDEX(Lists!$BT$4:$BT$108,MATCH(20,Lists!$CA$4:$CA$108,0)),"")</f>
        <v/>
      </c>
      <c r="B36" s="8" t="str">
        <f>IFERROR(INDEX(Lists!$BU$4:$BU$108,MATCH(20,Lists!$CA$4:$CA$108,0)),"")</f>
        <v/>
      </c>
      <c r="C36" s="8" t="str">
        <f>IFERROR(INDEX(Lists!$BV$4:$BV$108,MATCH(20,Lists!$CA$4:$CA$108,0)),"")</f>
        <v/>
      </c>
      <c r="D36" s="8" t="str">
        <f t="shared" si="0"/>
        <v/>
      </c>
      <c r="E36" s="10" t="str">
        <f>IFERROR(IF(INDEX(Lists!$BW$4:$BW$108,MATCH(20,Lists!$CA$4:$CA$108,0))=0,"",INDEX(Lists!$BW$4:$BW$108,MATCH(20,Lists!$CA$4:$CA$108,0))),"")</f>
        <v/>
      </c>
      <c r="F36" s="8" t="str">
        <f t="shared" si="1"/>
        <v/>
      </c>
      <c r="G36" s="91" t="str">
        <f>IFERROR(INDEX(Lists!$BY$4:$BY$108,MATCH(20,Lists!$CA$4:$CA$108,0)),"")</f>
        <v/>
      </c>
      <c r="H36" s="71"/>
    </row>
    <row r="37" spans="1:8">
      <c r="A37" s="8" t="str">
        <f>IFERROR(INDEX(Lists!$BT$4:$BT$108,MATCH(21,Lists!$CA$4:$CA$108,0)),"")</f>
        <v/>
      </c>
      <c r="B37" s="8" t="str">
        <f>IFERROR(INDEX(Lists!$BU$4:$BU$108,MATCH(21,Lists!$CA$4:$CA$108,0)),"")</f>
        <v/>
      </c>
      <c r="C37" s="8" t="str">
        <f>IFERROR(INDEX(Lists!$BV$4:$BV$108,MATCH(21,Lists!$CA$4:$CA$108,0)),"")</f>
        <v/>
      </c>
      <c r="D37" s="8" t="str">
        <f t="shared" si="0"/>
        <v/>
      </c>
      <c r="E37" s="10" t="str">
        <f>IFERROR(IF(INDEX(Lists!$BW$4:$BW$108,MATCH(21,Lists!$CA$4:$CA$108,0))=0,"",INDEX(Lists!$BW$4:$BW$108,MATCH(21,Lists!$CA$4:$CA$108,0))),"")</f>
        <v/>
      </c>
      <c r="F37" s="8" t="str">
        <f t="shared" si="1"/>
        <v/>
      </c>
      <c r="G37" s="91" t="str">
        <f>IFERROR(INDEX(Lists!$BY$4:$BY$108,MATCH(21,Lists!$CA$4:$CA$108,0)),"")</f>
        <v/>
      </c>
      <c r="H37" s="71"/>
    </row>
    <row r="38" spans="1:8">
      <c r="A38" s="8" t="str">
        <f>IFERROR(INDEX(Lists!$BT$4:$BT$108,MATCH(22,Lists!$CA$4:$CA$108,0)),"")</f>
        <v/>
      </c>
      <c r="B38" s="8" t="str">
        <f>IFERROR(INDEX(Lists!$BU$4:$BU$108,MATCH(22,Lists!$CA$4:$CA$108,0)),"")</f>
        <v/>
      </c>
      <c r="C38" s="8" t="str">
        <f>IFERROR(INDEX(Lists!$BV$4:$BV$108,MATCH(22,Lists!$CA$4:$CA$108,0)),"")</f>
        <v/>
      </c>
      <c r="D38" s="8" t="str">
        <f t="shared" si="0"/>
        <v/>
      </c>
      <c r="E38" s="10" t="str">
        <f>IFERROR(IF(INDEX(Lists!$BW$4:$BW$108,MATCH(22,Lists!$CA$4:$CA$108,0))=0,"",INDEX(Lists!$BW$4:$BW$108,MATCH(22,Lists!$CA$4:$CA$108,0))),"")</f>
        <v/>
      </c>
      <c r="F38" s="8" t="str">
        <f t="shared" si="1"/>
        <v/>
      </c>
      <c r="G38" s="91" t="str">
        <f>IFERROR(INDEX(Lists!$BY$4:$BY$108,MATCH(22,Lists!$CA$4:$CA$108,0)),"")</f>
        <v/>
      </c>
      <c r="H38" s="71"/>
    </row>
    <row r="39" spans="1:8">
      <c r="A39" s="8" t="str">
        <f>IFERROR(INDEX(Lists!$BT$4:$BT$108,MATCH(23,Lists!$CA$4:$CA$108,0)),"")</f>
        <v/>
      </c>
      <c r="B39" s="8" t="str">
        <f>IFERROR(INDEX(Lists!$BU$4:$BU$108,MATCH(23,Lists!$CA$4:$CA$108,0)),"")</f>
        <v/>
      </c>
      <c r="C39" s="8" t="str">
        <f>IFERROR(INDEX(Lists!$BV$4:$BV$108,MATCH(23,Lists!$CA$4:$CA$108,0)),"")</f>
        <v/>
      </c>
      <c r="D39" s="8" t="str">
        <f t="shared" si="0"/>
        <v/>
      </c>
      <c r="E39" s="10" t="str">
        <f>IFERROR(IF(INDEX(Lists!$BW$4:$BW$108,MATCH(23,Lists!$CA$4:$CA$108,0))=0,"",INDEX(Lists!$BW$4:$BW$108,MATCH(23,Lists!$CA$4:$CA$108,0))),"")</f>
        <v/>
      </c>
      <c r="F39" s="8" t="str">
        <f t="shared" si="1"/>
        <v/>
      </c>
      <c r="G39" s="91" t="str">
        <f>IFERROR(INDEX(Lists!$BY$4:$BY$108,MATCH(23,Lists!$CA$4:$CA$108,0)),"")</f>
        <v/>
      </c>
      <c r="H39" s="71"/>
    </row>
    <row r="40" spans="1:8">
      <c r="A40" s="8" t="str">
        <f>IFERROR(INDEX(Lists!$BT$4:$BT$108,MATCH(24,Lists!$CA$4:$CA$108,0)),"")</f>
        <v/>
      </c>
      <c r="B40" s="8" t="str">
        <f>IFERROR(INDEX(Lists!$BU$4:$BU$108,MATCH(24,Lists!$CA$4:$CA$108,0)),"")</f>
        <v/>
      </c>
      <c r="C40" s="8" t="str">
        <f>IFERROR(INDEX(Lists!$BV$4:$BV$108,MATCH(24,Lists!$CA$4:$CA$108,0)),"")</f>
        <v/>
      </c>
      <c r="D40" s="8" t="str">
        <f t="shared" si="0"/>
        <v/>
      </c>
      <c r="E40" s="10" t="str">
        <f>IFERROR(IF(INDEX(Lists!$BW$4:$BW$108,MATCH(24,Lists!$CA$4:$CA$108,0))=0,"",INDEX(Lists!$BW$4:$BW$108,MATCH(24,Lists!$CA$4:$CA$108,0))),"")</f>
        <v/>
      </c>
      <c r="F40" s="8" t="str">
        <f t="shared" si="1"/>
        <v/>
      </c>
      <c r="G40" s="91" t="str">
        <f>IFERROR(INDEX(Lists!$BY$4:$BY$108,MATCH(24,Lists!$CA$4:$CA$108,0)),"")</f>
        <v/>
      </c>
      <c r="H40" s="71"/>
    </row>
    <row r="41" spans="1:8">
      <c r="A41" s="8" t="str">
        <f>IFERROR(INDEX(Lists!$BT$4:$BT$108,MATCH(25,Lists!$CA$4:$CA$108,0)),"")</f>
        <v/>
      </c>
      <c r="B41" s="8" t="str">
        <f>IFERROR(INDEX(Lists!$BU$4:$BU$108,MATCH(25,Lists!$CA$4:$CA$108,0)),"")</f>
        <v/>
      </c>
      <c r="C41" s="8" t="str">
        <f>IFERROR(INDEX(Lists!$BV$4:$BV$108,MATCH(25,Lists!$CA$4:$CA$108,0)),"")</f>
        <v/>
      </c>
      <c r="D41" s="8" t="str">
        <f t="shared" si="0"/>
        <v/>
      </c>
      <c r="E41" s="10" t="str">
        <f>IFERROR(IF(INDEX(Lists!$BW$4:$BW$108,MATCH(25,Lists!$CA$4:$CA$108,0))=0,"",INDEX(Lists!$BW$4:$BW$108,MATCH(25,Lists!$CA$4:$CA$108,0))),"")</f>
        <v/>
      </c>
      <c r="F41" s="8" t="str">
        <f t="shared" si="1"/>
        <v/>
      </c>
      <c r="G41" s="91" t="str">
        <f>IFERROR(INDEX(Lists!$BY$4:$BY$108,MATCH(25,Lists!$CA$4:$CA$108,0)),"")</f>
        <v/>
      </c>
      <c r="H41" s="71"/>
    </row>
    <row r="42" spans="1:8">
      <c r="A42" s="8" t="str">
        <f>IFERROR(INDEX(Lists!$BT$4:$BT$108,MATCH(26,Lists!$CA$4:$CA$108,0)),"")</f>
        <v/>
      </c>
      <c r="B42" s="8" t="str">
        <f>IFERROR(INDEX(Lists!$BU$4:$BU$108,MATCH(26,Lists!$CA$4:$CA$108,0)),"")</f>
        <v/>
      </c>
      <c r="C42" s="8" t="str">
        <f>IFERROR(INDEX(Lists!$BV$4:$BV$108,MATCH(26,Lists!$CA$4:$CA$108,0)),"")</f>
        <v/>
      </c>
      <c r="D42" s="8" t="str">
        <f t="shared" si="0"/>
        <v/>
      </c>
      <c r="E42" s="10" t="str">
        <f>IFERROR(IF(INDEX(Lists!$BW$4:$BW$108,MATCH(26,Lists!$CA$4:$CA$108,0))=0,"",INDEX(Lists!$BW$4:$BW$108,MATCH(26,Lists!$CA$4:$CA$108,0))),"")</f>
        <v/>
      </c>
      <c r="F42" s="8" t="str">
        <f t="shared" si="1"/>
        <v/>
      </c>
      <c r="G42" s="91" t="str">
        <f>IFERROR(INDEX(Lists!$BY$4:$BY$108,MATCH(26,Lists!$CA$4:$CA$108,0)),"")</f>
        <v/>
      </c>
      <c r="H42" s="71"/>
    </row>
    <row r="43" spans="1:8">
      <c r="A43" s="8" t="str">
        <f>IFERROR(INDEX(Lists!$BT$4:$BT$108,MATCH(27,Lists!$CA$4:$CA$108,0)),"")</f>
        <v/>
      </c>
      <c r="B43" s="8" t="str">
        <f>IFERROR(INDEX(Lists!$BU$4:$BU$108,MATCH(27,Lists!$CA$4:$CA$108,0)),"")</f>
        <v/>
      </c>
      <c r="C43" s="8" t="str">
        <f>IFERROR(INDEX(Lists!$BV$4:$BV$108,MATCH(27,Lists!$CA$4:$CA$108,0)),"")</f>
        <v/>
      </c>
      <c r="D43" s="8" t="str">
        <f t="shared" si="0"/>
        <v/>
      </c>
      <c r="E43" s="10" t="str">
        <f>IFERROR(IF(INDEX(Lists!$BW$4:$BW$108,MATCH(27,Lists!$CA$4:$CA$108,0))=0,"",INDEX(Lists!$BW$4:$BW$108,MATCH(27,Lists!$CA$4:$CA$108,0))),"")</f>
        <v/>
      </c>
      <c r="F43" s="8" t="str">
        <f t="shared" si="1"/>
        <v/>
      </c>
      <c r="G43" s="91" t="str">
        <f>IFERROR(INDEX(Lists!$BY$4:$BY$108,MATCH(27,Lists!$CA$4:$CA$108,0)),"")</f>
        <v/>
      </c>
      <c r="H43" s="71"/>
    </row>
    <row r="44" spans="1:8">
      <c r="A44" s="8" t="str">
        <f>IFERROR(INDEX(Lists!$BT$4:$BT$108,MATCH(28,Lists!$CA$4:$CA$108,0)),"")</f>
        <v/>
      </c>
      <c r="B44" s="8" t="str">
        <f>IFERROR(INDEX(Lists!$BU$4:$BU$108,MATCH(28,Lists!$CA$4:$CA$108,0)),"")</f>
        <v/>
      </c>
      <c r="C44" s="8" t="str">
        <f>IFERROR(INDEX(Lists!$BV$4:$BV$108,MATCH(28,Lists!$CA$4:$CA$108,0)),"")</f>
        <v/>
      </c>
      <c r="D44" s="8" t="str">
        <f t="shared" si="0"/>
        <v/>
      </c>
      <c r="E44" s="10" t="str">
        <f>IFERROR(IF(INDEX(Lists!$BW$4:$BW$108,MATCH(28,Lists!$CA$4:$CA$108,0))=0,"",INDEX(Lists!$BW$4:$BW$108,MATCH(28,Lists!$CA$4:$CA$108,0))),"")</f>
        <v/>
      </c>
      <c r="F44" s="8" t="str">
        <f t="shared" si="1"/>
        <v/>
      </c>
      <c r="G44" s="91" t="str">
        <f>IFERROR(INDEX(Lists!$BY$4:$BY$108,MATCH(28,Lists!$CA$4:$CA$108,0)),"")</f>
        <v/>
      </c>
      <c r="H44" s="71"/>
    </row>
    <row r="45" spans="1:8" ht="27.6" customHeight="1">
      <c r="A45" s="8" t="str">
        <f>IFERROR(INDEX(Lists!$BT$4:$BT$108,MATCH(29,Lists!$CA$4:$CA$108,0)),"")</f>
        <v/>
      </c>
      <c r="B45" s="8" t="str">
        <f>IFERROR(INDEX(Lists!$BU$4:$BU$108,MATCH(29,Lists!$CA$4:$CA$108,0)),"")</f>
        <v/>
      </c>
      <c r="C45" s="8" t="str">
        <f>IFERROR(INDEX(Lists!$BV$4:$BV$108,MATCH(29,Lists!$CA$4:$CA$108,0)),"")</f>
        <v/>
      </c>
      <c r="D45" s="8" t="str">
        <f t="shared" si="0"/>
        <v/>
      </c>
      <c r="E45" s="10" t="str">
        <f>IFERROR(IF(INDEX(Lists!$BW$4:$BW$108,MATCH(29,Lists!$CA$4:$CA$108,0))=0,"",INDEX(Lists!$BW$4:$BW$108,MATCH(29,Lists!$CA$4:$CA$108,0))),"")</f>
        <v/>
      </c>
      <c r="F45" s="8" t="str">
        <f t="shared" si="1"/>
        <v/>
      </c>
      <c r="G45" s="91" t="str">
        <f>IFERROR(INDEX(Lists!$BY$4:$BY$108,MATCH(29,Lists!$CA$4:$CA$108,0)),"")</f>
        <v/>
      </c>
      <c r="H45" s="71"/>
    </row>
    <row r="46" spans="1:8">
      <c r="A46" s="8" t="str">
        <f>IFERROR(INDEX(Lists!$BT$4:$BT$108,MATCH(30,Lists!$CA$4:$CA$108,0)),"")</f>
        <v/>
      </c>
      <c r="B46" s="8" t="str">
        <f>IFERROR(INDEX(Lists!$BU$4:$BU$108,MATCH(30,Lists!$CA$4:$CA$108,0)),"")</f>
        <v/>
      </c>
      <c r="C46" s="8" t="str">
        <f>IFERROR(INDEX(Lists!$BV$4:$BV$108,MATCH(30,Lists!$CA$4:$CA$108,0)),"")</f>
        <v/>
      </c>
      <c r="D46" s="8" t="str">
        <f t="shared" si="0"/>
        <v/>
      </c>
      <c r="E46" s="10" t="str">
        <f>IFERROR(IF(INDEX(Lists!$BW$4:$BW$108,MATCH(30,Lists!$CA$4:$CA$108,0))=0,"",INDEX(Lists!$BW$4:$BW$108,MATCH(30,Lists!$CA$4:$CA$108,0))),"")</f>
        <v/>
      </c>
      <c r="F46" s="8" t="str">
        <f t="shared" si="1"/>
        <v/>
      </c>
      <c r="G46" s="91" t="str">
        <f>IFERROR(INDEX(Lists!$BY$4:$BY$108,MATCH(30,Lists!$CA$4:$CA$108,0)),"")</f>
        <v/>
      </c>
      <c r="H46" s="71"/>
    </row>
    <row r="47" spans="1:8">
      <c r="A47" s="8" t="str">
        <f>IFERROR(INDEX(Lists!$BT$4:$BT$108,MATCH(31,Lists!$CA$4:$CA$108,0)),"")</f>
        <v/>
      </c>
      <c r="B47" s="8" t="str">
        <f>IFERROR(INDEX(Lists!$BU$4:$BU$108,MATCH(31,Lists!$CA$4:$CA$108,0)),"")</f>
        <v/>
      </c>
      <c r="C47" s="8" t="str">
        <f>IFERROR(INDEX(Lists!$BV$4:$BV$108,MATCH(31,Lists!$CA$4:$CA$108,0)),"")</f>
        <v/>
      </c>
      <c r="D47" s="8" t="str">
        <f t="shared" si="0"/>
        <v/>
      </c>
      <c r="E47" s="10" t="str">
        <f>IFERROR(IF(INDEX(Lists!$BW$4:$BW$108,MATCH(31,Lists!$CA$4:$CA$108,0))=0,"",INDEX(Lists!$BW$4:$BW$108,MATCH(31,Lists!$CA$4:$CA$108,0))),"")</f>
        <v/>
      </c>
      <c r="F47" s="8" t="str">
        <f t="shared" si="1"/>
        <v/>
      </c>
      <c r="G47" s="91" t="str">
        <f>IFERROR(INDEX(Lists!$BY$4:$BY$108,MATCH(31,Lists!$CA$4:$CA$108,0)),"")</f>
        <v/>
      </c>
      <c r="H47" s="71"/>
    </row>
    <row r="48" spans="1:8">
      <c r="A48" s="8" t="str">
        <f>IFERROR(INDEX(Lists!$BT$4:$BT$108,MATCH(32,Lists!$CA$4:$CA$108,0)),"")</f>
        <v/>
      </c>
      <c r="B48" s="8" t="str">
        <f>IFERROR(INDEX(Lists!$BU$4:$BU$108,MATCH(32,Lists!$CA$4:$CA$108,0)),"")</f>
        <v/>
      </c>
      <c r="C48" s="8" t="str">
        <f>IFERROR(INDEX(Lists!$BV$4:$BV$108,MATCH(32,Lists!$CA$4:$CA$108,0)),"")</f>
        <v/>
      </c>
      <c r="D48" s="8" t="str">
        <f t="shared" si="0"/>
        <v/>
      </c>
      <c r="E48" s="10" t="str">
        <f>IFERROR(IF(INDEX(Lists!$BW$4:$BW$108,MATCH(32,Lists!$CA$4:$CA$108,0))=0,"",INDEX(Lists!$BW$4:$BW$108,MATCH(32,Lists!$CA$4:$CA$108,0))),"")</f>
        <v/>
      </c>
      <c r="F48" s="8" t="str">
        <f t="shared" si="1"/>
        <v/>
      </c>
      <c r="G48" s="91" t="str">
        <f>IFERROR(INDEX(Lists!$BY$4:$BY$108,MATCH(32,Lists!$CA$4:$CA$108,0)),"")</f>
        <v/>
      </c>
      <c r="H48" s="71"/>
    </row>
    <row r="49" spans="1:8">
      <c r="A49" s="8" t="str">
        <f>IFERROR(INDEX(Lists!$BT$4:$BT$108,MATCH(33,Lists!$CA$4:$CA$108,0)),"")</f>
        <v/>
      </c>
      <c r="B49" s="8" t="str">
        <f>IFERROR(INDEX(Lists!$BU$4:$BU$108,MATCH(33,Lists!$CA$4:$CA$108,0)),"")</f>
        <v/>
      </c>
      <c r="C49" s="8" t="str">
        <f>IFERROR(INDEX(Lists!$BV$4:$BV$108,MATCH(33,Lists!$CA$4:$CA$108,0)),"")</f>
        <v/>
      </c>
      <c r="D49" s="8" t="str">
        <f t="shared" ref="D49:D80" si="2">IF(C49=3,"Qualified",IF(C49=2,"Developing",IF(C49=1,"New / Needs Training","")))</f>
        <v/>
      </c>
      <c r="E49" s="10" t="str">
        <f>IFERROR(IF(INDEX(Lists!$BW$4:$BW$108,MATCH(33,Lists!$CA$4:$CA$108,0))=0,"",INDEX(Lists!$BW$4:$BW$108,MATCH(33,Lists!$CA$4:$CA$108,0))),"")</f>
        <v/>
      </c>
      <c r="F49" s="8" t="str">
        <f t="shared" ref="F49:F85" si="3">IF(A49="","",IF(B49=$B$7,"Home Department","Cross-Trained"))</f>
        <v/>
      </c>
      <c r="G49" s="91" t="str">
        <f>IFERROR(INDEX(Lists!$BY$4:$BY$108,MATCH(33,Lists!$CA$4:$CA$108,0)),"")</f>
        <v/>
      </c>
      <c r="H49" s="71"/>
    </row>
    <row r="50" spans="1:8">
      <c r="A50" s="8" t="str">
        <f>IFERROR(INDEX(Lists!$BT$4:$BT$108,MATCH(34,Lists!$CA$4:$CA$108,0)),"")</f>
        <v/>
      </c>
      <c r="B50" s="8" t="str">
        <f>IFERROR(INDEX(Lists!$BU$4:$BU$108,MATCH(34,Lists!$CA$4:$CA$108,0)),"")</f>
        <v/>
      </c>
      <c r="C50" s="8" t="str">
        <f>IFERROR(INDEX(Lists!$BV$4:$BV$108,MATCH(34,Lists!$CA$4:$CA$108,0)),"")</f>
        <v/>
      </c>
      <c r="D50" s="8" t="str">
        <f t="shared" si="2"/>
        <v/>
      </c>
      <c r="E50" s="10" t="str">
        <f>IFERROR(IF(INDEX(Lists!$BW$4:$BW$108,MATCH(34,Lists!$CA$4:$CA$108,0))=0,"",INDEX(Lists!$BW$4:$BW$108,MATCH(34,Lists!$CA$4:$CA$108,0))),"")</f>
        <v/>
      </c>
      <c r="F50" s="8" t="str">
        <f t="shared" si="3"/>
        <v/>
      </c>
      <c r="G50" s="91" t="str">
        <f>IFERROR(INDEX(Lists!$BY$4:$BY$108,MATCH(34,Lists!$CA$4:$CA$108,0)),"")</f>
        <v/>
      </c>
      <c r="H50" s="71"/>
    </row>
    <row r="51" spans="1:8">
      <c r="A51" s="8" t="str">
        <f>IFERROR(INDEX(Lists!$BT$4:$BT$108,MATCH(35,Lists!$CA$4:$CA$108,0)),"")</f>
        <v/>
      </c>
      <c r="B51" s="8" t="str">
        <f>IFERROR(INDEX(Lists!$BU$4:$BU$108,MATCH(35,Lists!$CA$4:$CA$108,0)),"")</f>
        <v/>
      </c>
      <c r="C51" s="8" t="str">
        <f>IFERROR(INDEX(Lists!$BV$4:$BV$108,MATCH(35,Lists!$CA$4:$CA$108,0)),"")</f>
        <v/>
      </c>
      <c r="D51" s="8" t="str">
        <f t="shared" si="2"/>
        <v/>
      </c>
      <c r="E51" s="10" t="str">
        <f>IFERROR(IF(INDEX(Lists!$BW$4:$BW$108,MATCH(35,Lists!$CA$4:$CA$108,0))=0,"",INDEX(Lists!$BW$4:$BW$108,MATCH(35,Lists!$CA$4:$CA$108,0))),"")</f>
        <v/>
      </c>
      <c r="F51" s="8" t="str">
        <f t="shared" si="3"/>
        <v/>
      </c>
      <c r="G51" s="91" t="str">
        <f>IFERROR(INDEX(Lists!$BY$4:$BY$108,MATCH(35,Lists!$CA$4:$CA$108,0)),"")</f>
        <v/>
      </c>
      <c r="H51" s="71"/>
    </row>
    <row r="52" spans="1:8">
      <c r="A52" s="8" t="str">
        <f>IFERROR(INDEX(Lists!$BT$4:$BT$108,MATCH(36,Lists!$CA$4:$CA$108,0)),"")</f>
        <v/>
      </c>
      <c r="B52" s="8" t="str">
        <f>IFERROR(INDEX(Lists!$BU$4:$BU$108,MATCH(36,Lists!$CA$4:$CA$108,0)),"")</f>
        <v/>
      </c>
      <c r="C52" s="8" t="str">
        <f>IFERROR(INDEX(Lists!$BV$4:$BV$108,MATCH(36,Lists!$CA$4:$CA$108,0)),"")</f>
        <v/>
      </c>
      <c r="D52" s="8" t="str">
        <f t="shared" si="2"/>
        <v/>
      </c>
      <c r="E52" s="10" t="str">
        <f>IFERROR(IF(INDEX(Lists!$BW$4:$BW$108,MATCH(36,Lists!$CA$4:$CA$108,0))=0,"",INDEX(Lists!$BW$4:$BW$108,MATCH(36,Lists!$CA$4:$CA$108,0))),"")</f>
        <v/>
      </c>
      <c r="F52" s="8" t="str">
        <f t="shared" si="3"/>
        <v/>
      </c>
      <c r="G52" s="91" t="str">
        <f>IFERROR(INDEX(Lists!$BY$4:$BY$108,MATCH(36,Lists!$CA$4:$CA$108,0)),"")</f>
        <v/>
      </c>
      <c r="H52" s="71"/>
    </row>
    <row r="53" spans="1:8">
      <c r="A53" s="8" t="str">
        <f>IFERROR(INDEX(Lists!$BT$4:$BT$108,MATCH(37,Lists!$CA$4:$CA$108,0)),"")</f>
        <v/>
      </c>
      <c r="B53" s="8" t="str">
        <f>IFERROR(INDEX(Lists!$BU$4:$BU$108,MATCH(37,Lists!$CA$4:$CA$108,0)),"")</f>
        <v/>
      </c>
      <c r="C53" s="8" t="str">
        <f>IFERROR(INDEX(Lists!$BV$4:$BV$108,MATCH(37,Lists!$CA$4:$CA$108,0)),"")</f>
        <v/>
      </c>
      <c r="D53" s="8" t="str">
        <f t="shared" si="2"/>
        <v/>
      </c>
      <c r="E53" s="10" t="str">
        <f>IFERROR(IF(INDEX(Lists!$BW$4:$BW$108,MATCH(37,Lists!$CA$4:$CA$108,0))=0,"",INDEX(Lists!$BW$4:$BW$108,MATCH(37,Lists!$CA$4:$CA$108,0))),"")</f>
        <v/>
      </c>
      <c r="F53" s="8" t="str">
        <f t="shared" si="3"/>
        <v/>
      </c>
      <c r="G53" s="91" t="str">
        <f>IFERROR(INDEX(Lists!$BY$4:$BY$108,MATCH(37,Lists!$CA$4:$CA$108,0)),"")</f>
        <v/>
      </c>
      <c r="H53" s="71"/>
    </row>
    <row r="54" spans="1:8">
      <c r="A54" s="8" t="str">
        <f>IFERROR(INDEX(Lists!$BT$4:$BT$108,MATCH(38,Lists!$CA$4:$CA$108,0)),"")</f>
        <v/>
      </c>
      <c r="B54" s="8" t="str">
        <f>IFERROR(INDEX(Lists!$BU$4:$BU$108,MATCH(38,Lists!$CA$4:$CA$108,0)),"")</f>
        <v/>
      </c>
      <c r="C54" s="8" t="str">
        <f>IFERROR(INDEX(Lists!$BV$4:$BV$108,MATCH(38,Lists!$CA$4:$CA$108,0)),"")</f>
        <v/>
      </c>
      <c r="D54" s="8" t="str">
        <f t="shared" si="2"/>
        <v/>
      </c>
      <c r="E54" s="10" t="str">
        <f>IFERROR(IF(INDEX(Lists!$BW$4:$BW$108,MATCH(38,Lists!$CA$4:$CA$108,0))=0,"",INDEX(Lists!$BW$4:$BW$108,MATCH(38,Lists!$CA$4:$CA$108,0))),"")</f>
        <v/>
      </c>
      <c r="F54" s="8" t="str">
        <f t="shared" si="3"/>
        <v/>
      </c>
      <c r="G54" s="91" t="str">
        <f>IFERROR(INDEX(Lists!$BY$4:$BY$108,MATCH(38,Lists!$CA$4:$CA$108,0)),"")</f>
        <v/>
      </c>
      <c r="H54" s="71"/>
    </row>
    <row r="55" spans="1:8">
      <c r="A55" s="8" t="str">
        <f>IFERROR(INDEX(Lists!$BT$4:$BT$108,MATCH(39,Lists!$CA$4:$CA$108,0)),"")</f>
        <v/>
      </c>
      <c r="B55" s="8" t="str">
        <f>IFERROR(INDEX(Lists!$BU$4:$BU$108,MATCH(39,Lists!$CA$4:$CA$108,0)),"")</f>
        <v/>
      </c>
      <c r="C55" s="8" t="str">
        <f>IFERROR(INDEX(Lists!$BV$4:$BV$108,MATCH(39,Lists!$CA$4:$CA$108,0)),"")</f>
        <v/>
      </c>
      <c r="D55" s="8" t="str">
        <f t="shared" si="2"/>
        <v/>
      </c>
      <c r="E55" s="10" t="str">
        <f>IFERROR(IF(INDEX(Lists!$BW$4:$BW$108,MATCH(39,Lists!$CA$4:$CA$108,0))=0,"",INDEX(Lists!$BW$4:$BW$108,MATCH(39,Lists!$CA$4:$CA$108,0))),"")</f>
        <v/>
      </c>
      <c r="F55" s="8" t="str">
        <f t="shared" si="3"/>
        <v/>
      </c>
      <c r="G55" s="91" t="str">
        <f>IFERROR(INDEX(Lists!$BY$4:$BY$108,MATCH(39,Lists!$CA$4:$CA$108,0)),"")</f>
        <v/>
      </c>
      <c r="H55" s="71"/>
    </row>
    <row r="56" spans="1:8">
      <c r="A56" s="8" t="str">
        <f>IFERROR(INDEX(Lists!$BT$4:$BT$108,MATCH(40,Lists!$CA$4:$CA$108,0)),"")</f>
        <v/>
      </c>
      <c r="B56" s="8" t="str">
        <f>IFERROR(INDEX(Lists!$BU$4:$BU$108,MATCH(40,Lists!$CA$4:$CA$108,0)),"")</f>
        <v/>
      </c>
      <c r="C56" s="8" t="str">
        <f>IFERROR(INDEX(Lists!$BV$4:$BV$108,MATCH(40,Lists!$CA$4:$CA$108,0)),"")</f>
        <v/>
      </c>
      <c r="D56" s="8" t="str">
        <f t="shared" si="2"/>
        <v/>
      </c>
      <c r="E56" s="10" t="str">
        <f>IFERROR(IF(INDEX(Lists!$BW$4:$BW$108,MATCH(40,Lists!$CA$4:$CA$108,0))=0,"",INDEX(Lists!$BW$4:$BW$108,MATCH(40,Lists!$CA$4:$CA$108,0))),"")</f>
        <v/>
      </c>
      <c r="F56" s="8" t="str">
        <f t="shared" si="3"/>
        <v/>
      </c>
      <c r="G56" s="91" t="str">
        <f>IFERROR(INDEX(Lists!$BY$4:$BY$108,MATCH(40,Lists!$CA$4:$CA$108,0)),"")</f>
        <v/>
      </c>
      <c r="H56" s="71"/>
    </row>
    <row r="57" spans="1:8">
      <c r="A57" s="8" t="str">
        <f>IFERROR(INDEX(Lists!$BT$4:$BT$108,MATCH(41,Lists!$CA$4:$CA$108,0)),"")</f>
        <v/>
      </c>
      <c r="B57" s="8" t="str">
        <f>IFERROR(INDEX(Lists!$BU$4:$BU$108,MATCH(41,Lists!$CA$4:$CA$108,0)),"")</f>
        <v/>
      </c>
      <c r="C57" s="8" t="str">
        <f>IFERROR(INDEX(Lists!$BV$4:$BV$108,MATCH(41,Lists!$CA$4:$CA$108,0)),"")</f>
        <v/>
      </c>
      <c r="D57" s="8" t="str">
        <f t="shared" si="2"/>
        <v/>
      </c>
      <c r="E57" s="10" t="str">
        <f>IFERROR(IF(INDEX(Lists!$BW$4:$BW$108,MATCH(41,Lists!$CA$4:$CA$108,0))=0,"",INDEX(Lists!$BW$4:$BW$108,MATCH(41,Lists!$CA$4:$CA$108,0))),"")</f>
        <v/>
      </c>
      <c r="F57" s="8" t="str">
        <f t="shared" si="3"/>
        <v/>
      </c>
      <c r="G57" s="91" t="str">
        <f>IFERROR(INDEX(Lists!$BY$4:$BY$108,MATCH(41,Lists!$CA$4:$CA$108,0)),"")</f>
        <v/>
      </c>
      <c r="H57" s="71"/>
    </row>
    <row r="58" spans="1:8">
      <c r="A58" s="8" t="str">
        <f>IFERROR(INDEX(Lists!$BT$4:$BT$108,MATCH(42,Lists!$CA$4:$CA$108,0)),"")</f>
        <v/>
      </c>
      <c r="B58" s="8" t="str">
        <f>IFERROR(INDEX(Lists!$BU$4:$BU$108,MATCH(42,Lists!$CA$4:$CA$108,0)),"")</f>
        <v/>
      </c>
      <c r="C58" s="8" t="str">
        <f>IFERROR(INDEX(Lists!$BV$4:$BV$108,MATCH(42,Lists!$CA$4:$CA$108,0)),"")</f>
        <v/>
      </c>
      <c r="D58" s="8" t="str">
        <f t="shared" si="2"/>
        <v/>
      </c>
      <c r="E58" s="10" t="str">
        <f>IFERROR(IF(INDEX(Lists!$BW$4:$BW$108,MATCH(42,Lists!$CA$4:$CA$108,0))=0,"",INDEX(Lists!$BW$4:$BW$108,MATCH(42,Lists!$CA$4:$CA$108,0))),"")</f>
        <v/>
      </c>
      <c r="F58" s="8" t="str">
        <f t="shared" si="3"/>
        <v/>
      </c>
      <c r="G58" s="91" t="str">
        <f>IFERROR(INDEX(Lists!$BY$4:$BY$108,MATCH(42,Lists!$CA$4:$CA$108,0)),"")</f>
        <v/>
      </c>
      <c r="H58" s="71"/>
    </row>
    <row r="59" spans="1:8">
      <c r="A59" s="8" t="str">
        <f>IFERROR(INDEX(Lists!$BT$4:$BT$108,MATCH(43,Lists!$CA$4:$CA$108,0)),"")</f>
        <v/>
      </c>
      <c r="B59" s="8" t="str">
        <f>IFERROR(INDEX(Lists!$BU$4:$BU$108,MATCH(43,Lists!$CA$4:$CA$108,0)),"")</f>
        <v/>
      </c>
      <c r="C59" s="8" t="str">
        <f>IFERROR(INDEX(Lists!$BV$4:$BV$108,MATCH(43,Lists!$CA$4:$CA$108,0)),"")</f>
        <v/>
      </c>
      <c r="D59" s="8" t="str">
        <f t="shared" si="2"/>
        <v/>
      </c>
      <c r="E59" s="10" t="str">
        <f>IFERROR(IF(INDEX(Lists!$BW$4:$BW$108,MATCH(43,Lists!$CA$4:$CA$108,0))=0,"",INDEX(Lists!$BW$4:$BW$108,MATCH(43,Lists!$CA$4:$CA$108,0))),"")</f>
        <v/>
      </c>
      <c r="F59" s="8" t="str">
        <f t="shared" si="3"/>
        <v/>
      </c>
      <c r="G59" s="91" t="str">
        <f>IFERROR(INDEX(Lists!$BY$4:$BY$108,MATCH(43,Lists!$CA$4:$CA$108,0)),"")</f>
        <v/>
      </c>
      <c r="H59" s="71"/>
    </row>
    <row r="60" spans="1:8">
      <c r="A60" s="8" t="str">
        <f>IFERROR(INDEX(Lists!$BT$4:$BT$108,MATCH(44,Lists!$CA$4:$CA$108,0)),"")</f>
        <v/>
      </c>
      <c r="B60" s="8" t="str">
        <f>IFERROR(INDEX(Lists!$BU$4:$BU$108,MATCH(44,Lists!$CA$4:$CA$108,0)),"")</f>
        <v/>
      </c>
      <c r="C60" s="8" t="str">
        <f>IFERROR(INDEX(Lists!$BV$4:$BV$108,MATCH(44,Lists!$CA$4:$CA$108,0)),"")</f>
        <v/>
      </c>
      <c r="D60" s="8" t="str">
        <f t="shared" si="2"/>
        <v/>
      </c>
      <c r="E60" s="10" t="str">
        <f>IFERROR(IF(INDEX(Lists!$BW$4:$BW$108,MATCH(44,Lists!$CA$4:$CA$108,0))=0,"",INDEX(Lists!$BW$4:$BW$108,MATCH(44,Lists!$CA$4:$CA$108,0))),"")</f>
        <v/>
      </c>
      <c r="F60" s="8" t="str">
        <f t="shared" si="3"/>
        <v/>
      </c>
      <c r="G60" s="91" t="str">
        <f>IFERROR(INDEX(Lists!$BY$4:$BY$108,MATCH(44,Lists!$CA$4:$CA$108,0)),"")</f>
        <v/>
      </c>
      <c r="H60" s="71"/>
    </row>
    <row r="61" spans="1:8">
      <c r="A61" s="8" t="str">
        <f>IFERROR(INDEX(Lists!$BT$4:$BT$108,MATCH(45,Lists!$CA$4:$CA$108,0)),"")</f>
        <v/>
      </c>
      <c r="B61" s="8" t="str">
        <f>IFERROR(INDEX(Lists!$BU$4:$BU$108,MATCH(45,Lists!$CA$4:$CA$108,0)),"")</f>
        <v/>
      </c>
      <c r="C61" s="8" t="str">
        <f>IFERROR(INDEX(Lists!$BV$4:$BV$108,MATCH(45,Lists!$CA$4:$CA$108,0)),"")</f>
        <v/>
      </c>
      <c r="D61" s="8" t="str">
        <f t="shared" si="2"/>
        <v/>
      </c>
      <c r="E61" s="10" t="str">
        <f>IFERROR(IF(INDEX(Lists!$BW$4:$BW$108,MATCH(45,Lists!$CA$4:$CA$108,0))=0,"",INDEX(Lists!$BW$4:$BW$108,MATCH(45,Lists!$CA$4:$CA$108,0))),"")</f>
        <v/>
      </c>
      <c r="F61" s="8" t="str">
        <f t="shared" si="3"/>
        <v/>
      </c>
      <c r="G61" s="91" t="str">
        <f>IFERROR(INDEX(Lists!$BY$4:$BY$108,MATCH(45,Lists!$CA$4:$CA$108,0)),"")</f>
        <v/>
      </c>
      <c r="H61" s="71"/>
    </row>
    <row r="62" spans="1:8">
      <c r="A62" s="8" t="str">
        <f>IFERROR(INDEX(Lists!$BT$4:$BT$108,MATCH(46,Lists!$CA$4:$CA$108,0)),"")</f>
        <v/>
      </c>
      <c r="B62" s="8" t="str">
        <f>IFERROR(INDEX(Lists!$BU$4:$BU$108,MATCH(46,Lists!$CA$4:$CA$108,0)),"")</f>
        <v/>
      </c>
      <c r="C62" s="8" t="str">
        <f>IFERROR(INDEX(Lists!$BV$4:$BV$108,MATCH(46,Lists!$CA$4:$CA$108,0)),"")</f>
        <v/>
      </c>
      <c r="D62" s="8" t="str">
        <f t="shared" si="2"/>
        <v/>
      </c>
      <c r="E62" s="10" t="str">
        <f>IFERROR(IF(INDEX(Lists!$BW$4:$BW$108,MATCH(46,Lists!$CA$4:$CA$108,0))=0,"",INDEX(Lists!$BW$4:$BW$108,MATCH(46,Lists!$CA$4:$CA$108,0))),"")</f>
        <v/>
      </c>
      <c r="F62" s="8" t="str">
        <f t="shared" si="3"/>
        <v/>
      </c>
      <c r="G62" s="91" t="str">
        <f>IFERROR(INDEX(Lists!$BY$4:$BY$108,MATCH(46,Lists!$CA$4:$CA$108,0)),"")</f>
        <v/>
      </c>
      <c r="H62" s="71"/>
    </row>
    <row r="63" spans="1:8">
      <c r="A63" s="8" t="str">
        <f>IFERROR(INDEX(Lists!$BT$4:$BT$108,MATCH(47,Lists!$CA$4:$CA$108,0)),"")</f>
        <v/>
      </c>
      <c r="B63" s="8" t="str">
        <f>IFERROR(INDEX(Lists!$BU$4:$BU$108,MATCH(47,Lists!$CA$4:$CA$108,0)),"")</f>
        <v/>
      </c>
      <c r="C63" s="8" t="str">
        <f>IFERROR(INDEX(Lists!$BV$4:$BV$108,MATCH(47,Lists!$CA$4:$CA$108,0)),"")</f>
        <v/>
      </c>
      <c r="D63" s="8" t="str">
        <f t="shared" si="2"/>
        <v/>
      </c>
      <c r="E63" s="10" t="str">
        <f>IFERROR(IF(INDEX(Lists!$BW$4:$BW$108,MATCH(47,Lists!$CA$4:$CA$108,0))=0,"",INDEX(Lists!$BW$4:$BW$108,MATCH(47,Lists!$CA$4:$CA$108,0))),"")</f>
        <v/>
      </c>
      <c r="F63" s="8" t="str">
        <f t="shared" si="3"/>
        <v/>
      </c>
      <c r="G63" s="91" t="str">
        <f>IFERROR(INDEX(Lists!$BY$4:$BY$108,MATCH(47,Lists!$CA$4:$CA$108,0)),"")</f>
        <v/>
      </c>
      <c r="H63" s="71"/>
    </row>
    <row r="64" spans="1:8">
      <c r="A64" s="8" t="str">
        <f>IFERROR(INDEX(Lists!$BT$4:$BT$108,MATCH(48,Lists!$CA$4:$CA$108,0)),"")</f>
        <v/>
      </c>
      <c r="B64" s="8" t="str">
        <f>IFERROR(INDEX(Lists!$BU$4:$BU$108,MATCH(48,Lists!$CA$4:$CA$108,0)),"")</f>
        <v/>
      </c>
      <c r="C64" s="8" t="str">
        <f>IFERROR(INDEX(Lists!$BV$4:$BV$108,MATCH(48,Lists!$CA$4:$CA$108,0)),"")</f>
        <v/>
      </c>
      <c r="D64" s="8" t="str">
        <f t="shared" si="2"/>
        <v/>
      </c>
      <c r="E64" s="10" t="str">
        <f>IFERROR(IF(INDEX(Lists!$BW$4:$BW$108,MATCH(48,Lists!$CA$4:$CA$108,0))=0,"",INDEX(Lists!$BW$4:$BW$108,MATCH(48,Lists!$CA$4:$CA$108,0))),"")</f>
        <v/>
      </c>
      <c r="F64" s="8" t="str">
        <f t="shared" si="3"/>
        <v/>
      </c>
      <c r="G64" s="91" t="str">
        <f>IFERROR(INDEX(Lists!$BY$4:$BY$108,MATCH(48,Lists!$CA$4:$CA$108,0)),"")</f>
        <v/>
      </c>
      <c r="H64" s="71"/>
    </row>
    <row r="65" spans="1:8">
      <c r="A65" s="8" t="str">
        <f>IFERROR(INDEX(Lists!$BT$4:$BT$108,MATCH(49,Lists!$CA$4:$CA$108,0)),"")</f>
        <v/>
      </c>
      <c r="B65" s="8" t="str">
        <f>IFERROR(INDEX(Lists!$BU$4:$BU$108,MATCH(49,Lists!$CA$4:$CA$108,0)),"")</f>
        <v/>
      </c>
      <c r="C65" s="8" t="str">
        <f>IFERROR(INDEX(Lists!$BV$4:$BV$108,MATCH(49,Lists!$CA$4:$CA$108,0)),"")</f>
        <v/>
      </c>
      <c r="D65" s="8" t="str">
        <f t="shared" si="2"/>
        <v/>
      </c>
      <c r="E65" s="10" t="str">
        <f>IFERROR(IF(INDEX(Lists!$BW$4:$BW$108,MATCH(49,Lists!$CA$4:$CA$108,0))=0,"",INDEX(Lists!$BW$4:$BW$108,MATCH(49,Lists!$CA$4:$CA$108,0))),"")</f>
        <v/>
      </c>
      <c r="F65" s="8" t="str">
        <f t="shared" si="3"/>
        <v/>
      </c>
      <c r="G65" s="91" t="str">
        <f>IFERROR(INDEX(Lists!$BY$4:$BY$108,MATCH(49,Lists!$CA$4:$CA$108,0)),"")</f>
        <v/>
      </c>
      <c r="H65" s="71"/>
    </row>
    <row r="66" spans="1:8">
      <c r="A66" s="8" t="str">
        <f>IFERROR(INDEX(Lists!$BT$4:$BT$108,MATCH(50,Lists!$CA$4:$CA$108,0)),"")</f>
        <v/>
      </c>
      <c r="B66" s="8" t="str">
        <f>IFERROR(INDEX(Lists!$BU$4:$BU$108,MATCH(50,Lists!$CA$4:$CA$108,0)),"")</f>
        <v/>
      </c>
      <c r="C66" s="8" t="str">
        <f>IFERROR(INDEX(Lists!$BV$4:$BV$108,MATCH(50,Lists!$CA$4:$CA$108,0)),"")</f>
        <v/>
      </c>
      <c r="D66" s="8" t="str">
        <f t="shared" si="2"/>
        <v/>
      </c>
      <c r="E66" s="10" t="str">
        <f>IFERROR(IF(INDEX(Lists!$BW$4:$BW$108,MATCH(50,Lists!$CA$4:$CA$108,0))=0,"",INDEX(Lists!$BW$4:$BW$108,MATCH(50,Lists!$CA$4:$CA$108,0))),"")</f>
        <v/>
      </c>
      <c r="F66" s="8" t="str">
        <f t="shared" si="3"/>
        <v/>
      </c>
      <c r="G66" s="91" t="str">
        <f>IFERROR(INDEX(Lists!$BY$4:$BY$108,MATCH(50,Lists!$CA$4:$CA$108,0)),"")</f>
        <v/>
      </c>
      <c r="H66" s="71"/>
    </row>
    <row r="67" spans="1:8">
      <c r="A67" s="8" t="str">
        <f>IFERROR(INDEX(Lists!$BT$4:$BT$108,MATCH(51,Lists!$CA$4:$CA$108,0)),"")</f>
        <v/>
      </c>
      <c r="B67" s="8" t="str">
        <f>IFERROR(INDEX(Lists!$BU$4:$BU$108,MATCH(51,Lists!$CA$4:$CA$108,0)),"")</f>
        <v/>
      </c>
      <c r="C67" s="8" t="str">
        <f>IFERROR(INDEX(Lists!$BV$4:$BV$108,MATCH(51,Lists!$CA$4:$CA$108,0)),"")</f>
        <v/>
      </c>
      <c r="D67" s="8" t="str">
        <f t="shared" si="2"/>
        <v/>
      </c>
      <c r="E67" s="10" t="str">
        <f>IFERROR(IF(INDEX(Lists!$BW$4:$BW$108,MATCH(51,Lists!$CA$4:$CA$108,0))=0,"",INDEX(Lists!$BW$4:$BW$108,MATCH(51,Lists!$CA$4:$CA$108,0))),"")</f>
        <v/>
      </c>
      <c r="F67" s="8" t="str">
        <f t="shared" si="3"/>
        <v/>
      </c>
      <c r="G67" s="91" t="str">
        <f>IFERROR(INDEX(Lists!$BY$4:$BY$108,MATCH(51,Lists!$CA$4:$CA$108,0)),"")</f>
        <v/>
      </c>
      <c r="H67" s="71"/>
    </row>
    <row r="68" spans="1:8">
      <c r="A68" s="8" t="str">
        <f>IFERROR(INDEX(Lists!$BT$4:$BT$108,MATCH(52,Lists!$CA$4:$CA$108,0)),"")</f>
        <v/>
      </c>
      <c r="B68" s="8" t="str">
        <f>IFERROR(INDEX(Lists!$BU$4:$BU$108,MATCH(52,Lists!$CA$4:$CA$108,0)),"")</f>
        <v/>
      </c>
      <c r="C68" s="8" t="str">
        <f>IFERROR(INDEX(Lists!$BV$4:$BV$108,MATCH(52,Lists!$CA$4:$CA$108,0)),"")</f>
        <v/>
      </c>
      <c r="D68" s="8" t="str">
        <f t="shared" si="2"/>
        <v/>
      </c>
      <c r="E68" s="10" t="str">
        <f>IFERROR(IF(INDEX(Lists!$BW$4:$BW$108,MATCH(52,Lists!$CA$4:$CA$108,0))=0,"",INDEX(Lists!$BW$4:$BW$108,MATCH(52,Lists!$CA$4:$CA$108,0))),"")</f>
        <v/>
      </c>
      <c r="F68" s="8" t="str">
        <f t="shared" si="3"/>
        <v/>
      </c>
      <c r="G68" s="91" t="str">
        <f>IFERROR(INDEX(Lists!$BY$4:$BY$108,MATCH(52,Lists!$CA$4:$CA$108,0)),"")</f>
        <v/>
      </c>
      <c r="H68" s="71"/>
    </row>
    <row r="69" spans="1:8">
      <c r="A69" s="8" t="str">
        <f>IFERROR(INDEX(Lists!$BT$4:$BT$108,MATCH(53,Lists!$CA$4:$CA$108,0)),"")</f>
        <v/>
      </c>
      <c r="B69" s="8" t="str">
        <f>IFERROR(INDEX(Lists!$BU$4:$BU$108,MATCH(53,Lists!$CA$4:$CA$108,0)),"")</f>
        <v/>
      </c>
      <c r="C69" s="8" t="str">
        <f>IFERROR(INDEX(Lists!$BV$4:$BV$108,MATCH(53,Lists!$CA$4:$CA$108,0)),"")</f>
        <v/>
      </c>
      <c r="D69" s="8" t="str">
        <f t="shared" si="2"/>
        <v/>
      </c>
      <c r="E69" s="10" t="str">
        <f>IFERROR(IF(INDEX(Lists!$BW$4:$BW$108,MATCH(53,Lists!$CA$4:$CA$108,0))=0,"",INDEX(Lists!$BW$4:$BW$108,MATCH(53,Lists!$CA$4:$CA$108,0))),"")</f>
        <v/>
      </c>
      <c r="F69" s="8" t="str">
        <f t="shared" si="3"/>
        <v/>
      </c>
      <c r="G69" s="91" t="str">
        <f>IFERROR(INDEX(Lists!$BY$4:$BY$108,MATCH(53,Lists!$CA$4:$CA$108,0)),"")</f>
        <v/>
      </c>
      <c r="H69" s="71"/>
    </row>
    <row r="70" spans="1:8">
      <c r="A70" s="8" t="str">
        <f>IFERROR(INDEX(Lists!$BT$4:$BT$108,MATCH(54,Lists!$CA$4:$CA$108,0)),"")</f>
        <v/>
      </c>
      <c r="B70" s="8" t="str">
        <f>IFERROR(INDEX(Lists!$BU$4:$BU$108,MATCH(54,Lists!$CA$4:$CA$108,0)),"")</f>
        <v/>
      </c>
      <c r="C70" s="8" t="str">
        <f>IFERROR(INDEX(Lists!$BV$4:$BV$108,MATCH(54,Lists!$CA$4:$CA$108,0)),"")</f>
        <v/>
      </c>
      <c r="D70" s="8" t="str">
        <f t="shared" si="2"/>
        <v/>
      </c>
      <c r="E70" s="10" t="str">
        <f>IFERROR(IF(INDEX(Lists!$BW$4:$BW$108,MATCH(54,Lists!$CA$4:$CA$108,0))=0,"",INDEX(Lists!$BW$4:$BW$108,MATCH(54,Lists!$CA$4:$CA$108,0))),"")</f>
        <v/>
      </c>
      <c r="F70" s="8" t="str">
        <f t="shared" si="3"/>
        <v/>
      </c>
      <c r="G70" s="91" t="str">
        <f>IFERROR(INDEX(Lists!$BY$4:$BY$108,MATCH(54,Lists!$CA$4:$CA$108,0)),"")</f>
        <v/>
      </c>
      <c r="H70" s="71"/>
    </row>
    <row r="71" spans="1:8">
      <c r="A71" s="8" t="str">
        <f>IFERROR(INDEX(Lists!$BT$4:$BT$108,MATCH(55,Lists!$CA$4:$CA$108,0)),"")</f>
        <v/>
      </c>
      <c r="B71" s="8" t="str">
        <f>IFERROR(INDEX(Lists!$BU$4:$BU$108,MATCH(55,Lists!$CA$4:$CA$108,0)),"")</f>
        <v/>
      </c>
      <c r="C71" s="8" t="str">
        <f>IFERROR(INDEX(Lists!$BV$4:$BV$108,MATCH(55,Lists!$CA$4:$CA$108,0)),"")</f>
        <v/>
      </c>
      <c r="D71" s="8" t="str">
        <f t="shared" si="2"/>
        <v/>
      </c>
      <c r="E71" s="10" t="str">
        <f>IFERROR(IF(INDEX(Lists!$BW$4:$BW$108,MATCH(55,Lists!$CA$4:$CA$108,0))=0,"",INDEX(Lists!$BW$4:$BW$108,MATCH(55,Lists!$CA$4:$CA$108,0))),"")</f>
        <v/>
      </c>
      <c r="F71" s="8" t="str">
        <f t="shared" si="3"/>
        <v/>
      </c>
      <c r="G71" s="91" t="str">
        <f>IFERROR(INDEX(Lists!$BY$4:$BY$108,MATCH(55,Lists!$CA$4:$CA$108,0)),"")</f>
        <v/>
      </c>
      <c r="H71" s="71"/>
    </row>
    <row r="72" spans="1:8">
      <c r="A72" s="8" t="str">
        <f>IFERROR(INDEX(Lists!$BT$4:$BT$108,MATCH(56,Lists!$CA$4:$CA$108,0)),"")</f>
        <v/>
      </c>
      <c r="B72" s="8" t="str">
        <f>IFERROR(INDEX(Lists!$BU$4:$BU$108,MATCH(56,Lists!$CA$4:$CA$108,0)),"")</f>
        <v/>
      </c>
      <c r="C72" s="8" t="str">
        <f>IFERROR(INDEX(Lists!$BV$4:$BV$108,MATCH(56,Lists!$CA$4:$CA$108,0)),"")</f>
        <v/>
      </c>
      <c r="D72" s="8" t="str">
        <f t="shared" si="2"/>
        <v/>
      </c>
      <c r="E72" s="10" t="str">
        <f>IFERROR(IF(INDEX(Lists!$BW$4:$BW$108,MATCH(56,Lists!$CA$4:$CA$108,0))=0,"",INDEX(Lists!$BW$4:$BW$108,MATCH(56,Lists!$CA$4:$CA$108,0))),"")</f>
        <v/>
      </c>
      <c r="F72" s="8" t="str">
        <f t="shared" si="3"/>
        <v/>
      </c>
      <c r="G72" s="91" t="str">
        <f>IFERROR(INDEX(Lists!$BY$4:$BY$108,MATCH(56,Lists!$CA$4:$CA$108,0)),"")</f>
        <v/>
      </c>
      <c r="H72" s="71"/>
    </row>
    <row r="73" spans="1:8">
      <c r="A73" s="8" t="str">
        <f>IFERROR(INDEX(Lists!$BT$4:$BT$108,MATCH(57,Lists!$CA$4:$CA$108,0)),"")</f>
        <v/>
      </c>
      <c r="B73" s="8" t="str">
        <f>IFERROR(INDEX(Lists!$BU$4:$BU$108,MATCH(57,Lists!$CA$4:$CA$108,0)),"")</f>
        <v/>
      </c>
      <c r="C73" s="8" t="str">
        <f>IFERROR(INDEX(Lists!$BV$4:$BV$108,MATCH(57,Lists!$CA$4:$CA$108,0)),"")</f>
        <v/>
      </c>
      <c r="D73" s="8" t="str">
        <f t="shared" si="2"/>
        <v/>
      </c>
      <c r="E73" s="10" t="str">
        <f>IFERROR(IF(INDEX(Lists!$BW$4:$BW$108,MATCH(57,Lists!$CA$4:$CA$108,0))=0,"",INDEX(Lists!$BW$4:$BW$108,MATCH(57,Lists!$CA$4:$CA$108,0))),"")</f>
        <v/>
      </c>
      <c r="F73" s="8" t="str">
        <f t="shared" si="3"/>
        <v/>
      </c>
      <c r="G73" s="91" t="str">
        <f>IFERROR(INDEX(Lists!$BY$4:$BY$108,MATCH(57,Lists!$CA$4:$CA$108,0)),"")</f>
        <v/>
      </c>
      <c r="H73" s="71"/>
    </row>
    <row r="74" spans="1:8">
      <c r="A74" s="8" t="str">
        <f>IFERROR(INDEX(Lists!$BT$4:$BT$108,MATCH(58,Lists!$CA$4:$CA$108,0)),"")</f>
        <v/>
      </c>
      <c r="B74" s="8" t="str">
        <f>IFERROR(INDEX(Lists!$BU$4:$BU$108,MATCH(58,Lists!$CA$4:$CA$108,0)),"")</f>
        <v/>
      </c>
      <c r="C74" s="8" t="str">
        <f>IFERROR(INDEX(Lists!$BV$4:$BV$108,MATCH(58,Lists!$CA$4:$CA$108,0)),"")</f>
        <v/>
      </c>
      <c r="D74" s="8" t="str">
        <f t="shared" si="2"/>
        <v/>
      </c>
      <c r="E74" s="10" t="str">
        <f>IFERROR(IF(INDEX(Lists!$BW$4:$BW$108,MATCH(58,Lists!$CA$4:$CA$108,0))=0,"",INDEX(Lists!$BW$4:$BW$108,MATCH(58,Lists!$CA$4:$CA$108,0))),"")</f>
        <v/>
      </c>
      <c r="F74" s="8" t="str">
        <f t="shared" si="3"/>
        <v/>
      </c>
      <c r="G74" s="91" t="str">
        <f>IFERROR(INDEX(Lists!$BY$4:$BY$108,MATCH(58,Lists!$CA$4:$CA$108,0)),"")</f>
        <v/>
      </c>
      <c r="H74" s="71"/>
    </row>
    <row r="75" spans="1:8">
      <c r="A75" s="8" t="str">
        <f>IFERROR(INDEX(Lists!$BT$4:$BT$108,MATCH(59,Lists!$CA$4:$CA$108,0)),"")</f>
        <v/>
      </c>
      <c r="B75" s="8" t="str">
        <f>IFERROR(INDEX(Lists!$BU$4:$BU$108,MATCH(59,Lists!$CA$4:$CA$108,0)),"")</f>
        <v/>
      </c>
      <c r="C75" s="8" t="str">
        <f>IFERROR(INDEX(Lists!$BV$4:$BV$108,MATCH(59,Lists!$CA$4:$CA$108,0)),"")</f>
        <v/>
      </c>
      <c r="D75" s="8" t="str">
        <f t="shared" si="2"/>
        <v/>
      </c>
      <c r="E75" s="10" t="str">
        <f>IFERROR(IF(INDEX(Lists!$BW$4:$BW$108,MATCH(59,Lists!$CA$4:$CA$108,0))=0,"",INDEX(Lists!$BW$4:$BW$108,MATCH(59,Lists!$CA$4:$CA$108,0))),"")</f>
        <v/>
      </c>
      <c r="F75" s="8" t="str">
        <f t="shared" si="3"/>
        <v/>
      </c>
      <c r="G75" s="91" t="str">
        <f>IFERROR(INDEX(Lists!$BY$4:$BY$108,MATCH(59,Lists!$CA$4:$CA$108,0)),"")</f>
        <v/>
      </c>
      <c r="H75" s="71"/>
    </row>
    <row r="76" spans="1:8">
      <c r="A76" s="8" t="str">
        <f>IFERROR(INDEX(Lists!$BT$4:$BT$108,MATCH(60,Lists!$CA$4:$CA$108,0)),"")</f>
        <v/>
      </c>
      <c r="B76" s="8" t="str">
        <f>IFERROR(INDEX(Lists!$BU$4:$BU$108,MATCH(60,Lists!$CA$4:$CA$108,0)),"")</f>
        <v/>
      </c>
      <c r="C76" s="8" t="str">
        <f>IFERROR(INDEX(Lists!$BV$4:$BV$108,MATCH(60,Lists!$CA$4:$CA$108,0)),"")</f>
        <v/>
      </c>
      <c r="D76" s="8" t="str">
        <f t="shared" si="2"/>
        <v/>
      </c>
      <c r="E76" s="10" t="str">
        <f>IFERROR(IF(INDEX(Lists!$BW$4:$BW$108,MATCH(60,Lists!$CA$4:$CA$108,0))=0,"",INDEX(Lists!$BW$4:$BW$108,MATCH(60,Lists!$CA$4:$CA$108,0))),"")</f>
        <v/>
      </c>
      <c r="F76" s="8" t="str">
        <f t="shared" si="3"/>
        <v/>
      </c>
      <c r="G76" s="91" t="str">
        <f>IFERROR(INDEX(Lists!$BY$4:$BY$108,MATCH(60,Lists!$CA$4:$CA$108,0)),"")</f>
        <v/>
      </c>
      <c r="H76" s="71"/>
    </row>
    <row r="77" spans="1:8">
      <c r="A77" s="8" t="str">
        <f>IFERROR(INDEX(Lists!$BT$4:$BT$108,MATCH(61,Lists!$CA$4:$CA$108,0)),"")</f>
        <v/>
      </c>
      <c r="B77" s="8" t="str">
        <f>IFERROR(INDEX(Lists!$BU$4:$BU$108,MATCH(61,Lists!$CA$4:$CA$108,0)),"")</f>
        <v/>
      </c>
      <c r="C77" s="8" t="str">
        <f>IFERROR(INDEX(Lists!$BV$4:$BV$108,MATCH(61,Lists!$CA$4:$CA$108,0)),"")</f>
        <v/>
      </c>
      <c r="D77" s="8" t="str">
        <f t="shared" si="2"/>
        <v/>
      </c>
      <c r="E77" s="10" t="str">
        <f>IFERROR(IF(INDEX(Lists!$BW$4:$BW$108,MATCH(61,Lists!$CA$4:$CA$108,0))=0,"",INDEX(Lists!$BW$4:$BW$108,MATCH(61,Lists!$CA$4:$CA$108,0))),"")</f>
        <v/>
      </c>
      <c r="F77" s="8" t="str">
        <f t="shared" si="3"/>
        <v/>
      </c>
      <c r="G77" s="91" t="str">
        <f>IFERROR(INDEX(Lists!$BY$4:$BY$108,MATCH(61,Lists!$CA$4:$CA$108,0)),"")</f>
        <v/>
      </c>
      <c r="H77" s="71"/>
    </row>
    <row r="78" spans="1:8">
      <c r="A78" s="8" t="str">
        <f>IFERROR(INDEX(Lists!$BT$4:$BT$108,MATCH(62,Lists!$CA$4:$CA$108,0)),"")</f>
        <v/>
      </c>
      <c r="B78" s="8" t="str">
        <f>IFERROR(INDEX(Lists!$BU$4:$BU$108,MATCH(62,Lists!$CA$4:$CA$108,0)),"")</f>
        <v/>
      </c>
      <c r="C78" s="8" t="str">
        <f>IFERROR(INDEX(Lists!$BV$4:$BV$108,MATCH(62,Lists!$CA$4:$CA$108,0)),"")</f>
        <v/>
      </c>
      <c r="D78" s="8" t="str">
        <f t="shared" si="2"/>
        <v/>
      </c>
      <c r="E78" s="10" t="str">
        <f>IFERROR(IF(INDEX(Lists!$BW$4:$BW$108,MATCH(62,Lists!$CA$4:$CA$108,0))=0,"",INDEX(Lists!$BW$4:$BW$108,MATCH(62,Lists!$CA$4:$CA$108,0))),"")</f>
        <v/>
      </c>
      <c r="F78" s="8" t="str">
        <f t="shared" si="3"/>
        <v/>
      </c>
      <c r="G78" s="91" t="str">
        <f>IFERROR(INDEX(Lists!$BY$4:$BY$108,MATCH(62,Lists!$CA$4:$CA$108,0)),"")</f>
        <v/>
      </c>
      <c r="H78" s="71"/>
    </row>
    <row r="79" spans="1:8">
      <c r="A79" s="8" t="str">
        <f>IFERROR(INDEX(Lists!$BT$4:$BT$108,MATCH(63,Lists!$CA$4:$CA$108,0)),"")</f>
        <v/>
      </c>
      <c r="B79" s="8" t="str">
        <f>IFERROR(INDEX(Lists!$BU$4:$BU$108,MATCH(63,Lists!$CA$4:$CA$108,0)),"")</f>
        <v/>
      </c>
      <c r="C79" s="8" t="str">
        <f>IFERROR(INDEX(Lists!$BV$4:$BV$108,MATCH(63,Lists!$CA$4:$CA$108,0)),"")</f>
        <v/>
      </c>
      <c r="D79" s="8" t="str">
        <f t="shared" si="2"/>
        <v/>
      </c>
      <c r="E79" s="10" t="str">
        <f>IFERROR(IF(INDEX(Lists!$BW$4:$BW$108,MATCH(63,Lists!$CA$4:$CA$108,0))=0,"",INDEX(Lists!$BW$4:$BW$108,MATCH(63,Lists!$CA$4:$CA$108,0))),"")</f>
        <v/>
      </c>
      <c r="F79" s="8" t="str">
        <f t="shared" si="3"/>
        <v/>
      </c>
      <c r="G79" s="91" t="str">
        <f>IFERROR(INDEX(Lists!$BY$4:$BY$108,MATCH(63,Lists!$CA$4:$CA$108,0)),"")</f>
        <v/>
      </c>
      <c r="H79" s="71"/>
    </row>
    <row r="80" spans="1:8">
      <c r="A80" s="8" t="str">
        <f>IFERROR(INDEX(Lists!$BT$4:$BT$108,MATCH(64,Lists!$CA$4:$CA$108,0)),"")</f>
        <v/>
      </c>
      <c r="B80" s="8" t="str">
        <f>IFERROR(INDEX(Lists!$BU$4:$BU$108,MATCH(64,Lists!$CA$4:$CA$108,0)),"")</f>
        <v/>
      </c>
      <c r="C80" s="8" t="str">
        <f>IFERROR(INDEX(Lists!$BV$4:$BV$108,MATCH(64,Lists!$CA$4:$CA$108,0)),"")</f>
        <v/>
      </c>
      <c r="D80" s="8" t="str">
        <f t="shared" si="2"/>
        <v/>
      </c>
      <c r="E80" s="10" t="str">
        <f>IFERROR(IF(INDEX(Lists!$BW$4:$BW$108,MATCH(64,Lists!$CA$4:$CA$108,0))=0,"",INDEX(Lists!$BW$4:$BW$108,MATCH(64,Lists!$CA$4:$CA$108,0))),"")</f>
        <v/>
      </c>
      <c r="F80" s="8" t="str">
        <f t="shared" si="3"/>
        <v/>
      </c>
      <c r="G80" s="91" t="str">
        <f>IFERROR(INDEX(Lists!$BY$4:$BY$108,MATCH(64,Lists!$CA$4:$CA$108,0)),"")</f>
        <v/>
      </c>
      <c r="H80" s="71"/>
    </row>
    <row r="81" spans="1:8">
      <c r="A81" s="8" t="str">
        <f>IFERROR(INDEX(Lists!$BT$4:$BT$108,MATCH(65,Lists!$CA$4:$CA$108,0)),"")</f>
        <v/>
      </c>
      <c r="B81" s="8" t="str">
        <f>IFERROR(INDEX(Lists!$BU$4:$BU$108,MATCH(65,Lists!$CA$4:$CA$108,0)),"")</f>
        <v/>
      </c>
      <c r="C81" s="8" t="str">
        <f>IFERROR(INDEX(Lists!$BV$4:$BV$108,MATCH(65,Lists!$CA$4:$CA$108,0)),"")</f>
        <v/>
      </c>
      <c r="D81" s="8" t="str">
        <f t="shared" ref="D81:D112" si="4">IF(C81=3,"Qualified",IF(C81=2,"Developing",IF(C81=1,"New / Needs Training","")))</f>
        <v/>
      </c>
      <c r="E81" s="10" t="str">
        <f>IFERROR(IF(INDEX(Lists!$BW$4:$BW$108,MATCH(65,Lists!$CA$4:$CA$108,0))=0,"",INDEX(Lists!$BW$4:$BW$108,MATCH(65,Lists!$CA$4:$CA$108,0))),"")</f>
        <v/>
      </c>
      <c r="F81" s="8" t="str">
        <f t="shared" si="3"/>
        <v/>
      </c>
      <c r="G81" s="91" t="str">
        <f>IFERROR(INDEX(Lists!$BY$4:$BY$108,MATCH(65,Lists!$CA$4:$CA$108,0)),"")</f>
        <v/>
      </c>
      <c r="H81" s="71"/>
    </row>
    <row r="82" spans="1:8">
      <c r="A82" s="8" t="str">
        <f>IFERROR(INDEX(Lists!$BT$4:$BT$108,MATCH(66,Lists!$CA$4:$CA$108,0)),"")</f>
        <v/>
      </c>
      <c r="B82" s="8" t="str">
        <f>IFERROR(INDEX(Lists!$BU$4:$BU$108,MATCH(66,Lists!$CA$4:$CA$108,0)),"")</f>
        <v/>
      </c>
      <c r="C82" s="8" t="str">
        <f>IFERROR(INDEX(Lists!$BV$4:$BV$108,MATCH(66,Lists!$CA$4:$CA$108,0)),"")</f>
        <v/>
      </c>
      <c r="D82" s="8" t="str">
        <f t="shared" si="4"/>
        <v/>
      </c>
      <c r="E82" s="10" t="str">
        <f>IFERROR(IF(INDEX(Lists!$BW$4:$BW$108,MATCH(66,Lists!$CA$4:$CA$108,0))=0,"",INDEX(Lists!$BW$4:$BW$108,MATCH(66,Lists!$CA$4:$CA$108,0))),"")</f>
        <v/>
      </c>
      <c r="F82" s="8" t="str">
        <f t="shared" si="3"/>
        <v/>
      </c>
      <c r="G82" s="91" t="str">
        <f>IFERROR(INDEX(Lists!$BY$4:$BY$108,MATCH(66,Lists!$CA$4:$CA$108,0)),"")</f>
        <v/>
      </c>
      <c r="H82" s="71"/>
    </row>
    <row r="83" spans="1:8">
      <c r="A83" s="8" t="str">
        <f>IFERROR(INDEX(Lists!$BT$4:$BT$108,MATCH(67,Lists!$CA$4:$CA$108,0)),"")</f>
        <v/>
      </c>
      <c r="B83" s="8" t="str">
        <f>IFERROR(INDEX(Lists!$BU$4:$BU$108,MATCH(67,Lists!$CA$4:$CA$108,0)),"")</f>
        <v/>
      </c>
      <c r="C83" s="8" t="str">
        <f>IFERROR(INDEX(Lists!$BV$4:$BV$108,MATCH(67,Lists!$CA$4:$CA$108,0)),"")</f>
        <v/>
      </c>
      <c r="D83" s="8" t="str">
        <f t="shared" si="4"/>
        <v/>
      </c>
      <c r="E83" s="10" t="str">
        <f>IFERROR(IF(INDEX(Lists!$BW$4:$BW$108,MATCH(67,Lists!$CA$4:$CA$108,0))=0,"",INDEX(Lists!$BW$4:$BW$108,MATCH(67,Lists!$CA$4:$CA$108,0))),"")</f>
        <v/>
      </c>
      <c r="F83" s="8" t="str">
        <f t="shared" si="3"/>
        <v/>
      </c>
      <c r="G83" s="91" t="str">
        <f>IFERROR(INDEX(Lists!$BY$4:$BY$108,MATCH(67,Lists!$CA$4:$CA$108,0)),"")</f>
        <v/>
      </c>
      <c r="H83" s="71"/>
    </row>
    <row r="84" spans="1:8">
      <c r="A84" s="8" t="str">
        <f>IFERROR(INDEX(Lists!$BT$4:$BT$108,MATCH(68,Lists!$CA$4:$CA$108,0)),"")</f>
        <v/>
      </c>
      <c r="B84" s="8" t="str">
        <f>IFERROR(INDEX(Lists!$BU$4:$BU$108,MATCH(68,Lists!$CA$4:$CA$108,0)),"")</f>
        <v/>
      </c>
      <c r="C84" s="8" t="str">
        <f>IFERROR(INDEX(Lists!$BV$4:$BV$108,MATCH(68,Lists!$CA$4:$CA$108,0)),"")</f>
        <v/>
      </c>
      <c r="D84" s="8" t="str">
        <f t="shared" si="4"/>
        <v/>
      </c>
      <c r="E84" s="10" t="str">
        <f>IFERROR(IF(INDEX(Lists!$BW$4:$BW$108,MATCH(68,Lists!$CA$4:$CA$108,0))=0,"",INDEX(Lists!$BW$4:$BW$108,MATCH(68,Lists!$CA$4:$CA$108,0))),"")</f>
        <v/>
      </c>
      <c r="F84" s="8" t="str">
        <f t="shared" si="3"/>
        <v/>
      </c>
      <c r="G84" s="91" t="str">
        <f>IFERROR(INDEX(Lists!$BY$4:$BY$108,MATCH(68,Lists!$CA$4:$CA$108,0)),"")</f>
        <v/>
      </c>
      <c r="H84" s="71"/>
    </row>
    <row r="85" spans="1:8">
      <c r="A85" s="8" t="str">
        <f>IFERROR(INDEX(Lists!$BT$4:$BT$108,MATCH(69,Lists!$CA$4:$CA$108,0)),"")</f>
        <v/>
      </c>
      <c r="B85" s="8" t="str">
        <f>IFERROR(INDEX(Lists!$BU$4:$BU$108,MATCH(69,Lists!$CA$4:$CA$108,0)),"")</f>
        <v/>
      </c>
      <c r="C85" s="8" t="str">
        <f>IFERROR(INDEX(Lists!$BV$4:$BV$108,MATCH(69,Lists!$CA$4:$CA$108,0)),"")</f>
        <v/>
      </c>
      <c r="D85" s="8" t="str">
        <f t="shared" si="4"/>
        <v/>
      </c>
      <c r="E85" s="10" t="str">
        <f>IFERROR(IF(INDEX(Lists!$BW$4:$BW$108,MATCH(69,Lists!$CA$4:$CA$108,0))=0,"",INDEX(Lists!$BW$4:$BW$108,MATCH(69,Lists!$CA$4:$CA$108,0))),"")</f>
        <v/>
      </c>
      <c r="F85" s="8" t="str">
        <f t="shared" si="3"/>
        <v/>
      </c>
      <c r="G85" s="91" t="str">
        <f>IFERROR(INDEX(Lists!$BY$4:$BY$108,MATCH(69,Lists!$CA$4:$CA$108,0)),"")</f>
        <v/>
      </c>
      <c r="H85" s="71"/>
    </row>
    <row r="88" spans="1:8">
      <c r="A88" s="121" t="s">
        <v>387</v>
      </c>
      <c r="B88" s="67"/>
      <c r="C88" s="67"/>
      <c r="D88" s="67"/>
      <c r="E88" s="67"/>
      <c r="F88" s="67"/>
      <c r="G88" s="67"/>
      <c r="H88" s="67"/>
    </row>
    <row r="89" spans="1:8">
      <c r="A89" s="20" t="s">
        <v>385</v>
      </c>
      <c r="B89" s="20" t="s">
        <v>282</v>
      </c>
      <c r="C89" s="20" t="s">
        <v>388</v>
      </c>
      <c r="D89" s="20" t="s">
        <v>389</v>
      </c>
      <c r="E89" s="20" t="s">
        <v>390</v>
      </c>
      <c r="F89" s="20" t="s">
        <v>391</v>
      </c>
      <c r="G89" s="20" t="s">
        <v>392</v>
      </c>
      <c r="H89" s="20" t="s">
        <v>393</v>
      </c>
    </row>
    <row r="90" spans="1:8">
      <c r="A90" s="5">
        <f>IFERROR(IF(INDEX('Competency Event Log'!$E$4:$E$803,MATCH(1,Lists!$CC$4:$CC$803,0))=0,"",INDEX('Competency Event Log'!$E$4:$E$803,MATCH(1,Lists!$CC$4:$CC$803,0))),"")</f>
        <v>45868</v>
      </c>
      <c r="B90" s="4" t="str">
        <f>IFERROR(INDEX('Competency Event Log'!$C$4:$C$803,MATCH(1,Lists!$CC$4:$CC$803,0)),"")</f>
        <v>Data Privacy &amp; Acceptable Use</v>
      </c>
      <c r="C90" s="4">
        <f>IFERROR(INDEX('Competency Event Log'!$S$4:$S$803,MATCH(1,Lists!$CC$4:$CC$803,0)),"")</f>
        <v>0</v>
      </c>
      <c r="D90" s="4">
        <f>IFERROR(INDEX('Competency Event Log'!$D$4:$D$803,MATCH(1,Lists!$CC$4:$CC$803,0)),"")</f>
        <v>3</v>
      </c>
      <c r="E90" s="4" t="str">
        <f>IFERROR(INDEX('Competency Event Log'!$H$4:$H$803,MATCH(1,Lists!$CC$4:$CC$803,0)),"")</f>
        <v>Initial</v>
      </c>
      <c r="F90" s="5">
        <f>IFERROR(INDEX('Competency Event Log'!$F$4:$F$803,MATCH(1,Lists!$CC$4:$CC$803,0)),"")</f>
        <v>45871</v>
      </c>
      <c r="G90" s="4" t="str">
        <f>IFERROR(INDEX('Competency Event Log'!$G$4:$G$803,MATCH(1,Lists!$CC$4:$CC$803,0)),"")</f>
        <v>Jordan Blake</v>
      </c>
      <c r="H90" s="4" t="str">
        <f>IFERROR(INDEX('Competency Event Log'!$L$4:$L$803,MATCH(1,Lists!$CC$4:$CC$803,0)),"")</f>
        <v>DEMO-00013</v>
      </c>
    </row>
    <row r="91" spans="1:8">
      <c r="A91" s="5">
        <f>IFERROR(IF(INDEX('Competency Event Log'!$E$4:$E$803,MATCH(2,Lists!$CC$4:$CC$803,0))=0,"",INDEX('Competency Event Log'!$E$4:$E$803,MATCH(2,Lists!$CC$4:$CC$803,0))),"")</f>
        <v>45832</v>
      </c>
      <c r="B91" s="4" t="str">
        <f>IFERROR(INDEX('Competency Event Log'!$C$4:$C$803,MATCH(2,Lists!$CC$4:$CC$803,0)),"")</f>
        <v>Backup Validation</v>
      </c>
      <c r="C91" s="4">
        <f>IFERROR(INDEX('Competency Event Log'!$S$4:$S$803,MATCH(2,Lists!$CC$4:$CC$803,0)),"")</f>
        <v>0</v>
      </c>
      <c r="D91" s="4">
        <f>IFERROR(INDEX('Competency Event Log'!$D$4:$D$803,MATCH(2,Lists!$CC$4:$CC$803,0)),"")</f>
        <v>3</v>
      </c>
      <c r="E91" s="4" t="str">
        <f>IFERROR(INDEX('Competency Event Log'!$H$4:$H$803,MATCH(2,Lists!$CC$4:$CC$803,0)),"")</f>
        <v>Initial</v>
      </c>
      <c r="F91" s="5">
        <f>IFERROR(INDEX('Competency Event Log'!$F$4:$F$803,MATCH(2,Lists!$CC$4:$CC$803,0)),"")</f>
        <v>45835</v>
      </c>
      <c r="G91" s="4" t="str">
        <f>IFERROR(INDEX('Competency Event Log'!$G$4:$G$803,MATCH(2,Lists!$CC$4:$CC$803,0)),"")</f>
        <v>Jordan Blake</v>
      </c>
      <c r="H91" s="4" t="str">
        <f>IFERROR(INDEX('Competency Event Log'!$L$4:$L$803,MATCH(2,Lists!$CC$4:$CC$803,0)),"")</f>
        <v>DEMO-00012</v>
      </c>
    </row>
    <row r="92" spans="1:8">
      <c r="A92" s="5">
        <f>IFERROR(IF(INDEX('Competency Event Log'!$E$4:$E$803,MATCH(3,Lists!$CC$4:$CC$803,0))=0,"",INDEX('Competency Event Log'!$E$4:$E$803,MATCH(3,Lists!$CC$4:$CC$803,0))),"")</f>
        <v>46208</v>
      </c>
      <c r="B92" s="4" t="str">
        <f>IFERROR(INDEX('Competency Event Log'!$C$4:$C$803,MATCH(3,Lists!$CC$4:$CC$803,0)),"")</f>
        <v>Customer Configuration Support</v>
      </c>
      <c r="C92" s="4">
        <f>IFERROR(INDEX('Competency Event Log'!$S$4:$S$803,MATCH(3,Lists!$CC$4:$CC$803,0)),"")</f>
        <v>0</v>
      </c>
      <c r="D92" s="4">
        <f>IFERROR(INDEX('Competency Event Log'!$D$4:$D$803,MATCH(3,Lists!$CC$4:$CC$803,0)),"")</f>
        <v>3</v>
      </c>
      <c r="E92" s="4" t="str">
        <f>IFERROR(INDEX('Competency Event Log'!$H$4:$H$803,MATCH(3,Lists!$CC$4:$CC$803,0)),"")</f>
        <v>Initial</v>
      </c>
      <c r="F92" s="5">
        <f>IFERROR(INDEX('Competency Event Log'!$F$4:$F$803,MATCH(3,Lists!$CC$4:$CC$803,0)),"")</f>
        <v>46209</v>
      </c>
      <c r="G92" s="4" t="str">
        <f>IFERROR(INDEX('Competency Event Log'!$G$4:$G$803,MATCH(3,Lists!$CC$4:$CC$803,0)),"")</f>
        <v>Jordan Blake</v>
      </c>
      <c r="H92" s="4" t="str">
        <f>IFERROR(INDEX('Competency Event Log'!$L$4:$L$803,MATCH(3,Lists!$CC$4:$CC$803,0)),"")</f>
        <v>DEMO-00011</v>
      </c>
    </row>
    <row r="93" spans="1:8">
      <c r="A93" s="5">
        <f>IFERROR(IF(INDEX('Competency Event Log'!$E$4:$E$803,MATCH(4,Lists!$CC$4:$CC$803,0))=0,"",INDEX('Competency Event Log'!$E$4:$E$803,MATCH(4,Lists!$CC$4:$CC$803,0))),"")</f>
        <v>45919</v>
      </c>
      <c r="B93" s="4" t="str">
        <f>IFERROR(INDEX('Competency Event Log'!$C$4:$C$803,MATCH(4,Lists!$CC$4:$CC$803,0)),"")</f>
        <v>Troubleshooting Fundamentals</v>
      </c>
      <c r="C93" s="4">
        <f>IFERROR(INDEX('Competency Event Log'!$S$4:$S$803,MATCH(4,Lists!$CC$4:$CC$803,0)),"")</f>
        <v>2</v>
      </c>
      <c r="D93" s="4">
        <f>IFERROR(INDEX('Competency Event Log'!$D$4:$D$803,MATCH(4,Lists!$CC$4:$CC$803,0)),"")</f>
        <v>3</v>
      </c>
      <c r="E93" s="4" t="str">
        <f>IFERROR(INDEX('Competency Event Log'!$H$4:$H$803,MATCH(4,Lists!$CC$4:$CC$803,0)),"")</f>
        <v>Upgrade</v>
      </c>
      <c r="F93" s="5">
        <f>IFERROR(INDEX('Competency Event Log'!$F$4:$F$803,MATCH(4,Lists!$CC$4:$CC$803,0)),"")</f>
        <v>45919</v>
      </c>
      <c r="G93" s="4" t="str">
        <f>IFERROR(INDEX('Competency Event Log'!$G$4:$G$803,MATCH(4,Lists!$CC$4:$CC$803,0)),"")</f>
        <v>Jordan Blake</v>
      </c>
      <c r="H93" s="4" t="str">
        <f>IFERROR(INDEX('Competency Event Log'!$L$4:$L$803,MATCH(4,Lists!$CC$4:$CC$803,0)),"")</f>
        <v>DEMO-00010</v>
      </c>
    </row>
    <row r="94" spans="1:8">
      <c r="A94" s="5">
        <f>IFERROR(IF(INDEX('Competency Event Log'!$E$4:$E$803,MATCH(5,Lists!$CC$4:$CC$803,0))=0,"",INDEX('Competency Event Log'!$E$4:$E$803,MATCH(5,Lists!$CC$4:$CC$803,0))),"")</f>
        <v>45827</v>
      </c>
      <c r="B94" s="4" t="str">
        <f>IFERROR(INDEX('Competency Event Log'!$C$4:$C$803,MATCH(5,Lists!$CC$4:$CC$803,0)),"")</f>
        <v>Troubleshooting Fundamentals</v>
      </c>
      <c r="C94" s="4">
        <f>IFERROR(INDEX('Competency Event Log'!$S$4:$S$803,MATCH(5,Lists!$CC$4:$CC$803,0)),"")</f>
        <v>1</v>
      </c>
      <c r="D94" s="4">
        <f>IFERROR(INDEX('Competency Event Log'!$D$4:$D$803,MATCH(5,Lists!$CC$4:$CC$803,0)),"")</f>
        <v>2</v>
      </c>
      <c r="E94" s="4" t="str">
        <f>IFERROR(INDEX('Competency Event Log'!$H$4:$H$803,MATCH(5,Lists!$CC$4:$CC$803,0)),"")</f>
        <v>Upgrade</v>
      </c>
      <c r="F94" s="5">
        <f>IFERROR(INDEX('Competency Event Log'!$F$4:$F$803,MATCH(5,Lists!$CC$4:$CC$803,0)),"")</f>
        <v>45828</v>
      </c>
      <c r="G94" s="4" t="str">
        <f>IFERROR(INDEX('Competency Event Log'!$G$4:$G$803,MATCH(5,Lists!$CC$4:$CC$803,0)),"")</f>
        <v>Jordan Blake</v>
      </c>
      <c r="H94" s="4" t="str">
        <f>IFERROR(INDEX('Competency Event Log'!$L$4:$L$803,MATCH(5,Lists!$CC$4:$CC$803,0)),"")</f>
        <v>DEMO-00009</v>
      </c>
    </row>
    <row r="95" spans="1:8">
      <c r="A95" s="5">
        <f>IFERROR(IF(INDEX('Competency Event Log'!$E$4:$E$803,MATCH(6,Lists!$CC$4:$CC$803,0))=0,"",INDEX('Competency Event Log'!$E$4:$E$803,MATCH(6,Lists!$CC$4:$CC$803,0))),"")</f>
        <v>45777</v>
      </c>
      <c r="B95" s="4" t="str">
        <f>IFERROR(INDEX('Competency Event Log'!$C$4:$C$803,MATCH(6,Lists!$CC$4:$CC$803,0)),"")</f>
        <v>Troubleshooting Fundamentals</v>
      </c>
      <c r="C95" s="4">
        <f>IFERROR(INDEX('Competency Event Log'!$S$4:$S$803,MATCH(6,Lists!$CC$4:$CC$803,0)),"")</f>
        <v>0</v>
      </c>
      <c r="D95" s="4">
        <f>IFERROR(INDEX('Competency Event Log'!$D$4:$D$803,MATCH(6,Lists!$CC$4:$CC$803,0)),"")</f>
        <v>1</v>
      </c>
      <c r="E95" s="4" t="str">
        <f>IFERROR(INDEX('Competency Event Log'!$H$4:$H$803,MATCH(6,Lists!$CC$4:$CC$803,0)),"")</f>
        <v>Initial</v>
      </c>
      <c r="F95" s="5">
        <f>IFERROR(INDEX('Competency Event Log'!$F$4:$F$803,MATCH(6,Lists!$CC$4:$CC$803,0)),"")</f>
        <v>45779</v>
      </c>
      <c r="G95" s="4" t="str">
        <f>IFERROR(INDEX('Competency Event Log'!$G$4:$G$803,MATCH(6,Lists!$CC$4:$CC$803,0)),"")</f>
        <v>Jordan Blake</v>
      </c>
      <c r="H95" s="4" t="str">
        <f>IFERROR(INDEX('Competency Event Log'!$L$4:$L$803,MATCH(6,Lists!$CC$4:$CC$803,0)),"")</f>
        <v>DEMO-00008</v>
      </c>
    </row>
    <row r="96" spans="1:8">
      <c r="A96" s="5">
        <f>IFERROR(IF(INDEX('Competency Event Log'!$E$4:$E$803,MATCH(7,Lists!$CC$4:$CC$803,0))=0,"",INDEX('Competency Event Log'!$E$4:$E$803,MATCH(7,Lists!$CC$4:$CC$803,0))),"")</f>
        <v>46219</v>
      </c>
      <c r="B96" s="4" t="str">
        <f>IFERROR(INDEX('Competency Event Log'!$C$4:$C$803,MATCH(7,Lists!$CC$4:$CC$803,0)),"")</f>
        <v>CRM Case Management</v>
      </c>
      <c r="C96" s="4">
        <f>IFERROR(INDEX('Competency Event Log'!$S$4:$S$803,MATCH(7,Lists!$CC$4:$CC$803,0)),"")</f>
        <v>2</v>
      </c>
      <c r="D96" s="4">
        <f>IFERROR(INDEX('Competency Event Log'!$D$4:$D$803,MATCH(7,Lists!$CC$4:$CC$803,0)),"")</f>
        <v>3</v>
      </c>
      <c r="E96" s="4" t="str">
        <f>IFERROR(INDEX('Competency Event Log'!$H$4:$H$803,MATCH(7,Lists!$CC$4:$CC$803,0)),"")</f>
        <v>Upgrade</v>
      </c>
      <c r="F96" s="5">
        <f>IFERROR(INDEX('Competency Event Log'!$F$4:$F$803,MATCH(7,Lists!$CC$4:$CC$803,0)),"")</f>
        <v>46219</v>
      </c>
      <c r="G96" s="4" t="str">
        <f>IFERROR(INDEX('Competency Event Log'!$G$4:$G$803,MATCH(7,Lists!$CC$4:$CC$803,0)),"")</f>
        <v>Jordan Blake</v>
      </c>
      <c r="H96" s="4" t="str">
        <f>IFERROR(INDEX('Competency Event Log'!$L$4:$L$803,MATCH(7,Lists!$CC$4:$CC$803,0)),"")</f>
        <v>DEMO-00007</v>
      </c>
    </row>
    <row r="97" spans="1:8">
      <c r="A97" s="5">
        <f>IFERROR(IF(INDEX('Competency Event Log'!$E$4:$E$803,MATCH(8,Lists!$CC$4:$CC$803,0))=0,"",INDEX('Competency Event Log'!$E$4:$E$803,MATCH(8,Lists!$CC$4:$CC$803,0))),"")</f>
        <v>46221</v>
      </c>
      <c r="B97" s="4" t="str">
        <f>IFERROR(INDEX('Competency Event Log'!$C$4:$C$803,MATCH(8,Lists!$CC$4:$CC$803,0)),"")</f>
        <v>CRM Case Management</v>
      </c>
      <c r="C97" s="4">
        <f>IFERROR(INDEX('Competency Event Log'!$S$4:$S$803,MATCH(8,Lists!$CC$4:$CC$803,0)),"")</f>
        <v>1</v>
      </c>
      <c r="D97" s="4">
        <f>IFERROR(INDEX('Competency Event Log'!$D$4:$D$803,MATCH(8,Lists!$CC$4:$CC$803,0)),"")</f>
        <v>2</v>
      </c>
      <c r="E97" s="4" t="str">
        <f>IFERROR(INDEX('Competency Event Log'!$H$4:$H$803,MATCH(8,Lists!$CC$4:$CC$803,0)),"")</f>
        <v>Upgrade</v>
      </c>
      <c r="F97" s="5">
        <f>IFERROR(INDEX('Competency Event Log'!$F$4:$F$803,MATCH(8,Lists!$CC$4:$CC$803,0)),"")</f>
        <v>46222</v>
      </c>
      <c r="G97" s="4" t="str">
        <f>IFERROR(INDEX('Competency Event Log'!$G$4:$G$803,MATCH(8,Lists!$CC$4:$CC$803,0)),"")</f>
        <v>Jordan Blake</v>
      </c>
      <c r="H97" s="4" t="str">
        <f>IFERROR(INDEX('Competency Event Log'!$L$4:$L$803,MATCH(8,Lists!$CC$4:$CC$803,0)),"")</f>
        <v>DEMO-00006</v>
      </c>
    </row>
    <row r="98" spans="1:8">
      <c r="A98" s="5">
        <f>IFERROR(IF(INDEX('Competency Event Log'!$E$4:$E$803,MATCH(9,Lists!$CC$4:$CC$803,0))=0,"",INDEX('Competency Event Log'!$E$4:$E$803,MATCH(9,Lists!$CC$4:$CC$803,0))),"")</f>
        <v>46182</v>
      </c>
      <c r="B98" s="4" t="str">
        <f>IFERROR(INDEX('Competency Event Log'!$C$4:$C$803,MATCH(9,Lists!$CC$4:$CC$803,0)),"")</f>
        <v>CRM Case Management</v>
      </c>
      <c r="C98" s="4">
        <f>IFERROR(INDEX('Competency Event Log'!$S$4:$S$803,MATCH(9,Lists!$CC$4:$CC$803,0)),"")</f>
        <v>0</v>
      </c>
      <c r="D98" s="4">
        <f>IFERROR(INDEX('Competency Event Log'!$D$4:$D$803,MATCH(9,Lists!$CC$4:$CC$803,0)),"")</f>
        <v>1</v>
      </c>
      <c r="E98" s="4" t="str">
        <f>IFERROR(INDEX('Competency Event Log'!$H$4:$H$803,MATCH(9,Lists!$CC$4:$CC$803,0)),"")</f>
        <v>Initial</v>
      </c>
      <c r="F98" s="5">
        <f>IFERROR(INDEX('Competency Event Log'!$F$4:$F$803,MATCH(9,Lists!$CC$4:$CC$803,0)),"")</f>
        <v>46183</v>
      </c>
      <c r="G98" s="4" t="str">
        <f>IFERROR(INDEX('Competency Event Log'!$G$4:$G$803,MATCH(9,Lists!$CC$4:$CC$803,0)),"")</f>
        <v>Jordan Blake</v>
      </c>
      <c r="H98" s="4" t="str">
        <f>IFERROR(INDEX('Competency Event Log'!$L$4:$L$803,MATCH(9,Lists!$CC$4:$CC$803,0)),"")</f>
        <v>DEMO-00005</v>
      </c>
    </row>
    <row r="99" spans="1:8">
      <c r="A99" s="5">
        <f>IFERROR(IF(INDEX('Competency Event Log'!$E$4:$E$803,MATCH(10,Lists!$CC$4:$CC$803,0))=0,"",INDEX('Competency Event Log'!$E$4:$E$803,MATCH(10,Lists!$CC$4:$CC$803,0))),"")</f>
        <v>46125</v>
      </c>
      <c r="B99" s="4" t="str">
        <f>IFERROR(INDEX('Competency Event Log'!$C$4:$C$803,MATCH(10,Lists!$CC$4:$CC$803,0)),"")</f>
        <v>Data Privacy Handling</v>
      </c>
      <c r="C99" s="4">
        <f>IFERROR(INDEX('Competency Event Log'!$S$4:$S$803,MATCH(10,Lists!$CC$4:$CC$803,0)),"")</f>
        <v>2</v>
      </c>
      <c r="D99" s="4">
        <f>IFERROR(INDEX('Competency Event Log'!$D$4:$D$803,MATCH(10,Lists!$CC$4:$CC$803,0)),"")</f>
        <v>3</v>
      </c>
      <c r="E99" s="4" t="str">
        <f>IFERROR(INDEX('Competency Event Log'!$H$4:$H$803,MATCH(10,Lists!$CC$4:$CC$803,0)),"")</f>
        <v>Upgrade</v>
      </c>
      <c r="F99" s="5">
        <f>IFERROR(INDEX('Competency Event Log'!$F$4:$F$803,MATCH(10,Lists!$CC$4:$CC$803,0)),"")</f>
        <v>46125</v>
      </c>
      <c r="G99" s="4" t="str">
        <f>IFERROR(INDEX('Competency Event Log'!$G$4:$G$803,MATCH(10,Lists!$CC$4:$CC$803,0)),"")</f>
        <v>Jordan Blake</v>
      </c>
      <c r="H99" s="4" t="str">
        <f>IFERROR(INDEX('Competency Event Log'!$L$4:$L$803,MATCH(10,Lists!$CC$4:$CC$803,0)),"")</f>
        <v>DEMO-00004</v>
      </c>
    </row>
    <row r="100" spans="1:8">
      <c r="A100" s="5">
        <f>IFERROR(IF(INDEX('Competency Event Log'!$E$4:$E$803,MATCH(11,Lists!$CC$4:$CC$803,0))=0,"",INDEX('Competency Event Log'!$E$4:$E$803,MATCH(11,Lists!$CC$4:$CC$803,0))),"")</f>
        <v>46041</v>
      </c>
      <c r="B100" s="4" t="str">
        <f>IFERROR(INDEX('Competency Event Log'!$C$4:$C$803,MATCH(11,Lists!$CC$4:$CC$803,0)),"")</f>
        <v>Data Privacy Handling</v>
      </c>
      <c r="C100" s="4">
        <f>IFERROR(INDEX('Competency Event Log'!$S$4:$S$803,MATCH(11,Lists!$CC$4:$CC$803,0)),"")</f>
        <v>1</v>
      </c>
      <c r="D100" s="4">
        <f>IFERROR(INDEX('Competency Event Log'!$D$4:$D$803,MATCH(11,Lists!$CC$4:$CC$803,0)),"")</f>
        <v>2</v>
      </c>
      <c r="E100" s="4" t="str">
        <f>IFERROR(INDEX('Competency Event Log'!$H$4:$H$803,MATCH(11,Lists!$CC$4:$CC$803,0)),"")</f>
        <v>Upgrade</v>
      </c>
      <c r="F100" s="5">
        <f>IFERROR(INDEX('Competency Event Log'!$F$4:$F$803,MATCH(11,Lists!$CC$4:$CC$803,0)),"")</f>
        <v>46043</v>
      </c>
      <c r="G100" s="4" t="str">
        <f>IFERROR(INDEX('Competency Event Log'!$G$4:$G$803,MATCH(11,Lists!$CC$4:$CC$803,0)),"")</f>
        <v>Jordan Blake</v>
      </c>
      <c r="H100" s="4" t="str">
        <f>IFERROR(INDEX('Competency Event Log'!$L$4:$L$803,MATCH(11,Lists!$CC$4:$CC$803,0)),"")</f>
        <v>DEMO-00003</v>
      </c>
    </row>
    <row r="101" spans="1:8">
      <c r="A101" s="5">
        <f>IFERROR(IF(INDEX('Competency Event Log'!$E$4:$E$803,MATCH(12,Lists!$CC$4:$CC$803,0))=0,"",INDEX('Competency Event Log'!$E$4:$E$803,MATCH(12,Lists!$CC$4:$CC$803,0))),"")</f>
        <v>45963</v>
      </c>
      <c r="B101" s="4" t="str">
        <f>IFERROR(INDEX('Competency Event Log'!$C$4:$C$803,MATCH(12,Lists!$CC$4:$CC$803,0)),"")</f>
        <v>Data Privacy Handling</v>
      </c>
      <c r="C101" s="4">
        <f>IFERROR(INDEX('Competency Event Log'!$S$4:$S$803,MATCH(12,Lists!$CC$4:$CC$803,0)),"")</f>
        <v>0</v>
      </c>
      <c r="D101" s="4">
        <f>IFERROR(INDEX('Competency Event Log'!$D$4:$D$803,MATCH(12,Lists!$CC$4:$CC$803,0)),"")</f>
        <v>1</v>
      </c>
      <c r="E101" s="4" t="str">
        <f>IFERROR(INDEX('Competency Event Log'!$H$4:$H$803,MATCH(12,Lists!$CC$4:$CC$803,0)),"")</f>
        <v>Initial</v>
      </c>
      <c r="F101" s="5">
        <f>IFERROR(INDEX('Competency Event Log'!$F$4:$F$803,MATCH(12,Lists!$CC$4:$CC$803,0)),"")</f>
        <v>45964</v>
      </c>
      <c r="G101" s="4" t="str">
        <f>IFERROR(INDEX('Competency Event Log'!$G$4:$G$803,MATCH(12,Lists!$CC$4:$CC$803,0)),"")</f>
        <v>Jordan Blake</v>
      </c>
      <c r="H101" s="4" t="str">
        <f>IFERROR(INDEX('Competency Event Log'!$L$4:$L$803,MATCH(12,Lists!$CC$4:$CC$803,0)),"")</f>
        <v>DEMO-00002</v>
      </c>
    </row>
    <row r="102" spans="1:8">
      <c r="A102" s="5">
        <f>IFERROR(IF(INDEX('Competency Event Log'!$E$4:$E$803,MATCH(13,Lists!$CC$4:$CC$803,0))=0,"",INDEX('Competency Event Log'!$E$4:$E$803,MATCH(13,Lists!$CC$4:$CC$803,0))),"")</f>
        <v>45674</v>
      </c>
      <c r="B102" s="4" t="str">
        <f>IFERROR(INDEX('Competency Event Log'!$C$4:$C$803,MATCH(13,Lists!$CC$4:$CC$803,0)),"")</f>
        <v>Customer Onboarding Workflow</v>
      </c>
      <c r="C102" s="4">
        <f>IFERROR(INDEX('Competency Event Log'!$S$4:$S$803,MATCH(13,Lists!$CC$4:$CC$803,0)),"")</f>
        <v>0</v>
      </c>
      <c r="D102" s="4">
        <f>IFERROR(INDEX('Competency Event Log'!$D$4:$D$803,MATCH(13,Lists!$CC$4:$CC$803,0)),"")</f>
        <v>3</v>
      </c>
      <c r="E102" s="4" t="str">
        <f>IFERROR(INDEX('Competency Event Log'!$H$4:$H$803,MATCH(13,Lists!$CC$4:$CC$803,0)),"")</f>
        <v>Initial</v>
      </c>
      <c r="F102" s="5">
        <f>IFERROR(INDEX('Competency Event Log'!$F$4:$F$803,MATCH(13,Lists!$CC$4:$CC$803,0)),"")</f>
        <v>45676</v>
      </c>
      <c r="G102" s="4" t="str">
        <f>IFERROR(INDEX('Competency Event Log'!$G$4:$G$803,MATCH(13,Lists!$CC$4:$CC$803,0)),"")</f>
        <v>Jordan Blake</v>
      </c>
      <c r="H102" s="4" t="str">
        <f>IFERROR(INDEX('Competency Event Log'!$L$4:$L$803,MATCH(13,Lists!$CC$4:$CC$803,0)),"")</f>
        <v>DEMO-00001</v>
      </c>
    </row>
    <row r="103" spans="1:8">
      <c r="A103" s="5" t="str">
        <f>IFERROR(IF(INDEX('Competency Event Log'!$E$4:$E$803,MATCH(14,Lists!$CC$4:$CC$803,0))=0,"",INDEX('Competency Event Log'!$E$4:$E$803,MATCH(14,Lists!$CC$4:$CC$803,0))),"")</f>
        <v/>
      </c>
      <c r="B103" s="4" t="str">
        <f>IFERROR(INDEX('Competency Event Log'!$C$4:$C$803,MATCH(14,Lists!$CC$4:$CC$803,0)),"")</f>
        <v/>
      </c>
      <c r="C103" s="4" t="str">
        <f>IFERROR(INDEX('Competency Event Log'!$S$4:$S$803,MATCH(14,Lists!$CC$4:$CC$803,0)),"")</f>
        <v/>
      </c>
      <c r="D103" s="4" t="str">
        <f>IFERROR(INDEX('Competency Event Log'!$D$4:$D$803,MATCH(14,Lists!$CC$4:$CC$803,0)),"")</f>
        <v/>
      </c>
      <c r="E103" s="4" t="str">
        <f>IFERROR(INDEX('Competency Event Log'!$H$4:$H$803,MATCH(14,Lists!$CC$4:$CC$803,0)),"")</f>
        <v/>
      </c>
      <c r="F103" s="5" t="str">
        <f>IFERROR(INDEX('Competency Event Log'!$F$4:$F$803,MATCH(14,Lists!$CC$4:$CC$803,0)),"")</f>
        <v/>
      </c>
      <c r="G103" s="4" t="str">
        <f>IFERROR(INDEX('Competency Event Log'!$G$4:$G$803,MATCH(14,Lists!$CC$4:$CC$803,0)),"")</f>
        <v/>
      </c>
      <c r="H103" s="4" t="str">
        <f>IFERROR(INDEX('Competency Event Log'!$L$4:$L$803,MATCH(14,Lists!$CC$4:$CC$803,0)),"")</f>
        <v/>
      </c>
    </row>
    <row r="104" spans="1:8">
      <c r="A104" s="5" t="str">
        <f>IFERROR(IF(INDEX('Competency Event Log'!$E$4:$E$803,MATCH(15,Lists!$CC$4:$CC$803,0))=0,"",INDEX('Competency Event Log'!$E$4:$E$803,MATCH(15,Lists!$CC$4:$CC$803,0))),"")</f>
        <v/>
      </c>
      <c r="B104" s="4" t="str">
        <f>IFERROR(INDEX('Competency Event Log'!$C$4:$C$803,MATCH(15,Lists!$CC$4:$CC$803,0)),"")</f>
        <v/>
      </c>
      <c r="C104" s="4" t="str">
        <f>IFERROR(INDEX('Competency Event Log'!$S$4:$S$803,MATCH(15,Lists!$CC$4:$CC$803,0)),"")</f>
        <v/>
      </c>
      <c r="D104" s="4" t="str">
        <f>IFERROR(INDEX('Competency Event Log'!$D$4:$D$803,MATCH(15,Lists!$CC$4:$CC$803,0)),"")</f>
        <v/>
      </c>
      <c r="E104" s="4" t="str">
        <f>IFERROR(INDEX('Competency Event Log'!$H$4:$H$803,MATCH(15,Lists!$CC$4:$CC$803,0)),"")</f>
        <v/>
      </c>
      <c r="F104" s="5" t="str">
        <f>IFERROR(INDEX('Competency Event Log'!$F$4:$F$803,MATCH(15,Lists!$CC$4:$CC$803,0)),"")</f>
        <v/>
      </c>
      <c r="G104" s="4" t="str">
        <f>IFERROR(INDEX('Competency Event Log'!$G$4:$G$803,MATCH(15,Lists!$CC$4:$CC$803,0)),"")</f>
        <v/>
      </c>
      <c r="H104" s="4" t="str">
        <f>IFERROR(INDEX('Competency Event Log'!$L$4:$L$803,MATCH(15,Lists!$CC$4:$CC$803,0)),"")</f>
        <v/>
      </c>
    </row>
    <row r="105" spans="1:8">
      <c r="A105" s="5" t="str">
        <f>IFERROR(IF(INDEX('Competency Event Log'!$E$4:$E$803,MATCH(16,Lists!$CC$4:$CC$803,0))=0,"",INDEX('Competency Event Log'!$E$4:$E$803,MATCH(16,Lists!$CC$4:$CC$803,0))),"")</f>
        <v/>
      </c>
      <c r="B105" s="4" t="str">
        <f>IFERROR(INDEX('Competency Event Log'!$C$4:$C$803,MATCH(16,Lists!$CC$4:$CC$803,0)),"")</f>
        <v/>
      </c>
      <c r="C105" s="4" t="str">
        <f>IFERROR(INDEX('Competency Event Log'!$S$4:$S$803,MATCH(16,Lists!$CC$4:$CC$803,0)),"")</f>
        <v/>
      </c>
      <c r="D105" s="4" t="str">
        <f>IFERROR(INDEX('Competency Event Log'!$D$4:$D$803,MATCH(16,Lists!$CC$4:$CC$803,0)),"")</f>
        <v/>
      </c>
      <c r="E105" s="4" t="str">
        <f>IFERROR(INDEX('Competency Event Log'!$H$4:$H$803,MATCH(16,Lists!$CC$4:$CC$803,0)),"")</f>
        <v/>
      </c>
      <c r="F105" s="5" t="str">
        <f>IFERROR(INDEX('Competency Event Log'!$F$4:$F$803,MATCH(16,Lists!$CC$4:$CC$803,0)),"")</f>
        <v/>
      </c>
      <c r="G105" s="4" t="str">
        <f>IFERROR(INDEX('Competency Event Log'!$G$4:$G$803,MATCH(16,Lists!$CC$4:$CC$803,0)),"")</f>
        <v/>
      </c>
      <c r="H105" s="4" t="str">
        <f>IFERROR(INDEX('Competency Event Log'!$L$4:$L$803,MATCH(16,Lists!$CC$4:$CC$803,0)),"")</f>
        <v/>
      </c>
    </row>
    <row r="106" spans="1:8">
      <c r="A106" s="5" t="str">
        <f>IFERROR(IF(INDEX('Competency Event Log'!$E$4:$E$803,MATCH(17,Lists!$CC$4:$CC$803,0))=0,"",INDEX('Competency Event Log'!$E$4:$E$803,MATCH(17,Lists!$CC$4:$CC$803,0))),"")</f>
        <v/>
      </c>
      <c r="B106" s="4" t="str">
        <f>IFERROR(INDEX('Competency Event Log'!$C$4:$C$803,MATCH(17,Lists!$CC$4:$CC$803,0)),"")</f>
        <v/>
      </c>
      <c r="C106" s="4" t="str">
        <f>IFERROR(INDEX('Competency Event Log'!$S$4:$S$803,MATCH(17,Lists!$CC$4:$CC$803,0)),"")</f>
        <v/>
      </c>
      <c r="D106" s="4" t="str">
        <f>IFERROR(INDEX('Competency Event Log'!$D$4:$D$803,MATCH(17,Lists!$CC$4:$CC$803,0)),"")</f>
        <v/>
      </c>
      <c r="E106" s="4" t="str">
        <f>IFERROR(INDEX('Competency Event Log'!$H$4:$H$803,MATCH(17,Lists!$CC$4:$CC$803,0)),"")</f>
        <v/>
      </c>
      <c r="F106" s="5" t="str">
        <f>IFERROR(INDEX('Competency Event Log'!$F$4:$F$803,MATCH(17,Lists!$CC$4:$CC$803,0)),"")</f>
        <v/>
      </c>
      <c r="G106" s="4" t="str">
        <f>IFERROR(INDEX('Competency Event Log'!$G$4:$G$803,MATCH(17,Lists!$CC$4:$CC$803,0)),"")</f>
        <v/>
      </c>
      <c r="H106" s="4" t="str">
        <f>IFERROR(INDEX('Competency Event Log'!$L$4:$L$803,MATCH(17,Lists!$CC$4:$CC$803,0)),"")</f>
        <v/>
      </c>
    </row>
    <row r="107" spans="1:8">
      <c r="A107" s="5" t="str">
        <f>IFERROR(IF(INDEX('Competency Event Log'!$E$4:$E$803,MATCH(18,Lists!$CC$4:$CC$803,0))=0,"",INDEX('Competency Event Log'!$E$4:$E$803,MATCH(18,Lists!$CC$4:$CC$803,0))),"")</f>
        <v/>
      </c>
      <c r="B107" s="4" t="str">
        <f>IFERROR(INDEX('Competency Event Log'!$C$4:$C$803,MATCH(18,Lists!$CC$4:$CC$803,0)),"")</f>
        <v/>
      </c>
      <c r="C107" s="4" t="str">
        <f>IFERROR(INDEX('Competency Event Log'!$S$4:$S$803,MATCH(18,Lists!$CC$4:$CC$803,0)),"")</f>
        <v/>
      </c>
      <c r="D107" s="4" t="str">
        <f>IFERROR(INDEX('Competency Event Log'!$D$4:$D$803,MATCH(18,Lists!$CC$4:$CC$803,0)),"")</f>
        <v/>
      </c>
      <c r="E107" s="4" t="str">
        <f>IFERROR(INDEX('Competency Event Log'!$H$4:$H$803,MATCH(18,Lists!$CC$4:$CC$803,0)),"")</f>
        <v/>
      </c>
      <c r="F107" s="5" t="str">
        <f>IFERROR(INDEX('Competency Event Log'!$F$4:$F$803,MATCH(18,Lists!$CC$4:$CC$803,0)),"")</f>
        <v/>
      </c>
      <c r="G107" s="4" t="str">
        <f>IFERROR(INDEX('Competency Event Log'!$G$4:$G$803,MATCH(18,Lists!$CC$4:$CC$803,0)),"")</f>
        <v/>
      </c>
      <c r="H107" s="4" t="str">
        <f>IFERROR(INDEX('Competency Event Log'!$L$4:$L$803,MATCH(18,Lists!$CC$4:$CC$803,0)),"")</f>
        <v/>
      </c>
    </row>
    <row r="108" spans="1:8">
      <c r="A108" s="5" t="str">
        <f>IFERROR(IF(INDEX('Competency Event Log'!$E$4:$E$803,MATCH(19,Lists!$CC$4:$CC$803,0))=0,"",INDEX('Competency Event Log'!$E$4:$E$803,MATCH(19,Lists!$CC$4:$CC$803,0))),"")</f>
        <v/>
      </c>
      <c r="B108" s="4" t="str">
        <f>IFERROR(INDEX('Competency Event Log'!$C$4:$C$803,MATCH(19,Lists!$CC$4:$CC$803,0)),"")</f>
        <v/>
      </c>
      <c r="C108" s="4" t="str">
        <f>IFERROR(INDEX('Competency Event Log'!$S$4:$S$803,MATCH(19,Lists!$CC$4:$CC$803,0)),"")</f>
        <v/>
      </c>
      <c r="D108" s="4" t="str">
        <f>IFERROR(INDEX('Competency Event Log'!$D$4:$D$803,MATCH(19,Lists!$CC$4:$CC$803,0)),"")</f>
        <v/>
      </c>
      <c r="E108" s="4" t="str">
        <f>IFERROR(INDEX('Competency Event Log'!$H$4:$H$803,MATCH(19,Lists!$CC$4:$CC$803,0)),"")</f>
        <v/>
      </c>
      <c r="F108" s="5" t="str">
        <f>IFERROR(INDEX('Competency Event Log'!$F$4:$F$803,MATCH(19,Lists!$CC$4:$CC$803,0)),"")</f>
        <v/>
      </c>
      <c r="G108" s="4" t="str">
        <f>IFERROR(INDEX('Competency Event Log'!$G$4:$G$803,MATCH(19,Lists!$CC$4:$CC$803,0)),"")</f>
        <v/>
      </c>
      <c r="H108" s="4" t="str">
        <f>IFERROR(INDEX('Competency Event Log'!$L$4:$L$803,MATCH(19,Lists!$CC$4:$CC$803,0)),"")</f>
        <v/>
      </c>
    </row>
    <row r="109" spans="1:8">
      <c r="A109" s="5" t="str">
        <f>IFERROR(IF(INDEX('Competency Event Log'!$E$4:$E$803,MATCH(20,Lists!$CC$4:$CC$803,0))=0,"",INDEX('Competency Event Log'!$E$4:$E$803,MATCH(20,Lists!$CC$4:$CC$803,0))),"")</f>
        <v/>
      </c>
      <c r="B109" s="4" t="str">
        <f>IFERROR(INDEX('Competency Event Log'!$C$4:$C$803,MATCH(20,Lists!$CC$4:$CC$803,0)),"")</f>
        <v/>
      </c>
      <c r="C109" s="4" t="str">
        <f>IFERROR(INDEX('Competency Event Log'!$S$4:$S$803,MATCH(20,Lists!$CC$4:$CC$803,0)),"")</f>
        <v/>
      </c>
      <c r="D109" s="4" t="str">
        <f>IFERROR(INDEX('Competency Event Log'!$D$4:$D$803,MATCH(20,Lists!$CC$4:$CC$803,0)),"")</f>
        <v/>
      </c>
      <c r="E109" s="4" t="str">
        <f>IFERROR(INDEX('Competency Event Log'!$H$4:$H$803,MATCH(20,Lists!$CC$4:$CC$803,0)),"")</f>
        <v/>
      </c>
      <c r="F109" s="5" t="str">
        <f>IFERROR(INDEX('Competency Event Log'!$F$4:$F$803,MATCH(20,Lists!$CC$4:$CC$803,0)),"")</f>
        <v/>
      </c>
      <c r="G109" s="4" t="str">
        <f>IFERROR(INDEX('Competency Event Log'!$G$4:$G$803,MATCH(20,Lists!$CC$4:$CC$803,0)),"")</f>
        <v/>
      </c>
      <c r="H109" s="4" t="str">
        <f>IFERROR(INDEX('Competency Event Log'!$L$4:$L$803,MATCH(20,Lists!$CC$4:$CC$803,0)),"")</f>
        <v/>
      </c>
    </row>
    <row r="110" spans="1:8">
      <c r="A110" s="5" t="str">
        <f>IFERROR(IF(INDEX('Competency Event Log'!$E$4:$E$803,MATCH(21,Lists!$CC$4:$CC$803,0))=0,"",INDEX('Competency Event Log'!$E$4:$E$803,MATCH(21,Lists!$CC$4:$CC$803,0))),"")</f>
        <v/>
      </c>
      <c r="B110" s="4" t="str">
        <f>IFERROR(INDEX('Competency Event Log'!$C$4:$C$803,MATCH(21,Lists!$CC$4:$CC$803,0)),"")</f>
        <v/>
      </c>
      <c r="C110" s="4" t="str">
        <f>IFERROR(INDEX('Competency Event Log'!$S$4:$S$803,MATCH(21,Lists!$CC$4:$CC$803,0)),"")</f>
        <v/>
      </c>
      <c r="D110" s="4" t="str">
        <f>IFERROR(INDEX('Competency Event Log'!$D$4:$D$803,MATCH(21,Lists!$CC$4:$CC$803,0)),"")</f>
        <v/>
      </c>
      <c r="E110" s="4" t="str">
        <f>IFERROR(INDEX('Competency Event Log'!$H$4:$H$803,MATCH(21,Lists!$CC$4:$CC$803,0)),"")</f>
        <v/>
      </c>
      <c r="F110" s="5" t="str">
        <f>IFERROR(INDEX('Competency Event Log'!$F$4:$F$803,MATCH(21,Lists!$CC$4:$CC$803,0)),"")</f>
        <v/>
      </c>
      <c r="G110" s="4" t="str">
        <f>IFERROR(INDEX('Competency Event Log'!$G$4:$G$803,MATCH(21,Lists!$CC$4:$CC$803,0)),"")</f>
        <v/>
      </c>
      <c r="H110" s="4" t="str">
        <f>IFERROR(INDEX('Competency Event Log'!$L$4:$L$803,MATCH(21,Lists!$CC$4:$CC$803,0)),"")</f>
        <v/>
      </c>
    </row>
    <row r="111" spans="1:8">
      <c r="A111" s="5" t="str">
        <f>IFERROR(IF(INDEX('Competency Event Log'!$E$4:$E$803,MATCH(22,Lists!$CC$4:$CC$803,0))=0,"",INDEX('Competency Event Log'!$E$4:$E$803,MATCH(22,Lists!$CC$4:$CC$803,0))),"")</f>
        <v/>
      </c>
      <c r="B111" s="4" t="str">
        <f>IFERROR(INDEX('Competency Event Log'!$C$4:$C$803,MATCH(22,Lists!$CC$4:$CC$803,0)),"")</f>
        <v/>
      </c>
      <c r="C111" s="4" t="str">
        <f>IFERROR(INDEX('Competency Event Log'!$S$4:$S$803,MATCH(22,Lists!$CC$4:$CC$803,0)),"")</f>
        <v/>
      </c>
      <c r="D111" s="4" t="str">
        <f>IFERROR(INDEX('Competency Event Log'!$D$4:$D$803,MATCH(22,Lists!$CC$4:$CC$803,0)),"")</f>
        <v/>
      </c>
      <c r="E111" s="4" t="str">
        <f>IFERROR(INDEX('Competency Event Log'!$H$4:$H$803,MATCH(22,Lists!$CC$4:$CC$803,0)),"")</f>
        <v/>
      </c>
      <c r="F111" s="5" t="str">
        <f>IFERROR(INDEX('Competency Event Log'!$F$4:$F$803,MATCH(22,Lists!$CC$4:$CC$803,0)),"")</f>
        <v/>
      </c>
      <c r="G111" s="4" t="str">
        <f>IFERROR(INDEX('Competency Event Log'!$G$4:$G$803,MATCH(22,Lists!$CC$4:$CC$803,0)),"")</f>
        <v/>
      </c>
      <c r="H111" s="4" t="str">
        <f>IFERROR(INDEX('Competency Event Log'!$L$4:$L$803,MATCH(22,Lists!$CC$4:$CC$803,0)),"")</f>
        <v/>
      </c>
    </row>
    <row r="112" spans="1:8">
      <c r="A112" s="5" t="str">
        <f>IFERROR(IF(INDEX('Competency Event Log'!$E$4:$E$803,MATCH(23,Lists!$CC$4:$CC$803,0))=0,"",INDEX('Competency Event Log'!$E$4:$E$803,MATCH(23,Lists!$CC$4:$CC$803,0))),"")</f>
        <v/>
      </c>
      <c r="B112" s="4" t="str">
        <f>IFERROR(INDEX('Competency Event Log'!$C$4:$C$803,MATCH(23,Lists!$CC$4:$CC$803,0)),"")</f>
        <v/>
      </c>
      <c r="C112" s="4" t="str">
        <f>IFERROR(INDEX('Competency Event Log'!$S$4:$S$803,MATCH(23,Lists!$CC$4:$CC$803,0)),"")</f>
        <v/>
      </c>
      <c r="D112" s="4" t="str">
        <f>IFERROR(INDEX('Competency Event Log'!$D$4:$D$803,MATCH(23,Lists!$CC$4:$CC$803,0)),"")</f>
        <v/>
      </c>
      <c r="E112" s="4" t="str">
        <f>IFERROR(INDEX('Competency Event Log'!$H$4:$H$803,MATCH(23,Lists!$CC$4:$CC$803,0)),"")</f>
        <v/>
      </c>
      <c r="F112" s="5" t="str">
        <f>IFERROR(INDEX('Competency Event Log'!$F$4:$F$803,MATCH(23,Lists!$CC$4:$CC$803,0)),"")</f>
        <v/>
      </c>
      <c r="G112" s="4" t="str">
        <f>IFERROR(INDEX('Competency Event Log'!$G$4:$G$803,MATCH(23,Lists!$CC$4:$CC$803,0)),"")</f>
        <v/>
      </c>
      <c r="H112" s="4" t="str">
        <f>IFERROR(INDEX('Competency Event Log'!$L$4:$L$803,MATCH(23,Lists!$CC$4:$CC$803,0)),"")</f>
        <v/>
      </c>
    </row>
    <row r="113" spans="1:8">
      <c r="A113" s="5" t="str">
        <f>IFERROR(IF(INDEX('Competency Event Log'!$E$4:$E$803,MATCH(24,Lists!$CC$4:$CC$803,0))=0,"",INDEX('Competency Event Log'!$E$4:$E$803,MATCH(24,Lists!$CC$4:$CC$803,0))),"")</f>
        <v/>
      </c>
      <c r="B113" s="4" t="str">
        <f>IFERROR(INDEX('Competency Event Log'!$C$4:$C$803,MATCH(24,Lists!$CC$4:$CC$803,0)),"")</f>
        <v/>
      </c>
      <c r="C113" s="4" t="str">
        <f>IFERROR(INDEX('Competency Event Log'!$S$4:$S$803,MATCH(24,Lists!$CC$4:$CC$803,0)),"")</f>
        <v/>
      </c>
      <c r="D113" s="4" t="str">
        <f>IFERROR(INDEX('Competency Event Log'!$D$4:$D$803,MATCH(24,Lists!$CC$4:$CC$803,0)),"")</f>
        <v/>
      </c>
      <c r="E113" s="4" t="str">
        <f>IFERROR(INDEX('Competency Event Log'!$H$4:$H$803,MATCH(24,Lists!$CC$4:$CC$803,0)),"")</f>
        <v/>
      </c>
      <c r="F113" s="5" t="str">
        <f>IFERROR(INDEX('Competency Event Log'!$F$4:$F$803,MATCH(24,Lists!$CC$4:$CC$803,0)),"")</f>
        <v/>
      </c>
      <c r="G113" s="4" t="str">
        <f>IFERROR(INDEX('Competency Event Log'!$G$4:$G$803,MATCH(24,Lists!$CC$4:$CC$803,0)),"")</f>
        <v/>
      </c>
      <c r="H113" s="4" t="str">
        <f>IFERROR(INDEX('Competency Event Log'!$L$4:$L$803,MATCH(24,Lists!$CC$4:$CC$803,0)),"")</f>
        <v/>
      </c>
    </row>
    <row r="114" spans="1:8">
      <c r="A114" s="5" t="str">
        <f>IFERROR(IF(INDEX('Competency Event Log'!$E$4:$E$803,MATCH(25,Lists!$CC$4:$CC$803,0))=0,"",INDEX('Competency Event Log'!$E$4:$E$803,MATCH(25,Lists!$CC$4:$CC$803,0))),"")</f>
        <v/>
      </c>
      <c r="B114" s="4" t="str">
        <f>IFERROR(INDEX('Competency Event Log'!$C$4:$C$803,MATCH(25,Lists!$CC$4:$CC$803,0)),"")</f>
        <v/>
      </c>
      <c r="C114" s="4" t="str">
        <f>IFERROR(INDEX('Competency Event Log'!$S$4:$S$803,MATCH(25,Lists!$CC$4:$CC$803,0)),"")</f>
        <v/>
      </c>
      <c r="D114" s="4" t="str">
        <f>IFERROR(INDEX('Competency Event Log'!$D$4:$D$803,MATCH(25,Lists!$CC$4:$CC$803,0)),"")</f>
        <v/>
      </c>
      <c r="E114" s="4" t="str">
        <f>IFERROR(INDEX('Competency Event Log'!$H$4:$H$803,MATCH(25,Lists!$CC$4:$CC$803,0)),"")</f>
        <v/>
      </c>
      <c r="F114" s="5" t="str">
        <f>IFERROR(INDEX('Competency Event Log'!$F$4:$F$803,MATCH(25,Lists!$CC$4:$CC$803,0)),"")</f>
        <v/>
      </c>
      <c r="G114" s="4" t="str">
        <f>IFERROR(INDEX('Competency Event Log'!$G$4:$G$803,MATCH(25,Lists!$CC$4:$CC$803,0)),"")</f>
        <v/>
      </c>
      <c r="H114" s="4" t="str">
        <f>IFERROR(INDEX('Competency Event Log'!$L$4:$L$803,MATCH(25,Lists!$CC$4:$CC$803,0)),"")</f>
        <v/>
      </c>
    </row>
    <row r="117" spans="1:8">
      <c r="A117" s="121" t="s">
        <v>394</v>
      </c>
      <c r="B117" s="67"/>
      <c r="C117" s="67"/>
      <c r="D117" s="67"/>
      <c r="E117" s="67"/>
      <c r="F117" s="67"/>
      <c r="G117" s="67"/>
      <c r="H117" s="67"/>
    </row>
    <row r="118" spans="1:8">
      <c r="A118" s="20" t="s">
        <v>5</v>
      </c>
      <c r="B118" s="20" t="s">
        <v>395</v>
      </c>
      <c r="C118" s="20" t="s">
        <v>322</v>
      </c>
      <c r="D118" s="20" t="s">
        <v>8</v>
      </c>
      <c r="E118" s="20" t="s">
        <v>9</v>
      </c>
      <c r="F118" s="20" t="s">
        <v>11</v>
      </c>
      <c r="G118" s="20"/>
      <c r="H118" s="20"/>
    </row>
    <row r="119" spans="1:8">
      <c r="A119" s="4" t="str">
        <f>IFERROR(INDEX(Certifications!$D$4:$D$503,MATCH(1,Lists!$CE$4:$CE$503,0)),"")</f>
        <v>AWS Cloud Practitioner</v>
      </c>
      <c r="B119" s="5">
        <f>IFERROR(IF(INDEX(Certifications!$E$4:$E$503,MATCH(1,Lists!$CE$4:$CE$503,0))=0,"",INDEX(Certifications!$E$4:$E$503,MATCH(1,Lists!$CE$4:$CE$503,0))),"")</f>
        <v>44848</v>
      </c>
      <c r="C119" s="5">
        <f>IFERROR(IF(INDEX(Certifications!$F$4:$F$503,MATCH(1,Lists!$CE$4:$CE$503,0))=0,"",INDEX(Certifications!$F$4:$F$503,MATCH(1,Lists!$CE$4:$CE$503,0))),"")</f>
        <v>45944</v>
      </c>
      <c r="D119" s="4" t="str">
        <f ca="1">IFERROR(INDEX(Certifications!$G$4:$G$503,MATCH(1,Lists!$CE$4:$CE$503,0)),"")</f>
        <v>Expired</v>
      </c>
      <c r="E119" s="4" t="str">
        <f>IFERROR(INDEX(Certifications!$H$4:$H$503,MATCH(1,Lists!$CE$4:$CE$503,0)),"")</f>
        <v>Regional Training Center</v>
      </c>
      <c r="F119" s="90" t="str">
        <f>IFERROR(INDEX(Certifications!$J$4:$J$503,MATCH(1,Lists!$CE$4:$CE$503,0)),"")</f>
        <v>Portfolio demo record</v>
      </c>
      <c r="G119" s="70"/>
      <c r="H119" s="71"/>
    </row>
    <row r="120" spans="1:8">
      <c r="A120" s="4" t="str">
        <f>IFERROR(INDEX(Certifications!$D$4:$D$503,MATCH(2,Lists!$CE$4:$CE$503,0)),"")</f>
        <v>AWS Cloud Practitioner</v>
      </c>
      <c r="B120" s="5">
        <f>IFERROR(IF(INDEX(Certifications!$E$4:$E$503,MATCH(2,Lists!$CE$4:$CE$503,0))=0,"",INDEX(Certifications!$E$4:$E$503,MATCH(2,Lists!$CE$4:$CE$503,0))),"")</f>
        <v>44869</v>
      </c>
      <c r="C120" s="5">
        <f>IFERROR(IF(INDEX(Certifications!$F$4:$F$503,MATCH(2,Lists!$CE$4:$CE$503,0))=0,"",INDEX(Certifications!$F$4:$F$503,MATCH(2,Lists!$CE$4:$CE$503,0))),"")</f>
        <v>45965</v>
      </c>
      <c r="D120" s="4" t="str">
        <f ca="1">IFERROR(INDEX(Certifications!$G$4:$G$503,MATCH(2,Lists!$CE$4:$CE$503,0)),"")</f>
        <v>Expired</v>
      </c>
      <c r="E120" s="4" t="str">
        <f>IFERROR(INDEX(Certifications!$H$4:$H$503,MATCH(2,Lists!$CE$4:$CE$503,0)),"")</f>
        <v>Regional Training Center</v>
      </c>
      <c r="F120" s="90" t="str">
        <f>IFERROR(INDEX(Certifications!$J$4:$J$503,MATCH(2,Lists!$CE$4:$CE$503,0)),"")</f>
        <v>Portfolio demo record</v>
      </c>
      <c r="G120" s="70"/>
      <c r="H120" s="71"/>
    </row>
    <row r="121" spans="1:8">
      <c r="A121" s="4" t="str">
        <f>IFERROR(INDEX(Certifications!$D$4:$D$503,MATCH(3,Lists!$CE$4:$CE$503,0)),"")</f>
        <v/>
      </c>
      <c r="B121" s="5" t="str">
        <f>IFERROR(IF(INDEX(Certifications!$E$4:$E$503,MATCH(3,Lists!$CE$4:$CE$503,0))=0,"",INDEX(Certifications!$E$4:$E$503,MATCH(3,Lists!$CE$4:$CE$503,0))),"")</f>
        <v/>
      </c>
      <c r="C121" s="5" t="str">
        <f>IFERROR(IF(INDEX(Certifications!$F$4:$F$503,MATCH(3,Lists!$CE$4:$CE$503,0))=0,"",INDEX(Certifications!$F$4:$F$503,MATCH(3,Lists!$CE$4:$CE$503,0))),"")</f>
        <v/>
      </c>
      <c r="D121" s="4" t="str">
        <f>IFERROR(INDEX(Certifications!$G$4:$G$503,MATCH(3,Lists!$CE$4:$CE$503,0)),"")</f>
        <v/>
      </c>
      <c r="E121" s="4" t="str">
        <f>IFERROR(INDEX(Certifications!$H$4:$H$503,MATCH(3,Lists!$CE$4:$CE$503,0)),"")</f>
        <v/>
      </c>
      <c r="F121" s="90" t="str">
        <f>IFERROR(INDEX(Certifications!$J$4:$J$503,MATCH(3,Lists!$CE$4:$CE$503,0)),"")</f>
        <v/>
      </c>
      <c r="G121" s="70"/>
      <c r="H121" s="71"/>
    </row>
    <row r="122" spans="1:8">
      <c r="A122" s="4" t="str">
        <f>IFERROR(INDEX(Certifications!$D$4:$D$503,MATCH(4,Lists!$CE$4:$CE$503,0)),"")</f>
        <v/>
      </c>
      <c r="B122" s="5" t="str">
        <f>IFERROR(IF(INDEX(Certifications!$E$4:$E$503,MATCH(4,Lists!$CE$4:$CE$503,0))=0,"",INDEX(Certifications!$E$4:$E$503,MATCH(4,Lists!$CE$4:$CE$503,0))),"")</f>
        <v/>
      </c>
      <c r="C122" s="5" t="str">
        <f>IFERROR(IF(INDEX(Certifications!$F$4:$F$503,MATCH(4,Lists!$CE$4:$CE$503,0))=0,"",INDEX(Certifications!$F$4:$F$503,MATCH(4,Lists!$CE$4:$CE$503,0))),"")</f>
        <v/>
      </c>
      <c r="D122" s="4" t="str">
        <f>IFERROR(INDEX(Certifications!$G$4:$G$503,MATCH(4,Lists!$CE$4:$CE$503,0)),"")</f>
        <v/>
      </c>
      <c r="E122" s="4" t="str">
        <f>IFERROR(INDEX(Certifications!$H$4:$H$503,MATCH(4,Lists!$CE$4:$CE$503,0)),"")</f>
        <v/>
      </c>
      <c r="F122" s="90" t="str">
        <f>IFERROR(INDEX(Certifications!$J$4:$J$503,MATCH(4,Lists!$CE$4:$CE$503,0)),"")</f>
        <v/>
      </c>
      <c r="G122" s="70"/>
      <c r="H122" s="71"/>
    </row>
    <row r="123" spans="1:8">
      <c r="A123" s="4" t="str">
        <f>IFERROR(INDEX(Certifications!$D$4:$D$503,MATCH(5,Lists!$CE$4:$CE$503,0)),"")</f>
        <v/>
      </c>
      <c r="B123" s="5" t="str">
        <f>IFERROR(IF(INDEX(Certifications!$E$4:$E$503,MATCH(5,Lists!$CE$4:$CE$503,0))=0,"",INDEX(Certifications!$E$4:$E$503,MATCH(5,Lists!$CE$4:$CE$503,0))),"")</f>
        <v/>
      </c>
      <c r="C123" s="5" t="str">
        <f>IFERROR(IF(INDEX(Certifications!$F$4:$F$503,MATCH(5,Lists!$CE$4:$CE$503,0))=0,"",INDEX(Certifications!$F$4:$F$503,MATCH(5,Lists!$CE$4:$CE$503,0))),"")</f>
        <v/>
      </c>
      <c r="D123" s="4" t="str">
        <f>IFERROR(INDEX(Certifications!$G$4:$G$503,MATCH(5,Lists!$CE$4:$CE$503,0)),"")</f>
        <v/>
      </c>
      <c r="E123" s="4" t="str">
        <f>IFERROR(INDEX(Certifications!$H$4:$H$503,MATCH(5,Lists!$CE$4:$CE$503,0)),"")</f>
        <v/>
      </c>
      <c r="F123" s="90" t="str">
        <f>IFERROR(INDEX(Certifications!$J$4:$J$503,MATCH(5,Lists!$CE$4:$CE$503,0)),"")</f>
        <v/>
      </c>
      <c r="G123" s="70"/>
      <c r="H123" s="71"/>
    </row>
    <row r="124" spans="1:8">
      <c r="A124" s="4" t="str">
        <f>IFERROR(INDEX(Certifications!$D$4:$D$503,MATCH(6,Lists!$CE$4:$CE$503,0)),"")</f>
        <v/>
      </c>
      <c r="B124" s="5" t="str">
        <f>IFERROR(IF(INDEX(Certifications!$E$4:$E$503,MATCH(6,Lists!$CE$4:$CE$503,0))=0,"",INDEX(Certifications!$E$4:$E$503,MATCH(6,Lists!$CE$4:$CE$503,0))),"")</f>
        <v/>
      </c>
      <c r="C124" s="5" t="str">
        <f>IFERROR(IF(INDEX(Certifications!$F$4:$F$503,MATCH(6,Lists!$CE$4:$CE$503,0))=0,"",INDEX(Certifications!$F$4:$F$503,MATCH(6,Lists!$CE$4:$CE$503,0))),"")</f>
        <v/>
      </c>
      <c r="D124" s="4" t="str">
        <f>IFERROR(INDEX(Certifications!$G$4:$G$503,MATCH(6,Lists!$CE$4:$CE$503,0)),"")</f>
        <v/>
      </c>
      <c r="E124" s="4" t="str">
        <f>IFERROR(INDEX(Certifications!$H$4:$H$503,MATCH(6,Lists!$CE$4:$CE$503,0)),"")</f>
        <v/>
      </c>
      <c r="F124" s="90" t="str">
        <f>IFERROR(INDEX(Certifications!$J$4:$J$503,MATCH(6,Lists!$CE$4:$CE$503,0)),"")</f>
        <v/>
      </c>
      <c r="G124" s="70"/>
      <c r="H124" s="71"/>
    </row>
    <row r="125" spans="1:8">
      <c r="A125" s="4" t="str">
        <f>IFERROR(INDEX(Certifications!$D$4:$D$503,MATCH(7,Lists!$CE$4:$CE$503,0)),"")</f>
        <v/>
      </c>
      <c r="B125" s="5" t="str">
        <f>IFERROR(IF(INDEX(Certifications!$E$4:$E$503,MATCH(7,Lists!$CE$4:$CE$503,0))=0,"",INDEX(Certifications!$E$4:$E$503,MATCH(7,Lists!$CE$4:$CE$503,0))),"")</f>
        <v/>
      </c>
      <c r="C125" s="5" t="str">
        <f>IFERROR(IF(INDEX(Certifications!$F$4:$F$503,MATCH(7,Lists!$CE$4:$CE$503,0))=0,"",INDEX(Certifications!$F$4:$F$503,MATCH(7,Lists!$CE$4:$CE$503,0))),"")</f>
        <v/>
      </c>
      <c r="D125" s="4" t="str">
        <f>IFERROR(INDEX(Certifications!$G$4:$G$503,MATCH(7,Lists!$CE$4:$CE$503,0)),"")</f>
        <v/>
      </c>
      <c r="E125" s="4" t="str">
        <f>IFERROR(INDEX(Certifications!$H$4:$H$503,MATCH(7,Lists!$CE$4:$CE$503,0)),"")</f>
        <v/>
      </c>
      <c r="F125" s="90" t="str">
        <f>IFERROR(INDEX(Certifications!$J$4:$J$503,MATCH(7,Lists!$CE$4:$CE$503,0)),"")</f>
        <v/>
      </c>
      <c r="G125" s="70"/>
      <c r="H125" s="71"/>
    </row>
    <row r="126" spans="1:8">
      <c r="A126" s="4" t="str">
        <f>IFERROR(INDEX(Certifications!$D$4:$D$503,MATCH(8,Lists!$CE$4:$CE$503,0)),"")</f>
        <v/>
      </c>
      <c r="B126" s="5" t="str">
        <f>IFERROR(IF(INDEX(Certifications!$E$4:$E$503,MATCH(8,Lists!$CE$4:$CE$503,0))=0,"",INDEX(Certifications!$E$4:$E$503,MATCH(8,Lists!$CE$4:$CE$503,0))),"")</f>
        <v/>
      </c>
      <c r="C126" s="5" t="str">
        <f>IFERROR(IF(INDEX(Certifications!$F$4:$F$503,MATCH(8,Lists!$CE$4:$CE$503,0))=0,"",INDEX(Certifications!$F$4:$F$503,MATCH(8,Lists!$CE$4:$CE$503,0))),"")</f>
        <v/>
      </c>
      <c r="D126" s="4" t="str">
        <f>IFERROR(INDEX(Certifications!$G$4:$G$503,MATCH(8,Lists!$CE$4:$CE$503,0)),"")</f>
        <v/>
      </c>
      <c r="E126" s="4" t="str">
        <f>IFERROR(INDEX(Certifications!$H$4:$H$503,MATCH(8,Lists!$CE$4:$CE$503,0)),"")</f>
        <v/>
      </c>
      <c r="F126" s="90" t="str">
        <f>IFERROR(INDEX(Certifications!$J$4:$J$503,MATCH(8,Lists!$CE$4:$CE$503,0)),"")</f>
        <v/>
      </c>
      <c r="G126" s="70"/>
      <c r="H126" s="71"/>
    </row>
    <row r="127" spans="1:8">
      <c r="A127" s="4" t="str">
        <f>IFERROR(INDEX(Certifications!$D$4:$D$503,MATCH(9,Lists!$CE$4:$CE$503,0)),"")</f>
        <v/>
      </c>
      <c r="B127" s="5" t="str">
        <f>IFERROR(IF(INDEX(Certifications!$E$4:$E$503,MATCH(9,Lists!$CE$4:$CE$503,0))=0,"",INDEX(Certifications!$E$4:$E$503,MATCH(9,Lists!$CE$4:$CE$503,0))),"")</f>
        <v/>
      </c>
      <c r="C127" s="5" t="str">
        <f>IFERROR(IF(INDEX(Certifications!$F$4:$F$503,MATCH(9,Lists!$CE$4:$CE$503,0))=0,"",INDEX(Certifications!$F$4:$F$503,MATCH(9,Lists!$CE$4:$CE$503,0))),"")</f>
        <v/>
      </c>
      <c r="D127" s="4" t="str">
        <f>IFERROR(INDEX(Certifications!$G$4:$G$503,MATCH(9,Lists!$CE$4:$CE$503,0)),"")</f>
        <v/>
      </c>
      <c r="E127" s="4" t="str">
        <f>IFERROR(INDEX(Certifications!$H$4:$H$503,MATCH(9,Lists!$CE$4:$CE$503,0)),"")</f>
        <v/>
      </c>
      <c r="F127" s="90" t="str">
        <f>IFERROR(INDEX(Certifications!$J$4:$J$503,MATCH(9,Lists!$CE$4:$CE$503,0)),"")</f>
        <v/>
      </c>
      <c r="G127" s="70"/>
      <c r="H127" s="71"/>
    </row>
    <row r="128" spans="1:8">
      <c r="A128" s="4" t="str">
        <f>IFERROR(INDEX(Certifications!$D$4:$D$503,MATCH(10,Lists!$CE$4:$CE$503,0)),"")</f>
        <v/>
      </c>
      <c r="B128" s="5" t="str">
        <f>IFERROR(IF(INDEX(Certifications!$E$4:$E$503,MATCH(10,Lists!$CE$4:$CE$503,0))=0,"",INDEX(Certifications!$E$4:$E$503,MATCH(10,Lists!$CE$4:$CE$503,0))),"")</f>
        <v/>
      </c>
      <c r="C128" s="5" t="str">
        <f>IFERROR(IF(INDEX(Certifications!$F$4:$F$503,MATCH(10,Lists!$CE$4:$CE$503,0))=0,"",INDEX(Certifications!$F$4:$F$503,MATCH(10,Lists!$CE$4:$CE$503,0))),"")</f>
        <v/>
      </c>
      <c r="D128" s="4" t="str">
        <f>IFERROR(INDEX(Certifications!$G$4:$G$503,MATCH(10,Lists!$CE$4:$CE$503,0)),"")</f>
        <v/>
      </c>
      <c r="E128" s="4" t="str">
        <f>IFERROR(INDEX(Certifications!$H$4:$H$503,MATCH(10,Lists!$CE$4:$CE$503,0)),"")</f>
        <v/>
      </c>
      <c r="F128" s="90" t="str">
        <f>IFERROR(INDEX(Certifications!$J$4:$J$503,MATCH(10,Lists!$CE$4:$CE$503,0)),"")</f>
        <v/>
      </c>
      <c r="G128" s="70"/>
      <c r="H128" s="71"/>
    </row>
    <row r="129" spans="1:8">
      <c r="A129" s="4" t="str">
        <f>IFERROR(INDEX(Certifications!$D$4:$D$503,MATCH(11,Lists!$CE$4:$CE$503,0)),"")</f>
        <v/>
      </c>
      <c r="B129" s="5" t="str">
        <f>IFERROR(IF(INDEX(Certifications!$E$4:$E$503,MATCH(11,Lists!$CE$4:$CE$503,0))=0,"",INDEX(Certifications!$E$4:$E$503,MATCH(11,Lists!$CE$4:$CE$503,0))),"")</f>
        <v/>
      </c>
      <c r="C129" s="5" t="str">
        <f>IFERROR(IF(INDEX(Certifications!$F$4:$F$503,MATCH(11,Lists!$CE$4:$CE$503,0))=0,"",INDEX(Certifications!$F$4:$F$503,MATCH(11,Lists!$CE$4:$CE$503,0))),"")</f>
        <v/>
      </c>
      <c r="D129" s="4" t="str">
        <f>IFERROR(INDEX(Certifications!$G$4:$G$503,MATCH(11,Lists!$CE$4:$CE$503,0)),"")</f>
        <v/>
      </c>
      <c r="E129" s="4" t="str">
        <f>IFERROR(INDEX(Certifications!$H$4:$H$503,MATCH(11,Lists!$CE$4:$CE$503,0)),"")</f>
        <v/>
      </c>
      <c r="F129" s="90" t="str">
        <f>IFERROR(INDEX(Certifications!$J$4:$J$503,MATCH(11,Lists!$CE$4:$CE$503,0)),"")</f>
        <v/>
      </c>
      <c r="G129" s="70"/>
      <c r="H129" s="71"/>
    </row>
    <row r="130" spans="1:8">
      <c r="A130" s="4" t="str">
        <f>IFERROR(INDEX(Certifications!$D$4:$D$503,MATCH(12,Lists!$CE$4:$CE$503,0)),"")</f>
        <v/>
      </c>
      <c r="B130" s="5" t="str">
        <f>IFERROR(IF(INDEX(Certifications!$E$4:$E$503,MATCH(12,Lists!$CE$4:$CE$503,0))=0,"",INDEX(Certifications!$E$4:$E$503,MATCH(12,Lists!$CE$4:$CE$503,0))),"")</f>
        <v/>
      </c>
      <c r="C130" s="5" t="str">
        <f>IFERROR(IF(INDEX(Certifications!$F$4:$F$503,MATCH(12,Lists!$CE$4:$CE$503,0))=0,"",INDEX(Certifications!$F$4:$F$503,MATCH(12,Lists!$CE$4:$CE$503,0))),"")</f>
        <v/>
      </c>
      <c r="D130" s="4" t="str">
        <f>IFERROR(INDEX(Certifications!$G$4:$G$503,MATCH(12,Lists!$CE$4:$CE$503,0)),"")</f>
        <v/>
      </c>
      <c r="E130" s="4" t="str">
        <f>IFERROR(INDEX(Certifications!$H$4:$H$503,MATCH(12,Lists!$CE$4:$CE$503,0)),"")</f>
        <v/>
      </c>
      <c r="F130" s="90" t="str">
        <f>IFERROR(INDEX(Certifications!$J$4:$J$503,MATCH(12,Lists!$CE$4:$CE$503,0)),"")</f>
        <v/>
      </c>
      <c r="G130" s="70"/>
      <c r="H130" s="71"/>
    </row>
    <row r="133" spans="1:8">
      <c r="A133" s="121" t="s">
        <v>396</v>
      </c>
      <c r="B133" s="67"/>
      <c r="C133" s="67"/>
      <c r="D133" s="67"/>
      <c r="E133" s="67"/>
      <c r="F133" s="67"/>
      <c r="G133" s="67"/>
      <c r="H133" s="67"/>
    </row>
    <row r="134" spans="1:8">
      <c r="A134" s="20" t="s">
        <v>282</v>
      </c>
      <c r="B134" s="20" t="s">
        <v>348</v>
      </c>
      <c r="C134" s="20" t="s">
        <v>315</v>
      </c>
      <c r="D134" s="20" t="s">
        <v>8</v>
      </c>
      <c r="E134" s="20" t="s">
        <v>6</v>
      </c>
      <c r="F134" s="20" t="s">
        <v>316</v>
      </c>
      <c r="G134" s="20"/>
      <c r="H134" s="20"/>
    </row>
    <row r="135" spans="1:8">
      <c r="A135" s="4" t="str">
        <f>IFERROR(INDEX('Training Plan'!$C$5:$C$204,MATCH(1,Lists!$CG$4:$CG$203,0)),"")</f>
        <v/>
      </c>
      <c r="B135" s="4" t="str">
        <f>IFERROR(INDEX('Training Plan'!$D$5:$D$204,MATCH(1,Lists!$CG$4:$CG$203,0)),"")</f>
        <v/>
      </c>
      <c r="C135" s="5" t="str">
        <f>IFERROR(IF(INDEX('Training Plan'!$E$5:$E$204,MATCH(1,Lists!$CG$4:$CG$203,0))=0,"",INDEX('Training Plan'!$E$5:$E$204,MATCH(1,Lists!$CG$4:$CG$203,0))),"")</f>
        <v/>
      </c>
      <c r="D135" s="4" t="str">
        <f>IFERROR(INDEX('Training Plan'!$F$5:$F$204,MATCH(1,Lists!$CG$4:$CG$203,0)),"")</f>
        <v/>
      </c>
      <c r="E135" s="5" t="str">
        <f>IFERROR(IF(INDEX('Training Plan'!$G$5:$G$204,MATCH(1,Lists!$CG$4:$CG$203,0))=0,"",INDEX('Training Plan'!$G$5:$G$204,MATCH(1,Lists!$CG$4:$CG$203,0))),"")</f>
        <v/>
      </c>
      <c r="F135" s="90" t="str">
        <f>IFERROR(INDEX('Training Plan'!$H$5:$H$204,MATCH(1,Lists!$CG$4:$CG$203,0)),"")</f>
        <v/>
      </c>
      <c r="G135" s="70"/>
      <c r="H135" s="71"/>
    </row>
    <row r="136" spans="1:8">
      <c r="A136" s="4" t="str">
        <f>IFERROR(INDEX('Training Plan'!$C$5:$C$204,MATCH(2,Lists!$CG$4:$CG$203,0)),"")</f>
        <v/>
      </c>
      <c r="B136" s="4" t="str">
        <f>IFERROR(INDEX('Training Plan'!$D$5:$D$204,MATCH(2,Lists!$CG$4:$CG$203,0)),"")</f>
        <v/>
      </c>
      <c r="C136" s="5" t="str">
        <f>IFERROR(IF(INDEX('Training Plan'!$E$5:$E$204,MATCH(2,Lists!$CG$4:$CG$203,0))=0,"",INDEX('Training Plan'!$E$5:$E$204,MATCH(2,Lists!$CG$4:$CG$203,0))),"")</f>
        <v/>
      </c>
      <c r="D136" s="4" t="str">
        <f>IFERROR(INDEX('Training Plan'!$F$5:$F$204,MATCH(2,Lists!$CG$4:$CG$203,0)),"")</f>
        <v/>
      </c>
      <c r="E136" s="5" t="str">
        <f>IFERROR(IF(INDEX('Training Plan'!$G$5:$G$204,MATCH(2,Lists!$CG$4:$CG$203,0))=0,"",INDEX('Training Plan'!$G$5:$G$204,MATCH(2,Lists!$CG$4:$CG$203,0))),"")</f>
        <v/>
      </c>
      <c r="F136" s="90" t="str">
        <f>IFERROR(INDEX('Training Plan'!$H$5:$H$204,MATCH(2,Lists!$CG$4:$CG$203,0)),"")</f>
        <v/>
      </c>
      <c r="G136" s="70"/>
      <c r="H136" s="71"/>
    </row>
    <row r="137" spans="1:8">
      <c r="A137" s="4" t="str">
        <f>IFERROR(INDEX('Training Plan'!$C$5:$C$204,MATCH(3,Lists!$CG$4:$CG$203,0)),"")</f>
        <v/>
      </c>
      <c r="B137" s="4" t="str">
        <f>IFERROR(INDEX('Training Plan'!$D$5:$D$204,MATCH(3,Lists!$CG$4:$CG$203,0)),"")</f>
        <v/>
      </c>
      <c r="C137" s="5" t="str">
        <f>IFERROR(IF(INDEX('Training Plan'!$E$5:$E$204,MATCH(3,Lists!$CG$4:$CG$203,0))=0,"",INDEX('Training Plan'!$E$5:$E$204,MATCH(3,Lists!$CG$4:$CG$203,0))),"")</f>
        <v/>
      </c>
      <c r="D137" s="4" t="str">
        <f>IFERROR(INDEX('Training Plan'!$F$5:$F$204,MATCH(3,Lists!$CG$4:$CG$203,0)),"")</f>
        <v/>
      </c>
      <c r="E137" s="5" t="str">
        <f>IFERROR(IF(INDEX('Training Plan'!$G$5:$G$204,MATCH(3,Lists!$CG$4:$CG$203,0))=0,"",INDEX('Training Plan'!$G$5:$G$204,MATCH(3,Lists!$CG$4:$CG$203,0))),"")</f>
        <v/>
      </c>
      <c r="F137" s="90" t="str">
        <f>IFERROR(INDEX('Training Plan'!$H$5:$H$204,MATCH(3,Lists!$CG$4:$CG$203,0)),"")</f>
        <v/>
      </c>
      <c r="G137" s="70"/>
      <c r="H137" s="71"/>
    </row>
    <row r="138" spans="1:8">
      <c r="A138" s="4" t="str">
        <f>IFERROR(INDEX('Training Plan'!$C$5:$C$204,MATCH(4,Lists!$CG$4:$CG$203,0)),"")</f>
        <v/>
      </c>
      <c r="B138" s="4" t="str">
        <f>IFERROR(INDEX('Training Plan'!$D$5:$D$204,MATCH(4,Lists!$CG$4:$CG$203,0)),"")</f>
        <v/>
      </c>
      <c r="C138" s="5" t="str">
        <f>IFERROR(IF(INDEX('Training Plan'!$E$5:$E$204,MATCH(4,Lists!$CG$4:$CG$203,0))=0,"",INDEX('Training Plan'!$E$5:$E$204,MATCH(4,Lists!$CG$4:$CG$203,0))),"")</f>
        <v/>
      </c>
      <c r="D138" s="4" t="str">
        <f>IFERROR(INDEX('Training Plan'!$F$5:$F$204,MATCH(4,Lists!$CG$4:$CG$203,0)),"")</f>
        <v/>
      </c>
      <c r="E138" s="5" t="str">
        <f>IFERROR(IF(INDEX('Training Plan'!$G$5:$G$204,MATCH(4,Lists!$CG$4:$CG$203,0))=0,"",INDEX('Training Plan'!$G$5:$G$204,MATCH(4,Lists!$CG$4:$CG$203,0))),"")</f>
        <v/>
      </c>
      <c r="F138" s="90" t="str">
        <f>IFERROR(INDEX('Training Plan'!$H$5:$H$204,MATCH(4,Lists!$CG$4:$CG$203,0)),"")</f>
        <v/>
      </c>
      <c r="G138" s="70"/>
      <c r="H138" s="71"/>
    </row>
    <row r="139" spans="1:8">
      <c r="A139" s="4" t="str">
        <f>IFERROR(INDEX('Training Plan'!$C$5:$C$204,MATCH(5,Lists!$CG$4:$CG$203,0)),"")</f>
        <v/>
      </c>
      <c r="B139" s="4" t="str">
        <f>IFERROR(INDEX('Training Plan'!$D$5:$D$204,MATCH(5,Lists!$CG$4:$CG$203,0)),"")</f>
        <v/>
      </c>
      <c r="C139" s="5" t="str">
        <f>IFERROR(IF(INDEX('Training Plan'!$E$5:$E$204,MATCH(5,Lists!$CG$4:$CG$203,0))=0,"",INDEX('Training Plan'!$E$5:$E$204,MATCH(5,Lists!$CG$4:$CG$203,0))),"")</f>
        <v/>
      </c>
      <c r="D139" s="4" t="str">
        <f>IFERROR(INDEX('Training Plan'!$F$5:$F$204,MATCH(5,Lists!$CG$4:$CG$203,0)),"")</f>
        <v/>
      </c>
      <c r="E139" s="5" t="str">
        <f>IFERROR(IF(INDEX('Training Plan'!$G$5:$G$204,MATCH(5,Lists!$CG$4:$CG$203,0))=0,"",INDEX('Training Plan'!$G$5:$G$204,MATCH(5,Lists!$CG$4:$CG$203,0))),"")</f>
        <v/>
      </c>
      <c r="F139" s="90" t="str">
        <f>IFERROR(INDEX('Training Plan'!$H$5:$H$204,MATCH(5,Lists!$CG$4:$CG$203,0)),"")</f>
        <v/>
      </c>
      <c r="G139" s="70"/>
      <c r="H139" s="71"/>
    </row>
    <row r="140" spans="1:8">
      <c r="A140" s="4" t="str">
        <f>IFERROR(INDEX('Training Plan'!$C$5:$C$204,MATCH(6,Lists!$CG$4:$CG$203,0)),"")</f>
        <v/>
      </c>
      <c r="B140" s="4" t="str">
        <f>IFERROR(INDEX('Training Plan'!$D$5:$D$204,MATCH(6,Lists!$CG$4:$CG$203,0)),"")</f>
        <v/>
      </c>
      <c r="C140" s="5" t="str">
        <f>IFERROR(IF(INDEX('Training Plan'!$E$5:$E$204,MATCH(6,Lists!$CG$4:$CG$203,0))=0,"",INDEX('Training Plan'!$E$5:$E$204,MATCH(6,Lists!$CG$4:$CG$203,0))),"")</f>
        <v/>
      </c>
      <c r="D140" s="4" t="str">
        <f>IFERROR(INDEX('Training Plan'!$F$5:$F$204,MATCH(6,Lists!$CG$4:$CG$203,0)),"")</f>
        <v/>
      </c>
      <c r="E140" s="5" t="str">
        <f>IFERROR(IF(INDEX('Training Plan'!$G$5:$G$204,MATCH(6,Lists!$CG$4:$CG$203,0))=0,"",INDEX('Training Plan'!$G$5:$G$204,MATCH(6,Lists!$CG$4:$CG$203,0))),"")</f>
        <v/>
      </c>
      <c r="F140" s="90" t="str">
        <f>IFERROR(INDEX('Training Plan'!$H$5:$H$204,MATCH(6,Lists!$CG$4:$CG$203,0)),"")</f>
        <v/>
      </c>
      <c r="G140" s="70"/>
      <c r="H140" s="71"/>
    </row>
    <row r="141" spans="1:8">
      <c r="A141" s="4" t="str">
        <f>IFERROR(INDEX('Training Plan'!$C$5:$C$204,MATCH(7,Lists!$CG$4:$CG$203,0)),"")</f>
        <v/>
      </c>
      <c r="B141" s="4" t="str">
        <f>IFERROR(INDEX('Training Plan'!$D$5:$D$204,MATCH(7,Lists!$CG$4:$CG$203,0)),"")</f>
        <v/>
      </c>
      <c r="C141" s="5" t="str">
        <f>IFERROR(IF(INDEX('Training Plan'!$E$5:$E$204,MATCH(7,Lists!$CG$4:$CG$203,0))=0,"",INDEX('Training Plan'!$E$5:$E$204,MATCH(7,Lists!$CG$4:$CG$203,0))),"")</f>
        <v/>
      </c>
      <c r="D141" s="4" t="str">
        <f>IFERROR(INDEX('Training Plan'!$F$5:$F$204,MATCH(7,Lists!$CG$4:$CG$203,0)),"")</f>
        <v/>
      </c>
      <c r="E141" s="5" t="str">
        <f>IFERROR(IF(INDEX('Training Plan'!$G$5:$G$204,MATCH(7,Lists!$CG$4:$CG$203,0))=0,"",INDEX('Training Plan'!$G$5:$G$204,MATCH(7,Lists!$CG$4:$CG$203,0))),"")</f>
        <v/>
      </c>
      <c r="F141" s="90" t="str">
        <f>IFERROR(INDEX('Training Plan'!$H$5:$H$204,MATCH(7,Lists!$CG$4:$CG$203,0)),"")</f>
        <v/>
      </c>
      <c r="G141" s="70"/>
      <c r="H141" s="71"/>
    </row>
    <row r="142" spans="1:8">
      <c r="A142" s="4" t="str">
        <f>IFERROR(INDEX('Training Plan'!$C$5:$C$204,MATCH(8,Lists!$CG$4:$CG$203,0)),"")</f>
        <v/>
      </c>
      <c r="B142" s="4" t="str">
        <f>IFERROR(INDEX('Training Plan'!$D$5:$D$204,MATCH(8,Lists!$CG$4:$CG$203,0)),"")</f>
        <v/>
      </c>
      <c r="C142" s="5" t="str">
        <f>IFERROR(IF(INDEX('Training Plan'!$E$5:$E$204,MATCH(8,Lists!$CG$4:$CG$203,0))=0,"",INDEX('Training Plan'!$E$5:$E$204,MATCH(8,Lists!$CG$4:$CG$203,0))),"")</f>
        <v/>
      </c>
      <c r="D142" s="4" t="str">
        <f>IFERROR(INDEX('Training Plan'!$F$5:$F$204,MATCH(8,Lists!$CG$4:$CG$203,0)),"")</f>
        <v/>
      </c>
      <c r="E142" s="5" t="str">
        <f>IFERROR(IF(INDEX('Training Plan'!$G$5:$G$204,MATCH(8,Lists!$CG$4:$CG$203,0))=0,"",INDEX('Training Plan'!$G$5:$G$204,MATCH(8,Lists!$CG$4:$CG$203,0))),"")</f>
        <v/>
      </c>
      <c r="F142" s="90" t="str">
        <f>IFERROR(INDEX('Training Plan'!$H$5:$H$204,MATCH(8,Lists!$CG$4:$CG$203,0)),"")</f>
        <v/>
      </c>
      <c r="G142" s="70"/>
      <c r="H142" s="71"/>
    </row>
    <row r="143" spans="1:8">
      <c r="A143" s="4" t="str">
        <f>IFERROR(INDEX('Training Plan'!$C$5:$C$204,MATCH(9,Lists!$CG$4:$CG$203,0)),"")</f>
        <v/>
      </c>
      <c r="B143" s="4" t="str">
        <f>IFERROR(INDEX('Training Plan'!$D$5:$D$204,MATCH(9,Lists!$CG$4:$CG$203,0)),"")</f>
        <v/>
      </c>
      <c r="C143" s="5" t="str">
        <f>IFERROR(IF(INDEX('Training Plan'!$E$5:$E$204,MATCH(9,Lists!$CG$4:$CG$203,0))=0,"",INDEX('Training Plan'!$E$5:$E$204,MATCH(9,Lists!$CG$4:$CG$203,0))),"")</f>
        <v/>
      </c>
      <c r="D143" s="4" t="str">
        <f>IFERROR(INDEX('Training Plan'!$F$5:$F$204,MATCH(9,Lists!$CG$4:$CG$203,0)),"")</f>
        <v/>
      </c>
      <c r="E143" s="5" t="str">
        <f>IFERROR(IF(INDEX('Training Plan'!$G$5:$G$204,MATCH(9,Lists!$CG$4:$CG$203,0))=0,"",INDEX('Training Plan'!$G$5:$G$204,MATCH(9,Lists!$CG$4:$CG$203,0))),"")</f>
        <v/>
      </c>
      <c r="F143" s="90" t="str">
        <f>IFERROR(INDEX('Training Plan'!$H$5:$H$204,MATCH(9,Lists!$CG$4:$CG$203,0)),"")</f>
        <v/>
      </c>
      <c r="G143" s="70"/>
      <c r="H143" s="71"/>
    </row>
    <row r="144" spans="1:8">
      <c r="A144" s="4" t="str">
        <f>IFERROR(INDEX('Training Plan'!$C$5:$C$204,MATCH(10,Lists!$CG$4:$CG$203,0)),"")</f>
        <v/>
      </c>
      <c r="B144" s="4" t="str">
        <f>IFERROR(INDEX('Training Plan'!$D$5:$D$204,MATCH(10,Lists!$CG$4:$CG$203,0)),"")</f>
        <v/>
      </c>
      <c r="C144" s="5" t="str">
        <f>IFERROR(IF(INDEX('Training Plan'!$E$5:$E$204,MATCH(10,Lists!$CG$4:$CG$203,0))=0,"",INDEX('Training Plan'!$E$5:$E$204,MATCH(10,Lists!$CG$4:$CG$203,0))),"")</f>
        <v/>
      </c>
      <c r="D144" s="4" t="str">
        <f>IFERROR(INDEX('Training Plan'!$F$5:$F$204,MATCH(10,Lists!$CG$4:$CG$203,0)),"")</f>
        <v/>
      </c>
      <c r="E144" s="5" t="str">
        <f>IFERROR(IF(INDEX('Training Plan'!$G$5:$G$204,MATCH(10,Lists!$CG$4:$CG$203,0))=0,"",INDEX('Training Plan'!$G$5:$G$204,MATCH(10,Lists!$CG$4:$CG$203,0))),"")</f>
        <v/>
      </c>
      <c r="F144" s="90" t="str">
        <f>IFERROR(INDEX('Training Plan'!$H$5:$H$204,MATCH(10,Lists!$CG$4:$CG$203,0)),"")</f>
        <v/>
      </c>
      <c r="G144" s="70"/>
      <c r="H144" s="71"/>
    </row>
    <row r="145" spans="1:8">
      <c r="A145" s="4" t="str">
        <f>IFERROR(INDEX('Training Plan'!$C$5:$C$204,MATCH(11,Lists!$CG$4:$CG$203,0)),"")</f>
        <v/>
      </c>
      <c r="B145" s="4" t="str">
        <f>IFERROR(INDEX('Training Plan'!$D$5:$D$204,MATCH(11,Lists!$CG$4:$CG$203,0)),"")</f>
        <v/>
      </c>
      <c r="C145" s="5" t="str">
        <f>IFERROR(IF(INDEX('Training Plan'!$E$5:$E$204,MATCH(11,Lists!$CG$4:$CG$203,0))=0,"",INDEX('Training Plan'!$E$5:$E$204,MATCH(11,Lists!$CG$4:$CG$203,0))),"")</f>
        <v/>
      </c>
      <c r="D145" s="4" t="str">
        <f>IFERROR(INDEX('Training Plan'!$F$5:$F$204,MATCH(11,Lists!$CG$4:$CG$203,0)),"")</f>
        <v/>
      </c>
      <c r="E145" s="5" t="str">
        <f>IFERROR(IF(INDEX('Training Plan'!$G$5:$G$204,MATCH(11,Lists!$CG$4:$CG$203,0))=0,"",INDEX('Training Plan'!$G$5:$G$204,MATCH(11,Lists!$CG$4:$CG$203,0))),"")</f>
        <v/>
      </c>
      <c r="F145" s="90" t="str">
        <f>IFERROR(INDEX('Training Plan'!$H$5:$H$204,MATCH(11,Lists!$CG$4:$CG$203,0)),"")</f>
        <v/>
      </c>
      <c r="G145" s="70"/>
      <c r="H145" s="71"/>
    </row>
    <row r="146" spans="1:8">
      <c r="A146" s="4" t="str">
        <f>IFERROR(INDEX('Training Plan'!$C$5:$C$204,MATCH(12,Lists!$CG$4:$CG$203,0)),"")</f>
        <v/>
      </c>
      <c r="B146" s="4" t="str">
        <f>IFERROR(INDEX('Training Plan'!$D$5:$D$204,MATCH(12,Lists!$CG$4:$CG$203,0)),"")</f>
        <v/>
      </c>
      <c r="C146" s="5" t="str">
        <f>IFERROR(IF(INDEX('Training Plan'!$E$5:$E$204,MATCH(12,Lists!$CG$4:$CG$203,0))=0,"",INDEX('Training Plan'!$E$5:$E$204,MATCH(12,Lists!$CG$4:$CG$203,0))),"")</f>
        <v/>
      </c>
      <c r="D146" s="4" t="str">
        <f>IFERROR(INDEX('Training Plan'!$F$5:$F$204,MATCH(12,Lists!$CG$4:$CG$203,0)),"")</f>
        <v/>
      </c>
      <c r="E146" s="5" t="str">
        <f>IFERROR(IF(INDEX('Training Plan'!$G$5:$G$204,MATCH(12,Lists!$CG$4:$CG$203,0))=0,"",INDEX('Training Plan'!$G$5:$G$204,MATCH(12,Lists!$CG$4:$CG$203,0))),"")</f>
        <v/>
      </c>
      <c r="F146" s="90" t="str">
        <f>IFERROR(INDEX('Training Plan'!$H$5:$H$204,MATCH(12,Lists!$CG$4:$CG$203,0)),"")</f>
        <v/>
      </c>
      <c r="G146" s="70"/>
      <c r="H146" s="71"/>
    </row>
    <row r="149" spans="1:8">
      <c r="A149" s="130" t="s">
        <v>397</v>
      </c>
      <c r="B149" s="67"/>
      <c r="C149" s="67"/>
      <c r="D149" s="67"/>
      <c r="E149" s="67"/>
      <c r="F149" s="67"/>
      <c r="G149" s="67"/>
      <c r="H149" s="67"/>
    </row>
  </sheetData>
  <mergeCells count="117">
    <mergeCell ref="F146:H146"/>
    <mergeCell ref="F124:H124"/>
    <mergeCell ref="G31:H31"/>
    <mergeCell ref="G46:H46"/>
    <mergeCell ref="G40:H40"/>
    <mergeCell ref="F139:H139"/>
    <mergeCell ref="G72:H72"/>
    <mergeCell ref="A1:H1"/>
    <mergeCell ref="F144:H144"/>
    <mergeCell ref="F122:H122"/>
    <mergeCell ref="G17:H17"/>
    <mergeCell ref="F125:H125"/>
    <mergeCell ref="G82:H82"/>
    <mergeCell ref="C10:D10"/>
    <mergeCell ref="E10:F10"/>
    <mergeCell ref="G10:H10"/>
    <mergeCell ref="G19:H19"/>
    <mergeCell ref="G53:H53"/>
    <mergeCell ref="G28:H28"/>
    <mergeCell ref="G74:H74"/>
    <mergeCell ref="G83:H83"/>
    <mergeCell ref="F120:H120"/>
    <mergeCell ref="G30:H30"/>
    <mergeCell ref="G45:H45"/>
    <mergeCell ref="G55:H55"/>
    <mergeCell ref="G29:H29"/>
    <mergeCell ref="C11:D13"/>
    <mergeCell ref="E11:F13"/>
    <mergeCell ref="F137:H137"/>
    <mergeCell ref="G47:H47"/>
    <mergeCell ref="A4:B4"/>
    <mergeCell ref="G73:H73"/>
    <mergeCell ref="G51:H51"/>
    <mergeCell ref="F6:H6"/>
    <mergeCell ref="G54:H54"/>
    <mergeCell ref="G32:H32"/>
    <mergeCell ref="G63:H63"/>
    <mergeCell ref="G41:H41"/>
    <mergeCell ref="F143:H143"/>
    <mergeCell ref="G50:H50"/>
    <mergeCell ref="A117:H117"/>
    <mergeCell ref="G56:H56"/>
    <mergeCell ref="A9:H9"/>
    <mergeCell ref="G43:H43"/>
    <mergeCell ref="F142:H142"/>
    <mergeCell ref="G52:H52"/>
    <mergeCell ref="G27:H27"/>
    <mergeCell ref="F126:H126"/>
    <mergeCell ref="G36:H36"/>
    <mergeCell ref="F135:H135"/>
    <mergeCell ref="A149:H149"/>
    <mergeCell ref="G49:H49"/>
    <mergeCell ref="G24:H24"/>
    <mergeCell ref="A2:H2"/>
    <mergeCell ref="G33:H33"/>
    <mergeCell ref="F119:H119"/>
    <mergeCell ref="G65:H65"/>
    <mergeCell ref="G26:H26"/>
    <mergeCell ref="G35:H35"/>
    <mergeCell ref="G16:H16"/>
    <mergeCell ref="G76:H76"/>
    <mergeCell ref="G25:H25"/>
    <mergeCell ref="A10:B10"/>
    <mergeCell ref="F127:H127"/>
    <mergeCell ref="C4:H4"/>
    <mergeCell ref="G60:H60"/>
    <mergeCell ref="B7:C7"/>
    <mergeCell ref="G42:H42"/>
    <mergeCell ref="F129:H129"/>
    <mergeCell ref="A88:H88"/>
    <mergeCell ref="G39:H39"/>
    <mergeCell ref="G11:H13"/>
    <mergeCell ref="F121:H121"/>
    <mergeCell ref="G37:H37"/>
    <mergeCell ref="F145:H145"/>
    <mergeCell ref="B8:D8"/>
    <mergeCell ref="G67:H67"/>
    <mergeCell ref="G61:H61"/>
    <mergeCell ref="G70:H70"/>
    <mergeCell ref="G48:H48"/>
    <mergeCell ref="A11:B13"/>
    <mergeCell ref="G38:H38"/>
    <mergeCell ref="F140:H140"/>
    <mergeCell ref="G62:H62"/>
    <mergeCell ref="F130:H130"/>
    <mergeCell ref="G69:H69"/>
    <mergeCell ref="G78:H78"/>
    <mergeCell ref="F123:H123"/>
    <mergeCell ref="G80:H80"/>
    <mergeCell ref="G64:H64"/>
    <mergeCell ref="G79:H79"/>
    <mergeCell ref="G18:H18"/>
    <mergeCell ref="B6:D6"/>
    <mergeCell ref="G34:H34"/>
    <mergeCell ref="F136:H136"/>
    <mergeCell ref="G68:H68"/>
    <mergeCell ref="G58:H58"/>
    <mergeCell ref="G20:H20"/>
    <mergeCell ref="F128:H128"/>
    <mergeCell ref="G85:H85"/>
    <mergeCell ref="G44:H44"/>
    <mergeCell ref="G75:H75"/>
    <mergeCell ref="G22:H22"/>
    <mergeCell ref="F7:H7"/>
    <mergeCell ref="G84:H84"/>
    <mergeCell ref="G59:H59"/>
    <mergeCell ref="G77:H77"/>
    <mergeCell ref="A15:H15"/>
    <mergeCell ref="G21:H21"/>
    <mergeCell ref="G81:H81"/>
    <mergeCell ref="F138:H138"/>
    <mergeCell ref="G71:H71"/>
    <mergeCell ref="G23:H23"/>
    <mergeCell ref="F141:H141"/>
    <mergeCell ref="G57:H57"/>
    <mergeCell ref="G66:H66"/>
    <mergeCell ref="A133:H133"/>
  </mergeCells>
  <conditionalFormatting sqref="C17:C85">
    <cfRule type="cellIs" dxfId="17" priority="4" operator="equal">
      <formula>1</formula>
    </cfRule>
    <cfRule type="cellIs" dxfId="16" priority="5" operator="equal">
      <formula>2</formula>
    </cfRule>
    <cfRule type="cellIs" dxfId="15" priority="6" operator="equal">
      <formula>3</formula>
    </cfRule>
  </conditionalFormatting>
  <conditionalFormatting sqref="D17:D41">
    <cfRule type="containsText" dxfId="14" priority="1" operator="containsText" text="Complete"/>
    <cfRule type="containsText" dxfId="13" priority="2" operator="containsText" text="Developing"/>
  </conditionalFormatting>
  <conditionalFormatting sqref="H17:H41">
    <cfRule type="cellIs" dxfId="12" priority="3" operator="greaterThan">
      <formula>0</formula>
    </cfRule>
  </conditionalFormatting>
  <dataValidations count="1">
    <dataValidation type="list" sqref="C4" xr:uid="{00000000-0002-0000-0300-000000000000}">
      <formula1>EmployeeCatalog</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03"/>
  <sheetViews>
    <sheetView showGridLines="0" workbookViewId="0">
      <pane xSplit="3" ySplit="3" topLeftCell="D4" activePane="bottomRight" state="frozen"/>
      <selection pane="topRight"/>
      <selection pane="bottomLeft"/>
      <selection pane="bottomRight" activeCell="H7" sqref="H7"/>
    </sheetView>
  </sheetViews>
  <sheetFormatPr defaultRowHeight="13.8"/>
  <cols>
    <col min="1" max="1" width="13" style="26" customWidth="1"/>
    <col min="2" max="2" width="24" customWidth="1"/>
    <col min="3" max="3" width="28" customWidth="1"/>
    <col min="4" max="4" width="11" style="26" customWidth="1"/>
    <col min="5" max="5" width="14" customWidth="1"/>
    <col min="6" max="6" width="16" customWidth="1"/>
    <col min="7" max="7" width="20" style="26" customWidth="1"/>
    <col min="8" max="8" width="22" style="26" customWidth="1"/>
    <col min="9" max="9" width="9" style="26" customWidth="1"/>
    <col min="10" max="10" width="34" customWidth="1"/>
    <col min="11" max="11" width="13" style="26" customWidth="1"/>
    <col min="12" max="12" width="15" customWidth="1"/>
    <col min="13" max="13" width="13" customWidth="1"/>
    <col min="14" max="14" width="18" customWidth="1"/>
    <col min="15" max="15" width="9" customWidth="1"/>
    <col min="16" max="16" width="22" customWidth="1"/>
    <col min="17" max="17" width="12" customWidth="1"/>
    <col min="18" max="18" width="18" customWidth="1"/>
    <col min="19" max="20" width="13" customWidth="1"/>
    <col min="21" max="21" width="32" customWidth="1"/>
  </cols>
  <sheetData>
    <row r="1" spans="1:21" ht="25.95" customHeight="1">
      <c r="A1" s="68" t="s">
        <v>171</v>
      </c>
      <c r="B1" s="67"/>
      <c r="C1" s="67"/>
      <c r="D1" s="66"/>
      <c r="E1" s="67"/>
      <c r="F1" s="67"/>
      <c r="G1" s="66"/>
      <c r="H1" s="66"/>
      <c r="I1" s="66"/>
      <c r="J1" s="67"/>
      <c r="K1" s="66"/>
      <c r="L1" s="67"/>
      <c r="M1" s="67"/>
      <c r="N1" s="67"/>
      <c r="O1" s="67"/>
      <c r="P1" s="67"/>
      <c r="Q1" s="67"/>
      <c r="R1" s="67"/>
      <c r="S1" s="67"/>
      <c r="T1" s="67"/>
      <c r="U1" s="67"/>
    </row>
    <row r="2" spans="1:21" ht="30" customHeight="1">
      <c r="A2" s="131" t="s">
        <v>398</v>
      </c>
      <c r="B2" s="67"/>
      <c r="C2" s="67"/>
      <c r="D2" s="66"/>
      <c r="E2" s="67"/>
      <c r="F2" s="67"/>
      <c r="G2" s="66"/>
      <c r="H2" s="66"/>
      <c r="I2" s="66"/>
      <c r="J2" s="67"/>
      <c r="K2" s="66"/>
      <c r="L2" s="67"/>
      <c r="M2" s="67"/>
      <c r="N2" s="67"/>
      <c r="O2" s="67"/>
      <c r="P2" s="67"/>
      <c r="Q2" s="67"/>
      <c r="R2" s="67"/>
      <c r="S2" s="67"/>
      <c r="T2" s="67"/>
      <c r="U2" s="67"/>
    </row>
    <row r="3" spans="1:21" ht="31.95" customHeight="1">
      <c r="A3" s="24" t="s">
        <v>399</v>
      </c>
      <c r="B3" s="24" t="s">
        <v>2</v>
      </c>
      <c r="C3" s="24" t="s">
        <v>282</v>
      </c>
      <c r="D3" s="24" t="s">
        <v>400</v>
      </c>
      <c r="E3" s="24" t="s">
        <v>385</v>
      </c>
      <c r="F3" s="24" t="s">
        <v>401</v>
      </c>
      <c r="G3" s="24" t="s">
        <v>392</v>
      </c>
      <c r="H3" s="24" t="s">
        <v>390</v>
      </c>
      <c r="I3" s="24" t="s">
        <v>402</v>
      </c>
      <c r="J3" s="24" t="s">
        <v>11</v>
      </c>
      <c r="K3" s="20" t="s">
        <v>403</v>
      </c>
      <c r="L3" s="20" t="s">
        <v>393</v>
      </c>
      <c r="M3" s="20" t="s">
        <v>3</v>
      </c>
      <c r="N3" s="20" t="s">
        <v>367</v>
      </c>
      <c r="O3" s="20" t="s">
        <v>287</v>
      </c>
      <c r="P3" s="20" t="s">
        <v>404</v>
      </c>
      <c r="Q3" s="20" t="s">
        <v>405</v>
      </c>
      <c r="R3" s="20" t="s">
        <v>383</v>
      </c>
      <c r="S3" s="20" t="s">
        <v>406</v>
      </c>
      <c r="T3" s="20" t="s">
        <v>407</v>
      </c>
      <c r="U3" s="20" t="s">
        <v>408</v>
      </c>
    </row>
    <row r="4" spans="1:21">
      <c r="A4" s="10">
        <v>45675</v>
      </c>
      <c r="B4" s="4" t="s">
        <v>20</v>
      </c>
      <c r="C4" s="4" t="s">
        <v>266</v>
      </c>
      <c r="D4" s="8">
        <v>3</v>
      </c>
      <c r="E4" s="5">
        <v>45674</v>
      </c>
      <c r="F4" s="5">
        <v>45676</v>
      </c>
      <c r="G4" s="8" t="s">
        <v>409</v>
      </c>
      <c r="H4" s="8" t="s">
        <v>410</v>
      </c>
      <c r="I4" s="8" t="s">
        <v>411</v>
      </c>
      <c r="J4" s="4"/>
      <c r="K4" s="64">
        <v>1</v>
      </c>
      <c r="L4" s="18" t="s">
        <v>412</v>
      </c>
      <c r="M4" s="19" t="s">
        <v>413</v>
      </c>
      <c r="N4" s="18" t="s">
        <v>304</v>
      </c>
      <c r="O4" s="18">
        <v>1</v>
      </c>
      <c r="P4" s="18" t="s">
        <v>414</v>
      </c>
      <c r="Q4" s="18" t="s">
        <v>415</v>
      </c>
      <c r="R4" s="18" t="s">
        <v>304</v>
      </c>
      <c r="S4" s="18"/>
      <c r="T4" s="18" t="str">
        <f t="shared" ref="T4:T67" si="0">IF(B4="","",IF(I4="Yes","Voided",IF(COUNTIFS($B$4:$B$803,B4,$C$4:$C$803,C4,$I$4:$I$803,"&lt;&gt;Yes",$K$4:$K$803,"&gt;"&amp;K4)=0,"Current","Historical")))</f>
        <v>Current</v>
      </c>
      <c r="U4" s="18" t="str">
        <f t="shared" ref="U4:U67" si="1">IF(T4="Current",B4&amp;"|"&amp;C4,"")</f>
        <v>Alex Bennett|Customer Onboarding Workflow</v>
      </c>
    </row>
    <row r="5" spans="1:21">
      <c r="A5" s="10">
        <v>45967</v>
      </c>
      <c r="B5" s="4" t="s">
        <v>20</v>
      </c>
      <c r="C5" s="4" t="s">
        <v>416</v>
      </c>
      <c r="D5" s="8">
        <v>1</v>
      </c>
      <c r="E5" s="5">
        <v>45963</v>
      </c>
      <c r="F5" s="5">
        <v>45964</v>
      </c>
      <c r="G5" s="8" t="s">
        <v>409</v>
      </c>
      <c r="H5" s="8" t="s">
        <v>410</v>
      </c>
      <c r="I5" s="8" t="s">
        <v>411</v>
      </c>
      <c r="J5" s="4"/>
      <c r="K5" s="64">
        <v>2</v>
      </c>
      <c r="L5" s="18" t="s">
        <v>417</v>
      </c>
      <c r="M5" s="19" t="s">
        <v>413</v>
      </c>
      <c r="N5" s="18" t="s">
        <v>304</v>
      </c>
      <c r="O5" s="18">
        <v>1</v>
      </c>
      <c r="P5" s="18" t="s">
        <v>414</v>
      </c>
      <c r="Q5" s="18" t="s">
        <v>418</v>
      </c>
      <c r="R5" s="18" t="s">
        <v>304</v>
      </c>
      <c r="S5" s="18"/>
      <c r="T5" s="18" t="str">
        <f t="shared" si="0"/>
        <v>Historical</v>
      </c>
      <c r="U5" s="18" t="str">
        <f t="shared" si="1"/>
        <v/>
      </c>
    </row>
    <row r="6" spans="1:21">
      <c r="A6" s="10">
        <v>46042</v>
      </c>
      <c r="B6" s="4" t="s">
        <v>20</v>
      </c>
      <c r="C6" s="4" t="s">
        <v>416</v>
      </c>
      <c r="D6" s="8">
        <v>2</v>
      </c>
      <c r="E6" s="5">
        <v>46041</v>
      </c>
      <c r="F6" s="5">
        <v>46043</v>
      </c>
      <c r="G6" s="8" t="s">
        <v>409</v>
      </c>
      <c r="H6" s="8" t="s">
        <v>419</v>
      </c>
      <c r="I6" s="8" t="s">
        <v>411</v>
      </c>
      <c r="J6" s="4"/>
      <c r="K6" s="64">
        <v>3</v>
      </c>
      <c r="L6" s="18" t="s">
        <v>420</v>
      </c>
      <c r="M6" s="19" t="s">
        <v>413</v>
      </c>
      <c r="N6" s="18" t="s">
        <v>304</v>
      </c>
      <c r="O6" s="18">
        <v>1</v>
      </c>
      <c r="P6" s="18" t="s">
        <v>414</v>
      </c>
      <c r="Q6" s="18" t="s">
        <v>418</v>
      </c>
      <c r="R6" s="18" t="s">
        <v>304</v>
      </c>
      <c r="S6" s="18">
        <v>1</v>
      </c>
      <c r="T6" s="18" t="str">
        <f t="shared" si="0"/>
        <v>Historical</v>
      </c>
      <c r="U6" s="18" t="str">
        <f t="shared" si="1"/>
        <v/>
      </c>
    </row>
    <row r="7" spans="1:21">
      <c r="A7" s="10">
        <v>46127</v>
      </c>
      <c r="B7" s="4" t="s">
        <v>20</v>
      </c>
      <c r="C7" s="4" t="s">
        <v>416</v>
      </c>
      <c r="D7" s="8">
        <v>3</v>
      </c>
      <c r="E7" s="5">
        <v>46125</v>
      </c>
      <c r="F7" s="5">
        <v>46125</v>
      </c>
      <c r="G7" s="8" t="s">
        <v>409</v>
      </c>
      <c r="H7" s="8" t="s">
        <v>419</v>
      </c>
      <c r="I7" s="8" t="s">
        <v>411</v>
      </c>
      <c r="J7" s="4"/>
      <c r="K7" s="64">
        <v>4</v>
      </c>
      <c r="L7" s="18" t="s">
        <v>421</v>
      </c>
      <c r="M7" s="19" t="s">
        <v>413</v>
      </c>
      <c r="N7" s="18" t="s">
        <v>304</v>
      </c>
      <c r="O7" s="18">
        <v>1</v>
      </c>
      <c r="P7" s="18" t="s">
        <v>414</v>
      </c>
      <c r="Q7" s="18" t="s">
        <v>418</v>
      </c>
      <c r="R7" s="18" t="s">
        <v>304</v>
      </c>
      <c r="S7" s="18">
        <v>2</v>
      </c>
      <c r="T7" s="18" t="str">
        <f t="shared" si="0"/>
        <v>Current</v>
      </c>
      <c r="U7" s="18" t="str">
        <f t="shared" si="1"/>
        <v>Alex Bennett|Data Privacy Handling</v>
      </c>
    </row>
    <row r="8" spans="1:21">
      <c r="A8" s="10">
        <v>46187</v>
      </c>
      <c r="B8" s="4" t="s">
        <v>20</v>
      </c>
      <c r="C8" s="4" t="s">
        <v>422</v>
      </c>
      <c r="D8" s="8">
        <v>1</v>
      </c>
      <c r="E8" s="5">
        <v>46182</v>
      </c>
      <c r="F8" s="5">
        <v>46183</v>
      </c>
      <c r="G8" s="8" t="s">
        <v>409</v>
      </c>
      <c r="H8" s="8" t="s">
        <v>410</v>
      </c>
      <c r="I8" s="8" t="s">
        <v>411</v>
      </c>
      <c r="J8" s="4"/>
      <c r="K8" s="64">
        <v>5</v>
      </c>
      <c r="L8" s="18" t="s">
        <v>423</v>
      </c>
      <c r="M8" s="19" t="s">
        <v>413</v>
      </c>
      <c r="N8" s="18" t="s">
        <v>304</v>
      </c>
      <c r="O8" s="18">
        <v>1</v>
      </c>
      <c r="P8" s="18" t="s">
        <v>414</v>
      </c>
      <c r="Q8" s="18" t="s">
        <v>424</v>
      </c>
      <c r="R8" s="18" t="s">
        <v>304</v>
      </c>
      <c r="S8" s="18"/>
      <c r="T8" s="18" t="str">
        <f t="shared" si="0"/>
        <v>Historical</v>
      </c>
      <c r="U8" s="18" t="str">
        <f t="shared" si="1"/>
        <v/>
      </c>
    </row>
    <row r="9" spans="1:21">
      <c r="A9" s="10">
        <v>46224</v>
      </c>
      <c r="B9" s="4" t="s">
        <v>20</v>
      </c>
      <c r="C9" s="4" t="s">
        <v>422</v>
      </c>
      <c r="D9" s="8">
        <v>2</v>
      </c>
      <c r="E9" s="5">
        <v>46221</v>
      </c>
      <c r="F9" s="5">
        <v>46222</v>
      </c>
      <c r="G9" s="8" t="s">
        <v>409</v>
      </c>
      <c r="H9" s="8" t="s">
        <v>419</v>
      </c>
      <c r="I9" s="8" t="s">
        <v>411</v>
      </c>
      <c r="J9" s="4"/>
      <c r="K9" s="64">
        <v>6</v>
      </c>
      <c r="L9" s="18" t="s">
        <v>425</v>
      </c>
      <c r="M9" s="19" t="s">
        <v>413</v>
      </c>
      <c r="N9" s="18" t="s">
        <v>304</v>
      </c>
      <c r="O9" s="18">
        <v>1</v>
      </c>
      <c r="P9" s="18" t="s">
        <v>414</v>
      </c>
      <c r="Q9" s="18" t="s">
        <v>424</v>
      </c>
      <c r="R9" s="18" t="s">
        <v>304</v>
      </c>
      <c r="S9" s="18">
        <v>1</v>
      </c>
      <c r="T9" s="18" t="str">
        <f t="shared" si="0"/>
        <v>Historical</v>
      </c>
      <c r="U9" s="18" t="str">
        <f t="shared" si="1"/>
        <v/>
      </c>
    </row>
    <row r="10" spans="1:21">
      <c r="A10" s="10">
        <v>46224</v>
      </c>
      <c r="B10" s="4" t="s">
        <v>20</v>
      </c>
      <c r="C10" s="4" t="s">
        <v>422</v>
      </c>
      <c r="D10" s="8">
        <v>3</v>
      </c>
      <c r="E10" s="5">
        <v>46219</v>
      </c>
      <c r="F10" s="5">
        <v>46219</v>
      </c>
      <c r="G10" s="8" t="s">
        <v>409</v>
      </c>
      <c r="H10" s="8" t="s">
        <v>419</v>
      </c>
      <c r="I10" s="8" t="s">
        <v>411</v>
      </c>
      <c r="J10" s="4"/>
      <c r="K10" s="64">
        <v>7</v>
      </c>
      <c r="L10" s="18" t="s">
        <v>426</v>
      </c>
      <c r="M10" s="19" t="s">
        <v>413</v>
      </c>
      <c r="N10" s="18" t="s">
        <v>304</v>
      </c>
      <c r="O10" s="18">
        <v>1</v>
      </c>
      <c r="P10" s="18" t="s">
        <v>414</v>
      </c>
      <c r="Q10" s="18" t="s">
        <v>424</v>
      </c>
      <c r="R10" s="18" t="s">
        <v>304</v>
      </c>
      <c r="S10" s="18">
        <v>2</v>
      </c>
      <c r="T10" s="18" t="str">
        <f t="shared" si="0"/>
        <v>Current</v>
      </c>
      <c r="U10" s="18" t="str">
        <f t="shared" si="1"/>
        <v>Alex Bennett|CRM Case Management</v>
      </c>
    </row>
    <row r="11" spans="1:21">
      <c r="A11" s="10">
        <v>45780</v>
      </c>
      <c r="B11" s="4" t="s">
        <v>20</v>
      </c>
      <c r="C11" s="4" t="s">
        <v>427</v>
      </c>
      <c r="D11" s="8">
        <v>1</v>
      </c>
      <c r="E11" s="5">
        <v>45777</v>
      </c>
      <c r="F11" s="5">
        <v>45779</v>
      </c>
      <c r="G11" s="8" t="s">
        <v>409</v>
      </c>
      <c r="H11" s="8" t="s">
        <v>410</v>
      </c>
      <c r="I11" s="8" t="s">
        <v>411</v>
      </c>
      <c r="J11" s="4"/>
      <c r="K11" s="64">
        <v>8</v>
      </c>
      <c r="L11" s="18" t="s">
        <v>428</v>
      </c>
      <c r="M11" s="19" t="s">
        <v>413</v>
      </c>
      <c r="N11" s="18" t="s">
        <v>304</v>
      </c>
      <c r="O11" s="18">
        <v>1</v>
      </c>
      <c r="P11" s="18" t="s">
        <v>414</v>
      </c>
      <c r="Q11" s="18" t="s">
        <v>429</v>
      </c>
      <c r="R11" s="18" t="s">
        <v>304</v>
      </c>
      <c r="S11" s="18"/>
      <c r="T11" s="18" t="str">
        <f t="shared" si="0"/>
        <v>Historical</v>
      </c>
      <c r="U11" s="18" t="str">
        <f t="shared" si="1"/>
        <v/>
      </c>
    </row>
    <row r="12" spans="1:21">
      <c r="A12" s="10">
        <v>45828</v>
      </c>
      <c r="B12" s="4" t="s">
        <v>20</v>
      </c>
      <c r="C12" s="4" t="s">
        <v>427</v>
      </c>
      <c r="D12" s="8">
        <v>2</v>
      </c>
      <c r="E12" s="5">
        <v>45827</v>
      </c>
      <c r="F12" s="5">
        <v>45828</v>
      </c>
      <c r="G12" s="8" t="s">
        <v>409</v>
      </c>
      <c r="H12" s="8" t="s">
        <v>419</v>
      </c>
      <c r="I12" s="8" t="s">
        <v>411</v>
      </c>
      <c r="J12" s="4"/>
      <c r="K12" s="64">
        <v>9</v>
      </c>
      <c r="L12" s="18" t="s">
        <v>430</v>
      </c>
      <c r="M12" s="19" t="s">
        <v>413</v>
      </c>
      <c r="N12" s="18" t="s">
        <v>304</v>
      </c>
      <c r="O12" s="18">
        <v>1</v>
      </c>
      <c r="P12" s="18" t="s">
        <v>414</v>
      </c>
      <c r="Q12" s="18" t="s">
        <v>429</v>
      </c>
      <c r="R12" s="18" t="s">
        <v>304</v>
      </c>
      <c r="S12" s="18">
        <v>1</v>
      </c>
      <c r="T12" s="18" t="str">
        <f t="shared" si="0"/>
        <v>Historical</v>
      </c>
      <c r="U12" s="18" t="str">
        <f t="shared" si="1"/>
        <v/>
      </c>
    </row>
    <row r="13" spans="1:21">
      <c r="A13" s="10">
        <v>45920</v>
      </c>
      <c r="B13" s="4" t="s">
        <v>20</v>
      </c>
      <c r="C13" s="4" t="s">
        <v>427</v>
      </c>
      <c r="D13" s="8">
        <v>3</v>
      </c>
      <c r="E13" s="5">
        <v>45919</v>
      </c>
      <c r="F13" s="5">
        <v>45919</v>
      </c>
      <c r="G13" s="8" t="s">
        <v>409</v>
      </c>
      <c r="H13" s="8" t="s">
        <v>419</v>
      </c>
      <c r="I13" s="8" t="s">
        <v>411</v>
      </c>
      <c r="J13" s="4"/>
      <c r="K13" s="64">
        <v>10</v>
      </c>
      <c r="L13" s="18" t="s">
        <v>431</v>
      </c>
      <c r="M13" s="19" t="s">
        <v>413</v>
      </c>
      <c r="N13" s="18" t="s">
        <v>304</v>
      </c>
      <c r="O13" s="18">
        <v>1</v>
      </c>
      <c r="P13" s="18" t="s">
        <v>414</v>
      </c>
      <c r="Q13" s="18" t="s">
        <v>429</v>
      </c>
      <c r="R13" s="18" t="s">
        <v>304</v>
      </c>
      <c r="S13" s="18">
        <v>2</v>
      </c>
      <c r="T13" s="18" t="str">
        <f t="shared" si="0"/>
        <v>Current</v>
      </c>
      <c r="U13" s="18" t="str">
        <f t="shared" si="1"/>
        <v>Alex Bennett|Troubleshooting Fundamentals</v>
      </c>
    </row>
    <row r="14" spans="1:21">
      <c r="A14" s="10">
        <v>46210</v>
      </c>
      <c r="B14" s="4" t="s">
        <v>20</v>
      </c>
      <c r="C14" s="4" t="s">
        <v>432</v>
      </c>
      <c r="D14" s="8">
        <v>3</v>
      </c>
      <c r="E14" s="5">
        <v>46208</v>
      </c>
      <c r="F14" s="5">
        <v>46209</v>
      </c>
      <c r="G14" s="8" t="s">
        <v>409</v>
      </c>
      <c r="H14" s="8" t="s">
        <v>410</v>
      </c>
      <c r="I14" s="8" t="s">
        <v>411</v>
      </c>
      <c r="J14" s="4"/>
      <c r="K14" s="64">
        <v>11</v>
      </c>
      <c r="L14" s="18" t="s">
        <v>433</v>
      </c>
      <c r="M14" s="19" t="s">
        <v>413</v>
      </c>
      <c r="N14" s="18" t="s">
        <v>304</v>
      </c>
      <c r="O14" s="18">
        <v>1</v>
      </c>
      <c r="P14" s="18" t="s">
        <v>414</v>
      </c>
      <c r="Q14" s="18" t="s">
        <v>434</v>
      </c>
      <c r="R14" s="18" t="s">
        <v>304</v>
      </c>
      <c r="S14" s="18"/>
      <c r="T14" s="18" t="str">
        <f t="shared" si="0"/>
        <v>Current</v>
      </c>
      <c r="U14" s="18" t="str">
        <f t="shared" si="1"/>
        <v>Alex Bennett|Customer Configuration Support</v>
      </c>
    </row>
    <row r="15" spans="1:21">
      <c r="A15" s="10">
        <v>45835</v>
      </c>
      <c r="B15" s="4" t="s">
        <v>20</v>
      </c>
      <c r="C15" s="4" t="s">
        <v>435</v>
      </c>
      <c r="D15" s="8">
        <v>3</v>
      </c>
      <c r="E15" s="5">
        <v>45832</v>
      </c>
      <c r="F15" s="5">
        <v>45835</v>
      </c>
      <c r="G15" s="8" t="s">
        <v>409</v>
      </c>
      <c r="H15" s="8" t="s">
        <v>410</v>
      </c>
      <c r="I15" s="8" t="s">
        <v>411</v>
      </c>
      <c r="J15" s="4"/>
      <c r="K15" s="64">
        <v>12</v>
      </c>
      <c r="L15" s="18" t="s">
        <v>436</v>
      </c>
      <c r="M15" s="19" t="s">
        <v>413</v>
      </c>
      <c r="N15" s="18" t="s">
        <v>304</v>
      </c>
      <c r="O15" s="18">
        <v>1</v>
      </c>
      <c r="P15" s="18" t="s">
        <v>414</v>
      </c>
      <c r="Q15" s="18" t="s">
        <v>437</v>
      </c>
      <c r="R15" s="18" t="s">
        <v>309</v>
      </c>
      <c r="S15" s="18"/>
      <c r="T15" s="18" t="str">
        <f t="shared" si="0"/>
        <v>Current</v>
      </c>
      <c r="U15" s="18" t="str">
        <f t="shared" si="1"/>
        <v>Alex Bennett|Backup Validation</v>
      </c>
    </row>
    <row r="16" spans="1:21">
      <c r="A16" s="10">
        <v>45871</v>
      </c>
      <c r="B16" s="4" t="s">
        <v>20</v>
      </c>
      <c r="C16" s="4" t="s">
        <v>438</v>
      </c>
      <c r="D16" s="8">
        <v>3</v>
      </c>
      <c r="E16" s="5">
        <v>45868</v>
      </c>
      <c r="F16" s="5">
        <v>45871</v>
      </c>
      <c r="G16" s="8" t="s">
        <v>409</v>
      </c>
      <c r="H16" s="8" t="s">
        <v>410</v>
      </c>
      <c r="I16" s="8" t="s">
        <v>411</v>
      </c>
      <c r="J16" s="4"/>
      <c r="K16" s="64">
        <v>13</v>
      </c>
      <c r="L16" s="18" t="s">
        <v>439</v>
      </c>
      <c r="M16" s="19" t="s">
        <v>413</v>
      </c>
      <c r="N16" s="18" t="s">
        <v>304</v>
      </c>
      <c r="O16" s="18">
        <v>1</v>
      </c>
      <c r="P16" s="18" t="s">
        <v>414</v>
      </c>
      <c r="Q16" s="18" t="s">
        <v>440</v>
      </c>
      <c r="R16" s="18" t="s">
        <v>213</v>
      </c>
      <c r="S16" s="18"/>
      <c r="T16" s="18" t="str">
        <f t="shared" si="0"/>
        <v>Current</v>
      </c>
      <c r="U16" s="18" t="str">
        <f t="shared" si="1"/>
        <v>Alex Bennett|Data Privacy &amp; Acceptable Use</v>
      </c>
    </row>
    <row r="17" spans="1:21">
      <c r="A17" s="10">
        <v>45725</v>
      </c>
      <c r="B17" s="4" t="s">
        <v>33</v>
      </c>
      <c r="C17" s="4" t="s">
        <v>432</v>
      </c>
      <c r="D17" s="8">
        <v>1</v>
      </c>
      <c r="E17" s="5">
        <v>45723</v>
      </c>
      <c r="F17" s="5">
        <v>45723</v>
      </c>
      <c r="G17" s="8" t="s">
        <v>409</v>
      </c>
      <c r="H17" s="8" t="s">
        <v>410</v>
      </c>
      <c r="I17" s="8" t="s">
        <v>411</v>
      </c>
      <c r="J17" s="4"/>
      <c r="K17" s="64">
        <v>14</v>
      </c>
      <c r="L17" s="18" t="s">
        <v>441</v>
      </c>
      <c r="M17" s="19" t="s">
        <v>442</v>
      </c>
      <c r="N17" s="18" t="s">
        <v>304</v>
      </c>
      <c r="O17" s="18">
        <v>2</v>
      </c>
      <c r="P17" s="18" t="s">
        <v>443</v>
      </c>
      <c r="Q17" s="18" t="s">
        <v>434</v>
      </c>
      <c r="R17" s="18" t="s">
        <v>304</v>
      </c>
      <c r="S17" s="18"/>
      <c r="T17" s="18" t="str">
        <f t="shared" si="0"/>
        <v>Historical</v>
      </c>
      <c r="U17" s="18" t="str">
        <f t="shared" si="1"/>
        <v/>
      </c>
    </row>
    <row r="18" spans="1:21">
      <c r="A18" s="10">
        <v>45750</v>
      </c>
      <c r="B18" s="4" t="s">
        <v>33</v>
      </c>
      <c r="C18" s="4" t="s">
        <v>432</v>
      </c>
      <c r="D18" s="8">
        <v>2</v>
      </c>
      <c r="E18" s="5">
        <v>45747</v>
      </c>
      <c r="F18" s="5">
        <v>45747</v>
      </c>
      <c r="G18" s="8" t="s">
        <v>409</v>
      </c>
      <c r="H18" s="8" t="s">
        <v>419</v>
      </c>
      <c r="I18" s="8" t="s">
        <v>411</v>
      </c>
      <c r="J18" s="4"/>
      <c r="K18" s="64">
        <v>15</v>
      </c>
      <c r="L18" s="18" t="s">
        <v>444</v>
      </c>
      <c r="M18" s="19" t="s">
        <v>442</v>
      </c>
      <c r="N18" s="18" t="s">
        <v>304</v>
      </c>
      <c r="O18" s="18">
        <v>2</v>
      </c>
      <c r="P18" s="18" t="s">
        <v>443</v>
      </c>
      <c r="Q18" s="18" t="s">
        <v>434</v>
      </c>
      <c r="R18" s="18" t="s">
        <v>304</v>
      </c>
      <c r="S18" s="18">
        <v>1</v>
      </c>
      <c r="T18" s="18" t="str">
        <f t="shared" si="0"/>
        <v>Current</v>
      </c>
      <c r="U18" s="18" t="str">
        <f t="shared" si="1"/>
        <v>Jordan Collins|Customer Configuration Support</v>
      </c>
    </row>
    <row r="19" spans="1:21">
      <c r="A19" s="10">
        <v>46162</v>
      </c>
      <c r="B19" s="4" t="s">
        <v>33</v>
      </c>
      <c r="C19" s="4" t="s">
        <v>445</v>
      </c>
      <c r="D19" s="8">
        <v>1</v>
      </c>
      <c r="E19" s="5">
        <v>46160</v>
      </c>
      <c r="F19" s="5">
        <v>46161</v>
      </c>
      <c r="G19" s="8" t="s">
        <v>409</v>
      </c>
      <c r="H19" s="8" t="s">
        <v>410</v>
      </c>
      <c r="I19" s="8" t="s">
        <v>411</v>
      </c>
      <c r="J19" s="4"/>
      <c r="K19" s="64">
        <v>16</v>
      </c>
      <c r="L19" s="18" t="s">
        <v>446</v>
      </c>
      <c r="M19" s="19" t="s">
        <v>442</v>
      </c>
      <c r="N19" s="18" t="s">
        <v>304</v>
      </c>
      <c r="O19" s="18">
        <v>2</v>
      </c>
      <c r="P19" s="18" t="s">
        <v>443</v>
      </c>
      <c r="Q19" s="18" t="s">
        <v>447</v>
      </c>
      <c r="R19" s="18" t="s">
        <v>304</v>
      </c>
      <c r="S19" s="18"/>
      <c r="T19" s="18" t="str">
        <f t="shared" si="0"/>
        <v>Historical</v>
      </c>
      <c r="U19" s="18" t="str">
        <f t="shared" si="1"/>
        <v/>
      </c>
    </row>
    <row r="20" spans="1:21">
      <c r="A20" s="10">
        <v>46225</v>
      </c>
      <c r="B20" s="4" t="s">
        <v>33</v>
      </c>
      <c r="C20" s="4" t="s">
        <v>445</v>
      </c>
      <c r="D20" s="8">
        <v>2</v>
      </c>
      <c r="E20" s="5">
        <v>46220</v>
      </c>
      <c r="F20" s="5">
        <v>46223</v>
      </c>
      <c r="G20" s="8" t="s">
        <v>409</v>
      </c>
      <c r="H20" s="8" t="s">
        <v>419</v>
      </c>
      <c r="I20" s="8" t="s">
        <v>411</v>
      </c>
      <c r="J20" s="4"/>
      <c r="K20" s="64">
        <v>17</v>
      </c>
      <c r="L20" s="18" t="s">
        <v>448</v>
      </c>
      <c r="M20" s="19" t="s">
        <v>442</v>
      </c>
      <c r="N20" s="18" t="s">
        <v>304</v>
      </c>
      <c r="O20" s="18">
        <v>2</v>
      </c>
      <c r="P20" s="18" t="s">
        <v>443</v>
      </c>
      <c r="Q20" s="18" t="s">
        <v>447</v>
      </c>
      <c r="R20" s="18" t="s">
        <v>304</v>
      </c>
      <c r="S20" s="18">
        <v>1</v>
      </c>
      <c r="T20" s="18" t="str">
        <f t="shared" si="0"/>
        <v>Historical</v>
      </c>
      <c r="U20" s="18" t="str">
        <f t="shared" si="1"/>
        <v/>
      </c>
    </row>
    <row r="21" spans="1:21">
      <c r="A21" s="10">
        <v>46228</v>
      </c>
      <c r="B21" s="4" t="s">
        <v>33</v>
      </c>
      <c r="C21" s="4" t="s">
        <v>445</v>
      </c>
      <c r="D21" s="8">
        <v>3</v>
      </c>
      <c r="E21" s="5">
        <v>46224</v>
      </c>
      <c r="F21" s="5">
        <v>46227</v>
      </c>
      <c r="G21" s="8" t="s">
        <v>409</v>
      </c>
      <c r="H21" s="8" t="s">
        <v>419</v>
      </c>
      <c r="I21" s="8" t="s">
        <v>411</v>
      </c>
      <c r="J21" s="4"/>
      <c r="K21" s="64">
        <v>18</v>
      </c>
      <c r="L21" s="18" t="s">
        <v>449</v>
      </c>
      <c r="M21" s="19" t="s">
        <v>442</v>
      </c>
      <c r="N21" s="18" t="s">
        <v>304</v>
      </c>
      <c r="O21" s="18">
        <v>2</v>
      </c>
      <c r="P21" s="18" t="s">
        <v>443</v>
      </c>
      <c r="Q21" s="18" t="s">
        <v>447</v>
      </c>
      <c r="R21" s="18" t="s">
        <v>304</v>
      </c>
      <c r="S21" s="18">
        <v>2</v>
      </c>
      <c r="T21" s="18" t="str">
        <f t="shared" si="0"/>
        <v>Current</v>
      </c>
      <c r="U21" s="18" t="str">
        <f t="shared" si="1"/>
        <v>Jordan Collins|Support Documentation Standards</v>
      </c>
    </row>
    <row r="22" spans="1:21">
      <c r="A22" s="10">
        <v>46107</v>
      </c>
      <c r="B22" s="4" t="s">
        <v>33</v>
      </c>
      <c r="C22" s="4" t="s">
        <v>450</v>
      </c>
      <c r="D22" s="8">
        <v>1</v>
      </c>
      <c r="E22" s="5">
        <v>46104</v>
      </c>
      <c r="F22" s="5">
        <v>46107</v>
      </c>
      <c r="G22" s="8" t="s">
        <v>409</v>
      </c>
      <c r="H22" s="8" t="s">
        <v>410</v>
      </c>
      <c r="I22" s="8" t="s">
        <v>411</v>
      </c>
      <c r="J22" s="4"/>
      <c r="K22" s="64">
        <v>19</v>
      </c>
      <c r="L22" s="18" t="s">
        <v>451</v>
      </c>
      <c r="M22" s="19" t="s">
        <v>442</v>
      </c>
      <c r="N22" s="18" t="s">
        <v>304</v>
      </c>
      <c r="O22" s="18">
        <v>2</v>
      </c>
      <c r="P22" s="18" t="s">
        <v>443</v>
      </c>
      <c r="Q22" s="18" t="s">
        <v>452</v>
      </c>
      <c r="R22" s="18" t="s">
        <v>304</v>
      </c>
      <c r="S22" s="18"/>
      <c r="T22" s="18" t="str">
        <f t="shared" si="0"/>
        <v>Historical</v>
      </c>
      <c r="U22" s="18" t="str">
        <f t="shared" si="1"/>
        <v/>
      </c>
    </row>
    <row r="23" spans="1:21">
      <c r="A23" s="10">
        <v>46180</v>
      </c>
      <c r="B23" s="4" t="s">
        <v>33</v>
      </c>
      <c r="C23" s="4" t="s">
        <v>450</v>
      </c>
      <c r="D23" s="8">
        <v>2</v>
      </c>
      <c r="E23" s="5">
        <v>46176</v>
      </c>
      <c r="F23" s="5">
        <v>46176</v>
      </c>
      <c r="G23" s="8" t="s">
        <v>409</v>
      </c>
      <c r="H23" s="8" t="s">
        <v>419</v>
      </c>
      <c r="I23" s="8" t="s">
        <v>411</v>
      </c>
      <c r="J23" s="4"/>
      <c r="K23" s="64">
        <v>20</v>
      </c>
      <c r="L23" s="18" t="s">
        <v>453</v>
      </c>
      <c r="M23" s="19" t="s">
        <v>442</v>
      </c>
      <c r="N23" s="18" t="s">
        <v>304</v>
      </c>
      <c r="O23" s="18">
        <v>2</v>
      </c>
      <c r="P23" s="18" t="s">
        <v>443</v>
      </c>
      <c r="Q23" s="18" t="s">
        <v>452</v>
      </c>
      <c r="R23" s="18" t="s">
        <v>304</v>
      </c>
      <c r="S23" s="18">
        <v>1</v>
      </c>
      <c r="T23" s="18" t="str">
        <f t="shared" si="0"/>
        <v>Current</v>
      </c>
      <c r="U23" s="18" t="str">
        <f t="shared" si="1"/>
        <v>Jordan Collins|Account Access Support</v>
      </c>
    </row>
    <row r="24" spans="1:21">
      <c r="A24" s="10">
        <v>45764</v>
      </c>
      <c r="B24" s="4" t="s">
        <v>33</v>
      </c>
      <c r="C24" s="4" t="s">
        <v>454</v>
      </c>
      <c r="D24" s="8">
        <v>3</v>
      </c>
      <c r="E24" s="5">
        <v>45763</v>
      </c>
      <c r="F24" s="5">
        <v>45766</v>
      </c>
      <c r="G24" s="8" t="s">
        <v>409</v>
      </c>
      <c r="H24" s="8" t="s">
        <v>410</v>
      </c>
      <c r="I24" s="8" t="s">
        <v>411</v>
      </c>
      <c r="J24" s="4"/>
      <c r="K24" s="64">
        <v>21</v>
      </c>
      <c r="L24" s="18" t="s">
        <v>455</v>
      </c>
      <c r="M24" s="19" t="s">
        <v>442</v>
      </c>
      <c r="N24" s="18" t="s">
        <v>304</v>
      </c>
      <c r="O24" s="18">
        <v>2</v>
      </c>
      <c r="P24" s="18" t="s">
        <v>443</v>
      </c>
      <c r="Q24" s="18" t="s">
        <v>456</v>
      </c>
      <c r="R24" s="18" t="s">
        <v>304</v>
      </c>
      <c r="S24" s="18"/>
      <c r="T24" s="18" t="str">
        <f t="shared" si="0"/>
        <v>Current</v>
      </c>
      <c r="U24" s="18" t="str">
        <f t="shared" si="1"/>
        <v>Jordan Collins|Incident Communication</v>
      </c>
    </row>
    <row r="25" spans="1:21">
      <c r="A25" s="10">
        <v>45776</v>
      </c>
      <c r="B25" s="4" t="s">
        <v>33</v>
      </c>
      <c r="C25" s="4" t="s">
        <v>457</v>
      </c>
      <c r="D25" s="8">
        <v>3</v>
      </c>
      <c r="E25" s="5">
        <v>45774</v>
      </c>
      <c r="F25" s="5">
        <v>45775</v>
      </c>
      <c r="G25" s="8" t="s">
        <v>409</v>
      </c>
      <c r="H25" s="8" t="s">
        <v>410</v>
      </c>
      <c r="I25" s="8" t="s">
        <v>411</v>
      </c>
      <c r="J25" s="4"/>
      <c r="K25" s="64">
        <v>22</v>
      </c>
      <c r="L25" s="18" t="s">
        <v>458</v>
      </c>
      <c r="M25" s="19" t="s">
        <v>442</v>
      </c>
      <c r="N25" s="18" t="s">
        <v>304</v>
      </c>
      <c r="O25" s="18">
        <v>2</v>
      </c>
      <c r="P25" s="18" t="s">
        <v>443</v>
      </c>
      <c r="Q25" s="18" t="s">
        <v>459</v>
      </c>
      <c r="R25" s="18" t="s">
        <v>304</v>
      </c>
      <c r="S25" s="18"/>
      <c r="T25" s="18" t="str">
        <f t="shared" si="0"/>
        <v>Current</v>
      </c>
      <c r="U25" s="18" t="str">
        <f t="shared" si="1"/>
        <v>Jordan Collins|ServiceNow Ticket Handling</v>
      </c>
    </row>
    <row r="26" spans="1:21">
      <c r="A26" s="10">
        <v>46097</v>
      </c>
      <c r="B26" s="4" t="s">
        <v>33</v>
      </c>
      <c r="C26" s="4" t="s">
        <v>460</v>
      </c>
      <c r="D26" s="8">
        <v>1</v>
      </c>
      <c r="E26" s="5">
        <v>46095</v>
      </c>
      <c r="F26" s="5">
        <v>46097</v>
      </c>
      <c r="G26" s="8" t="s">
        <v>409</v>
      </c>
      <c r="H26" s="8" t="s">
        <v>410</v>
      </c>
      <c r="I26" s="8" t="s">
        <v>411</v>
      </c>
      <c r="J26" s="4"/>
      <c r="K26" s="64">
        <v>23</v>
      </c>
      <c r="L26" s="18" t="s">
        <v>461</v>
      </c>
      <c r="M26" s="19" t="s">
        <v>442</v>
      </c>
      <c r="N26" s="18" t="s">
        <v>304</v>
      </c>
      <c r="O26" s="18">
        <v>2</v>
      </c>
      <c r="P26" s="18" t="s">
        <v>443</v>
      </c>
      <c r="Q26" s="18" t="s">
        <v>462</v>
      </c>
      <c r="R26" s="18" t="s">
        <v>304</v>
      </c>
      <c r="S26" s="18"/>
      <c r="T26" s="18" t="str">
        <f t="shared" si="0"/>
        <v>Historical</v>
      </c>
      <c r="U26" s="18" t="str">
        <f t="shared" si="1"/>
        <v/>
      </c>
    </row>
    <row r="27" spans="1:21">
      <c r="A27" s="10">
        <v>46176</v>
      </c>
      <c r="B27" s="4" t="s">
        <v>33</v>
      </c>
      <c r="C27" s="4" t="s">
        <v>460</v>
      </c>
      <c r="D27" s="8">
        <v>2</v>
      </c>
      <c r="E27" s="5">
        <v>46174</v>
      </c>
      <c r="F27" s="5">
        <v>46174</v>
      </c>
      <c r="G27" s="8" t="s">
        <v>409</v>
      </c>
      <c r="H27" s="8" t="s">
        <v>419</v>
      </c>
      <c r="I27" s="8" t="s">
        <v>411</v>
      </c>
      <c r="J27" s="4"/>
      <c r="K27" s="64">
        <v>24</v>
      </c>
      <c r="L27" s="18" t="s">
        <v>463</v>
      </c>
      <c r="M27" s="19" t="s">
        <v>442</v>
      </c>
      <c r="N27" s="18" t="s">
        <v>304</v>
      </c>
      <c r="O27" s="18">
        <v>2</v>
      </c>
      <c r="P27" s="18" t="s">
        <v>443</v>
      </c>
      <c r="Q27" s="18" t="s">
        <v>462</v>
      </c>
      <c r="R27" s="18" t="s">
        <v>304</v>
      </c>
      <c r="S27" s="18">
        <v>1</v>
      </c>
      <c r="T27" s="18" t="str">
        <f t="shared" si="0"/>
        <v>Current</v>
      </c>
      <c r="U27" s="18" t="str">
        <f t="shared" si="1"/>
        <v>Jordan Collins|Knowledge Base Authoring</v>
      </c>
    </row>
    <row r="28" spans="1:21">
      <c r="A28" s="10">
        <v>45764</v>
      </c>
      <c r="B28" s="4" t="s">
        <v>33</v>
      </c>
      <c r="C28" s="4" t="s">
        <v>416</v>
      </c>
      <c r="D28" s="8">
        <v>3</v>
      </c>
      <c r="E28" s="5">
        <v>45763</v>
      </c>
      <c r="F28" s="5">
        <v>45763</v>
      </c>
      <c r="G28" s="8" t="s">
        <v>409</v>
      </c>
      <c r="H28" s="8" t="s">
        <v>410</v>
      </c>
      <c r="I28" s="8" t="s">
        <v>411</v>
      </c>
      <c r="J28" s="4"/>
      <c r="K28" s="64">
        <v>25</v>
      </c>
      <c r="L28" s="18" t="s">
        <v>464</v>
      </c>
      <c r="M28" s="19" t="s">
        <v>442</v>
      </c>
      <c r="N28" s="18" t="s">
        <v>304</v>
      </c>
      <c r="O28" s="18">
        <v>2</v>
      </c>
      <c r="P28" s="18" t="s">
        <v>443</v>
      </c>
      <c r="Q28" s="18" t="s">
        <v>418</v>
      </c>
      <c r="R28" s="18" t="s">
        <v>304</v>
      </c>
      <c r="S28" s="18"/>
      <c r="T28" s="18" t="str">
        <f t="shared" si="0"/>
        <v>Current</v>
      </c>
      <c r="U28" s="18" t="str">
        <f t="shared" si="1"/>
        <v>Jordan Collins|Data Privacy Handling</v>
      </c>
    </row>
    <row r="29" spans="1:21">
      <c r="A29" s="10">
        <v>45907</v>
      </c>
      <c r="B29" s="4" t="s">
        <v>33</v>
      </c>
      <c r="C29" s="4" t="s">
        <v>465</v>
      </c>
      <c r="D29" s="8">
        <v>3</v>
      </c>
      <c r="E29" s="5">
        <v>45905</v>
      </c>
      <c r="F29" s="5">
        <v>45908</v>
      </c>
      <c r="G29" s="8" t="s">
        <v>409</v>
      </c>
      <c r="H29" s="8" t="s">
        <v>410</v>
      </c>
      <c r="I29" s="8" t="s">
        <v>411</v>
      </c>
      <c r="J29" s="4"/>
      <c r="K29" s="64">
        <v>26</v>
      </c>
      <c r="L29" s="18" t="s">
        <v>466</v>
      </c>
      <c r="M29" s="19" t="s">
        <v>442</v>
      </c>
      <c r="N29" s="18" t="s">
        <v>304</v>
      </c>
      <c r="O29" s="18">
        <v>2</v>
      </c>
      <c r="P29" s="18" t="s">
        <v>443</v>
      </c>
      <c r="Q29" s="18" t="s">
        <v>467</v>
      </c>
      <c r="R29" s="18" t="s">
        <v>311</v>
      </c>
      <c r="S29" s="18"/>
      <c r="T29" s="18" t="str">
        <f t="shared" si="0"/>
        <v>Current</v>
      </c>
      <c r="U29" s="18" t="str">
        <f t="shared" si="1"/>
        <v>Jordan Collins|Malware Triage</v>
      </c>
    </row>
    <row r="30" spans="1:21">
      <c r="A30" s="10">
        <v>46074</v>
      </c>
      <c r="B30" s="4" t="s">
        <v>33</v>
      </c>
      <c r="C30" s="4" t="s">
        <v>468</v>
      </c>
      <c r="D30" s="8">
        <v>1</v>
      </c>
      <c r="E30" s="5">
        <v>46073</v>
      </c>
      <c r="F30" s="5">
        <v>46074</v>
      </c>
      <c r="G30" s="8" t="s">
        <v>409</v>
      </c>
      <c r="H30" s="8" t="s">
        <v>410</v>
      </c>
      <c r="I30" s="8" t="s">
        <v>411</v>
      </c>
      <c r="J30" s="4"/>
      <c r="K30" s="64">
        <v>27</v>
      </c>
      <c r="L30" s="18" t="s">
        <v>469</v>
      </c>
      <c r="M30" s="19" t="s">
        <v>442</v>
      </c>
      <c r="N30" s="18" t="s">
        <v>304</v>
      </c>
      <c r="O30" s="18">
        <v>2</v>
      </c>
      <c r="P30" s="18" t="s">
        <v>443</v>
      </c>
      <c r="Q30" s="18" t="s">
        <v>470</v>
      </c>
      <c r="R30" s="18" t="s">
        <v>213</v>
      </c>
      <c r="S30" s="18"/>
      <c r="T30" s="18" t="str">
        <f t="shared" si="0"/>
        <v>Historical</v>
      </c>
      <c r="U30" s="18" t="str">
        <f t="shared" si="1"/>
        <v/>
      </c>
    </row>
    <row r="31" spans="1:21">
      <c r="A31" s="10">
        <v>46142</v>
      </c>
      <c r="B31" s="4" t="s">
        <v>33</v>
      </c>
      <c r="C31" s="4" t="s">
        <v>468</v>
      </c>
      <c r="D31" s="8">
        <v>2</v>
      </c>
      <c r="E31" s="5">
        <v>46141</v>
      </c>
      <c r="F31" s="5">
        <v>46144</v>
      </c>
      <c r="G31" s="8" t="s">
        <v>409</v>
      </c>
      <c r="H31" s="8" t="s">
        <v>419</v>
      </c>
      <c r="I31" s="8" t="s">
        <v>411</v>
      </c>
      <c r="J31" s="4"/>
      <c r="K31" s="64">
        <v>28</v>
      </c>
      <c r="L31" s="18" t="s">
        <v>471</v>
      </c>
      <c r="M31" s="19" t="s">
        <v>442</v>
      </c>
      <c r="N31" s="18" t="s">
        <v>304</v>
      </c>
      <c r="O31" s="18">
        <v>2</v>
      </c>
      <c r="P31" s="18" t="s">
        <v>443</v>
      </c>
      <c r="Q31" s="18" t="s">
        <v>470</v>
      </c>
      <c r="R31" s="18" t="s">
        <v>213</v>
      </c>
      <c r="S31" s="18">
        <v>1</v>
      </c>
      <c r="T31" s="18" t="str">
        <f t="shared" si="0"/>
        <v>Historical</v>
      </c>
      <c r="U31" s="18" t="str">
        <f t="shared" si="1"/>
        <v/>
      </c>
    </row>
    <row r="32" spans="1:21">
      <c r="A32" s="10">
        <v>46198</v>
      </c>
      <c r="B32" s="4" t="s">
        <v>33</v>
      </c>
      <c r="C32" s="4" t="s">
        <v>468</v>
      </c>
      <c r="D32" s="8">
        <v>3</v>
      </c>
      <c r="E32" s="5">
        <v>46194</v>
      </c>
      <c r="F32" s="5">
        <v>46196</v>
      </c>
      <c r="G32" s="8" t="s">
        <v>409</v>
      </c>
      <c r="H32" s="8" t="s">
        <v>419</v>
      </c>
      <c r="I32" s="8" t="s">
        <v>411</v>
      </c>
      <c r="J32" s="4"/>
      <c r="K32" s="64">
        <v>29</v>
      </c>
      <c r="L32" s="18" t="s">
        <v>472</v>
      </c>
      <c r="M32" s="19" t="s">
        <v>442</v>
      </c>
      <c r="N32" s="18" t="s">
        <v>304</v>
      </c>
      <c r="O32" s="18">
        <v>2</v>
      </c>
      <c r="P32" s="18" t="s">
        <v>443</v>
      </c>
      <c r="Q32" s="18" t="s">
        <v>470</v>
      </c>
      <c r="R32" s="18" t="s">
        <v>213</v>
      </c>
      <c r="S32" s="18">
        <v>2</v>
      </c>
      <c r="T32" s="18" t="str">
        <f t="shared" si="0"/>
        <v>Current</v>
      </c>
      <c r="U32" s="18" t="str">
        <f t="shared" si="1"/>
        <v>Jordan Collins|Business Continuity Basics</v>
      </c>
    </row>
    <row r="33" spans="1:21">
      <c r="A33" s="10">
        <v>45726</v>
      </c>
      <c r="B33" s="4" t="s">
        <v>38</v>
      </c>
      <c r="C33" s="4" t="s">
        <v>445</v>
      </c>
      <c r="D33" s="8">
        <v>3</v>
      </c>
      <c r="E33" s="5">
        <v>45721</v>
      </c>
      <c r="F33" s="5">
        <v>45721</v>
      </c>
      <c r="G33" s="8" t="s">
        <v>409</v>
      </c>
      <c r="H33" s="8" t="s">
        <v>410</v>
      </c>
      <c r="I33" s="8" t="s">
        <v>411</v>
      </c>
      <c r="J33" s="4"/>
      <c r="K33" s="64">
        <v>30</v>
      </c>
      <c r="L33" s="18" t="s">
        <v>473</v>
      </c>
      <c r="M33" s="19" t="s">
        <v>474</v>
      </c>
      <c r="N33" s="18" t="s">
        <v>304</v>
      </c>
      <c r="O33" s="18">
        <v>3</v>
      </c>
      <c r="P33" s="18" t="s">
        <v>475</v>
      </c>
      <c r="Q33" s="18" t="s">
        <v>447</v>
      </c>
      <c r="R33" s="18" t="s">
        <v>304</v>
      </c>
      <c r="S33" s="18"/>
      <c r="T33" s="18" t="str">
        <f t="shared" si="0"/>
        <v>Current</v>
      </c>
      <c r="U33" s="18" t="str">
        <f t="shared" si="1"/>
        <v>Taylor Bell|Support Documentation Standards</v>
      </c>
    </row>
    <row r="34" spans="1:21">
      <c r="A34" s="10">
        <v>45734</v>
      </c>
      <c r="B34" s="4" t="s">
        <v>38</v>
      </c>
      <c r="C34" s="4" t="s">
        <v>422</v>
      </c>
      <c r="D34" s="8">
        <v>1</v>
      </c>
      <c r="E34" s="5">
        <v>45732</v>
      </c>
      <c r="F34" s="5">
        <v>45735</v>
      </c>
      <c r="G34" s="8" t="s">
        <v>409</v>
      </c>
      <c r="H34" s="8" t="s">
        <v>410</v>
      </c>
      <c r="I34" s="8" t="s">
        <v>411</v>
      </c>
      <c r="J34" s="4"/>
      <c r="K34" s="64">
        <v>31</v>
      </c>
      <c r="L34" s="18" t="s">
        <v>476</v>
      </c>
      <c r="M34" s="19" t="s">
        <v>474</v>
      </c>
      <c r="N34" s="18" t="s">
        <v>304</v>
      </c>
      <c r="O34" s="18">
        <v>3</v>
      </c>
      <c r="P34" s="18" t="s">
        <v>475</v>
      </c>
      <c r="Q34" s="18" t="s">
        <v>424</v>
      </c>
      <c r="R34" s="18" t="s">
        <v>304</v>
      </c>
      <c r="S34" s="18"/>
      <c r="T34" s="18" t="str">
        <f t="shared" si="0"/>
        <v>Historical</v>
      </c>
      <c r="U34" s="18" t="str">
        <f t="shared" si="1"/>
        <v/>
      </c>
    </row>
    <row r="35" spans="1:21">
      <c r="A35" s="10">
        <v>45772</v>
      </c>
      <c r="B35" s="4" t="s">
        <v>38</v>
      </c>
      <c r="C35" s="4" t="s">
        <v>422</v>
      </c>
      <c r="D35" s="8">
        <v>2</v>
      </c>
      <c r="E35" s="5">
        <v>45767</v>
      </c>
      <c r="F35" s="5">
        <v>45768</v>
      </c>
      <c r="G35" s="8" t="s">
        <v>409</v>
      </c>
      <c r="H35" s="8" t="s">
        <v>419</v>
      </c>
      <c r="I35" s="8" t="s">
        <v>411</v>
      </c>
      <c r="J35" s="4"/>
      <c r="K35" s="64">
        <v>32</v>
      </c>
      <c r="L35" s="18" t="s">
        <v>477</v>
      </c>
      <c r="M35" s="19" t="s">
        <v>474</v>
      </c>
      <c r="N35" s="18" t="s">
        <v>304</v>
      </c>
      <c r="O35" s="18">
        <v>3</v>
      </c>
      <c r="P35" s="18" t="s">
        <v>475</v>
      </c>
      <c r="Q35" s="18" t="s">
        <v>424</v>
      </c>
      <c r="R35" s="18" t="s">
        <v>304</v>
      </c>
      <c r="S35" s="18">
        <v>1</v>
      </c>
      <c r="T35" s="18" t="str">
        <f t="shared" si="0"/>
        <v>Historical</v>
      </c>
      <c r="U35" s="18" t="str">
        <f t="shared" si="1"/>
        <v/>
      </c>
    </row>
    <row r="36" spans="1:21">
      <c r="A36" s="10">
        <v>45866</v>
      </c>
      <c r="B36" s="4" t="s">
        <v>38</v>
      </c>
      <c r="C36" s="4" t="s">
        <v>422</v>
      </c>
      <c r="D36" s="8">
        <v>3</v>
      </c>
      <c r="E36" s="5">
        <v>45861</v>
      </c>
      <c r="F36" s="5">
        <v>45861</v>
      </c>
      <c r="G36" s="8" t="s">
        <v>409</v>
      </c>
      <c r="H36" s="8" t="s">
        <v>419</v>
      </c>
      <c r="I36" s="8" t="s">
        <v>411</v>
      </c>
      <c r="J36" s="4"/>
      <c r="K36" s="64">
        <v>33</v>
      </c>
      <c r="L36" s="18" t="s">
        <v>478</v>
      </c>
      <c r="M36" s="19" t="s">
        <v>474</v>
      </c>
      <c r="N36" s="18" t="s">
        <v>304</v>
      </c>
      <c r="O36" s="18">
        <v>3</v>
      </c>
      <c r="P36" s="18" t="s">
        <v>475</v>
      </c>
      <c r="Q36" s="18" t="s">
        <v>424</v>
      </c>
      <c r="R36" s="18" t="s">
        <v>304</v>
      </c>
      <c r="S36" s="18">
        <v>2</v>
      </c>
      <c r="T36" s="18" t="str">
        <f t="shared" si="0"/>
        <v>Current</v>
      </c>
      <c r="U36" s="18" t="str">
        <f t="shared" si="1"/>
        <v>Taylor Bell|CRM Case Management</v>
      </c>
    </row>
    <row r="37" spans="1:21">
      <c r="A37" s="10">
        <v>46201</v>
      </c>
      <c r="B37" s="4" t="s">
        <v>38</v>
      </c>
      <c r="C37" s="4" t="s">
        <v>460</v>
      </c>
      <c r="D37" s="8">
        <v>1</v>
      </c>
      <c r="E37" s="5">
        <v>46198</v>
      </c>
      <c r="F37" s="5">
        <v>46200</v>
      </c>
      <c r="G37" s="8" t="s">
        <v>409</v>
      </c>
      <c r="H37" s="8" t="s">
        <v>410</v>
      </c>
      <c r="I37" s="8" t="s">
        <v>411</v>
      </c>
      <c r="J37" s="4"/>
      <c r="K37" s="64">
        <v>34</v>
      </c>
      <c r="L37" s="18" t="s">
        <v>479</v>
      </c>
      <c r="M37" s="19" t="s">
        <v>474</v>
      </c>
      <c r="N37" s="18" t="s">
        <v>304</v>
      </c>
      <c r="O37" s="18">
        <v>3</v>
      </c>
      <c r="P37" s="18" t="s">
        <v>475</v>
      </c>
      <c r="Q37" s="18" t="s">
        <v>462</v>
      </c>
      <c r="R37" s="18" t="s">
        <v>304</v>
      </c>
      <c r="S37" s="18"/>
      <c r="T37" s="18" t="str">
        <f t="shared" si="0"/>
        <v>Historical</v>
      </c>
      <c r="U37" s="18" t="str">
        <f t="shared" si="1"/>
        <v/>
      </c>
    </row>
    <row r="38" spans="1:21">
      <c r="A38" s="10">
        <v>46247</v>
      </c>
      <c r="B38" s="4" t="s">
        <v>38</v>
      </c>
      <c r="C38" s="4" t="s">
        <v>460</v>
      </c>
      <c r="D38" s="8">
        <v>2</v>
      </c>
      <c r="E38" s="5">
        <v>46244</v>
      </c>
      <c r="F38" s="5">
        <v>46245</v>
      </c>
      <c r="G38" s="8" t="s">
        <v>409</v>
      </c>
      <c r="H38" s="8" t="s">
        <v>419</v>
      </c>
      <c r="I38" s="8" t="s">
        <v>411</v>
      </c>
      <c r="J38" s="4"/>
      <c r="K38" s="64">
        <v>35</v>
      </c>
      <c r="L38" s="18" t="s">
        <v>480</v>
      </c>
      <c r="M38" s="19" t="s">
        <v>474</v>
      </c>
      <c r="N38" s="18" t="s">
        <v>304</v>
      </c>
      <c r="O38" s="18">
        <v>3</v>
      </c>
      <c r="P38" s="18" t="s">
        <v>475</v>
      </c>
      <c r="Q38" s="18" t="s">
        <v>462</v>
      </c>
      <c r="R38" s="18" t="s">
        <v>304</v>
      </c>
      <c r="S38" s="18">
        <v>1</v>
      </c>
      <c r="T38" s="18" t="str">
        <f t="shared" si="0"/>
        <v>Historical</v>
      </c>
      <c r="U38" s="18" t="str">
        <f t="shared" si="1"/>
        <v/>
      </c>
    </row>
    <row r="39" spans="1:21">
      <c r="A39" s="10">
        <v>46239</v>
      </c>
      <c r="B39" s="4" t="s">
        <v>38</v>
      </c>
      <c r="C39" s="4" t="s">
        <v>460</v>
      </c>
      <c r="D39" s="8">
        <v>3</v>
      </c>
      <c r="E39" s="5">
        <v>46237</v>
      </c>
      <c r="F39" s="5">
        <v>46239</v>
      </c>
      <c r="G39" s="8" t="s">
        <v>409</v>
      </c>
      <c r="H39" s="8" t="s">
        <v>419</v>
      </c>
      <c r="I39" s="8" t="s">
        <v>411</v>
      </c>
      <c r="J39" s="4"/>
      <c r="K39" s="64">
        <v>36</v>
      </c>
      <c r="L39" s="18" t="s">
        <v>481</v>
      </c>
      <c r="M39" s="19" t="s">
        <v>474</v>
      </c>
      <c r="N39" s="18" t="s">
        <v>304</v>
      </c>
      <c r="O39" s="18">
        <v>3</v>
      </c>
      <c r="P39" s="18" t="s">
        <v>475</v>
      </c>
      <c r="Q39" s="18" t="s">
        <v>462</v>
      </c>
      <c r="R39" s="18" t="s">
        <v>304</v>
      </c>
      <c r="S39" s="18">
        <v>2</v>
      </c>
      <c r="T39" s="18" t="str">
        <f t="shared" si="0"/>
        <v>Current</v>
      </c>
      <c r="U39" s="18" t="str">
        <f t="shared" si="1"/>
        <v>Taylor Bell|Knowledge Base Authoring</v>
      </c>
    </row>
    <row r="40" spans="1:21">
      <c r="A40" s="10">
        <v>45738</v>
      </c>
      <c r="B40" s="4" t="s">
        <v>38</v>
      </c>
      <c r="C40" s="4" t="s">
        <v>266</v>
      </c>
      <c r="D40" s="8">
        <v>3</v>
      </c>
      <c r="E40" s="5">
        <v>45737</v>
      </c>
      <c r="F40" s="5">
        <v>45740</v>
      </c>
      <c r="G40" s="8" t="s">
        <v>409</v>
      </c>
      <c r="H40" s="8" t="s">
        <v>410</v>
      </c>
      <c r="I40" s="8" t="s">
        <v>411</v>
      </c>
      <c r="J40" s="4"/>
      <c r="K40" s="64">
        <v>37</v>
      </c>
      <c r="L40" s="18" t="s">
        <v>482</v>
      </c>
      <c r="M40" s="19" t="s">
        <v>474</v>
      </c>
      <c r="N40" s="18" t="s">
        <v>304</v>
      </c>
      <c r="O40" s="18">
        <v>3</v>
      </c>
      <c r="P40" s="18" t="s">
        <v>475</v>
      </c>
      <c r="Q40" s="18" t="s">
        <v>415</v>
      </c>
      <c r="R40" s="18" t="s">
        <v>304</v>
      </c>
      <c r="S40" s="18"/>
      <c r="T40" s="18" t="str">
        <f t="shared" si="0"/>
        <v>Current</v>
      </c>
      <c r="U40" s="18" t="str">
        <f t="shared" si="1"/>
        <v>Taylor Bell|Customer Onboarding Workflow</v>
      </c>
    </row>
    <row r="41" spans="1:21">
      <c r="A41" s="10">
        <v>45766</v>
      </c>
      <c r="B41" s="4" t="s">
        <v>38</v>
      </c>
      <c r="C41" s="4" t="s">
        <v>483</v>
      </c>
      <c r="D41" s="8">
        <v>3</v>
      </c>
      <c r="E41" s="5">
        <v>45765</v>
      </c>
      <c r="F41" s="5">
        <v>45766</v>
      </c>
      <c r="G41" s="8" t="s">
        <v>409</v>
      </c>
      <c r="H41" s="8" t="s">
        <v>410</v>
      </c>
      <c r="I41" s="8" t="s">
        <v>411</v>
      </c>
      <c r="J41" s="4"/>
      <c r="K41" s="64">
        <v>38</v>
      </c>
      <c r="L41" s="18" t="s">
        <v>484</v>
      </c>
      <c r="M41" s="19" t="s">
        <v>474</v>
      </c>
      <c r="N41" s="18" t="s">
        <v>304</v>
      </c>
      <c r="O41" s="18">
        <v>3</v>
      </c>
      <c r="P41" s="18" t="s">
        <v>475</v>
      </c>
      <c r="Q41" s="18" t="s">
        <v>485</v>
      </c>
      <c r="R41" s="18" t="s">
        <v>304</v>
      </c>
      <c r="S41" s="18"/>
      <c r="T41" s="18" t="str">
        <f t="shared" si="0"/>
        <v>Current</v>
      </c>
      <c r="U41" s="18" t="str">
        <f t="shared" si="1"/>
        <v>Taylor Bell|Support QA Review</v>
      </c>
    </row>
    <row r="42" spans="1:21">
      <c r="A42" s="10">
        <v>46021</v>
      </c>
      <c r="B42" s="4" t="s">
        <v>38</v>
      </c>
      <c r="C42" s="4" t="s">
        <v>486</v>
      </c>
      <c r="D42" s="8">
        <v>1</v>
      </c>
      <c r="E42" s="5">
        <v>46020</v>
      </c>
      <c r="F42" s="5">
        <v>46021</v>
      </c>
      <c r="G42" s="8" t="s">
        <v>409</v>
      </c>
      <c r="H42" s="8" t="s">
        <v>410</v>
      </c>
      <c r="I42" s="8" t="s">
        <v>411</v>
      </c>
      <c r="J42" s="4"/>
      <c r="K42" s="64">
        <v>39</v>
      </c>
      <c r="L42" s="18" t="s">
        <v>487</v>
      </c>
      <c r="M42" s="19" t="s">
        <v>474</v>
      </c>
      <c r="N42" s="18" t="s">
        <v>304</v>
      </c>
      <c r="O42" s="18">
        <v>3</v>
      </c>
      <c r="P42" s="18" t="s">
        <v>475</v>
      </c>
      <c r="Q42" s="18" t="s">
        <v>488</v>
      </c>
      <c r="R42" s="18" t="s">
        <v>304</v>
      </c>
      <c r="S42" s="18"/>
      <c r="T42" s="18" t="str">
        <f t="shared" si="0"/>
        <v>Historical</v>
      </c>
      <c r="U42" s="18" t="str">
        <f t="shared" si="1"/>
        <v/>
      </c>
    </row>
    <row r="43" spans="1:21">
      <c r="A43" s="10">
        <v>46090</v>
      </c>
      <c r="B43" s="4" t="s">
        <v>38</v>
      </c>
      <c r="C43" s="4" t="s">
        <v>486</v>
      </c>
      <c r="D43" s="8">
        <v>2</v>
      </c>
      <c r="E43" s="5">
        <v>46087</v>
      </c>
      <c r="F43" s="5">
        <v>46088</v>
      </c>
      <c r="G43" s="8" t="s">
        <v>409</v>
      </c>
      <c r="H43" s="8" t="s">
        <v>419</v>
      </c>
      <c r="I43" s="8" t="s">
        <v>411</v>
      </c>
      <c r="J43" s="4"/>
      <c r="K43" s="64">
        <v>40</v>
      </c>
      <c r="L43" s="18" t="s">
        <v>489</v>
      </c>
      <c r="M43" s="19" t="s">
        <v>474</v>
      </c>
      <c r="N43" s="18" t="s">
        <v>304</v>
      </c>
      <c r="O43" s="18">
        <v>3</v>
      </c>
      <c r="P43" s="18" t="s">
        <v>475</v>
      </c>
      <c r="Q43" s="18" t="s">
        <v>488</v>
      </c>
      <c r="R43" s="18" t="s">
        <v>304</v>
      </c>
      <c r="S43" s="18">
        <v>1</v>
      </c>
      <c r="T43" s="18" t="str">
        <f t="shared" si="0"/>
        <v>Historical</v>
      </c>
      <c r="U43" s="18" t="str">
        <f t="shared" si="1"/>
        <v/>
      </c>
    </row>
    <row r="44" spans="1:21">
      <c r="A44" s="10">
        <v>46168</v>
      </c>
      <c r="B44" s="4" t="s">
        <v>38</v>
      </c>
      <c r="C44" s="4" t="s">
        <v>486</v>
      </c>
      <c r="D44" s="8">
        <v>3</v>
      </c>
      <c r="E44" s="5">
        <v>46163</v>
      </c>
      <c r="F44" s="5">
        <v>46165</v>
      </c>
      <c r="G44" s="8" t="s">
        <v>409</v>
      </c>
      <c r="H44" s="8" t="s">
        <v>419</v>
      </c>
      <c r="I44" s="8" t="s">
        <v>411</v>
      </c>
      <c r="J44" s="4"/>
      <c r="K44" s="64">
        <v>41</v>
      </c>
      <c r="L44" s="18" t="s">
        <v>490</v>
      </c>
      <c r="M44" s="19" t="s">
        <v>474</v>
      </c>
      <c r="N44" s="18" t="s">
        <v>304</v>
      </c>
      <c r="O44" s="18">
        <v>3</v>
      </c>
      <c r="P44" s="18" t="s">
        <v>475</v>
      </c>
      <c r="Q44" s="18" t="s">
        <v>488</v>
      </c>
      <c r="R44" s="18" t="s">
        <v>304</v>
      </c>
      <c r="S44" s="18">
        <v>2</v>
      </c>
      <c r="T44" s="18" t="str">
        <f t="shared" si="0"/>
        <v>Current</v>
      </c>
      <c r="U44" s="18" t="str">
        <f t="shared" si="1"/>
        <v>Taylor Bell|Zendesk Queue Triage</v>
      </c>
    </row>
    <row r="45" spans="1:21">
      <c r="A45" s="10">
        <v>46205</v>
      </c>
      <c r="B45" s="4" t="s">
        <v>38</v>
      </c>
      <c r="C45" s="4" t="s">
        <v>491</v>
      </c>
      <c r="D45" s="8">
        <v>3</v>
      </c>
      <c r="E45" s="5">
        <v>46204</v>
      </c>
      <c r="F45" s="5">
        <v>46206</v>
      </c>
      <c r="G45" s="8" t="s">
        <v>409</v>
      </c>
      <c r="H45" s="8" t="s">
        <v>410</v>
      </c>
      <c r="I45" s="8" t="s">
        <v>411</v>
      </c>
      <c r="J45" s="4"/>
      <c r="K45" s="64">
        <v>42</v>
      </c>
      <c r="L45" s="18" t="s">
        <v>492</v>
      </c>
      <c r="M45" s="19" t="s">
        <v>474</v>
      </c>
      <c r="N45" s="18" t="s">
        <v>304</v>
      </c>
      <c r="O45" s="18">
        <v>3</v>
      </c>
      <c r="P45" s="18" t="s">
        <v>475</v>
      </c>
      <c r="Q45" s="18" t="s">
        <v>493</v>
      </c>
      <c r="R45" s="18" t="s">
        <v>304</v>
      </c>
      <c r="S45" s="18"/>
      <c r="T45" s="18" t="str">
        <f t="shared" si="0"/>
        <v>Current</v>
      </c>
      <c r="U45" s="18" t="str">
        <f t="shared" si="1"/>
        <v>Taylor Bell|Subscription &amp; Billing Support</v>
      </c>
    </row>
    <row r="46" spans="1:21">
      <c r="A46" s="10">
        <v>45803</v>
      </c>
      <c r="B46" s="4" t="s">
        <v>38</v>
      </c>
      <c r="C46" s="4" t="s">
        <v>450</v>
      </c>
      <c r="D46" s="8">
        <v>1</v>
      </c>
      <c r="E46" s="5">
        <v>45800</v>
      </c>
      <c r="F46" s="5">
        <v>45800</v>
      </c>
      <c r="G46" s="8" t="s">
        <v>409</v>
      </c>
      <c r="H46" s="8" t="s">
        <v>410</v>
      </c>
      <c r="I46" s="8" t="s">
        <v>411</v>
      </c>
      <c r="J46" s="4"/>
      <c r="K46" s="64">
        <v>43</v>
      </c>
      <c r="L46" s="18" t="s">
        <v>494</v>
      </c>
      <c r="M46" s="19" t="s">
        <v>474</v>
      </c>
      <c r="N46" s="18" t="s">
        <v>304</v>
      </c>
      <c r="O46" s="18">
        <v>3</v>
      </c>
      <c r="P46" s="18" t="s">
        <v>475</v>
      </c>
      <c r="Q46" s="18" t="s">
        <v>452</v>
      </c>
      <c r="R46" s="18" t="s">
        <v>304</v>
      </c>
      <c r="S46" s="18"/>
      <c r="T46" s="18" t="str">
        <f t="shared" si="0"/>
        <v>Historical</v>
      </c>
      <c r="U46" s="18" t="str">
        <f t="shared" si="1"/>
        <v/>
      </c>
    </row>
    <row r="47" spans="1:21">
      <c r="A47" s="10">
        <v>45838</v>
      </c>
      <c r="B47" s="4" t="s">
        <v>38</v>
      </c>
      <c r="C47" s="4" t="s">
        <v>450</v>
      </c>
      <c r="D47" s="8">
        <v>2</v>
      </c>
      <c r="E47" s="5">
        <v>45833</v>
      </c>
      <c r="F47" s="5">
        <v>45834</v>
      </c>
      <c r="G47" s="8" t="s">
        <v>409</v>
      </c>
      <c r="H47" s="8" t="s">
        <v>419</v>
      </c>
      <c r="I47" s="8" t="s">
        <v>411</v>
      </c>
      <c r="J47" s="4"/>
      <c r="K47" s="64">
        <v>44</v>
      </c>
      <c r="L47" s="18" t="s">
        <v>495</v>
      </c>
      <c r="M47" s="19" t="s">
        <v>474</v>
      </c>
      <c r="N47" s="18" t="s">
        <v>304</v>
      </c>
      <c r="O47" s="18">
        <v>3</v>
      </c>
      <c r="P47" s="18" t="s">
        <v>475</v>
      </c>
      <c r="Q47" s="18" t="s">
        <v>452</v>
      </c>
      <c r="R47" s="18" t="s">
        <v>304</v>
      </c>
      <c r="S47" s="18">
        <v>1</v>
      </c>
      <c r="T47" s="18" t="str">
        <f t="shared" si="0"/>
        <v>Historical</v>
      </c>
      <c r="U47" s="18" t="str">
        <f t="shared" si="1"/>
        <v/>
      </c>
    </row>
    <row r="48" spans="1:21">
      <c r="A48" s="10">
        <v>45890</v>
      </c>
      <c r="B48" s="4" t="s">
        <v>38</v>
      </c>
      <c r="C48" s="4" t="s">
        <v>450</v>
      </c>
      <c r="D48" s="8">
        <v>3</v>
      </c>
      <c r="E48" s="5">
        <v>45887</v>
      </c>
      <c r="F48" s="5">
        <v>45888</v>
      </c>
      <c r="G48" s="8" t="s">
        <v>409</v>
      </c>
      <c r="H48" s="8" t="s">
        <v>419</v>
      </c>
      <c r="I48" s="8" t="s">
        <v>411</v>
      </c>
      <c r="J48" s="4"/>
      <c r="K48" s="64">
        <v>45</v>
      </c>
      <c r="L48" s="18" t="s">
        <v>496</v>
      </c>
      <c r="M48" s="19" t="s">
        <v>474</v>
      </c>
      <c r="N48" s="18" t="s">
        <v>304</v>
      </c>
      <c r="O48" s="18">
        <v>3</v>
      </c>
      <c r="P48" s="18" t="s">
        <v>475</v>
      </c>
      <c r="Q48" s="18" t="s">
        <v>452</v>
      </c>
      <c r="R48" s="18" t="s">
        <v>304</v>
      </c>
      <c r="S48" s="18">
        <v>2</v>
      </c>
      <c r="T48" s="18" t="str">
        <f t="shared" si="0"/>
        <v>Current</v>
      </c>
      <c r="U48" s="18" t="str">
        <f t="shared" si="1"/>
        <v>Taylor Bell|Account Access Support</v>
      </c>
    </row>
    <row r="49" spans="1:21">
      <c r="A49" s="10">
        <v>45938</v>
      </c>
      <c r="B49" s="4" t="s">
        <v>38</v>
      </c>
      <c r="C49" s="4" t="s">
        <v>497</v>
      </c>
      <c r="D49" s="8">
        <v>1</v>
      </c>
      <c r="E49" s="5">
        <v>45933</v>
      </c>
      <c r="F49" s="5">
        <v>45936</v>
      </c>
      <c r="G49" s="8" t="s">
        <v>409</v>
      </c>
      <c r="H49" s="8" t="s">
        <v>410</v>
      </c>
      <c r="I49" s="8" t="s">
        <v>411</v>
      </c>
      <c r="J49" s="4"/>
      <c r="K49" s="64">
        <v>46</v>
      </c>
      <c r="L49" s="18" t="s">
        <v>498</v>
      </c>
      <c r="M49" s="19" t="s">
        <v>474</v>
      </c>
      <c r="N49" s="18" t="s">
        <v>304</v>
      </c>
      <c r="O49" s="18">
        <v>3</v>
      </c>
      <c r="P49" s="18" t="s">
        <v>475</v>
      </c>
      <c r="Q49" s="18" t="s">
        <v>499</v>
      </c>
      <c r="R49" s="18" t="s">
        <v>305</v>
      </c>
      <c r="S49" s="18"/>
      <c r="T49" s="18" t="str">
        <f t="shared" si="0"/>
        <v>Historical</v>
      </c>
      <c r="U49" s="18" t="str">
        <f t="shared" si="1"/>
        <v/>
      </c>
    </row>
    <row r="50" spans="1:21">
      <c r="A50" s="10">
        <v>45986</v>
      </c>
      <c r="B50" s="4" t="s">
        <v>38</v>
      </c>
      <c r="C50" s="4" t="s">
        <v>497</v>
      </c>
      <c r="D50" s="8">
        <v>2</v>
      </c>
      <c r="E50" s="5">
        <v>45985</v>
      </c>
      <c r="F50" s="5">
        <v>45985</v>
      </c>
      <c r="G50" s="8" t="s">
        <v>409</v>
      </c>
      <c r="H50" s="8" t="s">
        <v>419</v>
      </c>
      <c r="I50" s="8" t="s">
        <v>411</v>
      </c>
      <c r="J50" s="4"/>
      <c r="K50" s="64">
        <v>47</v>
      </c>
      <c r="L50" s="18" t="s">
        <v>500</v>
      </c>
      <c r="M50" s="19" t="s">
        <v>474</v>
      </c>
      <c r="N50" s="18" t="s">
        <v>304</v>
      </c>
      <c r="O50" s="18">
        <v>3</v>
      </c>
      <c r="P50" s="18" t="s">
        <v>475</v>
      </c>
      <c r="Q50" s="18" t="s">
        <v>499</v>
      </c>
      <c r="R50" s="18" t="s">
        <v>305</v>
      </c>
      <c r="S50" s="18">
        <v>1</v>
      </c>
      <c r="T50" s="18" t="str">
        <f t="shared" si="0"/>
        <v>Historical</v>
      </c>
      <c r="U50" s="18" t="str">
        <f t="shared" si="1"/>
        <v/>
      </c>
    </row>
    <row r="51" spans="1:21">
      <c r="A51" s="10">
        <v>46090</v>
      </c>
      <c r="B51" s="4" t="s">
        <v>38</v>
      </c>
      <c r="C51" s="4" t="s">
        <v>497</v>
      </c>
      <c r="D51" s="8">
        <v>3</v>
      </c>
      <c r="E51" s="5">
        <v>46086</v>
      </c>
      <c r="F51" s="5">
        <v>46088</v>
      </c>
      <c r="G51" s="8" t="s">
        <v>409</v>
      </c>
      <c r="H51" s="8" t="s">
        <v>419</v>
      </c>
      <c r="I51" s="8" t="s">
        <v>411</v>
      </c>
      <c r="J51" s="4"/>
      <c r="K51" s="64">
        <v>48</v>
      </c>
      <c r="L51" s="18" t="s">
        <v>501</v>
      </c>
      <c r="M51" s="19" t="s">
        <v>474</v>
      </c>
      <c r="N51" s="18" t="s">
        <v>304</v>
      </c>
      <c r="O51" s="18">
        <v>3</v>
      </c>
      <c r="P51" s="18" t="s">
        <v>475</v>
      </c>
      <c r="Q51" s="18" t="s">
        <v>499</v>
      </c>
      <c r="R51" s="18" t="s">
        <v>305</v>
      </c>
      <c r="S51" s="18">
        <v>2</v>
      </c>
      <c r="T51" s="18" t="str">
        <f t="shared" si="0"/>
        <v>Current</v>
      </c>
      <c r="U51" s="18" t="str">
        <f t="shared" si="1"/>
        <v>Taylor Bell|CI/CD Pipeline Operations</v>
      </c>
    </row>
    <row r="52" spans="1:21">
      <c r="A52" s="10">
        <v>46006</v>
      </c>
      <c r="B52" s="4" t="s">
        <v>38</v>
      </c>
      <c r="C52" s="4" t="s">
        <v>502</v>
      </c>
      <c r="D52" s="8">
        <v>1</v>
      </c>
      <c r="E52" s="5">
        <v>46004</v>
      </c>
      <c r="F52" s="5">
        <v>46006</v>
      </c>
      <c r="G52" s="8" t="s">
        <v>409</v>
      </c>
      <c r="H52" s="8" t="s">
        <v>410</v>
      </c>
      <c r="I52" s="8" t="s">
        <v>411</v>
      </c>
      <c r="J52" s="4"/>
      <c r="K52" s="64">
        <v>49</v>
      </c>
      <c r="L52" s="18" t="s">
        <v>503</v>
      </c>
      <c r="M52" s="19" t="s">
        <v>474</v>
      </c>
      <c r="N52" s="18" t="s">
        <v>304</v>
      </c>
      <c r="O52" s="18">
        <v>3</v>
      </c>
      <c r="P52" s="18" t="s">
        <v>475</v>
      </c>
      <c r="Q52" s="18" t="s">
        <v>504</v>
      </c>
      <c r="R52" s="18" t="s">
        <v>305</v>
      </c>
      <c r="S52" s="18"/>
      <c r="T52" s="18" t="str">
        <f t="shared" si="0"/>
        <v>Current</v>
      </c>
      <c r="U52" s="18" t="str">
        <f t="shared" si="1"/>
        <v>Taylor Bell|Kubernetes Basics</v>
      </c>
    </row>
    <row r="53" spans="1:21">
      <c r="A53" s="10">
        <v>46105</v>
      </c>
      <c r="B53" s="4" t="s">
        <v>38</v>
      </c>
      <c r="C53" s="4" t="s">
        <v>468</v>
      </c>
      <c r="D53" s="8">
        <v>1</v>
      </c>
      <c r="E53" s="5">
        <v>46100</v>
      </c>
      <c r="F53" s="5">
        <v>46100</v>
      </c>
      <c r="G53" s="8" t="s">
        <v>409</v>
      </c>
      <c r="H53" s="8" t="s">
        <v>410</v>
      </c>
      <c r="I53" s="8" t="s">
        <v>411</v>
      </c>
      <c r="J53" s="4"/>
      <c r="K53" s="64">
        <v>50</v>
      </c>
      <c r="L53" s="18" t="s">
        <v>505</v>
      </c>
      <c r="M53" s="19" t="s">
        <v>474</v>
      </c>
      <c r="N53" s="18" t="s">
        <v>304</v>
      </c>
      <c r="O53" s="18">
        <v>3</v>
      </c>
      <c r="P53" s="18" t="s">
        <v>475</v>
      </c>
      <c r="Q53" s="18" t="s">
        <v>470</v>
      </c>
      <c r="R53" s="18" t="s">
        <v>213</v>
      </c>
      <c r="S53" s="18"/>
      <c r="T53" s="18" t="str">
        <f t="shared" si="0"/>
        <v>Historical</v>
      </c>
      <c r="U53" s="18" t="str">
        <f t="shared" si="1"/>
        <v/>
      </c>
    </row>
    <row r="54" spans="1:21">
      <c r="A54" s="10">
        <v>46135</v>
      </c>
      <c r="B54" s="4" t="s">
        <v>38</v>
      </c>
      <c r="C54" s="4" t="s">
        <v>468</v>
      </c>
      <c r="D54" s="8">
        <v>2</v>
      </c>
      <c r="E54" s="5">
        <v>46134</v>
      </c>
      <c r="F54" s="5">
        <v>46135</v>
      </c>
      <c r="G54" s="8" t="s">
        <v>409</v>
      </c>
      <c r="H54" s="8" t="s">
        <v>419</v>
      </c>
      <c r="I54" s="8" t="s">
        <v>411</v>
      </c>
      <c r="J54" s="4"/>
      <c r="K54" s="64">
        <v>51</v>
      </c>
      <c r="L54" s="18" t="s">
        <v>506</v>
      </c>
      <c r="M54" s="19" t="s">
        <v>474</v>
      </c>
      <c r="N54" s="18" t="s">
        <v>304</v>
      </c>
      <c r="O54" s="18">
        <v>3</v>
      </c>
      <c r="P54" s="18" t="s">
        <v>475</v>
      </c>
      <c r="Q54" s="18" t="s">
        <v>470</v>
      </c>
      <c r="R54" s="18" t="s">
        <v>213</v>
      </c>
      <c r="S54" s="18">
        <v>1</v>
      </c>
      <c r="T54" s="18" t="str">
        <f t="shared" si="0"/>
        <v>Current</v>
      </c>
      <c r="U54" s="18" t="str">
        <f t="shared" si="1"/>
        <v>Taylor Bell|Business Continuity Basics</v>
      </c>
    </row>
    <row r="55" spans="1:21">
      <c r="A55" s="10">
        <v>46084</v>
      </c>
      <c r="B55" s="4" t="s">
        <v>43</v>
      </c>
      <c r="C55" s="4" t="s">
        <v>457</v>
      </c>
      <c r="D55" s="8">
        <v>1</v>
      </c>
      <c r="E55" s="5">
        <v>46079</v>
      </c>
      <c r="F55" s="5">
        <v>46080</v>
      </c>
      <c r="G55" s="8" t="s">
        <v>409</v>
      </c>
      <c r="H55" s="8" t="s">
        <v>410</v>
      </c>
      <c r="I55" s="8" t="s">
        <v>411</v>
      </c>
      <c r="J55" s="4"/>
      <c r="K55" s="64">
        <v>52</v>
      </c>
      <c r="L55" s="18" t="s">
        <v>507</v>
      </c>
      <c r="M55" s="19" t="s">
        <v>508</v>
      </c>
      <c r="N55" s="18" t="s">
        <v>304</v>
      </c>
      <c r="O55" s="18">
        <v>1</v>
      </c>
      <c r="P55" s="18" t="s">
        <v>414</v>
      </c>
      <c r="Q55" s="18" t="s">
        <v>459</v>
      </c>
      <c r="R55" s="18" t="s">
        <v>304</v>
      </c>
      <c r="S55" s="18"/>
      <c r="T55" s="18" t="str">
        <f t="shared" si="0"/>
        <v>Historical</v>
      </c>
      <c r="U55" s="18" t="str">
        <f t="shared" si="1"/>
        <v/>
      </c>
    </row>
    <row r="56" spans="1:21">
      <c r="A56" s="10">
        <v>46131</v>
      </c>
      <c r="B56" s="4" t="s">
        <v>43</v>
      </c>
      <c r="C56" s="4" t="s">
        <v>457</v>
      </c>
      <c r="D56" s="8">
        <v>2</v>
      </c>
      <c r="E56" s="5">
        <v>46129</v>
      </c>
      <c r="F56" s="5">
        <v>46130</v>
      </c>
      <c r="G56" s="8" t="s">
        <v>409</v>
      </c>
      <c r="H56" s="8" t="s">
        <v>419</v>
      </c>
      <c r="I56" s="8" t="s">
        <v>411</v>
      </c>
      <c r="J56" s="4"/>
      <c r="K56" s="64">
        <v>53</v>
      </c>
      <c r="L56" s="18" t="s">
        <v>509</v>
      </c>
      <c r="M56" s="19" t="s">
        <v>508</v>
      </c>
      <c r="N56" s="18" t="s">
        <v>304</v>
      </c>
      <c r="O56" s="18">
        <v>1</v>
      </c>
      <c r="P56" s="18" t="s">
        <v>414</v>
      </c>
      <c r="Q56" s="18" t="s">
        <v>459</v>
      </c>
      <c r="R56" s="18" t="s">
        <v>304</v>
      </c>
      <c r="S56" s="18">
        <v>1</v>
      </c>
      <c r="T56" s="18" t="str">
        <f t="shared" si="0"/>
        <v>Historical</v>
      </c>
      <c r="U56" s="18" t="str">
        <f t="shared" si="1"/>
        <v/>
      </c>
    </row>
    <row r="57" spans="1:21">
      <c r="A57" s="10">
        <v>46202</v>
      </c>
      <c r="B57" s="4" t="s">
        <v>43</v>
      </c>
      <c r="C57" s="4" t="s">
        <v>457</v>
      </c>
      <c r="D57" s="8">
        <v>3</v>
      </c>
      <c r="E57" s="5">
        <v>46201</v>
      </c>
      <c r="F57" s="5">
        <v>46202</v>
      </c>
      <c r="G57" s="8" t="s">
        <v>409</v>
      </c>
      <c r="H57" s="8" t="s">
        <v>419</v>
      </c>
      <c r="I57" s="8" t="s">
        <v>411</v>
      </c>
      <c r="J57" s="4"/>
      <c r="K57" s="64">
        <v>54</v>
      </c>
      <c r="L57" s="18" t="s">
        <v>510</v>
      </c>
      <c r="M57" s="19" t="s">
        <v>508</v>
      </c>
      <c r="N57" s="18" t="s">
        <v>304</v>
      </c>
      <c r="O57" s="18">
        <v>1</v>
      </c>
      <c r="P57" s="18" t="s">
        <v>414</v>
      </c>
      <c r="Q57" s="18" t="s">
        <v>459</v>
      </c>
      <c r="R57" s="18" t="s">
        <v>304</v>
      </c>
      <c r="S57" s="18">
        <v>2</v>
      </c>
      <c r="T57" s="18" t="str">
        <f t="shared" si="0"/>
        <v>Current</v>
      </c>
      <c r="U57" s="18" t="str">
        <f t="shared" si="1"/>
        <v>Morgan Long|ServiceNow Ticket Handling</v>
      </c>
    </row>
    <row r="58" spans="1:21">
      <c r="A58" s="10">
        <v>46086</v>
      </c>
      <c r="B58" s="4" t="s">
        <v>43</v>
      </c>
      <c r="C58" s="4" t="s">
        <v>483</v>
      </c>
      <c r="D58" s="8">
        <v>1</v>
      </c>
      <c r="E58" s="5">
        <v>46084</v>
      </c>
      <c r="F58" s="5">
        <v>46086</v>
      </c>
      <c r="G58" s="8" t="s">
        <v>409</v>
      </c>
      <c r="H58" s="8" t="s">
        <v>410</v>
      </c>
      <c r="I58" s="8" t="s">
        <v>411</v>
      </c>
      <c r="J58" s="4"/>
      <c r="K58" s="64">
        <v>55</v>
      </c>
      <c r="L58" s="18" t="s">
        <v>511</v>
      </c>
      <c r="M58" s="19" t="s">
        <v>508</v>
      </c>
      <c r="N58" s="18" t="s">
        <v>304</v>
      </c>
      <c r="O58" s="18">
        <v>1</v>
      </c>
      <c r="P58" s="18" t="s">
        <v>414</v>
      </c>
      <c r="Q58" s="18" t="s">
        <v>485</v>
      </c>
      <c r="R58" s="18" t="s">
        <v>304</v>
      </c>
      <c r="S58" s="18"/>
      <c r="T58" s="18" t="str">
        <f t="shared" si="0"/>
        <v>Historical</v>
      </c>
      <c r="U58" s="18" t="str">
        <f t="shared" si="1"/>
        <v/>
      </c>
    </row>
    <row r="59" spans="1:21">
      <c r="A59" s="10">
        <v>46125</v>
      </c>
      <c r="B59" s="4" t="s">
        <v>43</v>
      </c>
      <c r="C59" s="4" t="s">
        <v>483</v>
      </c>
      <c r="D59" s="8">
        <v>2</v>
      </c>
      <c r="E59" s="5">
        <v>46124</v>
      </c>
      <c r="F59" s="5">
        <v>46127</v>
      </c>
      <c r="G59" s="8" t="s">
        <v>409</v>
      </c>
      <c r="H59" s="8" t="s">
        <v>419</v>
      </c>
      <c r="I59" s="8" t="s">
        <v>411</v>
      </c>
      <c r="J59" s="4"/>
      <c r="K59" s="64">
        <v>56</v>
      </c>
      <c r="L59" s="18" t="s">
        <v>512</v>
      </c>
      <c r="M59" s="19" t="s">
        <v>508</v>
      </c>
      <c r="N59" s="18" t="s">
        <v>304</v>
      </c>
      <c r="O59" s="18">
        <v>1</v>
      </c>
      <c r="P59" s="18" t="s">
        <v>414</v>
      </c>
      <c r="Q59" s="18" t="s">
        <v>485</v>
      </c>
      <c r="R59" s="18" t="s">
        <v>304</v>
      </c>
      <c r="S59" s="18">
        <v>1</v>
      </c>
      <c r="T59" s="18" t="str">
        <f t="shared" si="0"/>
        <v>Historical</v>
      </c>
      <c r="U59" s="18" t="str">
        <f t="shared" si="1"/>
        <v/>
      </c>
    </row>
    <row r="60" spans="1:21">
      <c r="A60" s="10">
        <v>46152</v>
      </c>
      <c r="B60" s="4" t="s">
        <v>43</v>
      </c>
      <c r="C60" s="4" t="s">
        <v>483</v>
      </c>
      <c r="D60" s="8">
        <v>3</v>
      </c>
      <c r="E60" s="5">
        <v>46148</v>
      </c>
      <c r="F60" s="5">
        <v>46149</v>
      </c>
      <c r="G60" s="8" t="s">
        <v>409</v>
      </c>
      <c r="H60" s="8" t="s">
        <v>419</v>
      </c>
      <c r="I60" s="8" t="s">
        <v>411</v>
      </c>
      <c r="J60" s="4"/>
      <c r="K60" s="64">
        <v>57</v>
      </c>
      <c r="L60" s="18" t="s">
        <v>513</v>
      </c>
      <c r="M60" s="19" t="s">
        <v>508</v>
      </c>
      <c r="N60" s="18" t="s">
        <v>304</v>
      </c>
      <c r="O60" s="18">
        <v>1</v>
      </c>
      <c r="P60" s="18" t="s">
        <v>414</v>
      </c>
      <c r="Q60" s="18" t="s">
        <v>485</v>
      </c>
      <c r="R60" s="18" t="s">
        <v>304</v>
      </c>
      <c r="S60" s="18">
        <v>2</v>
      </c>
      <c r="T60" s="18" t="str">
        <f t="shared" si="0"/>
        <v>Current</v>
      </c>
      <c r="U60" s="18" t="str">
        <f t="shared" si="1"/>
        <v>Morgan Long|Support QA Review</v>
      </c>
    </row>
    <row r="61" spans="1:21">
      <c r="A61" s="10">
        <v>46024</v>
      </c>
      <c r="B61" s="4" t="s">
        <v>43</v>
      </c>
      <c r="C61" s="4" t="s">
        <v>514</v>
      </c>
      <c r="D61" s="8">
        <v>2</v>
      </c>
      <c r="E61" s="5">
        <v>46021</v>
      </c>
      <c r="F61" s="5">
        <v>46022</v>
      </c>
      <c r="G61" s="8" t="s">
        <v>409</v>
      </c>
      <c r="H61" s="8" t="s">
        <v>410</v>
      </c>
      <c r="I61" s="8" t="s">
        <v>411</v>
      </c>
      <c r="J61" s="4"/>
      <c r="K61" s="64">
        <v>58</v>
      </c>
      <c r="L61" s="18" t="s">
        <v>515</v>
      </c>
      <c r="M61" s="19" t="s">
        <v>508</v>
      </c>
      <c r="N61" s="18" t="s">
        <v>304</v>
      </c>
      <c r="O61" s="18">
        <v>1</v>
      </c>
      <c r="P61" s="18" t="s">
        <v>414</v>
      </c>
      <c r="Q61" s="18" t="s">
        <v>516</v>
      </c>
      <c r="R61" s="18" t="s">
        <v>304</v>
      </c>
      <c r="S61" s="18"/>
      <c r="T61" s="18" t="str">
        <f t="shared" si="0"/>
        <v>Current</v>
      </c>
      <c r="U61" s="18" t="str">
        <f t="shared" si="1"/>
        <v>Morgan Long|Escalation Management</v>
      </c>
    </row>
    <row r="62" spans="1:21">
      <c r="A62" s="10">
        <v>46074</v>
      </c>
      <c r="B62" s="4" t="s">
        <v>43</v>
      </c>
      <c r="C62" s="4" t="s">
        <v>491</v>
      </c>
      <c r="D62" s="8">
        <v>2</v>
      </c>
      <c r="E62" s="5">
        <v>46071</v>
      </c>
      <c r="F62" s="5">
        <v>46073</v>
      </c>
      <c r="G62" s="8" t="s">
        <v>409</v>
      </c>
      <c r="H62" s="8" t="s">
        <v>410</v>
      </c>
      <c r="I62" s="8" t="s">
        <v>411</v>
      </c>
      <c r="J62" s="4"/>
      <c r="K62" s="64">
        <v>59</v>
      </c>
      <c r="L62" s="18" t="s">
        <v>517</v>
      </c>
      <c r="M62" s="19" t="s">
        <v>508</v>
      </c>
      <c r="N62" s="18" t="s">
        <v>304</v>
      </c>
      <c r="O62" s="18">
        <v>1</v>
      </c>
      <c r="P62" s="18" t="s">
        <v>414</v>
      </c>
      <c r="Q62" s="18" t="s">
        <v>493</v>
      </c>
      <c r="R62" s="18" t="s">
        <v>304</v>
      </c>
      <c r="S62" s="18"/>
      <c r="T62" s="18" t="str">
        <f t="shared" si="0"/>
        <v>Current</v>
      </c>
      <c r="U62" s="18" t="str">
        <f t="shared" si="1"/>
        <v>Morgan Long|Subscription &amp; Billing Support</v>
      </c>
    </row>
    <row r="63" spans="1:21">
      <c r="A63" s="10">
        <v>45951</v>
      </c>
      <c r="B63" s="4" t="s">
        <v>43</v>
      </c>
      <c r="C63" s="4" t="s">
        <v>450</v>
      </c>
      <c r="D63" s="8">
        <v>3</v>
      </c>
      <c r="E63" s="5">
        <v>45948</v>
      </c>
      <c r="F63" s="5">
        <v>45951</v>
      </c>
      <c r="G63" s="8" t="s">
        <v>409</v>
      </c>
      <c r="H63" s="8" t="s">
        <v>410</v>
      </c>
      <c r="I63" s="8" t="s">
        <v>411</v>
      </c>
      <c r="J63" s="4"/>
      <c r="K63" s="64">
        <v>60</v>
      </c>
      <c r="L63" s="18" t="s">
        <v>518</v>
      </c>
      <c r="M63" s="19" t="s">
        <v>508</v>
      </c>
      <c r="N63" s="18" t="s">
        <v>304</v>
      </c>
      <c r="O63" s="18">
        <v>1</v>
      </c>
      <c r="P63" s="18" t="s">
        <v>414</v>
      </c>
      <c r="Q63" s="18" t="s">
        <v>452</v>
      </c>
      <c r="R63" s="18" t="s">
        <v>304</v>
      </c>
      <c r="S63" s="18"/>
      <c r="T63" s="18" t="str">
        <f t="shared" si="0"/>
        <v>Current</v>
      </c>
      <c r="U63" s="18" t="str">
        <f t="shared" si="1"/>
        <v>Morgan Long|Account Access Support</v>
      </c>
    </row>
    <row r="64" spans="1:21">
      <c r="A64" s="10">
        <v>46003</v>
      </c>
      <c r="B64" s="4" t="s">
        <v>43</v>
      </c>
      <c r="C64" s="4" t="s">
        <v>422</v>
      </c>
      <c r="D64" s="8">
        <v>3</v>
      </c>
      <c r="E64" s="5">
        <v>46002</v>
      </c>
      <c r="F64" s="5">
        <v>46002</v>
      </c>
      <c r="G64" s="8" t="s">
        <v>409</v>
      </c>
      <c r="H64" s="8" t="s">
        <v>410</v>
      </c>
      <c r="I64" s="8" t="s">
        <v>411</v>
      </c>
      <c r="J64" s="4"/>
      <c r="K64" s="64">
        <v>61</v>
      </c>
      <c r="L64" s="18" t="s">
        <v>519</v>
      </c>
      <c r="M64" s="19" t="s">
        <v>508</v>
      </c>
      <c r="N64" s="18" t="s">
        <v>304</v>
      </c>
      <c r="O64" s="18">
        <v>1</v>
      </c>
      <c r="P64" s="18" t="s">
        <v>414</v>
      </c>
      <c r="Q64" s="18" t="s">
        <v>424</v>
      </c>
      <c r="R64" s="18" t="s">
        <v>304</v>
      </c>
      <c r="S64" s="18"/>
      <c r="T64" s="18" t="str">
        <f t="shared" si="0"/>
        <v>Current</v>
      </c>
      <c r="U64" s="18" t="str">
        <f t="shared" si="1"/>
        <v>Morgan Long|CRM Case Management</v>
      </c>
    </row>
    <row r="65" spans="1:21">
      <c r="A65" s="10">
        <v>45935</v>
      </c>
      <c r="B65" s="4" t="s">
        <v>43</v>
      </c>
      <c r="C65" s="4" t="s">
        <v>520</v>
      </c>
      <c r="D65" s="8">
        <v>1</v>
      </c>
      <c r="E65" s="5">
        <v>45934</v>
      </c>
      <c r="F65" s="5">
        <v>45934</v>
      </c>
      <c r="G65" s="8" t="s">
        <v>409</v>
      </c>
      <c r="H65" s="8" t="s">
        <v>410</v>
      </c>
      <c r="I65" s="8" t="s">
        <v>411</v>
      </c>
      <c r="J65" s="4"/>
      <c r="K65" s="64">
        <v>62</v>
      </c>
      <c r="L65" s="18" t="s">
        <v>521</v>
      </c>
      <c r="M65" s="19" t="s">
        <v>508</v>
      </c>
      <c r="N65" s="18" t="s">
        <v>304</v>
      </c>
      <c r="O65" s="18">
        <v>1</v>
      </c>
      <c r="P65" s="18" t="s">
        <v>414</v>
      </c>
      <c r="Q65" s="18" t="s">
        <v>522</v>
      </c>
      <c r="R65" s="18" t="s">
        <v>304</v>
      </c>
      <c r="S65" s="18"/>
      <c r="T65" s="18" t="str">
        <f t="shared" si="0"/>
        <v>Historical</v>
      </c>
      <c r="U65" s="18" t="str">
        <f t="shared" si="1"/>
        <v/>
      </c>
    </row>
    <row r="66" spans="1:21">
      <c r="A66" s="10">
        <v>46034</v>
      </c>
      <c r="B66" s="4" t="s">
        <v>43</v>
      </c>
      <c r="C66" s="4" t="s">
        <v>520</v>
      </c>
      <c r="D66" s="8">
        <v>2</v>
      </c>
      <c r="E66" s="5">
        <v>46030</v>
      </c>
      <c r="F66" s="5">
        <v>46032</v>
      </c>
      <c r="G66" s="8" t="s">
        <v>409</v>
      </c>
      <c r="H66" s="8" t="s">
        <v>419</v>
      </c>
      <c r="I66" s="8" t="s">
        <v>411</v>
      </c>
      <c r="J66" s="4"/>
      <c r="K66" s="64">
        <v>63</v>
      </c>
      <c r="L66" s="18" t="s">
        <v>523</v>
      </c>
      <c r="M66" s="19" t="s">
        <v>508</v>
      </c>
      <c r="N66" s="18" t="s">
        <v>304</v>
      </c>
      <c r="O66" s="18">
        <v>1</v>
      </c>
      <c r="P66" s="18" t="s">
        <v>414</v>
      </c>
      <c r="Q66" s="18" t="s">
        <v>522</v>
      </c>
      <c r="R66" s="18" t="s">
        <v>304</v>
      </c>
      <c r="S66" s="18">
        <v>1</v>
      </c>
      <c r="T66" s="18" t="str">
        <f t="shared" si="0"/>
        <v>Historical</v>
      </c>
      <c r="U66" s="18" t="str">
        <f t="shared" si="1"/>
        <v/>
      </c>
    </row>
    <row r="67" spans="1:21">
      <c r="A67" s="10">
        <v>46146</v>
      </c>
      <c r="B67" s="4" t="s">
        <v>43</v>
      </c>
      <c r="C67" s="4" t="s">
        <v>520</v>
      </c>
      <c r="D67" s="8">
        <v>3</v>
      </c>
      <c r="E67" s="5">
        <v>46143</v>
      </c>
      <c r="F67" s="5">
        <v>46146</v>
      </c>
      <c r="G67" s="8" t="s">
        <v>409</v>
      </c>
      <c r="H67" s="8" t="s">
        <v>419</v>
      </c>
      <c r="I67" s="8" t="s">
        <v>411</v>
      </c>
      <c r="J67" s="4"/>
      <c r="K67" s="64">
        <v>64</v>
      </c>
      <c r="L67" s="18" t="s">
        <v>524</v>
      </c>
      <c r="M67" s="19" t="s">
        <v>508</v>
      </c>
      <c r="N67" s="18" t="s">
        <v>304</v>
      </c>
      <c r="O67" s="18">
        <v>1</v>
      </c>
      <c r="P67" s="18" t="s">
        <v>414</v>
      </c>
      <c r="Q67" s="18" t="s">
        <v>522</v>
      </c>
      <c r="R67" s="18" t="s">
        <v>304</v>
      </c>
      <c r="S67" s="18">
        <v>2</v>
      </c>
      <c r="T67" s="18" t="str">
        <f t="shared" si="0"/>
        <v>Current</v>
      </c>
      <c r="U67" s="18" t="str">
        <f t="shared" si="1"/>
        <v>Morgan Long|SLA Prioritization</v>
      </c>
    </row>
    <row r="68" spans="1:21">
      <c r="A68" s="10">
        <v>46062</v>
      </c>
      <c r="B68" s="4" t="s">
        <v>43</v>
      </c>
      <c r="C68" s="4" t="s">
        <v>416</v>
      </c>
      <c r="D68" s="8">
        <v>3</v>
      </c>
      <c r="E68" s="5">
        <v>46057</v>
      </c>
      <c r="F68" s="5">
        <v>46058</v>
      </c>
      <c r="G68" s="8" t="s">
        <v>409</v>
      </c>
      <c r="H68" s="8" t="s">
        <v>410</v>
      </c>
      <c r="I68" s="8" t="s">
        <v>411</v>
      </c>
      <c r="J68" s="4"/>
      <c r="K68" s="64">
        <v>65</v>
      </c>
      <c r="L68" s="18" t="s">
        <v>525</v>
      </c>
      <c r="M68" s="19" t="s">
        <v>508</v>
      </c>
      <c r="N68" s="18" t="s">
        <v>304</v>
      </c>
      <c r="O68" s="18">
        <v>1</v>
      </c>
      <c r="P68" s="18" t="s">
        <v>414</v>
      </c>
      <c r="Q68" s="18" t="s">
        <v>418</v>
      </c>
      <c r="R68" s="18" t="s">
        <v>304</v>
      </c>
      <c r="S68" s="18"/>
      <c r="T68" s="18" t="str">
        <f t="shared" ref="T68:T131" si="2">IF(B68="","",IF(I68="Yes","Voided",IF(COUNTIFS($B$4:$B$803,B68,$C$4:$C$803,C68,$I$4:$I$803,"&lt;&gt;Yes",$K$4:$K$803,"&gt;"&amp;K68)=0,"Current","Historical")))</f>
        <v>Current</v>
      </c>
      <c r="U68" s="18" t="str">
        <f t="shared" ref="U68:U131" si="3">IF(T68="Current",B68&amp;"|"&amp;C68,"")</f>
        <v>Morgan Long|Data Privacy Handling</v>
      </c>
    </row>
    <row r="69" spans="1:21">
      <c r="A69" s="10">
        <v>45669</v>
      </c>
      <c r="B69" s="4" t="s">
        <v>43</v>
      </c>
      <c r="C69" s="4" t="s">
        <v>486</v>
      </c>
      <c r="D69" s="8">
        <v>2</v>
      </c>
      <c r="E69" s="5">
        <v>45664</v>
      </c>
      <c r="F69" s="5">
        <v>45665</v>
      </c>
      <c r="G69" s="8" t="s">
        <v>409</v>
      </c>
      <c r="H69" s="8" t="s">
        <v>410</v>
      </c>
      <c r="I69" s="8" t="s">
        <v>411</v>
      </c>
      <c r="J69" s="4"/>
      <c r="K69" s="64">
        <v>66</v>
      </c>
      <c r="L69" s="18" t="s">
        <v>526</v>
      </c>
      <c r="M69" s="19" t="s">
        <v>508</v>
      </c>
      <c r="N69" s="18" t="s">
        <v>304</v>
      </c>
      <c r="O69" s="18">
        <v>1</v>
      </c>
      <c r="P69" s="18" t="s">
        <v>414</v>
      </c>
      <c r="Q69" s="18" t="s">
        <v>488</v>
      </c>
      <c r="R69" s="18" t="s">
        <v>304</v>
      </c>
      <c r="S69" s="18"/>
      <c r="T69" s="18" t="str">
        <f t="shared" si="2"/>
        <v>Current</v>
      </c>
      <c r="U69" s="18" t="str">
        <f t="shared" si="3"/>
        <v>Morgan Long|Zendesk Queue Triage</v>
      </c>
    </row>
    <row r="70" spans="1:21">
      <c r="A70" s="10">
        <v>46006</v>
      </c>
      <c r="B70" s="4" t="s">
        <v>43</v>
      </c>
      <c r="C70" s="4" t="s">
        <v>527</v>
      </c>
      <c r="D70" s="8">
        <v>1</v>
      </c>
      <c r="E70" s="5">
        <v>46001</v>
      </c>
      <c r="F70" s="5">
        <v>46003</v>
      </c>
      <c r="G70" s="8" t="s">
        <v>409</v>
      </c>
      <c r="H70" s="8" t="s">
        <v>410</v>
      </c>
      <c r="I70" s="8" t="s">
        <v>411</v>
      </c>
      <c r="J70" s="4"/>
      <c r="K70" s="64">
        <v>67</v>
      </c>
      <c r="L70" s="18" t="s">
        <v>528</v>
      </c>
      <c r="M70" s="19" t="s">
        <v>508</v>
      </c>
      <c r="N70" s="18" t="s">
        <v>304</v>
      </c>
      <c r="O70" s="18">
        <v>1</v>
      </c>
      <c r="P70" s="18" t="s">
        <v>414</v>
      </c>
      <c r="Q70" s="18" t="s">
        <v>529</v>
      </c>
      <c r="R70" s="18" t="s">
        <v>309</v>
      </c>
      <c r="S70" s="18"/>
      <c r="T70" s="18" t="str">
        <f t="shared" si="2"/>
        <v>Historical</v>
      </c>
      <c r="U70" s="18" t="str">
        <f t="shared" si="3"/>
        <v/>
      </c>
    </row>
    <row r="71" spans="1:21">
      <c r="A71" s="10">
        <v>46106</v>
      </c>
      <c r="B71" s="4" t="s">
        <v>43</v>
      </c>
      <c r="C71" s="4" t="s">
        <v>527</v>
      </c>
      <c r="D71" s="8">
        <v>2</v>
      </c>
      <c r="E71" s="5">
        <v>46105</v>
      </c>
      <c r="F71" s="5">
        <v>46107</v>
      </c>
      <c r="G71" s="8" t="s">
        <v>409</v>
      </c>
      <c r="H71" s="8" t="s">
        <v>419</v>
      </c>
      <c r="I71" s="8" t="s">
        <v>411</v>
      </c>
      <c r="J71" s="4"/>
      <c r="K71" s="64">
        <v>68</v>
      </c>
      <c r="L71" s="18" t="s">
        <v>530</v>
      </c>
      <c r="M71" s="19" t="s">
        <v>508</v>
      </c>
      <c r="N71" s="18" t="s">
        <v>304</v>
      </c>
      <c r="O71" s="18">
        <v>1</v>
      </c>
      <c r="P71" s="18" t="s">
        <v>414</v>
      </c>
      <c r="Q71" s="18" t="s">
        <v>529</v>
      </c>
      <c r="R71" s="18" t="s">
        <v>309</v>
      </c>
      <c r="S71" s="18">
        <v>1</v>
      </c>
      <c r="T71" s="18" t="str">
        <f t="shared" si="2"/>
        <v>Current</v>
      </c>
      <c r="U71" s="18" t="str">
        <f t="shared" si="3"/>
        <v>Morgan Long|Load Balancing</v>
      </c>
    </row>
    <row r="72" spans="1:21">
      <c r="A72" s="10">
        <v>46001</v>
      </c>
      <c r="B72" s="4" t="s">
        <v>43</v>
      </c>
      <c r="C72" s="4" t="s">
        <v>531</v>
      </c>
      <c r="D72" s="8">
        <v>3</v>
      </c>
      <c r="E72" s="5">
        <v>45997</v>
      </c>
      <c r="F72" s="5">
        <v>45999</v>
      </c>
      <c r="G72" s="8" t="s">
        <v>409</v>
      </c>
      <c r="H72" s="8" t="s">
        <v>410</v>
      </c>
      <c r="I72" s="8" t="s">
        <v>411</v>
      </c>
      <c r="J72" s="4"/>
      <c r="K72" s="64">
        <v>69</v>
      </c>
      <c r="L72" s="18" t="s">
        <v>532</v>
      </c>
      <c r="M72" s="19" t="s">
        <v>508</v>
      </c>
      <c r="N72" s="18" t="s">
        <v>304</v>
      </c>
      <c r="O72" s="18">
        <v>1</v>
      </c>
      <c r="P72" s="18" t="s">
        <v>414</v>
      </c>
      <c r="Q72" s="18" t="s">
        <v>533</v>
      </c>
      <c r="R72" s="18" t="s">
        <v>213</v>
      </c>
      <c r="S72" s="18"/>
      <c r="T72" s="18" t="str">
        <f t="shared" si="2"/>
        <v>Current</v>
      </c>
      <c r="U72" s="18" t="str">
        <f t="shared" si="3"/>
        <v>Morgan Long|Security Awareness</v>
      </c>
    </row>
    <row r="73" spans="1:21">
      <c r="A73" s="10">
        <v>45996</v>
      </c>
      <c r="B73" s="4" t="s">
        <v>47</v>
      </c>
      <c r="C73" s="4" t="s">
        <v>266</v>
      </c>
      <c r="D73" s="8">
        <v>3</v>
      </c>
      <c r="E73" s="5">
        <v>45992</v>
      </c>
      <c r="F73" s="5">
        <v>45995</v>
      </c>
      <c r="G73" s="8" t="s">
        <v>409</v>
      </c>
      <c r="H73" s="8" t="s">
        <v>410</v>
      </c>
      <c r="I73" s="8" t="s">
        <v>411</v>
      </c>
      <c r="J73" s="4"/>
      <c r="K73" s="64">
        <v>70</v>
      </c>
      <c r="L73" s="18" t="s">
        <v>534</v>
      </c>
      <c r="M73" s="19" t="s">
        <v>535</v>
      </c>
      <c r="N73" s="18" t="s">
        <v>304</v>
      </c>
      <c r="O73" s="18">
        <v>2</v>
      </c>
      <c r="P73" s="18" t="s">
        <v>536</v>
      </c>
      <c r="Q73" s="18" t="s">
        <v>415</v>
      </c>
      <c r="R73" s="18" t="s">
        <v>304</v>
      </c>
      <c r="S73" s="18"/>
      <c r="T73" s="18" t="str">
        <f t="shared" si="2"/>
        <v>Current</v>
      </c>
      <c r="U73" s="18" t="str">
        <f t="shared" si="3"/>
        <v>Casey Barnes|Customer Onboarding Workflow</v>
      </c>
    </row>
    <row r="74" spans="1:21">
      <c r="A74" s="10">
        <v>46149</v>
      </c>
      <c r="B74" s="4" t="s">
        <v>47</v>
      </c>
      <c r="C74" s="4" t="s">
        <v>460</v>
      </c>
      <c r="D74" s="8">
        <v>1</v>
      </c>
      <c r="E74" s="5">
        <v>46147</v>
      </c>
      <c r="F74" s="5">
        <v>46147</v>
      </c>
      <c r="G74" s="8" t="s">
        <v>409</v>
      </c>
      <c r="H74" s="8" t="s">
        <v>410</v>
      </c>
      <c r="I74" s="8" t="s">
        <v>411</v>
      </c>
      <c r="J74" s="4"/>
      <c r="K74" s="64">
        <v>71</v>
      </c>
      <c r="L74" s="18" t="s">
        <v>537</v>
      </c>
      <c r="M74" s="19" t="s">
        <v>535</v>
      </c>
      <c r="N74" s="18" t="s">
        <v>304</v>
      </c>
      <c r="O74" s="18">
        <v>2</v>
      </c>
      <c r="P74" s="18" t="s">
        <v>536</v>
      </c>
      <c r="Q74" s="18" t="s">
        <v>462</v>
      </c>
      <c r="R74" s="18" t="s">
        <v>304</v>
      </c>
      <c r="S74" s="18"/>
      <c r="T74" s="18" t="str">
        <f t="shared" si="2"/>
        <v>Historical</v>
      </c>
      <c r="U74" s="18" t="str">
        <f t="shared" si="3"/>
        <v/>
      </c>
    </row>
    <row r="75" spans="1:21">
      <c r="A75" s="10">
        <v>46208</v>
      </c>
      <c r="B75" s="4" t="s">
        <v>47</v>
      </c>
      <c r="C75" s="4" t="s">
        <v>460</v>
      </c>
      <c r="D75" s="8">
        <v>2</v>
      </c>
      <c r="E75" s="5">
        <v>46203</v>
      </c>
      <c r="F75" s="5">
        <v>46205</v>
      </c>
      <c r="G75" s="8" t="s">
        <v>409</v>
      </c>
      <c r="H75" s="8" t="s">
        <v>419</v>
      </c>
      <c r="I75" s="8" t="s">
        <v>411</v>
      </c>
      <c r="J75" s="4"/>
      <c r="K75" s="64">
        <v>72</v>
      </c>
      <c r="L75" s="18" t="s">
        <v>538</v>
      </c>
      <c r="M75" s="19" t="s">
        <v>535</v>
      </c>
      <c r="N75" s="18" t="s">
        <v>304</v>
      </c>
      <c r="O75" s="18">
        <v>2</v>
      </c>
      <c r="P75" s="18" t="s">
        <v>536</v>
      </c>
      <c r="Q75" s="18" t="s">
        <v>462</v>
      </c>
      <c r="R75" s="18" t="s">
        <v>304</v>
      </c>
      <c r="S75" s="18">
        <v>1</v>
      </c>
      <c r="T75" s="18" t="str">
        <f t="shared" si="2"/>
        <v>Historical</v>
      </c>
      <c r="U75" s="18" t="str">
        <f t="shared" si="3"/>
        <v/>
      </c>
    </row>
    <row r="76" spans="1:21">
      <c r="A76" s="10">
        <v>46236</v>
      </c>
      <c r="B76" s="4" t="s">
        <v>47</v>
      </c>
      <c r="C76" s="4" t="s">
        <v>460</v>
      </c>
      <c r="D76" s="8">
        <v>3</v>
      </c>
      <c r="E76" s="5">
        <v>46234</v>
      </c>
      <c r="F76" s="5">
        <v>46236</v>
      </c>
      <c r="G76" s="8" t="s">
        <v>409</v>
      </c>
      <c r="H76" s="8" t="s">
        <v>419</v>
      </c>
      <c r="I76" s="8" t="s">
        <v>411</v>
      </c>
      <c r="J76" s="4"/>
      <c r="K76" s="64">
        <v>73</v>
      </c>
      <c r="L76" s="18" t="s">
        <v>539</v>
      </c>
      <c r="M76" s="19" t="s">
        <v>535</v>
      </c>
      <c r="N76" s="18" t="s">
        <v>304</v>
      </c>
      <c r="O76" s="18">
        <v>2</v>
      </c>
      <c r="P76" s="18" t="s">
        <v>536</v>
      </c>
      <c r="Q76" s="18" t="s">
        <v>462</v>
      </c>
      <c r="R76" s="18" t="s">
        <v>304</v>
      </c>
      <c r="S76" s="18">
        <v>2</v>
      </c>
      <c r="T76" s="18" t="str">
        <f t="shared" si="2"/>
        <v>Current</v>
      </c>
      <c r="U76" s="18" t="str">
        <f t="shared" si="3"/>
        <v>Casey Barnes|Knowledge Base Authoring</v>
      </c>
    </row>
    <row r="77" spans="1:21">
      <c r="A77" s="10">
        <v>45689</v>
      </c>
      <c r="B77" s="4" t="s">
        <v>47</v>
      </c>
      <c r="C77" s="4" t="s">
        <v>520</v>
      </c>
      <c r="D77" s="8">
        <v>1</v>
      </c>
      <c r="E77" s="5">
        <v>45688</v>
      </c>
      <c r="F77" s="5">
        <v>45689</v>
      </c>
      <c r="G77" s="8" t="s">
        <v>409</v>
      </c>
      <c r="H77" s="8" t="s">
        <v>410</v>
      </c>
      <c r="I77" s="8" t="s">
        <v>411</v>
      </c>
      <c r="J77" s="4"/>
      <c r="K77" s="64">
        <v>74</v>
      </c>
      <c r="L77" s="18" t="s">
        <v>540</v>
      </c>
      <c r="M77" s="19" t="s">
        <v>535</v>
      </c>
      <c r="N77" s="18" t="s">
        <v>304</v>
      </c>
      <c r="O77" s="18">
        <v>2</v>
      </c>
      <c r="P77" s="18" t="s">
        <v>536</v>
      </c>
      <c r="Q77" s="18" t="s">
        <v>522</v>
      </c>
      <c r="R77" s="18" t="s">
        <v>304</v>
      </c>
      <c r="S77" s="18"/>
      <c r="T77" s="18" t="str">
        <f t="shared" si="2"/>
        <v>Historical</v>
      </c>
      <c r="U77" s="18" t="str">
        <f t="shared" si="3"/>
        <v/>
      </c>
    </row>
    <row r="78" spans="1:21">
      <c r="A78" s="10">
        <v>45773</v>
      </c>
      <c r="B78" s="4" t="s">
        <v>47</v>
      </c>
      <c r="C78" s="4" t="s">
        <v>520</v>
      </c>
      <c r="D78" s="8">
        <v>2</v>
      </c>
      <c r="E78" s="5">
        <v>45768</v>
      </c>
      <c r="F78" s="5">
        <v>45768</v>
      </c>
      <c r="G78" s="8" t="s">
        <v>409</v>
      </c>
      <c r="H78" s="8" t="s">
        <v>419</v>
      </c>
      <c r="I78" s="8" t="s">
        <v>411</v>
      </c>
      <c r="J78" s="4"/>
      <c r="K78" s="64">
        <v>75</v>
      </c>
      <c r="L78" s="18" t="s">
        <v>541</v>
      </c>
      <c r="M78" s="19" t="s">
        <v>535</v>
      </c>
      <c r="N78" s="18" t="s">
        <v>304</v>
      </c>
      <c r="O78" s="18">
        <v>2</v>
      </c>
      <c r="P78" s="18" t="s">
        <v>536</v>
      </c>
      <c r="Q78" s="18" t="s">
        <v>522</v>
      </c>
      <c r="R78" s="18" t="s">
        <v>304</v>
      </c>
      <c r="S78" s="18">
        <v>1</v>
      </c>
      <c r="T78" s="18" t="str">
        <f t="shared" si="2"/>
        <v>Current</v>
      </c>
      <c r="U78" s="18" t="str">
        <f t="shared" si="3"/>
        <v>Casey Barnes|SLA Prioritization</v>
      </c>
    </row>
    <row r="79" spans="1:21">
      <c r="A79" s="10">
        <v>45866</v>
      </c>
      <c r="B79" s="4" t="s">
        <v>47</v>
      </c>
      <c r="C79" s="4" t="s">
        <v>416</v>
      </c>
      <c r="D79" s="8">
        <v>3</v>
      </c>
      <c r="E79" s="5">
        <v>45862</v>
      </c>
      <c r="F79" s="5">
        <v>45865</v>
      </c>
      <c r="G79" s="8" t="s">
        <v>409</v>
      </c>
      <c r="H79" s="8" t="s">
        <v>410</v>
      </c>
      <c r="I79" s="8" t="s">
        <v>411</v>
      </c>
      <c r="J79" s="4"/>
      <c r="K79" s="64">
        <v>76</v>
      </c>
      <c r="L79" s="18" t="s">
        <v>542</v>
      </c>
      <c r="M79" s="19" t="s">
        <v>535</v>
      </c>
      <c r="N79" s="18" t="s">
        <v>304</v>
      </c>
      <c r="O79" s="18">
        <v>2</v>
      </c>
      <c r="P79" s="18" t="s">
        <v>536</v>
      </c>
      <c r="Q79" s="18" t="s">
        <v>418</v>
      </c>
      <c r="R79" s="18" t="s">
        <v>304</v>
      </c>
      <c r="S79" s="18"/>
      <c r="T79" s="18" t="str">
        <f t="shared" si="2"/>
        <v>Current</v>
      </c>
      <c r="U79" s="18" t="str">
        <f t="shared" si="3"/>
        <v>Casey Barnes|Data Privacy Handling</v>
      </c>
    </row>
    <row r="80" spans="1:21">
      <c r="A80" s="10">
        <v>45669</v>
      </c>
      <c r="B80" s="4" t="s">
        <v>47</v>
      </c>
      <c r="C80" s="4" t="s">
        <v>483</v>
      </c>
      <c r="D80" s="8">
        <v>1</v>
      </c>
      <c r="E80" s="5">
        <v>45668</v>
      </c>
      <c r="F80" s="5">
        <v>45671</v>
      </c>
      <c r="G80" s="8" t="s">
        <v>409</v>
      </c>
      <c r="H80" s="8" t="s">
        <v>410</v>
      </c>
      <c r="I80" s="8" t="s">
        <v>411</v>
      </c>
      <c r="J80" s="4"/>
      <c r="K80" s="64">
        <v>77</v>
      </c>
      <c r="L80" s="18" t="s">
        <v>543</v>
      </c>
      <c r="M80" s="19" t="s">
        <v>535</v>
      </c>
      <c r="N80" s="18" t="s">
        <v>304</v>
      </c>
      <c r="O80" s="18">
        <v>2</v>
      </c>
      <c r="P80" s="18" t="s">
        <v>536</v>
      </c>
      <c r="Q80" s="18" t="s">
        <v>485</v>
      </c>
      <c r="R80" s="18" t="s">
        <v>304</v>
      </c>
      <c r="S80" s="18"/>
      <c r="T80" s="18" t="str">
        <f t="shared" si="2"/>
        <v>Historical</v>
      </c>
      <c r="U80" s="18" t="str">
        <f t="shared" si="3"/>
        <v/>
      </c>
    </row>
    <row r="81" spans="1:21">
      <c r="A81" s="10">
        <v>45718</v>
      </c>
      <c r="B81" s="4" t="s">
        <v>47</v>
      </c>
      <c r="C81" s="4" t="s">
        <v>483</v>
      </c>
      <c r="D81" s="8">
        <v>2</v>
      </c>
      <c r="E81" s="5">
        <v>45716</v>
      </c>
      <c r="F81" s="5">
        <v>45719</v>
      </c>
      <c r="G81" s="8" t="s">
        <v>409</v>
      </c>
      <c r="H81" s="8" t="s">
        <v>419</v>
      </c>
      <c r="I81" s="8" t="s">
        <v>411</v>
      </c>
      <c r="J81" s="4"/>
      <c r="K81" s="64">
        <v>78</v>
      </c>
      <c r="L81" s="18" t="s">
        <v>544</v>
      </c>
      <c r="M81" s="19" t="s">
        <v>535</v>
      </c>
      <c r="N81" s="18" t="s">
        <v>304</v>
      </c>
      <c r="O81" s="18">
        <v>2</v>
      </c>
      <c r="P81" s="18" t="s">
        <v>536</v>
      </c>
      <c r="Q81" s="18" t="s">
        <v>485</v>
      </c>
      <c r="R81" s="18" t="s">
        <v>304</v>
      </c>
      <c r="S81" s="18">
        <v>1</v>
      </c>
      <c r="T81" s="18" t="str">
        <f t="shared" si="2"/>
        <v>Current</v>
      </c>
      <c r="U81" s="18" t="str">
        <f t="shared" si="3"/>
        <v>Casey Barnes|Support QA Review</v>
      </c>
    </row>
    <row r="82" spans="1:21">
      <c r="A82" s="10">
        <v>45919</v>
      </c>
      <c r="B82" s="4" t="s">
        <v>47</v>
      </c>
      <c r="C82" s="4" t="s">
        <v>427</v>
      </c>
      <c r="D82" s="8">
        <v>1</v>
      </c>
      <c r="E82" s="5">
        <v>45918</v>
      </c>
      <c r="F82" s="5">
        <v>45921</v>
      </c>
      <c r="G82" s="8" t="s">
        <v>409</v>
      </c>
      <c r="H82" s="8" t="s">
        <v>410</v>
      </c>
      <c r="I82" s="8" t="s">
        <v>411</v>
      </c>
      <c r="J82" s="4"/>
      <c r="K82" s="64">
        <v>79</v>
      </c>
      <c r="L82" s="18" t="s">
        <v>545</v>
      </c>
      <c r="M82" s="19" t="s">
        <v>535</v>
      </c>
      <c r="N82" s="18" t="s">
        <v>304</v>
      </c>
      <c r="O82" s="18">
        <v>2</v>
      </c>
      <c r="P82" s="18" t="s">
        <v>536</v>
      </c>
      <c r="Q82" s="18" t="s">
        <v>429</v>
      </c>
      <c r="R82" s="18" t="s">
        <v>304</v>
      </c>
      <c r="S82" s="18"/>
      <c r="T82" s="18" t="str">
        <f t="shared" si="2"/>
        <v>Current</v>
      </c>
      <c r="U82" s="18" t="str">
        <f t="shared" si="3"/>
        <v>Casey Barnes|Troubleshooting Fundamentals</v>
      </c>
    </row>
    <row r="83" spans="1:21">
      <c r="A83" s="10">
        <v>46143</v>
      </c>
      <c r="B83" s="4" t="s">
        <v>47</v>
      </c>
      <c r="C83" s="4" t="s">
        <v>422</v>
      </c>
      <c r="D83" s="8">
        <v>1</v>
      </c>
      <c r="E83" s="5">
        <v>46138</v>
      </c>
      <c r="F83" s="5">
        <v>46140</v>
      </c>
      <c r="G83" s="8" t="s">
        <v>409</v>
      </c>
      <c r="H83" s="8" t="s">
        <v>410</v>
      </c>
      <c r="I83" s="8" t="s">
        <v>411</v>
      </c>
      <c r="J83" s="4"/>
      <c r="K83" s="64">
        <v>80</v>
      </c>
      <c r="L83" s="18" t="s">
        <v>546</v>
      </c>
      <c r="M83" s="19" t="s">
        <v>535</v>
      </c>
      <c r="N83" s="18" t="s">
        <v>304</v>
      </c>
      <c r="O83" s="18">
        <v>2</v>
      </c>
      <c r="P83" s="18" t="s">
        <v>536</v>
      </c>
      <c r="Q83" s="18" t="s">
        <v>424</v>
      </c>
      <c r="R83" s="18" t="s">
        <v>304</v>
      </c>
      <c r="S83" s="18"/>
      <c r="T83" s="18" t="str">
        <f t="shared" si="2"/>
        <v>Current</v>
      </c>
      <c r="U83" s="18" t="str">
        <f t="shared" si="3"/>
        <v>Casey Barnes|CRM Case Management</v>
      </c>
    </row>
    <row r="84" spans="1:21">
      <c r="A84" s="10">
        <v>46183</v>
      </c>
      <c r="B84" s="4" t="s">
        <v>47</v>
      </c>
      <c r="C84" s="4" t="s">
        <v>445</v>
      </c>
      <c r="D84" s="8">
        <v>3</v>
      </c>
      <c r="E84" s="5">
        <v>46179</v>
      </c>
      <c r="F84" s="5">
        <v>46182</v>
      </c>
      <c r="G84" s="8" t="s">
        <v>409</v>
      </c>
      <c r="H84" s="8" t="s">
        <v>410</v>
      </c>
      <c r="I84" s="8" t="s">
        <v>411</v>
      </c>
      <c r="J84" s="4"/>
      <c r="K84" s="64">
        <v>81</v>
      </c>
      <c r="L84" s="18" t="s">
        <v>547</v>
      </c>
      <c r="M84" s="19" t="s">
        <v>535</v>
      </c>
      <c r="N84" s="18" t="s">
        <v>304</v>
      </c>
      <c r="O84" s="18">
        <v>2</v>
      </c>
      <c r="P84" s="18" t="s">
        <v>536</v>
      </c>
      <c r="Q84" s="18" t="s">
        <v>447</v>
      </c>
      <c r="R84" s="18" t="s">
        <v>304</v>
      </c>
      <c r="S84" s="18"/>
      <c r="T84" s="18" t="str">
        <f t="shared" si="2"/>
        <v>Current</v>
      </c>
      <c r="U84" s="18" t="str">
        <f t="shared" si="3"/>
        <v>Casey Barnes|Support Documentation Standards</v>
      </c>
    </row>
    <row r="85" spans="1:21">
      <c r="A85" s="10">
        <v>46153</v>
      </c>
      <c r="B85" s="4" t="s">
        <v>47</v>
      </c>
      <c r="C85" s="4" t="s">
        <v>548</v>
      </c>
      <c r="D85" s="8">
        <v>3</v>
      </c>
      <c r="E85" s="5">
        <v>46149</v>
      </c>
      <c r="F85" s="5">
        <v>46151</v>
      </c>
      <c r="G85" s="8" t="s">
        <v>409</v>
      </c>
      <c r="H85" s="8" t="s">
        <v>410</v>
      </c>
      <c r="I85" s="8" t="s">
        <v>411</v>
      </c>
      <c r="J85" s="4"/>
      <c r="K85" s="64">
        <v>82</v>
      </c>
      <c r="L85" s="18" t="s">
        <v>549</v>
      </c>
      <c r="M85" s="19" t="s">
        <v>535</v>
      </c>
      <c r="N85" s="18" t="s">
        <v>304</v>
      </c>
      <c r="O85" s="18">
        <v>2</v>
      </c>
      <c r="P85" s="18" t="s">
        <v>536</v>
      </c>
      <c r="Q85" s="18" t="s">
        <v>550</v>
      </c>
      <c r="R85" s="18" t="s">
        <v>304</v>
      </c>
      <c r="S85" s="18"/>
      <c r="T85" s="18" t="str">
        <f t="shared" si="2"/>
        <v>Current</v>
      </c>
      <c r="U85" s="18" t="str">
        <f t="shared" si="3"/>
        <v>Casey Barnes|Remote Support Session</v>
      </c>
    </row>
    <row r="86" spans="1:21">
      <c r="A86" s="10">
        <v>45951</v>
      </c>
      <c r="B86" s="4" t="s">
        <v>47</v>
      </c>
      <c r="C86" s="4" t="s">
        <v>551</v>
      </c>
      <c r="D86" s="8">
        <v>3</v>
      </c>
      <c r="E86" s="5">
        <v>45946</v>
      </c>
      <c r="F86" s="5">
        <v>45949</v>
      </c>
      <c r="G86" s="8" t="s">
        <v>409</v>
      </c>
      <c r="H86" s="8" t="s">
        <v>410</v>
      </c>
      <c r="I86" s="8" t="s">
        <v>411</v>
      </c>
      <c r="J86" s="4"/>
      <c r="K86" s="64">
        <v>83</v>
      </c>
      <c r="L86" s="18" t="s">
        <v>552</v>
      </c>
      <c r="M86" s="19" t="s">
        <v>535</v>
      </c>
      <c r="N86" s="18" t="s">
        <v>304</v>
      </c>
      <c r="O86" s="18">
        <v>2</v>
      </c>
      <c r="P86" s="18" t="s">
        <v>536</v>
      </c>
      <c r="Q86" s="18" t="s">
        <v>553</v>
      </c>
      <c r="R86" s="18" t="s">
        <v>309</v>
      </c>
      <c r="S86" s="18"/>
      <c r="T86" s="18" t="str">
        <f t="shared" si="2"/>
        <v>Current</v>
      </c>
      <c r="U86" s="18" t="str">
        <f t="shared" si="3"/>
        <v>Casey Barnes|On-Call Handoff</v>
      </c>
    </row>
    <row r="87" spans="1:21">
      <c r="A87" s="10">
        <v>45745</v>
      </c>
      <c r="B87" s="4" t="s">
        <v>47</v>
      </c>
      <c r="C87" s="4" t="s">
        <v>438</v>
      </c>
      <c r="D87" s="8">
        <v>1</v>
      </c>
      <c r="E87" s="5">
        <v>45742</v>
      </c>
      <c r="F87" s="5">
        <v>45743</v>
      </c>
      <c r="G87" s="8" t="s">
        <v>409</v>
      </c>
      <c r="H87" s="8" t="s">
        <v>410</v>
      </c>
      <c r="I87" s="8" t="s">
        <v>411</v>
      </c>
      <c r="J87" s="4"/>
      <c r="K87" s="64">
        <v>84</v>
      </c>
      <c r="L87" s="18" t="s">
        <v>554</v>
      </c>
      <c r="M87" s="19" t="s">
        <v>535</v>
      </c>
      <c r="N87" s="18" t="s">
        <v>304</v>
      </c>
      <c r="O87" s="18">
        <v>2</v>
      </c>
      <c r="P87" s="18" t="s">
        <v>536</v>
      </c>
      <c r="Q87" s="18" t="s">
        <v>440</v>
      </c>
      <c r="R87" s="18" t="s">
        <v>213</v>
      </c>
      <c r="S87" s="18"/>
      <c r="T87" s="18" t="str">
        <f t="shared" si="2"/>
        <v>Historical</v>
      </c>
      <c r="U87" s="18" t="str">
        <f t="shared" si="3"/>
        <v/>
      </c>
    </row>
    <row r="88" spans="1:21">
      <c r="A88" s="10">
        <v>45799</v>
      </c>
      <c r="B88" s="4" t="s">
        <v>47</v>
      </c>
      <c r="C88" s="4" t="s">
        <v>438</v>
      </c>
      <c r="D88" s="8">
        <v>2</v>
      </c>
      <c r="E88" s="5">
        <v>45796</v>
      </c>
      <c r="F88" s="5">
        <v>45798</v>
      </c>
      <c r="G88" s="8" t="s">
        <v>409</v>
      </c>
      <c r="H88" s="8" t="s">
        <v>419</v>
      </c>
      <c r="I88" s="8" t="s">
        <v>411</v>
      </c>
      <c r="J88" s="4"/>
      <c r="K88" s="64">
        <v>85</v>
      </c>
      <c r="L88" s="18" t="s">
        <v>555</v>
      </c>
      <c r="M88" s="19" t="s">
        <v>535</v>
      </c>
      <c r="N88" s="18" t="s">
        <v>304</v>
      </c>
      <c r="O88" s="18">
        <v>2</v>
      </c>
      <c r="P88" s="18" t="s">
        <v>536</v>
      </c>
      <c r="Q88" s="18" t="s">
        <v>440</v>
      </c>
      <c r="R88" s="18" t="s">
        <v>213</v>
      </c>
      <c r="S88" s="18">
        <v>1</v>
      </c>
      <c r="T88" s="18" t="str">
        <f t="shared" si="2"/>
        <v>Historical</v>
      </c>
      <c r="U88" s="18" t="str">
        <f t="shared" si="3"/>
        <v/>
      </c>
    </row>
    <row r="89" spans="1:21">
      <c r="A89" s="10">
        <v>45886</v>
      </c>
      <c r="B89" s="4" t="s">
        <v>47</v>
      </c>
      <c r="C89" s="4" t="s">
        <v>438</v>
      </c>
      <c r="D89" s="8">
        <v>3</v>
      </c>
      <c r="E89" s="5">
        <v>45885</v>
      </c>
      <c r="F89" s="5">
        <v>45886</v>
      </c>
      <c r="G89" s="8" t="s">
        <v>409</v>
      </c>
      <c r="H89" s="8" t="s">
        <v>419</v>
      </c>
      <c r="I89" s="8" t="s">
        <v>411</v>
      </c>
      <c r="J89" s="4"/>
      <c r="K89" s="64">
        <v>86</v>
      </c>
      <c r="L89" s="18" t="s">
        <v>556</v>
      </c>
      <c r="M89" s="19" t="s">
        <v>535</v>
      </c>
      <c r="N89" s="18" t="s">
        <v>304</v>
      </c>
      <c r="O89" s="18">
        <v>2</v>
      </c>
      <c r="P89" s="18" t="s">
        <v>536</v>
      </c>
      <c r="Q89" s="18" t="s">
        <v>440</v>
      </c>
      <c r="R89" s="18" t="s">
        <v>213</v>
      </c>
      <c r="S89" s="18">
        <v>2</v>
      </c>
      <c r="T89" s="18" t="str">
        <f t="shared" si="2"/>
        <v>Current</v>
      </c>
      <c r="U89" s="18" t="str">
        <f t="shared" si="3"/>
        <v>Casey Barnes|Data Privacy &amp; Acceptable Use</v>
      </c>
    </row>
    <row r="90" spans="1:21">
      <c r="A90" s="10">
        <v>45688</v>
      </c>
      <c r="B90" s="4" t="s">
        <v>50</v>
      </c>
      <c r="C90" s="4" t="s">
        <v>454</v>
      </c>
      <c r="D90" s="8">
        <v>1</v>
      </c>
      <c r="E90" s="5">
        <v>45683</v>
      </c>
      <c r="F90" s="5">
        <v>45686</v>
      </c>
      <c r="G90" s="8" t="s">
        <v>409</v>
      </c>
      <c r="H90" s="8" t="s">
        <v>410</v>
      </c>
      <c r="I90" s="8" t="s">
        <v>411</v>
      </c>
      <c r="J90" s="4"/>
      <c r="K90" s="64">
        <v>87</v>
      </c>
      <c r="L90" s="18" t="s">
        <v>557</v>
      </c>
      <c r="M90" s="19" t="s">
        <v>558</v>
      </c>
      <c r="N90" s="18" t="s">
        <v>304</v>
      </c>
      <c r="O90" s="18">
        <v>3</v>
      </c>
      <c r="P90" s="18" t="s">
        <v>536</v>
      </c>
      <c r="Q90" s="18" t="s">
        <v>456</v>
      </c>
      <c r="R90" s="18" t="s">
        <v>304</v>
      </c>
      <c r="S90" s="18"/>
      <c r="T90" s="18" t="str">
        <f t="shared" si="2"/>
        <v>Historical</v>
      </c>
      <c r="U90" s="18" t="str">
        <f t="shared" si="3"/>
        <v/>
      </c>
    </row>
    <row r="91" spans="1:21">
      <c r="A91" s="10">
        <v>45765</v>
      </c>
      <c r="B91" s="4" t="s">
        <v>50</v>
      </c>
      <c r="C91" s="4" t="s">
        <v>454</v>
      </c>
      <c r="D91" s="8">
        <v>2</v>
      </c>
      <c r="E91" s="5">
        <v>45764</v>
      </c>
      <c r="F91" s="5">
        <v>45766</v>
      </c>
      <c r="G91" s="8" t="s">
        <v>409</v>
      </c>
      <c r="H91" s="8" t="s">
        <v>419</v>
      </c>
      <c r="I91" s="8" t="s">
        <v>411</v>
      </c>
      <c r="J91" s="4"/>
      <c r="K91" s="64">
        <v>88</v>
      </c>
      <c r="L91" s="18" t="s">
        <v>559</v>
      </c>
      <c r="M91" s="19" t="s">
        <v>558</v>
      </c>
      <c r="N91" s="18" t="s">
        <v>304</v>
      </c>
      <c r="O91" s="18">
        <v>3</v>
      </c>
      <c r="P91" s="18" t="s">
        <v>536</v>
      </c>
      <c r="Q91" s="18" t="s">
        <v>456</v>
      </c>
      <c r="R91" s="18" t="s">
        <v>304</v>
      </c>
      <c r="S91" s="18">
        <v>1</v>
      </c>
      <c r="T91" s="18" t="str">
        <f t="shared" si="2"/>
        <v>Current</v>
      </c>
      <c r="U91" s="18" t="str">
        <f t="shared" si="3"/>
        <v>Riley Rivera|Incident Communication</v>
      </c>
    </row>
    <row r="92" spans="1:21">
      <c r="A92" s="10">
        <v>46097</v>
      </c>
      <c r="B92" s="4" t="s">
        <v>50</v>
      </c>
      <c r="C92" s="4" t="s">
        <v>520</v>
      </c>
      <c r="D92" s="8">
        <v>1</v>
      </c>
      <c r="E92" s="5">
        <v>46092</v>
      </c>
      <c r="F92" s="5">
        <v>46093</v>
      </c>
      <c r="G92" s="8" t="s">
        <v>409</v>
      </c>
      <c r="H92" s="8" t="s">
        <v>410</v>
      </c>
      <c r="I92" s="8" t="s">
        <v>411</v>
      </c>
      <c r="J92" s="4"/>
      <c r="K92" s="64">
        <v>89</v>
      </c>
      <c r="L92" s="18" t="s">
        <v>560</v>
      </c>
      <c r="M92" s="19" t="s">
        <v>558</v>
      </c>
      <c r="N92" s="18" t="s">
        <v>304</v>
      </c>
      <c r="O92" s="18">
        <v>3</v>
      </c>
      <c r="P92" s="18" t="s">
        <v>536</v>
      </c>
      <c r="Q92" s="18" t="s">
        <v>522</v>
      </c>
      <c r="R92" s="18" t="s">
        <v>304</v>
      </c>
      <c r="S92" s="18"/>
      <c r="T92" s="18" t="str">
        <f t="shared" si="2"/>
        <v>Historical</v>
      </c>
      <c r="U92" s="18" t="str">
        <f t="shared" si="3"/>
        <v/>
      </c>
    </row>
    <row r="93" spans="1:21">
      <c r="A93" s="10">
        <v>46176</v>
      </c>
      <c r="B93" s="4" t="s">
        <v>50</v>
      </c>
      <c r="C93" s="4" t="s">
        <v>520</v>
      </c>
      <c r="D93" s="8">
        <v>2</v>
      </c>
      <c r="E93" s="5">
        <v>46174</v>
      </c>
      <c r="F93" s="5">
        <v>46176</v>
      </c>
      <c r="G93" s="8" t="s">
        <v>409</v>
      </c>
      <c r="H93" s="8" t="s">
        <v>419</v>
      </c>
      <c r="I93" s="8" t="s">
        <v>411</v>
      </c>
      <c r="J93" s="4"/>
      <c r="K93" s="64">
        <v>90</v>
      </c>
      <c r="L93" s="18" t="s">
        <v>561</v>
      </c>
      <c r="M93" s="19" t="s">
        <v>558</v>
      </c>
      <c r="N93" s="18" t="s">
        <v>304</v>
      </c>
      <c r="O93" s="18">
        <v>3</v>
      </c>
      <c r="P93" s="18" t="s">
        <v>536</v>
      </c>
      <c r="Q93" s="18" t="s">
        <v>522</v>
      </c>
      <c r="R93" s="18" t="s">
        <v>304</v>
      </c>
      <c r="S93" s="18">
        <v>1</v>
      </c>
      <c r="T93" s="18" t="str">
        <f t="shared" si="2"/>
        <v>Current</v>
      </c>
      <c r="U93" s="18" t="str">
        <f t="shared" si="3"/>
        <v>Riley Rivera|SLA Prioritization</v>
      </c>
    </row>
    <row r="94" spans="1:21">
      <c r="A94" s="10">
        <v>46011</v>
      </c>
      <c r="B94" s="4" t="s">
        <v>50</v>
      </c>
      <c r="C94" s="4" t="s">
        <v>548</v>
      </c>
      <c r="D94" s="8">
        <v>1</v>
      </c>
      <c r="E94" s="5">
        <v>46007</v>
      </c>
      <c r="F94" s="5">
        <v>46008</v>
      </c>
      <c r="G94" s="8" t="s">
        <v>409</v>
      </c>
      <c r="H94" s="8" t="s">
        <v>410</v>
      </c>
      <c r="I94" s="8" t="s">
        <v>411</v>
      </c>
      <c r="J94" s="4"/>
      <c r="K94" s="64">
        <v>91</v>
      </c>
      <c r="L94" s="18" t="s">
        <v>562</v>
      </c>
      <c r="M94" s="19" t="s">
        <v>558</v>
      </c>
      <c r="N94" s="18" t="s">
        <v>304</v>
      </c>
      <c r="O94" s="18">
        <v>3</v>
      </c>
      <c r="P94" s="18" t="s">
        <v>536</v>
      </c>
      <c r="Q94" s="18" t="s">
        <v>550</v>
      </c>
      <c r="R94" s="18" t="s">
        <v>304</v>
      </c>
      <c r="S94" s="18"/>
      <c r="T94" s="18" t="str">
        <f t="shared" si="2"/>
        <v>Historical</v>
      </c>
      <c r="U94" s="18" t="str">
        <f t="shared" si="3"/>
        <v/>
      </c>
    </row>
    <row r="95" spans="1:21">
      <c r="A95" s="10">
        <v>46088</v>
      </c>
      <c r="B95" s="4" t="s">
        <v>50</v>
      </c>
      <c r="C95" s="4" t="s">
        <v>548</v>
      </c>
      <c r="D95" s="8">
        <v>2</v>
      </c>
      <c r="E95" s="5">
        <v>46086</v>
      </c>
      <c r="F95" s="5">
        <v>46086</v>
      </c>
      <c r="G95" s="8" t="s">
        <v>409</v>
      </c>
      <c r="H95" s="8" t="s">
        <v>419</v>
      </c>
      <c r="I95" s="8" t="s">
        <v>411</v>
      </c>
      <c r="J95" s="4"/>
      <c r="K95" s="64">
        <v>92</v>
      </c>
      <c r="L95" s="18" t="s">
        <v>563</v>
      </c>
      <c r="M95" s="19" t="s">
        <v>558</v>
      </c>
      <c r="N95" s="18" t="s">
        <v>304</v>
      </c>
      <c r="O95" s="18">
        <v>3</v>
      </c>
      <c r="P95" s="18" t="s">
        <v>536</v>
      </c>
      <c r="Q95" s="18" t="s">
        <v>550</v>
      </c>
      <c r="R95" s="18" t="s">
        <v>304</v>
      </c>
      <c r="S95" s="18">
        <v>1</v>
      </c>
      <c r="T95" s="18" t="str">
        <f t="shared" si="2"/>
        <v>Current</v>
      </c>
      <c r="U95" s="18" t="str">
        <f t="shared" si="3"/>
        <v>Riley Rivera|Remote Support Session</v>
      </c>
    </row>
    <row r="96" spans="1:21">
      <c r="A96" s="10">
        <v>45691</v>
      </c>
      <c r="B96" s="4" t="s">
        <v>50</v>
      </c>
      <c r="C96" s="4" t="s">
        <v>422</v>
      </c>
      <c r="D96" s="8">
        <v>3</v>
      </c>
      <c r="E96" s="5">
        <v>45690</v>
      </c>
      <c r="F96" s="5">
        <v>45693</v>
      </c>
      <c r="G96" s="8" t="s">
        <v>409</v>
      </c>
      <c r="H96" s="8" t="s">
        <v>410</v>
      </c>
      <c r="I96" s="8" t="s">
        <v>411</v>
      </c>
      <c r="J96" s="4"/>
      <c r="K96" s="64">
        <v>93</v>
      </c>
      <c r="L96" s="18" t="s">
        <v>564</v>
      </c>
      <c r="M96" s="19" t="s">
        <v>558</v>
      </c>
      <c r="N96" s="18" t="s">
        <v>304</v>
      </c>
      <c r="O96" s="18">
        <v>3</v>
      </c>
      <c r="P96" s="18" t="s">
        <v>536</v>
      </c>
      <c r="Q96" s="18" t="s">
        <v>424</v>
      </c>
      <c r="R96" s="18" t="s">
        <v>304</v>
      </c>
      <c r="S96" s="18"/>
      <c r="T96" s="18" t="str">
        <f t="shared" si="2"/>
        <v>Current</v>
      </c>
      <c r="U96" s="18" t="str">
        <f t="shared" si="3"/>
        <v>Riley Rivera|CRM Case Management</v>
      </c>
    </row>
    <row r="97" spans="1:21">
      <c r="A97" s="10">
        <v>46137</v>
      </c>
      <c r="B97" s="4" t="s">
        <v>50</v>
      </c>
      <c r="C97" s="4" t="s">
        <v>483</v>
      </c>
      <c r="D97" s="8">
        <v>1</v>
      </c>
      <c r="E97" s="5">
        <v>46135</v>
      </c>
      <c r="F97" s="5">
        <v>46135</v>
      </c>
      <c r="G97" s="8" t="s">
        <v>409</v>
      </c>
      <c r="H97" s="8" t="s">
        <v>410</v>
      </c>
      <c r="I97" s="8" t="s">
        <v>411</v>
      </c>
      <c r="J97" s="4"/>
      <c r="K97" s="64">
        <v>94</v>
      </c>
      <c r="L97" s="18" t="s">
        <v>565</v>
      </c>
      <c r="M97" s="19" t="s">
        <v>558</v>
      </c>
      <c r="N97" s="18" t="s">
        <v>304</v>
      </c>
      <c r="O97" s="18">
        <v>3</v>
      </c>
      <c r="P97" s="18" t="s">
        <v>536</v>
      </c>
      <c r="Q97" s="18" t="s">
        <v>485</v>
      </c>
      <c r="R97" s="18" t="s">
        <v>304</v>
      </c>
      <c r="S97" s="18"/>
      <c r="T97" s="18" t="str">
        <f t="shared" si="2"/>
        <v>Current</v>
      </c>
      <c r="U97" s="18" t="str">
        <f t="shared" si="3"/>
        <v>Riley Rivera|Support QA Review</v>
      </c>
    </row>
    <row r="98" spans="1:21">
      <c r="A98" s="10">
        <v>46131</v>
      </c>
      <c r="B98" s="4" t="s">
        <v>50</v>
      </c>
      <c r="C98" s="4" t="s">
        <v>460</v>
      </c>
      <c r="D98" s="8">
        <v>1</v>
      </c>
      <c r="E98" s="5">
        <v>46128</v>
      </c>
      <c r="F98" s="5">
        <v>46130</v>
      </c>
      <c r="G98" s="8" t="s">
        <v>409</v>
      </c>
      <c r="H98" s="8" t="s">
        <v>410</v>
      </c>
      <c r="I98" s="8" t="s">
        <v>411</v>
      </c>
      <c r="J98" s="4"/>
      <c r="K98" s="64">
        <v>95</v>
      </c>
      <c r="L98" s="18" t="s">
        <v>566</v>
      </c>
      <c r="M98" s="19" t="s">
        <v>558</v>
      </c>
      <c r="N98" s="18" t="s">
        <v>304</v>
      </c>
      <c r="O98" s="18">
        <v>3</v>
      </c>
      <c r="P98" s="18" t="s">
        <v>536</v>
      </c>
      <c r="Q98" s="18" t="s">
        <v>462</v>
      </c>
      <c r="R98" s="18" t="s">
        <v>304</v>
      </c>
      <c r="S98" s="18"/>
      <c r="T98" s="18" t="str">
        <f t="shared" si="2"/>
        <v>Historical</v>
      </c>
      <c r="U98" s="18" t="str">
        <f t="shared" si="3"/>
        <v/>
      </c>
    </row>
    <row r="99" spans="1:21">
      <c r="A99" s="10">
        <v>46249</v>
      </c>
      <c r="B99" s="4" t="s">
        <v>50</v>
      </c>
      <c r="C99" s="4" t="s">
        <v>460</v>
      </c>
      <c r="D99" s="8">
        <v>2</v>
      </c>
      <c r="E99" s="5">
        <v>46245</v>
      </c>
      <c r="F99" s="5">
        <v>46247</v>
      </c>
      <c r="G99" s="8" t="s">
        <v>409</v>
      </c>
      <c r="H99" s="8" t="s">
        <v>419</v>
      </c>
      <c r="I99" s="8" t="s">
        <v>411</v>
      </c>
      <c r="J99" s="4"/>
      <c r="K99" s="64">
        <v>96</v>
      </c>
      <c r="L99" s="18" t="s">
        <v>567</v>
      </c>
      <c r="M99" s="19" t="s">
        <v>558</v>
      </c>
      <c r="N99" s="18" t="s">
        <v>304</v>
      </c>
      <c r="O99" s="18">
        <v>3</v>
      </c>
      <c r="P99" s="18" t="s">
        <v>536</v>
      </c>
      <c r="Q99" s="18" t="s">
        <v>462</v>
      </c>
      <c r="R99" s="18" t="s">
        <v>304</v>
      </c>
      <c r="S99" s="18">
        <v>1</v>
      </c>
      <c r="T99" s="18" t="str">
        <f t="shared" si="2"/>
        <v>Current</v>
      </c>
      <c r="U99" s="18" t="str">
        <f t="shared" si="3"/>
        <v>Riley Rivera|Knowledge Base Authoring</v>
      </c>
    </row>
    <row r="100" spans="1:21">
      <c r="A100" s="10">
        <v>45922</v>
      </c>
      <c r="B100" s="4" t="s">
        <v>50</v>
      </c>
      <c r="C100" s="4" t="s">
        <v>568</v>
      </c>
      <c r="D100" s="8">
        <v>3</v>
      </c>
      <c r="E100" s="5">
        <v>45921</v>
      </c>
      <c r="F100" s="5">
        <v>45924</v>
      </c>
      <c r="G100" s="8" t="s">
        <v>409</v>
      </c>
      <c r="H100" s="8" t="s">
        <v>410</v>
      </c>
      <c r="I100" s="8" t="s">
        <v>411</v>
      </c>
      <c r="J100" s="4"/>
      <c r="K100" s="64">
        <v>97</v>
      </c>
      <c r="L100" s="18" t="s">
        <v>569</v>
      </c>
      <c r="M100" s="19" t="s">
        <v>558</v>
      </c>
      <c r="N100" s="18" t="s">
        <v>304</v>
      </c>
      <c r="O100" s="18">
        <v>3</v>
      </c>
      <c r="P100" s="18" t="s">
        <v>536</v>
      </c>
      <c r="Q100" s="18" t="s">
        <v>570</v>
      </c>
      <c r="R100" s="18" t="s">
        <v>309</v>
      </c>
      <c r="S100" s="18"/>
      <c r="T100" s="18" t="str">
        <f t="shared" si="2"/>
        <v>Current</v>
      </c>
      <c r="U100" s="18" t="str">
        <f t="shared" si="3"/>
        <v>Riley Rivera|Kubernetes Operations</v>
      </c>
    </row>
    <row r="101" spans="1:21">
      <c r="A101" s="10">
        <v>46216</v>
      </c>
      <c r="B101" s="4" t="s">
        <v>50</v>
      </c>
      <c r="C101" s="4" t="s">
        <v>571</v>
      </c>
      <c r="D101" s="8">
        <v>1</v>
      </c>
      <c r="E101" s="5">
        <v>46215</v>
      </c>
      <c r="F101" s="5">
        <v>46217</v>
      </c>
      <c r="G101" s="8" t="s">
        <v>409</v>
      </c>
      <c r="H101" s="8" t="s">
        <v>410</v>
      </c>
      <c r="I101" s="8" t="s">
        <v>411</v>
      </c>
      <c r="J101" s="4"/>
      <c r="K101" s="64">
        <v>98</v>
      </c>
      <c r="L101" s="18" t="s">
        <v>572</v>
      </c>
      <c r="M101" s="19" t="s">
        <v>558</v>
      </c>
      <c r="N101" s="18" t="s">
        <v>304</v>
      </c>
      <c r="O101" s="18">
        <v>3</v>
      </c>
      <c r="P101" s="18" t="s">
        <v>536</v>
      </c>
      <c r="Q101" s="18" t="s">
        <v>573</v>
      </c>
      <c r="R101" s="18" t="s">
        <v>311</v>
      </c>
      <c r="S101" s="18"/>
      <c r="T101" s="18" t="str">
        <f t="shared" si="2"/>
        <v>Current</v>
      </c>
      <c r="U101" s="18" t="str">
        <f t="shared" si="3"/>
        <v>Riley Rivera|Identity Threat Detection</v>
      </c>
    </row>
    <row r="102" spans="1:21">
      <c r="A102" s="10">
        <v>45705</v>
      </c>
      <c r="B102" s="4" t="s">
        <v>50</v>
      </c>
      <c r="C102" s="4" t="s">
        <v>531</v>
      </c>
      <c r="D102" s="8">
        <v>1</v>
      </c>
      <c r="E102" s="5">
        <v>45704</v>
      </c>
      <c r="F102" s="5">
        <v>45705</v>
      </c>
      <c r="G102" s="8" t="s">
        <v>409</v>
      </c>
      <c r="H102" s="8" t="s">
        <v>410</v>
      </c>
      <c r="I102" s="8" t="s">
        <v>411</v>
      </c>
      <c r="J102" s="4"/>
      <c r="K102" s="64">
        <v>99</v>
      </c>
      <c r="L102" s="18" t="s">
        <v>574</v>
      </c>
      <c r="M102" s="19" t="s">
        <v>558</v>
      </c>
      <c r="N102" s="18" t="s">
        <v>304</v>
      </c>
      <c r="O102" s="18">
        <v>3</v>
      </c>
      <c r="P102" s="18" t="s">
        <v>536</v>
      </c>
      <c r="Q102" s="18" t="s">
        <v>533</v>
      </c>
      <c r="R102" s="18" t="s">
        <v>213</v>
      </c>
      <c r="S102" s="18"/>
      <c r="T102" s="18" t="str">
        <f t="shared" si="2"/>
        <v>Historical</v>
      </c>
      <c r="U102" s="18" t="str">
        <f t="shared" si="3"/>
        <v/>
      </c>
    </row>
    <row r="103" spans="1:21">
      <c r="A103" s="10">
        <v>45750</v>
      </c>
      <c r="B103" s="4" t="s">
        <v>50</v>
      </c>
      <c r="C103" s="4" t="s">
        <v>531</v>
      </c>
      <c r="D103" s="8">
        <v>2</v>
      </c>
      <c r="E103" s="5">
        <v>45749</v>
      </c>
      <c r="F103" s="5">
        <v>45750</v>
      </c>
      <c r="G103" s="8" t="s">
        <v>409</v>
      </c>
      <c r="H103" s="8" t="s">
        <v>419</v>
      </c>
      <c r="I103" s="8" t="s">
        <v>411</v>
      </c>
      <c r="J103" s="4"/>
      <c r="K103" s="64">
        <v>100</v>
      </c>
      <c r="L103" s="18" t="s">
        <v>575</v>
      </c>
      <c r="M103" s="19" t="s">
        <v>558</v>
      </c>
      <c r="N103" s="18" t="s">
        <v>304</v>
      </c>
      <c r="O103" s="18">
        <v>3</v>
      </c>
      <c r="P103" s="18" t="s">
        <v>536</v>
      </c>
      <c r="Q103" s="18" t="s">
        <v>533</v>
      </c>
      <c r="R103" s="18" t="s">
        <v>213</v>
      </c>
      <c r="S103" s="18">
        <v>1</v>
      </c>
      <c r="T103" s="18" t="str">
        <f t="shared" si="2"/>
        <v>Current</v>
      </c>
      <c r="U103" s="18" t="str">
        <f t="shared" si="3"/>
        <v>Riley Rivera|Security Awareness</v>
      </c>
    </row>
    <row r="104" spans="1:21">
      <c r="A104" s="10">
        <v>45833</v>
      </c>
      <c r="B104" s="4" t="s">
        <v>57</v>
      </c>
      <c r="C104" s="4" t="s">
        <v>576</v>
      </c>
      <c r="D104" s="8">
        <v>3</v>
      </c>
      <c r="E104" s="5">
        <v>45830</v>
      </c>
      <c r="F104" s="5">
        <v>45830</v>
      </c>
      <c r="G104" s="8" t="s">
        <v>577</v>
      </c>
      <c r="H104" s="8" t="s">
        <v>410</v>
      </c>
      <c r="I104" s="8" t="s">
        <v>411</v>
      </c>
      <c r="J104" s="4"/>
      <c r="K104" s="64">
        <v>101</v>
      </c>
      <c r="L104" s="18" t="s">
        <v>578</v>
      </c>
      <c r="M104" s="19" t="s">
        <v>579</v>
      </c>
      <c r="N104" s="18" t="s">
        <v>305</v>
      </c>
      <c r="O104" s="18">
        <v>1</v>
      </c>
      <c r="P104" s="18" t="s">
        <v>580</v>
      </c>
      <c r="Q104" s="18" t="s">
        <v>581</v>
      </c>
      <c r="R104" s="18" t="s">
        <v>305</v>
      </c>
      <c r="S104" s="18"/>
      <c r="T104" s="18" t="str">
        <f t="shared" si="2"/>
        <v>Current</v>
      </c>
      <c r="U104" s="18" t="str">
        <f t="shared" si="3"/>
        <v>Cameron Turner|Identity Provisioning</v>
      </c>
    </row>
    <row r="105" spans="1:21">
      <c r="A105" s="10">
        <v>46051</v>
      </c>
      <c r="B105" s="4" t="s">
        <v>57</v>
      </c>
      <c r="C105" s="4" t="s">
        <v>497</v>
      </c>
      <c r="D105" s="8">
        <v>3</v>
      </c>
      <c r="E105" s="5">
        <v>46047</v>
      </c>
      <c r="F105" s="5">
        <v>46048</v>
      </c>
      <c r="G105" s="8" t="s">
        <v>577</v>
      </c>
      <c r="H105" s="8" t="s">
        <v>410</v>
      </c>
      <c r="I105" s="8" t="s">
        <v>411</v>
      </c>
      <c r="J105" s="4"/>
      <c r="K105" s="64">
        <v>102</v>
      </c>
      <c r="L105" s="18" t="s">
        <v>582</v>
      </c>
      <c r="M105" s="19" t="s">
        <v>579</v>
      </c>
      <c r="N105" s="18" t="s">
        <v>305</v>
      </c>
      <c r="O105" s="18">
        <v>1</v>
      </c>
      <c r="P105" s="18" t="s">
        <v>580</v>
      </c>
      <c r="Q105" s="18" t="s">
        <v>499</v>
      </c>
      <c r="R105" s="18" t="s">
        <v>305</v>
      </c>
      <c r="S105" s="18"/>
      <c r="T105" s="18" t="str">
        <f t="shared" si="2"/>
        <v>Current</v>
      </c>
      <c r="U105" s="18" t="str">
        <f t="shared" si="3"/>
        <v>Cameron Turner|CI/CD Pipeline Operations</v>
      </c>
    </row>
    <row r="106" spans="1:21">
      <c r="A106" s="10">
        <v>45912</v>
      </c>
      <c r="B106" s="4" t="s">
        <v>57</v>
      </c>
      <c r="C106" s="4" t="s">
        <v>583</v>
      </c>
      <c r="D106" s="8">
        <v>1</v>
      </c>
      <c r="E106" s="5">
        <v>45911</v>
      </c>
      <c r="F106" s="5">
        <v>45913</v>
      </c>
      <c r="G106" s="8" t="s">
        <v>577</v>
      </c>
      <c r="H106" s="8" t="s">
        <v>410</v>
      </c>
      <c r="I106" s="8" t="s">
        <v>411</v>
      </c>
      <c r="J106" s="4"/>
      <c r="K106" s="64">
        <v>103</v>
      </c>
      <c r="L106" s="18" t="s">
        <v>584</v>
      </c>
      <c r="M106" s="19" t="s">
        <v>579</v>
      </c>
      <c r="N106" s="18" t="s">
        <v>305</v>
      </c>
      <c r="O106" s="18">
        <v>1</v>
      </c>
      <c r="P106" s="18" t="s">
        <v>580</v>
      </c>
      <c r="Q106" s="18" t="s">
        <v>585</v>
      </c>
      <c r="R106" s="18" t="s">
        <v>305</v>
      </c>
      <c r="S106" s="18"/>
      <c r="T106" s="18" t="str">
        <f t="shared" si="2"/>
        <v>Current</v>
      </c>
      <c r="U106" s="18" t="str">
        <f t="shared" si="3"/>
        <v>Cameron Turner|Log Analysis</v>
      </c>
    </row>
    <row r="107" spans="1:21">
      <c r="A107" s="10">
        <v>45791</v>
      </c>
      <c r="B107" s="4" t="s">
        <v>57</v>
      </c>
      <c r="C107" s="4" t="s">
        <v>586</v>
      </c>
      <c r="D107" s="8">
        <v>3</v>
      </c>
      <c r="E107" s="5">
        <v>45786</v>
      </c>
      <c r="F107" s="5">
        <v>45786</v>
      </c>
      <c r="G107" s="8" t="s">
        <v>577</v>
      </c>
      <c r="H107" s="8" t="s">
        <v>410</v>
      </c>
      <c r="I107" s="8" t="s">
        <v>411</v>
      </c>
      <c r="J107" s="4"/>
      <c r="K107" s="64">
        <v>104</v>
      </c>
      <c r="L107" s="18" t="s">
        <v>587</v>
      </c>
      <c r="M107" s="19" t="s">
        <v>579</v>
      </c>
      <c r="N107" s="18" t="s">
        <v>305</v>
      </c>
      <c r="O107" s="18">
        <v>1</v>
      </c>
      <c r="P107" s="18" t="s">
        <v>580</v>
      </c>
      <c r="Q107" s="18" t="s">
        <v>588</v>
      </c>
      <c r="R107" s="18" t="s">
        <v>305</v>
      </c>
      <c r="S107" s="18"/>
      <c r="T107" s="18" t="str">
        <f t="shared" si="2"/>
        <v>Current</v>
      </c>
      <c r="U107" s="18" t="str">
        <f t="shared" si="3"/>
        <v>Cameron Turner|Windows Server Administration</v>
      </c>
    </row>
    <row r="108" spans="1:21">
      <c r="A108" s="10">
        <v>46043</v>
      </c>
      <c r="B108" s="4" t="s">
        <v>57</v>
      </c>
      <c r="C108" s="4" t="s">
        <v>589</v>
      </c>
      <c r="D108" s="8">
        <v>1</v>
      </c>
      <c r="E108" s="5">
        <v>46042</v>
      </c>
      <c r="F108" s="5">
        <v>46044</v>
      </c>
      <c r="G108" s="8" t="s">
        <v>577</v>
      </c>
      <c r="H108" s="8" t="s">
        <v>410</v>
      </c>
      <c r="I108" s="8" t="s">
        <v>411</v>
      </c>
      <c r="J108" s="4"/>
      <c r="K108" s="64">
        <v>105</v>
      </c>
      <c r="L108" s="18" t="s">
        <v>590</v>
      </c>
      <c r="M108" s="19" t="s">
        <v>579</v>
      </c>
      <c r="N108" s="18" t="s">
        <v>305</v>
      </c>
      <c r="O108" s="18">
        <v>1</v>
      </c>
      <c r="P108" s="18" t="s">
        <v>580</v>
      </c>
      <c r="Q108" s="18" t="s">
        <v>591</v>
      </c>
      <c r="R108" s="18" t="s">
        <v>305</v>
      </c>
      <c r="S108" s="18"/>
      <c r="T108" s="18" t="str">
        <f t="shared" si="2"/>
        <v>Historical</v>
      </c>
      <c r="U108" s="18" t="str">
        <f t="shared" si="3"/>
        <v/>
      </c>
    </row>
    <row r="109" spans="1:21">
      <c r="A109" s="10">
        <v>46067</v>
      </c>
      <c r="B109" s="4" t="s">
        <v>57</v>
      </c>
      <c r="C109" s="4" t="s">
        <v>589</v>
      </c>
      <c r="D109" s="8">
        <v>2</v>
      </c>
      <c r="E109" s="5">
        <v>46063</v>
      </c>
      <c r="F109" s="5">
        <v>46066</v>
      </c>
      <c r="G109" s="8" t="s">
        <v>577</v>
      </c>
      <c r="H109" s="8" t="s">
        <v>419</v>
      </c>
      <c r="I109" s="8" t="s">
        <v>411</v>
      </c>
      <c r="J109" s="4"/>
      <c r="K109" s="64">
        <v>106</v>
      </c>
      <c r="L109" s="18" t="s">
        <v>592</v>
      </c>
      <c r="M109" s="19" t="s">
        <v>579</v>
      </c>
      <c r="N109" s="18" t="s">
        <v>305</v>
      </c>
      <c r="O109" s="18">
        <v>1</v>
      </c>
      <c r="P109" s="18" t="s">
        <v>580</v>
      </c>
      <c r="Q109" s="18" t="s">
        <v>591</v>
      </c>
      <c r="R109" s="18" t="s">
        <v>305</v>
      </c>
      <c r="S109" s="18">
        <v>1</v>
      </c>
      <c r="T109" s="18" t="str">
        <f t="shared" si="2"/>
        <v>Current</v>
      </c>
      <c r="U109" s="18" t="str">
        <f t="shared" si="3"/>
        <v>Cameron Turner|Monitoring &amp; Alerting</v>
      </c>
    </row>
    <row r="110" spans="1:21">
      <c r="A110" s="10">
        <v>46037</v>
      </c>
      <c r="B110" s="4" t="s">
        <v>57</v>
      </c>
      <c r="C110" s="4" t="s">
        <v>593</v>
      </c>
      <c r="D110" s="8">
        <v>1</v>
      </c>
      <c r="E110" s="5">
        <v>46033</v>
      </c>
      <c r="F110" s="5">
        <v>46034</v>
      </c>
      <c r="G110" s="8" t="s">
        <v>577</v>
      </c>
      <c r="H110" s="8" t="s">
        <v>410</v>
      </c>
      <c r="I110" s="8" t="s">
        <v>411</v>
      </c>
      <c r="J110" s="4"/>
      <c r="K110" s="64">
        <v>107</v>
      </c>
      <c r="L110" s="18" t="s">
        <v>594</v>
      </c>
      <c r="M110" s="19" t="s">
        <v>579</v>
      </c>
      <c r="N110" s="18" t="s">
        <v>305</v>
      </c>
      <c r="O110" s="18">
        <v>1</v>
      </c>
      <c r="P110" s="18" t="s">
        <v>580</v>
      </c>
      <c r="Q110" s="18" t="s">
        <v>595</v>
      </c>
      <c r="R110" s="18" t="s">
        <v>305</v>
      </c>
      <c r="S110" s="18"/>
      <c r="T110" s="18" t="str">
        <f t="shared" si="2"/>
        <v>Current</v>
      </c>
      <c r="U110" s="18" t="str">
        <f t="shared" si="3"/>
        <v>Cameron Turner|SSO Configuration</v>
      </c>
    </row>
    <row r="111" spans="1:21">
      <c r="A111" s="10">
        <v>45944</v>
      </c>
      <c r="B111" s="4" t="s">
        <v>57</v>
      </c>
      <c r="C111" s="4" t="s">
        <v>527</v>
      </c>
      <c r="D111" s="8">
        <v>2</v>
      </c>
      <c r="E111" s="5">
        <v>45939</v>
      </c>
      <c r="F111" s="5">
        <v>45942</v>
      </c>
      <c r="G111" s="8" t="s">
        <v>577</v>
      </c>
      <c r="H111" s="8" t="s">
        <v>410</v>
      </c>
      <c r="I111" s="8" t="s">
        <v>411</v>
      </c>
      <c r="J111" s="4"/>
      <c r="K111" s="64">
        <v>108</v>
      </c>
      <c r="L111" s="18" t="s">
        <v>596</v>
      </c>
      <c r="M111" s="19" t="s">
        <v>579</v>
      </c>
      <c r="N111" s="18" t="s">
        <v>305</v>
      </c>
      <c r="O111" s="18">
        <v>1</v>
      </c>
      <c r="P111" s="18" t="s">
        <v>580</v>
      </c>
      <c r="Q111" s="18" t="s">
        <v>529</v>
      </c>
      <c r="R111" s="18" t="s">
        <v>309</v>
      </c>
      <c r="S111" s="18"/>
      <c r="T111" s="18" t="str">
        <f t="shared" si="2"/>
        <v>Current</v>
      </c>
      <c r="U111" s="18" t="str">
        <f t="shared" si="3"/>
        <v>Cameron Turner|Load Balancing</v>
      </c>
    </row>
    <row r="112" spans="1:21">
      <c r="A112" s="10">
        <v>45940</v>
      </c>
      <c r="B112" s="4" t="s">
        <v>57</v>
      </c>
      <c r="C112" s="4" t="s">
        <v>597</v>
      </c>
      <c r="D112" s="8">
        <v>3</v>
      </c>
      <c r="E112" s="5">
        <v>45937</v>
      </c>
      <c r="F112" s="5">
        <v>45938</v>
      </c>
      <c r="G112" s="8" t="s">
        <v>577</v>
      </c>
      <c r="H112" s="8" t="s">
        <v>410</v>
      </c>
      <c r="I112" s="8" t="s">
        <v>411</v>
      </c>
      <c r="J112" s="4"/>
      <c r="K112" s="64">
        <v>109</v>
      </c>
      <c r="L112" s="18" t="s">
        <v>598</v>
      </c>
      <c r="M112" s="19" t="s">
        <v>579</v>
      </c>
      <c r="N112" s="18" t="s">
        <v>305</v>
      </c>
      <c r="O112" s="18">
        <v>1</v>
      </c>
      <c r="P112" s="18" t="s">
        <v>580</v>
      </c>
      <c r="Q112" s="18" t="s">
        <v>599</v>
      </c>
      <c r="R112" s="18" t="s">
        <v>306</v>
      </c>
      <c r="S112" s="18"/>
      <c r="T112" s="18" t="str">
        <f t="shared" si="2"/>
        <v>Current</v>
      </c>
      <c r="U112" s="18" t="str">
        <f t="shared" si="3"/>
        <v>Cameron Turner|Feature Flag Management</v>
      </c>
    </row>
    <row r="113" spans="1:21">
      <c r="A113" s="10">
        <v>46126</v>
      </c>
      <c r="B113" s="4" t="s">
        <v>57</v>
      </c>
      <c r="C113" s="4" t="s">
        <v>468</v>
      </c>
      <c r="D113" s="8">
        <v>1</v>
      </c>
      <c r="E113" s="5">
        <v>46124</v>
      </c>
      <c r="F113" s="5">
        <v>46127</v>
      </c>
      <c r="G113" s="8" t="s">
        <v>577</v>
      </c>
      <c r="H113" s="8" t="s">
        <v>410</v>
      </c>
      <c r="I113" s="8" t="s">
        <v>411</v>
      </c>
      <c r="J113" s="4"/>
      <c r="K113" s="64">
        <v>110</v>
      </c>
      <c r="L113" s="18" t="s">
        <v>600</v>
      </c>
      <c r="M113" s="19" t="s">
        <v>579</v>
      </c>
      <c r="N113" s="18" t="s">
        <v>305</v>
      </c>
      <c r="O113" s="18">
        <v>1</v>
      </c>
      <c r="P113" s="18" t="s">
        <v>580</v>
      </c>
      <c r="Q113" s="18" t="s">
        <v>470</v>
      </c>
      <c r="R113" s="18" t="s">
        <v>213</v>
      </c>
      <c r="S113" s="18"/>
      <c r="T113" s="18" t="str">
        <f t="shared" si="2"/>
        <v>Historical</v>
      </c>
      <c r="U113" s="18" t="str">
        <f t="shared" si="3"/>
        <v/>
      </c>
    </row>
    <row r="114" spans="1:21">
      <c r="A114" s="10">
        <v>46221</v>
      </c>
      <c r="B114" s="4" t="s">
        <v>57</v>
      </c>
      <c r="C114" s="4" t="s">
        <v>468</v>
      </c>
      <c r="D114" s="8">
        <v>2</v>
      </c>
      <c r="E114" s="5">
        <v>46216</v>
      </c>
      <c r="F114" s="5">
        <v>46219</v>
      </c>
      <c r="G114" s="8" t="s">
        <v>577</v>
      </c>
      <c r="H114" s="8" t="s">
        <v>419</v>
      </c>
      <c r="I114" s="8" t="s">
        <v>411</v>
      </c>
      <c r="J114" s="4"/>
      <c r="K114" s="64">
        <v>111</v>
      </c>
      <c r="L114" s="18" t="s">
        <v>601</v>
      </c>
      <c r="M114" s="19" t="s">
        <v>579</v>
      </c>
      <c r="N114" s="18" t="s">
        <v>305</v>
      </c>
      <c r="O114" s="18">
        <v>1</v>
      </c>
      <c r="P114" s="18" t="s">
        <v>580</v>
      </c>
      <c r="Q114" s="18" t="s">
        <v>470</v>
      </c>
      <c r="R114" s="18" t="s">
        <v>213</v>
      </c>
      <c r="S114" s="18">
        <v>1</v>
      </c>
      <c r="T114" s="18" t="str">
        <f t="shared" si="2"/>
        <v>Historical</v>
      </c>
      <c r="U114" s="18" t="str">
        <f t="shared" si="3"/>
        <v/>
      </c>
    </row>
    <row r="115" spans="1:21">
      <c r="A115" s="10">
        <v>46253</v>
      </c>
      <c r="B115" s="4" t="s">
        <v>57</v>
      </c>
      <c r="C115" s="4" t="s">
        <v>468</v>
      </c>
      <c r="D115" s="8">
        <v>3</v>
      </c>
      <c r="E115" s="5">
        <v>46249</v>
      </c>
      <c r="F115" s="5">
        <v>46251</v>
      </c>
      <c r="G115" s="8" t="s">
        <v>577</v>
      </c>
      <c r="H115" s="8" t="s">
        <v>419</v>
      </c>
      <c r="I115" s="8" t="s">
        <v>411</v>
      </c>
      <c r="J115" s="4"/>
      <c r="K115" s="64">
        <v>112</v>
      </c>
      <c r="L115" s="18" t="s">
        <v>602</v>
      </c>
      <c r="M115" s="19" t="s">
        <v>579</v>
      </c>
      <c r="N115" s="18" t="s">
        <v>305</v>
      </c>
      <c r="O115" s="18">
        <v>1</v>
      </c>
      <c r="P115" s="18" t="s">
        <v>580</v>
      </c>
      <c r="Q115" s="18" t="s">
        <v>470</v>
      </c>
      <c r="R115" s="18" t="s">
        <v>213</v>
      </c>
      <c r="S115" s="18">
        <v>2</v>
      </c>
      <c r="T115" s="18" t="str">
        <f t="shared" si="2"/>
        <v>Current</v>
      </c>
      <c r="U115" s="18" t="str">
        <f t="shared" si="3"/>
        <v>Cameron Turner|Business Continuity Basics</v>
      </c>
    </row>
    <row r="116" spans="1:21">
      <c r="A116" s="10">
        <v>45859</v>
      </c>
      <c r="B116" s="4" t="s">
        <v>60</v>
      </c>
      <c r="C116" s="4" t="s">
        <v>497</v>
      </c>
      <c r="D116" s="8">
        <v>1</v>
      </c>
      <c r="E116" s="5">
        <v>45858</v>
      </c>
      <c r="F116" s="5">
        <v>45859</v>
      </c>
      <c r="G116" s="8" t="s">
        <v>577</v>
      </c>
      <c r="H116" s="8" t="s">
        <v>410</v>
      </c>
      <c r="I116" s="8" t="s">
        <v>411</v>
      </c>
      <c r="J116" s="4"/>
      <c r="K116" s="64">
        <v>113</v>
      </c>
      <c r="L116" s="18" t="s">
        <v>603</v>
      </c>
      <c r="M116" s="19" t="s">
        <v>604</v>
      </c>
      <c r="N116" s="18" t="s">
        <v>305</v>
      </c>
      <c r="O116" s="18">
        <v>2</v>
      </c>
      <c r="P116" s="18" t="s">
        <v>580</v>
      </c>
      <c r="Q116" s="18" t="s">
        <v>499</v>
      </c>
      <c r="R116" s="18" t="s">
        <v>305</v>
      </c>
      <c r="S116" s="18"/>
      <c r="T116" s="18" t="str">
        <f t="shared" si="2"/>
        <v>Historical</v>
      </c>
      <c r="U116" s="18" t="str">
        <f t="shared" si="3"/>
        <v/>
      </c>
    </row>
    <row r="117" spans="1:21">
      <c r="A117" s="10">
        <v>45974</v>
      </c>
      <c r="B117" s="4" t="s">
        <v>60</v>
      </c>
      <c r="C117" s="4" t="s">
        <v>497</v>
      </c>
      <c r="D117" s="8">
        <v>2</v>
      </c>
      <c r="E117" s="5">
        <v>45970</v>
      </c>
      <c r="F117" s="5">
        <v>45973</v>
      </c>
      <c r="G117" s="8" t="s">
        <v>577</v>
      </c>
      <c r="H117" s="8" t="s">
        <v>419</v>
      </c>
      <c r="I117" s="8" t="s">
        <v>411</v>
      </c>
      <c r="J117" s="4"/>
      <c r="K117" s="64">
        <v>114</v>
      </c>
      <c r="L117" s="18" t="s">
        <v>605</v>
      </c>
      <c r="M117" s="19" t="s">
        <v>604</v>
      </c>
      <c r="N117" s="18" t="s">
        <v>305</v>
      </c>
      <c r="O117" s="18">
        <v>2</v>
      </c>
      <c r="P117" s="18" t="s">
        <v>580</v>
      </c>
      <c r="Q117" s="18" t="s">
        <v>499</v>
      </c>
      <c r="R117" s="18" t="s">
        <v>305</v>
      </c>
      <c r="S117" s="18">
        <v>1</v>
      </c>
      <c r="T117" s="18" t="str">
        <f t="shared" si="2"/>
        <v>Current</v>
      </c>
      <c r="U117" s="18" t="str">
        <f t="shared" si="3"/>
        <v>Avery Gray|CI/CD Pipeline Operations</v>
      </c>
    </row>
    <row r="118" spans="1:21">
      <c r="A118" s="10">
        <v>46154</v>
      </c>
      <c r="B118" s="4" t="s">
        <v>60</v>
      </c>
      <c r="C118" s="4" t="s">
        <v>593</v>
      </c>
      <c r="D118" s="8">
        <v>1</v>
      </c>
      <c r="E118" s="5">
        <v>46150</v>
      </c>
      <c r="F118" s="5">
        <v>46153</v>
      </c>
      <c r="G118" s="8" t="s">
        <v>577</v>
      </c>
      <c r="H118" s="8" t="s">
        <v>410</v>
      </c>
      <c r="I118" s="8" t="s">
        <v>411</v>
      </c>
      <c r="J118" s="4"/>
      <c r="K118" s="64">
        <v>115</v>
      </c>
      <c r="L118" s="18" t="s">
        <v>606</v>
      </c>
      <c r="M118" s="19" t="s">
        <v>604</v>
      </c>
      <c r="N118" s="18" t="s">
        <v>305</v>
      </c>
      <c r="O118" s="18">
        <v>2</v>
      </c>
      <c r="P118" s="18" t="s">
        <v>580</v>
      </c>
      <c r="Q118" s="18" t="s">
        <v>595</v>
      </c>
      <c r="R118" s="18" t="s">
        <v>305</v>
      </c>
      <c r="S118" s="18"/>
      <c r="T118" s="18" t="str">
        <f t="shared" si="2"/>
        <v>Historical</v>
      </c>
      <c r="U118" s="18" t="str">
        <f t="shared" si="3"/>
        <v/>
      </c>
    </row>
    <row r="119" spans="1:21">
      <c r="A119" s="10">
        <v>46173</v>
      </c>
      <c r="B119" s="4" t="s">
        <v>60</v>
      </c>
      <c r="C119" s="4" t="s">
        <v>593</v>
      </c>
      <c r="D119" s="8">
        <v>2</v>
      </c>
      <c r="E119" s="5">
        <v>46172</v>
      </c>
      <c r="F119" s="5">
        <v>46174</v>
      </c>
      <c r="G119" s="8" t="s">
        <v>577</v>
      </c>
      <c r="H119" s="8" t="s">
        <v>419</v>
      </c>
      <c r="I119" s="8" t="s">
        <v>411</v>
      </c>
      <c r="J119" s="4"/>
      <c r="K119" s="64">
        <v>116</v>
      </c>
      <c r="L119" s="18" t="s">
        <v>607</v>
      </c>
      <c r="M119" s="19" t="s">
        <v>604</v>
      </c>
      <c r="N119" s="18" t="s">
        <v>305</v>
      </c>
      <c r="O119" s="18">
        <v>2</v>
      </c>
      <c r="P119" s="18" t="s">
        <v>580</v>
      </c>
      <c r="Q119" s="18" t="s">
        <v>595</v>
      </c>
      <c r="R119" s="18" t="s">
        <v>305</v>
      </c>
      <c r="S119" s="18">
        <v>1</v>
      </c>
      <c r="T119" s="18" t="str">
        <f t="shared" si="2"/>
        <v>Historical</v>
      </c>
      <c r="U119" s="18" t="str">
        <f t="shared" si="3"/>
        <v/>
      </c>
    </row>
    <row r="120" spans="1:21">
      <c r="A120" s="10">
        <v>46224</v>
      </c>
      <c r="B120" s="4" t="s">
        <v>60</v>
      </c>
      <c r="C120" s="4" t="s">
        <v>593</v>
      </c>
      <c r="D120" s="8">
        <v>3</v>
      </c>
      <c r="E120" s="5">
        <v>46220</v>
      </c>
      <c r="F120" s="5">
        <v>46221</v>
      </c>
      <c r="G120" s="8" t="s">
        <v>577</v>
      </c>
      <c r="H120" s="8" t="s">
        <v>419</v>
      </c>
      <c r="I120" s="8" t="s">
        <v>411</v>
      </c>
      <c r="J120" s="4"/>
      <c r="K120" s="64">
        <v>117</v>
      </c>
      <c r="L120" s="18" t="s">
        <v>608</v>
      </c>
      <c r="M120" s="19" t="s">
        <v>604</v>
      </c>
      <c r="N120" s="18" t="s">
        <v>305</v>
      </c>
      <c r="O120" s="18">
        <v>2</v>
      </c>
      <c r="P120" s="18" t="s">
        <v>580</v>
      </c>
      <c r="Q120" s="18" t="s">
        <v>595</v>
      </c>
      <c r="R120" s="18" t="s">
        <v>305</v>
      </c>
      <c r="S120" s="18">
        <v>2</v>
      </c>
      <c r="T120" s="18" t="str">
        <f t="shared" si="2"/>
        <v>Current</v>
      </c>
      <c r="U120" s="18" t="str">
        <f t="shared" si="3"/>
        <v>Avery Gray|SSO Configuration</v>
      </c>
    </row>
    <row r="121" spans="1:21">
      <c r="A121" s="10">
        <v>46152</v>
      </c>
      <c r="B121" s="4" t="s">
        <v>60</v>
      </c>
      <c r="C121" s="4" t="s">
        <v>609</v>
      </c>
      <c r="D121" s="8">
        <v>2</v>
      </c>
      <c r="E121" s="5">
        <v>46147</v>
      </c>
      <c r="F121" s="5">
        <v>46149</v>
      </c>
      <c r="G121" s="8" t="s">
        <v>577</v>
      </c>
      <c r="H121" s="8" t="s">
        <v>410</v>
      </c>
      <c r="I121" s="8" t="s">
        <v>411</v>
      </c>
      <c r="J121" s="4"/>
      <c r="K121" s="64">
        <v>118</v>
      </c>
      <c r="L121" s="18" t="s">
        <v>610</v>
      </c>
      <c r="M121" s="19" t="s">
        <v>604</v>
      </c>
      <c r="N121" s="18" t="s">
        <v>305</v>
      </c>
      <c r="O121" s="18">
        <v>2</v>
      </c>
      <c r="P121" s="18" t="s">
        <v>580</v>
      </c>
      <c r="Q121" s="18" t="s">
        <v>611</v>
      </c>
      <c r="R121" s="18" t="s">
        <v>305</v>
      </c>
      <c r="S121" s="18"/>
      <c r="T121" s="18" t="str">
        <f t="shared" si="2"/>
        <v>Current</v>
      </c>
      <c r="U121" s="18" t="str">
        <f t="shared" si="3"/>
        <v>Avery Gray|Configuration Management</v>
      </c>
    </row>
    <row r="122" spans="1:21">
      <c r="A122" s="10">
        <v>46004</v>
      </c>
      <c r="B122" s="4" t="s">
        <v>60</v>
      </c>
      <c r="C122" s="4" t="s">
        <v>612</v>
      </c>
      <c r="D122" s="8">
        <v>2</v>
      </c>
      <c r="E122" s="5">
        <v>46001</v>
      </c>
      <c r="F122" s="5">
        <v>46004</v>
      </c>
      <c r="G122" s="8" t="s">
        <v>577</v>
      </c>
      <c r="H122" s="8" t="s">
        <v>410</v>
      </c>
      <c r="I122" s="8" t="s">
        <v>411</v>
      </c>
      <c r="J122" s="4"/>
      <c r="K122" s="64">
        <v>119</v>
      </c>
      <c r="L122" s="18" t="s">
        <v>613</v>
      </c>
      <c r="M122" s="19" t="s">
        <v>604</v>
      </c>
      <c r="N122" s="18" t="s">
        <v>305</v>
      </c>
      <c r="O122" s="18">
        <v>2</v>
      </c>
      <c r="P122" s="18" t="s">
        <v>580</v>
      </c>
      <c r="Q122" s="18" t="s">
        <v>614</v>
      </c>
      <c r="R122" s="18" t="s">
        <v>305</v>
      </c>
      <c r="S122" s="18"/>
      <c r="T122" s="18" t="str">
        <f t="shared" si="2"/>
        <v>Current</v>
      </c>
      <c r="U122" s="18" t="str">
        <f t="shared" si="3"/>
        <v>Avery Gray|API Credential Management</v>
      </c>
    </row>
    <row r="123" spans="1:21">
      <c r="A123" s="10">
        <v>45788</v>
      </c>
      <c r="B123" s="4" t="s">
        <v>60</v>
      </c>
      <c r="C123" s="4" t="s">
        <v>615</v>
      </c>
      <c r="D123" s="8">
        <v>1</v>
      </c>
      <c r="E123" s="5">
        <v>45786</v>
      </c>
      <c r="F123" s="5">
        <v>45788</v>
      </c>
      <c r="G123" s="8" t="s">
        <v>577</v>
      </c>
      <c r="H123" s="8" t="s">
        <v>410</v>
      </c>
      <c r="I123" s="8" t="s">
        <v>411</v>
      </c>
      <c r="J123" s="4"/>
      <c r="K123" s="64">
        <v>120</v>
      </c>
      <c r="L123" s="18" t="s">
        <v>616</v>
      </c>
      <c r="M123" s="19" t="s">
        <v>604</v>
      </c>
      <c r="N123" s="18" t="s">
        <v>305</v>
      </c>
      <c r="O123" s="18">
        <v>2</v>
      </c>
      <c r="P123" s="18" t="s">
        <v>580</v>
      </c>
      <c r="Q123" s="18" t="s">
        <v>617</v>
      </c>
      <c r="R123" s="18" t="s">
        <v>305</v>
      </c>
      <c r="S123" s="18"/>
      <c r="T123" s="18" t="str">
        <f t="shared" si="2"/>
        <v>Historical</v>
      </c>
      <c r="U123" s="18" t="str">
        <f t="shared" si="3"/>
        <v/>
      </c>
    </row>
    <row r="124" spans="1:21">
      <c r="A124" s="10">
        <v>45826</v>
      </c>
      <c r="B124" s="4" t="s">
        <v>60</v>
      </c>
      <c r="C124" s="4" t="s">
        <v>615</v>
      </c>
      <c r="D124" s="8">
        <v>2</v>
      </c>
      <c r="E124" s="5">
        <v>45821</v>
      </c>
      <c r="F124" s="5">
        <v>45822</v>
      </c>
      <c r="G124" s="8" t="s">
        <v>577</v>
      </c>
      <c r="H124" s="8" t="s">
        <v>419</v>
      </c>
      <c r="I124" s="8" t="s">
        <v>411</v>
      </c>
      <c r="J124" s="4"/>
      <c r="K124" s="64">
        <v>121</v>
      </c>
      <c r="L124" s="18" t="s">
        <v>618</v>
      </c>
      <c r="M124" s="19" t="s">
        <v>604</v>
      </c>
      <c r="N124" s="18" t="s">
        <v>305</v>
      </c>
      <c r="O124" s="18">
        <v>2</v>
      </c>
      <c r="P124" s="18" t="s">
        <v>580</v>
      </c>
      <c r="Q124" s="18" t="s">
        <v>617</v>
      </c>
      <c r="R124" s="18" t="s">
        <v>305</v>
      </c>
      <c r="S124" s="18">
        <v>1</v>
      </c>
      <c r="T124" s="18" t="str">
        <f t="shared" si="2"/>
        <v>Current</v>
      </c>
      <c r="U124" s="18" t="str">
        <f t="shared" si="3"/>
        <v>Avery Gray|Database Operations</v>
      </c>
    </row>
    <row r="125" spans="1:21">
      <c r="A125" s="10">
        <v>45951</v>
      </c>
      <c r="B125" s="4" t="s">
        <v>60</v>
      </c>
      <c r="C125" s="4" t="s">
        <v>583</v>
      </c>
      <c r="D125" s="8">
        <v>2</v>
      </c>
      <c r="E125" s="5">
        <v>45946</v>
      </c>
      <c r="F125" s="5">
        <v>45948</v>
      </c>
      <c r="G125" s="8" t="s">
        <v>577</v>
      </c>
      <c r="H125" s="8" t="s">
        <v>410</v>
      </c>
      <c r="I125" s="8" t="s">
        <v>411</v>
      </c>
      <c r="J125" s="4"/>
      <c r="K125" s="64">
        <v>122</v>
      </c>
      <c r="L125" s="18" t="s">
        <v>619</v>
      </c>
      <c r="M125" s="19" t="s">
        <v>604</v>
      </c>
      <c r="N125" s="18" t="s">
        <v>305</v>
      </c>
      <c r="O125" s="18">
        <v>2</v>
      </c>
      <c r="P125" s="18" t="s">
        <v>580</v>
      </c>
      <c r="Q125" s="18" t="s">
        <v>585</v>
      </c>
      <c r="R125" s="18" t="s">
        <v>305</v>
      </c>
      <c r="S125" s="18"/>
      <c r="T125" s="18" t="str">
        <f t="shared" si="2"/>
        <v>Current</v>
      </c>
      <c r="U125" s="18" t="str">
        <f t="shared" si="3"/>
        <v>Avery Gray|Log Analysis</v>
      </c>
    </row>
    <row r="126" spans="1:21">
      <c r="A126" s="10">
        <v>45796</v>
      </c>
      <c r="B126" s="4" t="s">
        <v>63</v>
      </c>
      <c r="C126" s="4" t="s">
        <v>620</v>
      </c>
      <c r="D126" s="8">
        <v>3</v>
      </c>
      <c r="E126" s="5">
        <v>45792</v>
      </c>
      <c r="F126" s="5">
        <v>45792</v>
      </c>
      <c r="G126" s="8" t="s">
        <v>577</v>
      </c>
      <c r="H126" s="8" t="s">
        <v>410</v>
      </c>
      <c r="I126" s="8" t="s">
        <v>411</v>
      </c>
      <c r="J126" s="4"/>
      <c r="K126" s="64">
        <v>123</v>
      </c>
      <c r="L126" s="18" t="s">
        <v>621</v>
      </c>
      <c r="M126" s="19" t="s">
        <v>622</v>
      </c>
      <c r="N126" s="18" t="s">
        <v>305</v>
      </c>
      <c r="O126" s="18">
        <v>3</v>
      </c>
      <c r="P126" s="18" t="s">
        <v>623</v>
      </c>
      <c r="Q126" s="18" t="s">
        <v>624</v>
      </c>
      <c r="R126" s="18" t="s">
        <v>305</v>
      </c>
      <c r="S126" s="18"/>
      <c r="T126" s="18" t="str">
        <f t="shared" si="2"/>
        <v>Current</v>
      </c>
      <c r="U126" s="18" t="str">
        <f t="shared" si="3"/>
        <v>Parker Powell|Backup &amp; Recovery</v>
      </c>
    </row>
    <row r="127" spans="1:21">
      <c r="A127" s="10">
        <v>46147</v>
      </c>
      <c r="B127" s="4" t="s">
        <v>63</v>
      </c>
      <c r="C127" s="4" t="s">
        <v>593</v>
      </c>
      <c r="D127" s="8">
        <v>3</v>
      </c>
      <c r="E127" s="5">
        <v>46143</v>
      </c>
      <c r="F127" s="5">
        <v>46146</v>
      </c>
      <c r="G127" s="8" t="s">
        <v>577</v>
      </c>
      <c r="H127" s="8" t="s">
        <v>410</v>
      </c>
      <c r="I127" s="8" t="s">
        <v>411</v>
      </c>
      <c r="J127" s="4"/>
      <c r="K127" s="64">
        <v>124</v>
      </c>
      <c r="L127" s="18" t="s">
        <v>625</v>
      </c>
      <c r="M127" s="19" t="s">
        <v>622</v>
      </c>
      <c r="N127" s="18" t="s">
        <v>305</v>
      </c>
      <c r="O127" s="18">
        <v>3</v>
      </c>
      <c r="P127" s="18" t="s">
        <v>623</v>
      </c>
      <c r="Q127" s="18" t="s">
        <v>595</v>
      </c>
      <c r="R127" s="18" t="s">
        <v>305</v>
      </c>
      <c r="S127" s="18"/>
      <c r="T127" s="18" t="str">
        <f t="shared" si="2"/>
        <v>Current</v>
      </c>
      <c r="U127" s="18" t="str">
        <f t="shared" si="3"/>
        <v>Parker Powell|SSO Configuration</v>
      </c>
    </row>
    <row r="128" spans="1:21">
      <c r="A128" s="10">
        <v>45925</v>
      </c>
      <c r="B128" s="4" t="s">
        <v>63</v>
      </c>
      <c r="C128" s="4" t="s">
        <v>612</v>
      </c>
      <c r="D128" s="8">
        <v>2</v>
      </c>
      <c r="E128" s="5">
        <v>45921</v>
      </c>
      <c r="F128" s="5">
        <v>45921</v>
      </c>
      <c r="G128" s="8" t="s">
        <v>577</v>
      </c>
      <c r="H128" s="8" t="s">
        <v>410</v>
      </c>
      <c r="I128" s="8" t="s">
        <v>411</v>
      </c>
      <c r="J128" s="4"/>
      <c r="K128" s="64">
        <v>125</v>
      </c>
      <c r="L128" s="18" t="s">
        <v>626</v>
      </c>
      <c r="M128" s="19" t="s">
        <v>622</v>
      </c>
      <c r="N128" s="18" t="s">
        <v>305</v>
      </c>
      <c r="O128" s="18">
        <v>3</v>
      </c>
      <c r="P128" s="18" t="s">
        <v>623</v>
      </c>
      <c r="Q128" s="18" t="s">
        <v>614</v>
      </c>
      <c r="R128" s="18" t="s">
        <v>305</v>
      </c>
      <c r="S128" s="18"/>
      <c r="T128" s="18" t="str">
        <f t="shared" si="2"/>
        <v>Current</v>
      </c>
      <c r="U128" s="18" t="str">
        <f t="shared" si="3"/>
        <v>Parker Powell|API Credential Management</v>
      </c>
    </row>
    <row r="129" spans="1:21">
      <c r="A129" s="10">
        <v>45743</v>
      </c>
      <c r="B129" s="4" t="s">
        <v>63</v>
      </c>
      <c r="C129" s="4" t="s">
        <v>627</v>
      </c>
      <c r="D129" s="8">
        <v>1</v>
      </c>
      <c r="E129" s="5">
        <v>45738</v>
      </c>
      <c r="F129" s="5">
        <v>45738</v>
      </c>
      <c r="G129" s="8" t="s">
        <v>577</v>
      </c>
      <c r="H129" s="8" t="s">
        <v>410</v>
      </c>
      <c r="I129" s="8" t="s">
        <v>411</v>
      </c>
      <c r="J129" s="4"/>
      <c r="K129" s="64">
        <v>126</v>
      </c>
      <c r="L129" s="18" t="s">
        <v>628</v>
      </c>
      <c r="M129" s="19" t="s">
        <v>622</v>
      </c>
      <c r="N129" s="18" t="s">
        <v>305</v>
      </c>
      <c r="O129" s="18">
        <v>3</v>
      </c>
      <c r="P129" s="18" t="s">
        <v>623</v>
      </c>
      <c r="Q129" s="18" t="s">
        <v>629</v>
      </c>
      <c r="R129" s="18" t="s">
        <v>305</v>
      </c>
      <c r="S129" s="18"/>
      <c r="T129" s="18" t="str">
        <f t="shared" si="2"/>
        <v>Historical</v>
      </c>
      <c r="U129" s="18" t="str">
        <f t="shared" si="3"/>
        <v/>
      </c>
    </row>
    <row r="130" spans="1:21">
      <c r="A130" s="10">
        <v>45779</v>
      </c>
      <c r="B130" s="4" t="s">
        <v>63</v>
      </c>
      <c r="C130" s="4" t="s">
        <v>627</v>
      </c>
      <c r="D130" s="8">
        <v>2</v>
      </c>
      <c r="E130" s="5">
        <v>45777</v>
      </c>
      <c r="F130" s="5">
        <v>45779</v>
      </c>
      <c r="G130" s="8" t="s">
        <v>577</v>
      </c>
      <c r="H130" s="8" t="s">
        <v>419</v>
      </c>
      <c r="I130" s="8" t="s">
        <v>411</v>
      </c>
      <c r="J130" s="4"/>
      <c r="K130" s="64">
        <v>127</v>
      </c>
      <c r="L130" s="18" t="s">
        <v>630</v>
      </c>
      <c r="M130" s="19" t="s">
        <v>622</v>
      </c>
      <c r="N130" s="18" t="s">
        <v>305</v>
      </c>
      <c r="O130" s="18">
        <v>3</v>
      </c>
      <c r="P130" s="18" t="s">
        <v>623</v>
      </c>
      <c r="Q130" s="18" t="s">
        <v>629</v>
      </c>
      <c r="R130" s="18" t="s">
        <v>305</v>
      </c>
      <c r="S130" s="18">
        <v>1</v>
      </c>
      <c r="T130" s="18" t="str">
        <f t="shared" si="2"/>
        <v>Historical</v>
      </c>
      <c r="U130" s="18" t="str">
        <f t="shared" si="3"/>
        <v/>
      </c>
    </row>
    <row r="131" spans="1:21">
      <c r="A131" s="10">
        <v>45809</v>
      </c>
      <c r="B131" s="4" t="s">
        <v>63</v>
      </c>
      <c r="C131" s="4" t="s">
        <v>627</v>
      </c>
      <c r="D131" s="8">
        <v>3</v>
      </c>
      <c r="E131" s="5">
        <v>45807</v>
      </c>
      <c r="F131" s="5">
        <v>45807</v>
      </c>
      <c r="G131" s="8" t="s">
        <v>577</v>
      </c>
      <c r="H131" s="8" t="s">
        <v>419</v>
      </c>
      <c r="I131" s="8" t="s">
        <v>411</v>
      </c>
      <c r="J131" s="4"/>
      <c r="K131" s="64">
        <v>128</v>
      </c>
      <c r="L131" s="18" t="s">
        <v>631</v>
      </c>
      <c r="M131" s="19" t="s">
        <v>622</v>
      </c>
      <c r="N131" s="18" t="s">
        <v>305</v>
      </c>
      <c r="O131" s="18">
        <v>3</v>
      </c>
      <c r="P131" s="18" t="s">
        <v>623</v>
      </c>
      <c r="Q131" s="18" t="s">
        <v>629</v>
      </c>
      <c r="R131" s="18" t="s">
        <v>305</v>
      </c>
      <c r="S131" s="18">
        <v>2</v>
      </c>
      <c r="T131" s="18" t="str">
        <f t="shared" si="2"/>
        <v>Current</v>
      </c>
      <c r="U131" s="18" t="str">
        <f t="shared" si="3"/>
        <v>Parker Powell|Change Management</v>
      </c>
    </row>
    <row r="132" spans="1:21">
      <c r="A132" s="10">
        <v>45899</v>
      </c>
      <c r="B132" s="4" t="s">
        <v>63</v>
      </c>
      <c r="C132" s="4" t="s">
        <v>609</v>
      </c>
      <c r="D132" s="8">
        <v>1</v>
      </c>
      <c r="E132" s="5">
        <v>45894</v>
      </c>
      <c r="F132" s="5">
        <v>45897</v>
      </c>
      <c r="G132" s="8" t="s">
        <v>577</v>
      </c>
      <c r="H132" s="8" t="s">
        <v>410</v>
      </c>
      <c r="I132" s="8" t="s">
        <v>411</v>
      </c>
      <c r="J132" s="4"/>
      <c r="K132" s="64">
        <v>129</v>
      </c>
      <c r="L132" s="18" t="s">
        <v>632</v>
      </c>
      <c r="M132" s="19" t="s">
        <v>622</v>
      </c>
      <c r="N132" s="18" t="s">
        <v>305</v>
      </c>
      <c r="O132" s="18">
        <v>3</v>
      </c>
      <c r="P132" s="18" t="s">
        <v>623</v>
      </c>
      <c r="Q132" s="18" t="s">
        <v>611</v>
      </c>
      <c r="R132" s="18" t="s">
        <v>305</v>
      </c>
      <c r="S132" s="18"/>
      <c r="T132" s="18" t="str">
        <f t="shared" ref="T132:T195" si="4">IF(B132="","",IF(I132="Yes","Voided",IF(COUNTIFS($B$4:$B$803,B132,$C$4:$C$803,C132,$I$4:$I$803,"&lt;&gt;Yes",$K$4:$K$803,"&gt;"&amp;K132)=0,"Current","Historical")))</f>
        <v>Historical</v>
      </c>
      <c r="U132" s="18" t="str">
        <f t="shared" ref="U132:U195" si="5">IF(T132="Current",B132&amp;"|"&amp;C132,"")</f>
        <v/>
      </c>
    </row>
    <row r="133" spans="1:21">
      <c r="A133" s="10">
        <v>45975</v>
      </c>
      <c r="B133" s="4" t="s">
        <v>63</v>
      </c>
      <c r="C133" s="4" t="s">
        <v>609</v>
      </c>
      <c r="D133" s="8">
        <v>2</v>
      </c>
      <c r="E133" s="5">
        <v>45971</v>
      </c>
      <c r="F133" s="5">
        <v>45973</v>
      </c>
      <c r="G133" s="8" t="s">
        <v>577</v>
      </c>
      <c r="H133" s="8" t="s">
        <v>419</v>
      </c>
      <c r="I133" s="8" t="s">
        <v>411</v>
      </c>
      <c r="J133" s="4"/>
      <c r="K133" s="64">
        <v>130</v>
      </c>
      <c r="L133" s="18" t="s">
        <v>633</v>
      </c>
      <c r="M133" s="19" t="s">
        <v>622</v>
      </c>
      <c r="N133" s="18" t="s">
        <v>305</v>
      </c>
      <c r="O133" s="18">
        <v>3</v>
      </c>
      <c r="P133" s="18" t="s">
        <v>623</v>
      </c>
      <c r="Q133" s="18" t="s">
        <v>611</v>
      </c>
      <c r="R133" s="18" t="s">
        <v>305</v>
      </c>
      <c r="S133" s="18">
        <v>1</v>
      </c>
      <c r="T133" s="18" t="str">
        <f t="shared" si="4"/>
        <v>Historical</v>
      </c>
      <c r="U133" s="18" t="str">
        <f t="shared" si="5"/>
        <v/>
      </c>
    </row>
    <row r="134" spans="1:21">
      <c r="A134" s="10">
        <v>46070</v>
      </c>
      <c r="B134" s="4" t="s">
        <v>63</v>
      </c>
      <c r="C134" s="4" t="s">
        <v>609</v>
      </c>
      <c r="D134" s="8">
        <v>3</v>
      </c>
      <c r="E134" s="5">
        <v>46066</v>
      </c>
      <c r="F134" s="5">
        <v>46068</v>
      </c>
      <c r="G134" s="8" t="s">
        <v>577</v>
      </c>
      <c r="H134" s="8" t="s">
        <v>419</v>
      </c>
      <c r="I134" s="8" t="s">
        <v>411</v>
      </c>
      <c r="J134" s="4"/>
      <c r="K134" s="64">
        <v>131</v>
      </c>
      <c r="L134" s="18" t="s">
        <v>634</v>
      </c>
      <c r="M134" s="19" t="s">
        <v>622</v>
      </c>
      <c r="N134" s="18" t="s">
        <v>305</v>
      </c>
      <c r="O134" s="18">
        <v>3</v>
      </c>
      <c r="P134" s="18" t="s">
        <v>623</v>
      </c>
      <c r="Q134" s="18" t="s">
        <v>611</v>
      </c>
      <c r="R134" s="18" t="s">
        <v>305</v>
      </c>
      <c r="S134" s="18">
        <v>2</v>
      </c>
      <c r="T134" s="18" t="str">
        <f t="shared" si="4"/>
        <v>Current</v>
      </c>
      <c r="U134" s="18" t="str">
        <f t="shared" si="5"/>
        <v>Parker Powell|Configuration Management</v>
      </c>
    </row>
    <row r="135" spans="1:21">
      <c r="A135" s="10">
        <v>45766</v>
      </c>
      <c r="B135" s="4" t="s">
        <v>63</v>
      </c>
      <c r="C135" s="4" t="s">
        <v>635</v>
      </c>
      <c r="D135" s="8">
        <v>1</v>
      </c>
      <c r="E135" s="5">
        <v>45764</v>
      </c>
      <c r="F135" s="5">
        <v>45765</v>
      </c>
      <c r="G135" s="8" t="s">
        <v>577</v>
      </c>
      <c r="H135" s="8" t="s">
        <v>410</v>
      </c>
      <c r="I135" s="8" t="s">
        <v>411</v>
      </c>
      <c r="J135" s="4"/>
      <c r="K135" s="64">
        <v>132</v>
      </c>
      <c r="L135" s="18" t="s">
        <v>636</v>
      </c>
      <c r="M135" s="19" t="s">
        <v>622</v>
      </c>
      <c r="N135" s="18" t="s">
        <v>305</v>
      </c>
      <c r="O135" s="18">
        <v>3</v>
      </c>
      <c r="P135" s="18" t="s">
        <v>623</v>
      </c>
      <c r="Q135" s="18" t="s">
        <v>637</v>
      </c>
      <c r="R135" s="18" t="s">
        <v>311</v>
      </c>
      <c r="S135" s="18"/>
      <c r="T135" s="18" t="str">
        <f t="shared" si="4"/>
        <v>Historical</v>
      </c>
      <c r="U135" s="18" t="str">
        <f t="shared" si="5"/>
        <v/>
      </c>
    </row>
    <row r="136" spans="1:21">
      <c r="A136" s="10">
        <v>45818</v>
      </c>
      <c r="B136" s="4" t="s">
        <v>63</v>
      </c>
      <c r="C136" s="4" t="s">
        <v>635</v>
      </c>
      <c r="D136" s="8">
        <v>2</v>
      </c>
      <c r="E136" s="5">
        <v>45817</v>
      </c>
      <c r="F136" s="5">
        <v>45818</v>
      </c>
      <c r="G136" s="8" t="s">
        <v>577</v>
      </c>
      <c r="H136" s="8" t="s">
        <v>419</v>
      </c>
      <c r="I136" s="8" t="s">
        <v>411</v>
      </c>
      <c r="J136" s="4"/>
      <c r="K136" s="64">
        <v>133</v>
      </c>
      <c r="L136" s="18" t="s">
        <v>638</v>
      </c>
      <c r="M136" s="19" t="s">
        <v>622</v>
      </c>
      <c r="N136" s="18" t="s">
        <v>305</v>
      </c>
      <c r="O136" s="18">
        <v>3</v>
      </c>
      <c r="P136" s="18" t="s">
        <v>623</v>
      </c>
      <c r="Q136" s="18" t="s">
        <v>637</v>
      </c>
      <c r="R136" s="18" t="s">
        <v>311</v>
      </c>
      <c r="S136" s="18">
        <v>1</v>
      </c>
      <c r="T136" s="18" t="str">
        <f t="shared" si="4"/>
        <v>Historical</v>
      </c>
      <c r="U136" s="18" t="str">
        <f t="shared" si="5"/>
        <v/>
      </c>
    </row>
    <row r="137" spans="1:21">
      <c r="A137" s="10">
        <v>45869</v>
      </c>
      <c r="B137" s="4" t="s">
        <v>63</v>
      </c>
      <c r="C137" s="4" t="s">
        <v>635</v>
      </c>
      <c r="D137" s="8">
        <v>3</v>
      </c>
      <c r="E137" s="5">
        <v>45867</v>
      </c>
      <c r="F137" s="5">
        <v>45867</v>
      </c>
      <c r="G137" s="8" t="s">
        <v>577</v>
      </c>
      <c r="H137" s="8" t="s">
        <v>419</v>
      </c>
      <c r="I137" s="8" t="s">
        <v>411</v>
      </c>
      <c r="J137" s="4"/>
      <c r="K137" s="64">
        <v>134</v>
      </c>
      <c r="L137" s="18" t="s">
        <v>639</v>
      </c>
      <c r="M137" s="19" t="s">
        <v>622</v>
      </c>
      <c r="N137" s="18" t="s">
        <v>305</v>
      </c>
      <c r="O137" s="18">
        <v>3</v>
      </c>
      <c r="P137" s="18" t="s">
        <v>623</v>
      </c>
      <c r="Q137" s="18" t="s">
        <v>637</v>
      </c>
      <c r="R137" s="18" t="s">
        <v>311</v>
      </c>
      <c r="S137" s="18">
        <v>2</v>
      </c>
      <c r="T137" s="18" t="str">
        <f t="shared" si="4"/>
        <v>Current</v>
      </c>
      <c r="U137" s="18" t="str">
        <f t="shared" si="5"/>
        <v>Parker Powell|Endpoint Detection &amp; Response</v>
      </c>
    </row>
    <row r="138" spans="1:21">
      <c r="A138" s="10">
        <v>46085</v>
      </c>
      <c r="B138" s="4" t="s">
        <v>63</v>
      </c>
      <c r="C138" s="4" t="s">
        <v>531</v>
      </c>
      <c r="D138" s="8">
        <v>1</v>
      </c>
      <c r="E138" s="5">
        <v>46081</v>
      </c>
      <c r="F138" s="5">
        <v>46084</v>
      </c>
      <c r="G138" s="8" t="s">
        <v>577</v>
      </c>
      <c r="H138" s="8" t="s">
        <v>410</v>
      </c>
      <c r="I138" s="8" t="s">
        <v>411</v>
      </c>
      <c r="J138" s="4"/>
      <c r="K138" s="64">
        <v>135</v>
      </c>
      <c r="L138" s="18" t="s">
        <v>640</v>
      </c>
      <c r="M138" s="19" t="s">
        <v>622</v>
      </c>
      <c r="N138" s="18" t="s">
        <v>305</v>
      </c>
      <c r="O138" s="18">
        <v>3</v>
      </c>
      <c r="P138" s="18" t="s">
        <v>623</v>
      </c>
      <c r="Q138" s="18" t="s">
        <v>533</v>
      </c>
      <c r="R138" s="18" t="s">
        <v>213</v>
      </c>
      <c r="S138" s="18"/>
      <c r="T138" s="18" t="str">
        <f t="shared" si="4"/>
        <v>Current</v>
      </c>
      <c r="U138" s="18" t="str">
        <f t="shared" si="5"/>
        <v>Parker Powell|Security Awareness</v>
      </c>
    </row>
    <row r="139" spans="1:21">
      <c r="A139" s="10">
        <v>45869</v>
      </c>
      <c r="B139" s="4" t="s">
        <v>66</v>
      </c>
      <c r="C139" s="4" t="s">
        <v>641</v>
      </c>
      <c r="D139" s="8">
        <v>3</v>
      </c>
      <c r="E139" s="5">
        <v>45865</v>
      </c>
      <c r="F139" s="5">
        <v>45865</v>
      </c>
      <c r="G139" s="8" t="s">
        <v>577</v>
      </c>
      <c r="H139" s="8" t="s">
        <v>410</v>
      </c>
      <c r="I139" s="8" t="s">
        <v>411</v>
      </c>
      <c r="J139" s="4"/>
      <c r="K139" s="64">
        <v>136</v>
      </c>
      <c r="L139" s="18" t="s">
        <v>642</v>
      </c>
      <c r="M139" s="19" t="s">
        <v>643</v>
      </c>
      <c r="N139" s="18" t="s">
        <v>305</v>
      </c>
      <c r="O139" s="18">
        <v>1</v>
      </c>
      <c r="P139" s="18" t="s">
        <v>580</v>
      </c>
      <c r="Q139" s="18" t="s">
        <v>644</v>
      </c>
      <c r="R139" s="18" t="s">
        <v>305</v>
      </c>
      <c r="S139" s="18"/>
      <c r="T139" s="18" t="str">
        <f t="shared" si="4"/>
        <v>Current</v>
      </c>
      <c r="U139" s="18" t="str">
        <f t="shared" si="5"/>
        <v>Quinn Simmons|Linux Administration</v>
      </c>
    </row>
    <row r="140" spans="1:21">
      <c r="A140" s="10">
        <v>45937</v>
      </c>
      <c r="B140" s="4" t="s">
        <v>66</v>
      </c>
      <c r="C140" s="4" t="s">
        <v>593</v>
      </c>
      <c r="D140" s="8">
        <v>3</v>
      </c>
      <c r="E140" s="5">
        <v>45935</v>
      </c>
      <c r="F140" s="5">
        <v>45935</v>
      </c>
      <c r="G140" s="8" t="s">
        <v>577</v>
      </c>
      <c r="H140" s="8" t="s">
        <v>410</v>
      </c>
      <c r="I140" s="8" t="s">
        <v>411</v>
      </c>
      <c r="J140" s="4"/>
      <c r="K140" s="64">
        <v>137</v>
      </c>
      <c r="L140" s="18" t="s">
        <v>645</v>
      </c>
      <c r="M140" s="19" t="s">
        <v>643</v>
      </c>
      <c r="N140" s="18" t="s">
        <v>305</v>
      </c>
      <c r="O140" s="18">
        <v>1</v>
      </c>
      <c r="P140" s="18" t="s">
        <v>580</v>
      </c>
      <c r="Q140" s="18" t="s">
        <v>595</v>
      </c>
      <c r="R140" s="18" t="s">
        <v>305</v>
      </c>
      <c r="S140" s="18"/>
      <c r="T140" s="18" t="str">
        <f t="shared" si="4"/>
        <v>Current</v>
      </c>
      <c r="U140" s="18" t="str">
        <f t="shared" si="5"/>
        <v>Quinn Simmons|SSO Configuration</v>
      </c>
    </row>
    <row r="141" spans="1:21">
      <c r="A141" s="10">
        <v>45982</v>
      </c>
      <c r="B141" s="4" t="s">
        <v>66</v>
      </c>
      <c r="C141" s="4" t="s">
        <v>612</v>
      </c>
      <c r="D141" s="8">
        <v>1</v>
      </c>
      <c r="E141" s="5">
        <v>45977</v>
      </c>
      <c r="F141" s="5">
        <v>45979</v>
      </c>
      <c r="G141" s="8" t="s">
        <v>577</v>
      </c>
      <c r="H141" s="8" t="s">
        <v>410</v>
      </c>
      <c r="I141" s="8" t="s">
        <v>411</v>
      </c>
      <c r="J141" s="4"/>
      <c r="K141" s="64">
        <v>138</v>
      </c>
      <c r="L141" s="18" t="s">
        <v>646</v>
      </c>
      <c r="M141" s="19" t="s">
        <v>643</v>
      </c>
      <c r="N141" s="18" t="s">
        <v>305</v>
      </c>
      <c r="O141" s="18">
        <v>1</v>
      </c>
      <c r="P141" s="18" t="s">
        <v>580</v>
      </c>
      <c r="Q141" s="18" t="s">
        <v>614</v>
      </c>
      <c r="R141" s="18" t="s">
        <v>305</v>
      </c>
      <c r="S141" s="18"/>
      <c r="T141" s="18" t="str">
        <f t="shared" si="4"/>
        <v>Current</v>
      </c>
      <c r="U141" s="18" t="str">
        <f t="shared" si="5"/>
        <v>Quinn Simmons|API Credential Management</v>
      </c>
    </row>
    <row r="142" spans="1:21">
      <c r="A142" s="10">
        <v>45978</v>
      </c>
      <c r="B142" s="4" t="s">
        <v>66</v>
      </c>
      <c r="C142" s="4" t="s">
        <v>615</v>
      </c>
      <c r="D142" s="8">
        <v>1</v>
      </c>
      <c r="E142" s="5">
        <v>45974</v>
      </c>
      <c r="F142" s="5">
        <v>45976</v>
      </c>
      <c r="G142" s="8" t="s">
        <v>577</v>
      </c>
      <c r="H142" s="8" t="s">
        <v>410</v>
      </c>
      <c r="I142" s="8" t="s">
        <v>411</v>
      </c>
      <c r="J142" s="4"/>
      <c r="K142" s="64">
        <v>139</v>
      </c>
      <c r="L142" s="18" t="s">
        <v>647</v>
      </c>
      <c r="M142" s="19" t="s">
        <v>643</v>
      </c>
      <c r="N142" s="18" t="s">
        <v>305</v>
      </c>
      <c r="O142" s="18">
        <v>1</v>
      </c>
      <c r="P142" s="18" t="s">
        <v>580</v>
      </c>
      <c r="Q142" s="18" t="s">
        <v>617</v>
      </c>
      <c r="R142" s="18" t="s">
        <v>305</v>
      </c>
      <c r="S142" s="18"/>
      <c r="T142" s="18" t="str">
        <f t="shared" si="4"/>
        <v>Historical</v>
      </c>
      <c r="U142" s="18" t="str">
        <f t="shared" si="5"/>
        <v/>
      </c>
    </row>
    <row r="143" spans="1:21">
      <c r="A143" s="10">
        <v>46063</v>
      </c>
      <c r="B143" s="4" t="s">
        <v>66</v>
      </c>
      <c r="C143" s="4" t="s">
        <v>615</v>
      </c>
      <c r="D143" s="8">
        <v>2</v>
      </c>
      <c r="E143" s="5">
        <v>46058</v>
      </c>
      <c r="F143" s="5">
        <v>46061</v>
      </c>
      <c r="G143" s="8" t="s">
        <v>577</v>
      </c>
      <c r="H143" s="8" t="s">
        <v>419</v>
      </c>
      <c r="I143" s="8" t="s">
        <v>411</v>
      </c>
      <c r="J143" s="4"/>
      <c r="K143" s="64">
        <v>140</v>
      </c>
      <c r="L143" s="18" t="s">
        <v>648</v>
      </c>
      <c r="M143" s="19" t="s">
        <v>643</v>
      </c>
      <c r="N143" s="18" t="s">
        <v>305</v>
      </c>
      <c r="O143" s="18">
        <v>1</v>
      </c>
      <c r="P143" s="18" t="s">
        <v>580</v>
      </c>
      <c r="Q143" s="18" t="s">
        <v>617</v>
      </c>
      <c r="R143" s="18" t="s">
        <v>305</v>
      </c>
      <c r="S143" s="18">
        <v>1</v>
      </c>
      <c r="T143" s="18" t="str">
        <f t="shared" si="4"/>
        <v>Current</v>
      </c>
      <c r="U143" s="18" t="str">
        <f t="shared" si="5"/>
        <v>Quinn Simmons|Database Operations</v>
      </c>
    </row>
    <row r="144" spans="1:21">
      <c r="A144" s="10">
        <v>46108</v>
      </c>
      <c r="B144" s="4" t="s">
        <v>66</v>
      </c>
      <c r="C144" s="4" t="s">
        <v>497</v>
      </c>
      <c r="D144" s="8">
        <v>2</v>
      </c>
      <c r="E144" s="5">
        <v>46105</v>
      </c>
      <c r="F144" s="5">
        <v>46107</v>
      </c>
      <c r="G144" s="8" t="s">
        <v>577</v>
      </c>
      <c r="H144" s="8" t="s">
        <v>410</v>
      </c>
      <c r="I144" s="8" t="s">
        <v>411</v>
      </c>
      <c r="J144" s="4"/>
      <c r="K144" s="64">
        <v>141</v>
      </c>
      <c r="L144" s="18" t="s">
        <v>649</v>
      </c>
      <c r="M144" s="19" t="s">
        <v>643</v>
      </c>
      <c r="N144" s="18" t="s">
        <v>305</v>
      </c>
      <c r="O144" s="18">
        <v>1</v>
      </c>
      <c r="P144" s="18" t="s">
        <v>580</v>
      </c>
      <c r="Q144" s="18" t="s">
        <v>499</v>
      </c>
      <c r="R144" s="18" t="s">
        <v>305</v>
      </c>
      <c r="S144" s="18"/>
      <c r="T144" s="18" t="str">
        <f t="shared" si="4"/>
        <v>Current</v>
      </c>
      <c r="U144" s="18" t="str">
        <f t="shared" si="5"/>
        <v>Quinn Simmons|CI/CD Pipeline Operations</v>
      </c>
    </row>
    <row r="145" spans="1:21">
      <c r="A145" s="10">
        <v>45902</v>
      </c>
      <c r="B145" s="4" t="s">
        <v>66</v>
      </c>
      <c r="C145" s="4" t="s">
        <v>586</v>
      </c>
      <c r="D145" s="8">
        <v>1</v>
      </c>
      <c r="E145" s="5">
        <v>45897</v>
      </c>
      <c r="F145" s="5">
        <v>45897</v>
      </c>
      <c r="G145" s="8" t="s">
        <v>577</v>
      </c>
      <c r="H145" s="8" t="s">
        <v>410</v>
      </c>
      <c r="I145" s="8" t="s">
        <v>411</v>
      </c>
      <c r="J145" s="4"/>
      <c r="K145" s="64">
        <v>142</v>
      </c>
      <c r="L145" s="18" t="s">
        <v>650</v>
      </c>
      <c r="M145" s="19" t="s">
        <v>643</v>
      </c>
      <c r="N145" s="18" t="s">
        <v>305</v>
      </c>
      <c r="O145" s="18">
        <v>1</v>
      </c>
      <c r="P145" s="18" t="s">
        <v>580</v>
      </c>
      <c r="Q145" s="18" t="s">
        <v>588</v>
      </c>
      <c r="R145" s="18" t="s">
        <v>305</v>
      </c>
      <c r="S145" s="18"/>
      <c r="T145" s="18" t="str">
        <f t="shared" si="4"/>
        <v>Current</v>
      </c>
      <c r="U145" s="18" t="str">
        <f t="shared" si="5"/>
        <v>Quinn Simmons|Windows Server Administration</v>
      </c>
    </row>
    <row r="146" spans="1:21">
      <c r="A146" s="10">
        <v>45943</v>
      </c>
      <c r="B146" s="4" t="s">
        <v>66</v>
      </c>
      <c r="C146" s="4" t="s">
        <v>627</v>
      </c>
      <c r="D146" s="8">
        <v>3</v>
      </c>
      <c r="E146" s="5">
        <v>45938</v>
      </c>
      <c r="F146" s="5">
        <v>45938</v>
      </c>
      <c r="G146" s="8" t="s">
        <v>577</v>
      </c>
      <c r="H146" s="8" t="s">
        <v>410</v>
      </c>
      <c r="I146" s="8" t="s">
        <v>411</v>
      </c>
      <c r="J146" s="4"/>
      <c r="K146" s="64">
        <v>143</v>
      </c>
      <c r="L146" s="18" t="s">
        <v>651</v>
      </c>
      <c r="M146" s="19" t="s">
        <v>643</v>
      </c>
      <c r="N146" s="18" t="s">
        <v>305</v>
      </c>
      <c r="O146" s="18">
        <v>1</v>
      </c>
      <c r="P146" s="18" t="s">
        <v>580</v>
      </c>
      <c r="Q146" s="18" t="s">
        <v>629</v>
      </c>
      <c r="R146" s="18" t="s">
        <v>305</v>
      </c>
      <c r="S146" s="18"/>
      <c r="T146" s="18" t="str">
        <f t="shared" si="4"/>
        <v>Current</v>
      </c>
      <c r="U146" s="18" t="str">
        <f t="shared" si="5"/>
        <v>Quinn Simmons|Change Management</v>
      </c>
    </row>
    <row r="147" spans="1:21">
      <c r="A147" s="10">
        <v>46084</v>
      </c>
      <c r="B147" s="4" t="s">
        <v>69</v>
      </c>
      <c r="C147" s="4" t="s">
        <v>497</v>
      </c>
      <c r="D147" s="8">
        <v>1</v>
      </c>
      <c r="E147" s="5">
        <v>46081</v>
      </c>
      <c r="F147" s="5">
        <v>46083</v>
      </c>
      <c r="G147" s="8" t="s">
        <v>577</v>
      </c>
      <c r="H147" s="8" t="s">
        <v>410</v>
      </c>
      <c r="I147" s="8" t="s">
        <v>411</v>
      </c>
      <c r="J147" s="4"/>
      <c r="K147" s="64">
        <v>144</v>
      </c>
      <c r="L147" s="18" t="s">
        <v>652</v>
      </c>
      <c r="M147" s="19" t="s">
        <v>653</v>
      </c>
      <c r="N147" s="18" t="s">
        <v>305</v>
      </c>
      <c r="O147" s="18">
        <v>2</v>
      </c>
      <c r="P147" s="18" t="s">
        <v>623</v>
      </c>
      <c r="Q147" s="18" t="s">
        <v>499</v>
      </c>
      <c r="R147" s="18" t="s">
        <v>305</v>
      </c>
      <c r="S147" s="18"/>
      <c r="T147" s="18" t="str">
        <f t="shared" si="4"/>
        <v>Historical</v>
      </c>
      <c r="U147" s="18" t="str">
        <f t="shared" si="5"/>
        <v/>
      </c>
    </row>
    <row r="148" spans="1:21">
      <c r="A148" s="10">
        <v>46187</v>
      </c>
      <c r="B148" s="4" t="s">
        <v>69</v>
      </c>
      <c r="C148" s="4" t="s">
        <v>497</v>
      </c>
      <c r="D148" s="8">
        <v>2</v>
      </c>
      <c r="E148" s="5">
        <v>46186</v>
      </c>
      <c r="F148" s="5">
        <v>46187</v>
      </c>
      <c r="G148" s="8" t="s">
        <v>577</v>
      </c>
      <c r="H148" s="8" t="s">
        <v>419</v>
      </c>
      <c r="I148" s="8" t="s">
        <v>411</v>
      </c>
      <c r="J148" s="4"/>
      <c r="K148" s="64">
        <v>145</v>
      </c>
      <c r="L148" s="18" t="s">
        <v>654</v>
      </c>
      <c r="M148" s="19" t="s">
        <v>653</v>
      </c>
      <c r="N148" s="18" t="s">
        <v>305</v>
      </c>
      <c r="O148" s="18">
        <v>2</v>
      </c>
      <c r="P148" s="18" t="s">
        <v>623</v>
      </c>
      <c r="Q148" s="18" t="s">
        <v>499</v>
      </c>
      <c r="R148" s="18" t="s">
        <v>305</v>
      </c>
      <c r="S148" s="18">
        <v>1</v>
      </c>
      <c r="T148" s="18" t="str">
        <f t="shared" si="4"/>
        <v>Historical</v>
      </c>
      <c r="U148" s="18" t="str">
        <f t="shared" si="5"/>
        <v/>
      </c>
    </row>
    <row r="149" spans="1:21">
      <c r="A149" s="10">
        <v>46252</v>
      </c>
      <c r="B149" s="4" t="s">
        <v>69</v>
      </c>
      <c r="C149" s="4" t="s">
        <v>497</v>
      </c>
      <c r="D149" s="8">
        <v>3</v>
      </c>
      <c r="E149" s="5">
        <v>46248</v>
      </c>
      <c r="F149" s="5">
        <v>46251</v>
      </c>
      <c r="G149" s="8" t="s">
        <v>577</v>
      </c>
      <c r="H149" s="8" t="s">
        <v>419</v>
      </c>
      <c r="I149" s="8" t="s">
        <v>411</v>
      </c>
      <c r="J149" s="4"/>
      <c r="K149" s="64">
        <v>146</v>
      </c>
      <c r="L149" s="18" t="s">
        <v>655</v>
      </c>
      <c r="M149" s="19" t="s">
        <v>653</v>
      </c>
      <c r="N149" s="18" t="s">
        <v>305</v>
      </c>
      <c r="O149" s="18">
        <v>2</v>
      </c>
      <c r="P149" s="18" t="s">
        <v>623</v>
      </c>
      <c r="Q149" s="18" t="s">
        <v>499</v>
      </c>
      <c r="R149" s="18" t="s">
        <v>305</v>
      </c>
      <c r="S149" s="18">
        <v>2</v>
      </c>
      <c r="T149" s="18" t="str">
        <f t="shared" si="4"/>
        <v>Current</v>
      </c>
      <c r="U149" s="18" t="str">
        <f t="shared" si="5"/>
        <v>Drew Mitchell|CI/CD Pipeline Operations</v>
      </c>
    </row>
    <row r="150" spans="1:21">
      <c r="A150" s="10">
        <v>45704</v>
      </c>
      <c r="B150" s="4" t="s">
        <v>69</v>
      </c>
      <c r="C150" s="4" t="s">
        <v>656</v>
      </c>
      <c r="D150" s="8">
        <v>2</v>
      </c>
      <c r="E150" s="5">
        <v>45700</v>
      </c>
      <c r="F150" s="5">
        <v>45700</v>
      </c>
      <c r="G150" s="8" t="s">
        <v>577</v>
      </c>
      <c r="H150" s="8" t="s">
        <v>410</v>
      </c>
      <c r="I150" s="8" t="s">
        <v>411</v>
      </c>
      <c r="J150" s="4"/>
      <c r="K150" s="64">
        <v>147</v>
      </c>
      <c r="L150" s="18" t="s">
        <v>657</v>
      </c>
      <c r="M150" s="19" t="s">
        <v>653</v>
      </c>
      <c r="N150" s="18" t="s">
        <v>305</v>
      </c>
      <c r="O150" s="18">
        <v>2</v>
      </c>
      <c r="P150" s="18" t="s">
        <v>623</v>
      </c>
      <c r="Q150" s="18" t="s">
        <v>658</v>
      </c>
      <c r="R150" s="18" t="s">
        <v>305</v>
      </c>
      <c r="S150" s="18"/>
      <c r="T150" s="18" t="str">
        <f t="shared" si="4"/>
        <v>Current</v>
      </c>
      <c r="U150" s="18" t="str">
        <f t="shared" si="5"/>
        <v>Drew Mitchell|Infrastructure as Code</v>
      </c>
    </row>
    <row r="151" spans="1:21">
      <c r="A151" s="10">
        <v>46081</v>
      </c>
      <c r="B151" s="4" t="s">
        <v>69</v>
      </c>
      <c r="C151" s="4" t="s">
        <v>583</v>
      </c>
      <c r="D151" s="8">
        <v>1</v>
      </c>
      <c r="E151" s="5">
        <v>46076</v>
      </c>
      <c r="F151" s="5">
        <v>46076</v>
      </c>
      <c r="G151" s="8" t="s">
        <v>577</v>
      </c>
      <c r="H151" s="8" t="s">
        <v>410</v>
      </c>
      <c r="I151" s="8" t="s">
        <v>411</v>
      </c>
      <c r="J151" s="4"/>
      <c r="K151" s="64">
        <v>148</v>
      </c>
      <c r="L151" s="18" t="s">
        <v>659</v>
      </c>
      <c r="M151" s="19" t="s">
        <v>653</v>
      </c>
      <c r="N151" s="18" t="s">
        <v>305</v>
      </c>
      <c r="O151" s="18">
        <v>2</v>
      </c>
      <c r="P151" s="18" t="s">
        <v>623</v>
      </c>
      <c r="Q151" s="18" t="s">
        <v>585</v>
      </c>
      <c r="R151" s="18" t="s">
        <v>305</v>
      </c>
      <c r="S151" s="18"/>
      <c r="T151" s="18" t="str">
        <f t="shared" si="4"/>
        <v>Historical</v>
      </c>
      <c r="U151" s="18" t="str">
        <f t="shared" si="5"/>
        <v/>
      </c>
    </row>
    <row r="152" spans="1:21">
      <c r="A152" s="10">
        <v>46185</v>
      </c>
      <c r="B152" s="4" t="s">
        <v>69</v>
      </c>
      <c r="C152" s="4" t="s">
        <v>583</v>
      </c>
      <c r="D152" s="8">
        <v>2</v>
      </c>
      <c r="E152" s="5">
        <v>46180</v>
      </c>
      <c r="F152" s="5">
        <v>46183</v>
      </c>
      <c r="G152" s="8" t="s">
        <v>577</v>
      </c>
      <c r="H152" s="8" t="s">
        <v>419</v>
      </c>
      <c r="I152" s="8" t="s">
        <v>411</v>
      </c>
      <c r="J152" s="4"/>
      <c r="K152" s="64">
        <v>149</v>
      </c>
      <c r="L152" s="18" t="s">
        <v>660</v>
      </c>
      <c r="M152" s="19" t="s">
        <v>653</v>
      </c>
      <c r="N152" s="18" t="s">
        <v>305</v>
      </c>
      <c r="O152" s="18">
        <v>2</v>
      </c>
      <c r="P152" s="18" t="s">
        <v>623</v>
      </c>
      <c r="Q152" s="18" t="s">
        <v>585</v>
      </c>
      <c r="R152" s="18" t="s">
        <v>305</v>
      </c>
      <c r="S152" s="18">
        <v>1</v>
      </c>
      <c r="T152" s="18" t="str">
        <f t="shared" si="4"/>
        <v>Current</v>
      </c>
      <c r="U152" s="18" t="str">
        <f t="shared" si="5"/>
        <v>Drew Mitchell|Log Analysis</v>
      </c>
    </row>
    <row r="153" spans="1:21">
      <c r="A153" s="10">
        <v>46038</v>
      </c>
      <c r="B153" s="4" t="s">
        <v>69</v>
      </c>
      <c r="C153" s="4" t="s">
        <v>620</v>
      </c>
      <c r="D153" s="8">
        <v>1</v>
      </c>
      <c r="E153" s="5">
        <v>46033</v>
      </c>
      <c r="F153" s="5">
        <v>46036</v>
      </c>
      <c r="G153" s="8" t="s">
        <v>577</v>
      </c>
      <c r="H153" s="8" t="s">
        <v>410</v>
      </c>
      <c r="I153" s="8" t="s">
        <v>411</v>
      </c>
      <c r="J153" s="4"/>
      <c r="K153" s="64">
        <v>150</v>
      </c>
      <c r="L153" s="18" t="s">
        <v>661</v>
      </c>
      <c r="M153" s="19" t="s">
        <v>653</v>
      </c>
      <c r="N153" s="18" t="s">
        <v>305</v>
      </c>
      <c r="O153" s="18">
        <v>2</v>
      </c>
      <c r="P153" s="18" t="s">
        <v>623</v>
      </c>
      <c r="Q153" s="18" t="s">
        <v>624</v>
      </c>
      <c r="R153" s="18" t="s">
        <v>305</v>
      </c>
      <c r="S153" s="18"/>
      <c r="T153" s="18" t="str">
        <f t="shared" si="4"/>
        <v>Historical</v>
      </c>
      <c r="U153" s="18" t="str">
        <f t="shared" si="5"/>
        <v/>
      </c>
    </row>
    <row r="154" spans="1:21">
      <c r="A154" s="10">
        <v>46137</v>
      </c>
      <c r="B154" s="4" t="s">
        <v>69</v>
      </c>
      <c r="C154" s="4" t="s">
        <v>620</v>
      </c>
      <c r="D154" s="8">
        <v>2</v>
      </c>
      <c r="E154" s="5">
        <v>46133</v>
      </c>
      <c r="F154" s="5">
        <v>46133</v>
      </c>
      <c r="G154" s="8" t="s">
        <v>577</v>
      </c>
      <c r="H154" s="8" t="s">
        <v>419</v>
      </c>
      <c r="I154" s="8" t="s">
        <v>411</v>
      </c>
      <c r="J154" s="4"/>
      <c r="K154" s="64">
        <v>151</v>
      </c>
      <c r="L154" s="18" t="s">
        <v>662</v>
      </c>
      <c r="M154" s="19" t="s">
        <v>653</v>
      </c>
      <c r="N154" s="18" t="s">
        <v>305</v>
      </c>
      <c r="O154" s="18">
        <v>2</v>
      </c>
      <c r="P154" s="18" t="s">
        <v>623</v>
      </c>
      <c r="Q154" s="18" t="s">
        <v>624</v>
      </c>
      <c r="R154" s="18" t="s">
        <v>305</v>
      </c>
      <c r="S154" s="18">
        <v>1</v>
      </c>
      <c r="T154" s="18" t="str">
        <f t="shared" si="4"/>
        <v>Current</v>
      </c>
      <c r="U154" s="18" t="str">
        <f t="shared" si="5"/>
        <v>Drew Mitchell|Backup &amp; Recovery</v>
      </c>
    </row>
    <row r="155" spans="1:21">
      <c r="A155" s="10">
        <v>45961</v>
      </c>
      <c r="B155" s="4" t="s">
        <v>69</v>
      </c>
      <c r="C155" s="4" t="s">
        <v>612</v>
      </c>
      <c r="D155" s="8">
        <v>2</v>
      </c>
      <c r="E155" s="5">
        <v>45957</v>
      </c>
      <c r="F155" s="5">
        <v>45960</v>
      </c>
      <c r="G155" s="8" t="s">
        <v>577</v>
      </c>
      <c r="H155" s="8" t="s">
        <v>410</v>
      </c>
      <c r="I155" s="8" t="s">
        <v>411</v>
      </c>
      <c r="J155" s="4"/>
      <c r="K155" s="64">
        <v>152</v>
      </c>
      <c r="L155" s="18" t="s">
        <v>663</v>
      </c>
      <c r="M155" s="19" t="s">
        <v>653</v>
      </c>
      <c r="N155" s="18" t="s">
        <v>305</v>
      </c>
      <c r="O155" s="18">
        <v>2</v>
      </c>
      <c r="P155" s="18" t="s">
        <v>623</v>
      </c>
      <c r="Q155" s="18" t="s">
        <v>614</v>
      </c>
      <c r="R155" s="18" t="s">
        <v>305</v>
      </c>
      <c r="S155" s="18"/>
      <c r="T155" s="18" t="str">
        <f t="shared" si="4"/>
        <v>Current</v>
      </c>
      <c r="U155" s="18" t="str">
        <f t="shared" si="5"/>
        <v>Drew Mitchell|API Credential Management</v>
      </c>
    </row>
    <row r="156" spans="1:21">
      <c r="A156" s="10">
        <v>45910</v>
      </c>
      <c r="B156" s="4" t="s">
        <v>69</v>
      </c>
      <c r="C156" s="4" t="s">
        <v>576</v>
      </c>
      <c r="D156" s="8">
        <v>1</v>
      </c>
      <c r="E156" s="5">
        <v>45908</v>
      </c>
      <c r="F156" s="5">
        <v>45910</v>
      </c>
      <c r="G156" s="8" t="s">
        <v>577</v>
      </c>
      <c r="H156" s="8" t="s">
        <v>410</v>
      </c>
      <c r="I156" s="8" t="s">
        <v>411</v>
      </c>
      <c r="J156" s="4"/>
      <c r="K156" s="64">
        <v>153</v>
      </c>
      <c r="L156" s="18" t="s">
        <v>664</v>
      </c>
      <c r="M156" s="19" t="s">
        <v>653</v>
      </c>
      <c r="N156" s="18" t="s">
        <v>305</v>
      </c>
      <c r="O156" s="18">
        <v>2</v>
      </c>
      <c r="P156" s="18" t="s">
        <v>623</v>
      </c>
      <c r="Q156" s="18" t="s">
        <v>581</v>
      </c>
      <c r="R156" s="18" t="s">
        <v>305</v>
      </c>
      <c r="S156" s="18"/>
      <c r="T156" s="18" t="str">
        <f t="shared" si="4"/>
        <v>Current</v>
      </c>
      <c r="U156" s="18" t="str">
        <f t="shared" si="5"/>
        <v>Drew Mitchell|Identity Provisioning</v>
      </c>
    </row>
    <row r="157" spans="1:21">
      <c r="A157" s="10">
        <v>45760</v>
      </c>
      <c r="B157" s="4" t="s">
        <v>69</v>
      </c>
      <c r="C157" s="4" t="s">
        <v>438</v>
      </c>
      <c r="D157" s="8">
        <v>3</v>
      </c>
      <c r="E157" s="5">
        <v>45758</v>
      </c>
      <c r="F157" s="5">
        <v>45758</v>
      </c>
      <c r="G157" s="8" t="s">
        <v>577</v>
      </c>
      <c r="H157" s="8" t="s">
        <v>410</v>
      </c>
      <c r="I157" s="8" t="s">
        <v>411</v>
      </c>
      <c r="J157" s="4"/>
      <c r="K157" s="64">
        <v>154</v>
      </c>
      <c r="L157" s="18" t="s">
        <v>665</v>
      </c>
      <c r="M157" s="19" t="s">
        <v>653</v>
      </c>
      <c r="N157" s="18" t="s">
        <v>305</v>
      </c>
      <c r="O157" s="18">
        <v>2</v>
      </c>
      <c r="P157" s="18" t="s">
        <v>623</v>
      </c>
      <c r="Q157" s="18" t="s">
        <v>440</v>
      </c>
      <c r="R157" s="18" t="s">
        <v>213</v>
      </c>
      <c r="S157" s="18"/>
      <c r="T157" s="18" t="str">
        <f t="shared" si="4"/>
        <v>Current</v>
      </c>
      <c r="U157" s="18" t="str">
        <f t="shared" si="5"/>
        <v>Drew Mitchell|Data Privacy &amp; Acceptable Use</v>
      </c>
    </row>
    <row r="158" spans="1:21">
      <c r="A158" s="10">
        <v>46057</v>
      </c>
      <c r="B158" s="4" t="s">
        <v>74</v>
      </c>
      <c r="C158" s="4" t="s">
        <v>586</v>
      </c>
      <c r="D158" s="8">
        <v>2</v>
      </c>
      <c r="E158" s="5">
        <v>46055</v>
      </c>
      <c r="F158" s="5">
        <v>46056</v>
      </c>
      <c r="G158" s="8" t="s">
        <v>577</v>
      </c>
      <c r="H158" s="8" t="s">
        <v>410</v>
      </c>
      <c r="I158" s="8" t="s">
        <v>411</v>
      </c>
      <c r="J158" s="4"/>
      <c r="K158" s="64">
        <v>155</v>
      </c>
      <c r="L158" s="18" t="s">
        <v>666</v>
      </c>
      <c r="M158" s="19" t="s">
        <v>667</v>
      </c>
      <c r="N158" s="18" t="s">
        <v>305</v>
      </c>
      <c r="O158" s="18">
        <v>3</v>
      </c>
      <c r="P158" s="18" t="s">
        <v>668</v>
      </c>
      <c r="Q158" s="18" t="s">
        <v>588</v>
      </c>
      <c r="R158" s="18" t="s">
        <v>305</v>
      </c>
      <c r="S158" s="18"/>
      <c r="T158" s="18" t="str">
        <f t="shared" si="4"/>
        <v>Current</v>
      </c>
      <c r="U158" s="18" t="str">
        <f t="shared" si="5"/>
        <v>Jamie Sullivan|Windows Server Administration</v>
      </c>
    </row>
    <row r="159" spans="1:21">
      <c r="A159" s="10">
        <v>46090</v>
      </c>
      <c r="B159" s="4" t="s">
        <v>74</v>
      </c>
      <c r="C159" s="4" t="s">
        <v>583</v>
      </c>
      <c r="D159" s="8">
        <v>1</v>
      </c>
      <c r="E159" s="5">
        <v>46087</v>
      </c>
      <c r="F159" s="5">
        <v>46089</v>
      </c>
      <c r="G159" s="8" t="s">
        <v>577</v>
      </c>
      <c r="H159" s="8" t="s">
        <v>410</v>
      </c>
      <c r="I159" s="8" t="s">
        <v>411</v>
      </c>
      <c r="J159" s="4"/>
      <c r="K159" s="64">
        <v>156</v>
      </c>
      <c r="L159" s="18" t="s">
        <v>669</v>
      </c>
      <c r="M159" s="19" t="s">
        <v>667</v>
      </c>
      <c r="N159" s="18" t="s">
        <v>305</v>
      </c>
      <c r="O159" s="18">
        <v>3</v>
      </c>
      <c r="P159" s="18" t="s">
        <v>668</v>
      </c>
      <c r="Q159" s="18" t="s">
        <v>585</v>
      </c>
      <c r="R159" s="18" t="s">
        <v>305</v>
      </c>
      <c r="S159" s="18"/>
      <c r="T159" s="18" t="str">
        <f t="shared" si="4"/>
        <v>Historical</v>
      </c>
      <c r="U159" s="18" t="str">
        <f t="shared" si="5"/>
        <v/>
      </c>
    </row>
    <row r="160" spans="1:21">
      <c r="A160" s="10">
        <v>46110</v>
      </c>
      <c r="B160" s="4" t="s">
        <v>74</v>
      </c>
      <c r="C160" s="4" t="s">
        <v>583</v>
      </c>
      <c r="D160" s="8">
        <v>2</v>
      </c>
      <c r="E160" s="5">
        <v>46107</v>
      </c>
      <c r="F160" s="5">
        <v>46109</v>
      </c>
      <c r="G160" s="8" t="s">
        <v>577</v>
      </c>
      <c r="H160" s="8" t="s">
        <v>419</v>
      </c>
      <c r="I160" s="8" t="s">
        <v>411</v>
      </c>
      <c r="J160" s="4"/>
      <c r="K160" s="64">
        <v>157</v>
      </c>
      <c r="L160" s="18" t="s">
        <v>670</v>
      </c>
      <c r="M160" s="19" t="s">
        <v>667</v>
      </c>
      <c r="N160" s="18" t="s">
        <v>305</v>
      </c>
      <c r="O160" s="18">
        <v>3</v>
      </c>
      <c r="P160" s="18" t="s">
        <v>668</v>
      </c>
      <c r="Q160" s="18" t="s">
        <v>585</v>
      </c>
      <c r="R160" s="18" t="s">
        <v>305</v>
      </c>
      <c r="S160" s="18">
        <v>1</v>
      </c>
      <c r="T160" s="18" t="str">
        <f t="shared" si="4"/>
        <v>Historical</v>
      </c>
      <c r="U160" s="18" t="str">
        <f t="shared" si="5"/>
        <v/>
      </c>
    </row>
    <row r="161" spans="1:21">
      <c r="A161" s="10">
        <v>46207</v>
      </c>
      <c r="B161" s="4" t="s">
        <v>74</v>
      </c>
      <c r="C161" s="4" t="s">
        <v>583</v>
      </c>
      <c r="D161" s="8">
        <v>3</v>
      </c>
      <c r="E161" s="5">
        <v>46202</v>
      </c>
      <c r="F161" s="5">
        <v>46205</v>
      </c>
      <c r="G161" s="8" t="s">
        <v>577</v>
      </c>
      <c r="H161" s="8" t="s">
        <v>419</v>
      </c>
      <c r="I161" s="8" t="s">
        <v>411</v>
      </c>
      <c r="J161" s="4"/>
      <c r="K161" s="64">
        <v>158</v>
      </c>
      <c r="L161" s="18" t="s">
        <v>671</v>
      </c>
      <c r="M161" s="19" t="s">
        <v>667</v>
      </c>
      <c r="N161" s="18" t="s">
        <v>305</v>
      </c>
      <c r="O161" s="18">
        <v>3</v>
      </c>
      <c r="P161" s="18" t="s">
        <v>668</v>
      </c>
      <c r="Q161" s="18" t="s">
        <v>585</v>
      </c>
      <c r="R161" s="18" t="s">
        <v>305</v>
      </c>
      <c r="S161" s="18">
        <v>2</v>
      </c>
      <c r="T161" s="18" t="str">
        <f t="shared" si="4"/>
        <v>Current</v>
      </c>
      <c r="U161" s="18" t="str">
        <f t="shared" si="5"/>
        <v>Jamie Sullivan|Log Analysis</v>
      </c>
    </row>
    <row r="162" spans="1:21">
      <c r="A162" s="10">
        <v>46161</v>
      </c>
      <c r="B162" s="4" t="s">
        <v>74</v>
      </c>
      <c r="C162" s="4" t="s">
        <v>576</v>
      </c>
      <c r="D162" s="8">
        <v>1</v>
      </c>
      <c r="E162" s="5">
        <v>46158</v>
      </c>
      <c r="F162" s="5">
        <v>46160</v>
      </c>
      <c r="G162" s="8" t="s">
        <v>577</v>
      </c>
      <c r="H162" s="8" t="s">
        <v>410</v>
      </c>
      <c r="I162" s="8" t="s">
        <v>411</v>
      </c>
      <c r="J162" s="4"/>
      <c r="K162" s="64">
        <v>159</v>
      </c>
      <c r="L162" s="18" t="s">
        <v>672</v>
      </c>
      <c r="M162" s="19" t="s">
        <v>667</v>
      </c>
      <c r="N162" s="18" t="s">
        <v>305</v>
      </c>
      <c r="O162" s="18">
        <v>3</v>
      </c>
      <c r="P162" s="18" t="s">
        <v>668</v>
      </c>
      <c r="Q162" s="18" t="s">
        <v>581</v>
      </c>
      <c r="R162" s="18" t="s">
        <v>305</v>
      </c>
      <c r="S162" s="18"/>
      <c r="T162" s="18" t="str">
        <f t="shared" si="4"/>
        <v>Historical</v>
      </c>
      <c r="U162" s="18" t="str">
        <f t="shared" si="5"/>
        <v/>
      </c>
    </row>
    <row r="163" spans="1:21">
      <c r="A163" s="10">
        <v>46253</v>
      </c>
      <c r="B163" s="4" t="s">
        <v>74</v>
      </c>
      <c r="C163" s="4" t="s">
        <v>576</v>
      </c>
      <c r="D163" s="8">
        <v>2</v>
      </c>
      <c r="E163" s="5">
        <v>46248</v>
      </c>
      <c r="F163" s="5">
        <v>46251</v>
      </c>
      <c r="G163" s="8" t="s">
        <v>577</v>
      </c>
      <c r="H163" s="8" t="s">
        <v>419</v>
      </c>
      <c r="I163" s="8" t="s">
        <v>411</v>
      </c>
      <c r="J163" s="4"/>
      <c r="K163" s="64">
        <v>160</v>
      </c>
      <c r="L163" s="18" t="s">
        <v>673</v>
      </c>
      <c r="M163" s="19" t="s">
        <v>667</v>
      </c>
      <c r="N163" s="18" t="s">
        <v>305</v>
      </c>
      <c r="O163" s="18">
        <v>3</v>
      </c>
      <c r="P163" s="18" t="s">
        <v>668</v>
      </c>
      <c r="Q163" s="18" t="s">
        <v>581</v>
      </c>
      <c r="R163" s="18" t="s">
        <v>305</v>
      </c>
      <c r="S163" s="18">
        <v>1</v>
      </c>
      <c r="T163" s="18" t="str">
        <f t="shared" si="4"/>
        <v>Historical</v>
      </c>
      <c r="U163" s="18" t="str">
        <f t="shared" si="5"/>
        <v/>
      </c>
    </row>
    <row r="164" spans="1:21">
      <c r="A164" s="10">
        <v>46223</v>
      </c>
      <c r="B164" s="4" t="s">
        <v>74</v>
      </c>
      <c r="C164" s="4" t="s">
        <v>576</v>
      </c>
      <c r="D164" s="8">
        <v>3</v>
      </c>
      <c r="E164" s="5">
        <v>46220</v>
      </c>
      <c r="F164" s="5">
        <v>46221</v>
      </c>
      <c r="G164" s="8" t="s">
        <v>577</v>
      </c>
      <c r="H164" s="8" t="s">
        <v>419</v>
      </c>
      <c r="I164" s="8" t="s">
        <v>411</v>
      </c>
      <c r="J164" s="4"/>
      <c r="K164" s="64">
        <v>161</v>
      </c>
      <c r="L164" s="18" t="s">
        <v>674</v>
      </c>
      <c r="M164" s="19" t="s">
        <v>667</v>
      </c>
      <c r="N164" s="18" t="s">
        <v>305</v>
      </c>
      <c r="O164" s="18">
        <v>3</v>
      </c>
      <c r="P164" s="18" t="s">
        <v>668</v>
      </c>
      <c r="Q164" s="18" t="s">
        <v>581</v>
      </c>
      <c r="R164" s="18" t="s">
        <v>305</v>
      </c>
      <c r="S164" s="18">
        <v>2</v>
      </c>
      <c r="T164" s="18" t="str">
        <f t="shared" si="4"/>
        <v>Current</v>
      </c>
      <c r="U164" s="18" t="str">
        <f t="shared" si="5"/>
        <v>Jamie Sullivan|Identity Provisioning</v>
      </c>
    </row>
    <row r="165" spans="1:21">
      <c r="A165" s="10">
        <v>46057</v>
      </c>
      <c r="B165" s="4" t="s">
        <v>74</v>
      </c>
      <c r="C165" s="4" t="s">
        <v>497</v>
      </c>
      <c r="D165" s="8">
        <v>1</v>
      </c>
      <c r="E165" s="5">
        <v>46055</v>
      </c>
      <c r="F165" s="5">
        <v>46058</v>
      </c>
      <c r="G165" s="8" t="s">
        <v>577</v>
      </c>
      <c r="H165" s="8" t="s">
        <v>410</v>
      </c>
      <c r="I165" s="8" t="s">
        <v>411</v>
      </c>
      <c r="J165" s="4"/>
      <c r="K165" s="64">
        <v>162</v>
      </c>
      <c r="L165" s="18" t="s">
        <v>675</v>
      </c>
      <c r="M165" s="19" t="s">
        <v>667</v>
      </c>
      <c r="N165" s="18" t="s">
        <v>305</v>
      </c>
      <c r="O165" s="18">
        <v>3</v>
      </c>
      <c r="P165" s="18" t="s">
        <v>668</v>
      </c>
      <c r="Q165" s="18" t="s">
        <v>499</v>
      </c>
      <c r="R165" s="18" t="s">
        <v>305</v>
      </c>
      <c r="S165" s="18"/>
      <c r="T165" s="18" t="str">
        <f t="shared" si="4"/>
        <v>Historical</v>
      </c>
      <c r="U165" s="18" t="str">
        <f t="shared" si="5"/>
        <v/>
      </c>
    </row>
    <row r="166" spans="1:21">
      <c r="A166" s="10">
        <v>46083</v>
      </c>
      <c r="B166" s="4" t="s">
        <v>74</v>
      </c>
      <c r="C166" s="4" t="s">
        <v>497</v>
      </c>
      <c r="D166" s="8">
        <v>2</v>
      </c>
      <c r="E166" s="5">
        <v>46080</v>
      </c>
      <c r="F166" s="5">
        <v>46083</v>
      </c>
      <c r="G166" s="8" t="s">
        <v>577</v>
      </c>
      <c r="H166" s="8" t="s">
        <v>419</v>
      </c>
      <c r="I166" s="8" t="s">
        <v>411</v>
      </c>
      <c r="J166" s="4"/>
      <c r="K166" s="64">
        <v>163</v>
      </c>
      <c r="L166" s="18" t="s">
        <v>676</v>
      </c>
      <c r="M166" s="19" t="s">
        <v>667</v>
      </c>
      <c r="N166" s="18" t="s">
        <v>305</v>
      </c>
      <c r="O166" s="18">
        <v>3</v>
      </c>
      <c r="P166" s="18" t="s">
        <v>668</v>
      </c>
      <c r="Q166" s="18" t="s">
        <v>499</v>
      </c>
      <c r="R166" s="18" t="s">
        <v>305</v>
      </c>
      <c r="S166" s="18">
        <v>1</v>
      </c>
      <c r="T166" s="18" t="str">
        <f t="shared" si="4"/>
        <v>Historical</v>
      </c>
      <c r="U166" s="18" t="str">
        <f t="shared" si="5"/>
        <v/>
      </c>
    </row>
    <row r="167" spans="1:21">
      <c r="A167" s="10">
        <v>46194</v>
      </c>
      <c r="B167" s="4" t="s">
        <v>74</v>
      </c>
      <c r="C167" s="4" t="s">
        <v>497</v>
      </c>
      <c r="D167" s="8">
        <v>3</v>
      </c>
      <c r="E167" s="5">
        <v>46190</v>
      </c>
      <c r="F167" s="5">
        <v>46193</v>
      </c>
      <c r="G167" s="8" t="s">
        <v>577</v>
      </c>
      <c r="H167" s="8" t="s">
        <v>419</v>
      </c>
      <c r="I167" s="8" t="s">
        <v>411</v>
      </c>
      <c r="J167" s="4"/>
      <c r="K167" s="64">
        <v>164</v>
      </c>
      <c r="L167" s="18" t="s">
        <v>677</v>
      </c>
      <c r="M167" s="19" t="s">
        <v>667</v>
      </c>
      <c r="N167" s="18" t="s">
        <v>305</v>
      </c>
      <c r="O167" s="18">
        <v>3</v>
      </c>
      <c r="P167" s="18" t="s">
        <v>668</v>
      </c>
      <c r="Q167" s="18" t="s">
        <v>499</v>
      </c>
      <c r="R167" s="18" t="s">
        <v>305</v>
      </c>
      <c r="S167" s="18">
        <v>2</v>
      </c>
      <c r="T167" s="18" t="str">
        <f t="shared" si="4"/>
        <v>Current</v>
      </c>
      <c r="U167" s="18" t="str">
        <f t="shared" si="5"/>
        <v>Jamie Sullivan|CI/CD Pipeline Operations</v>
      </c>
    </row>
    <row r="168" spans="1:21">
      <c r="A168" s="10">
        <v>45822</v>
      </c>
      <c r="B168" s="4" t="s">
        <v>74</v>
      </c>
      <c r="C168" s="4" t="s">
        <v>612</v>
      </c>
      <c r="D168" s="8">
        <v>3</v>
      </c>
      <c r="E168" s="5">
        <v>45818</v>
      </c>
      <c r="F168" s="5">
        <v>45818</v>
      </c>
      <c r="G168" s="8" t="s">
        <v>577</v>
      </c>
      <c r="H168" s="8" t="s">
        <v>410</v>
      </c>
      <c r="I168" s="8" t="s">
        <v>411</v>
      </c>
      <c r="J168" s="4"/>
      <c r="K168" s="64">
        <v>165</v>
      </c>
      <c r="L168" s="18" t="s">
        <v>678</v>
      </c>
      <c r="M168" s="19" t="s">
        <v>667</v>
      </c>
      <c r="N168" s="18" t="s">
        <v>305</v>
      </c>
      <c r="O168" s="18">
        <v>3</v>
      </c>
      <c r="P168" s="18" t="s">
        <v>668</v>
      </c>
      <c r="Q168" s="18" t="s">
        <v>614</v>
      </c>
      <c r="R168" s="18" t="s">
        <v>305</v>
      </c>
      <c r="S168" s="18"/>
      <c r="T168" s="18" t="str">
        <f t="shared" si="4"/>
        <v>Current</v>
      </c>
      <c r="U168" s="18" t="str">
        <f t="shared" si="5"/>
        <v>Jamie Sullivan|API Credential Management</v>
      </c>
    </row>
    <row r="169" spans="1:21">
      <c r="A169" s="10">
        <v>46003</v>
      </c>
      <c r="B169" s="4" t="s">
        <v>74</v>
      </c>
      <c r="C169" s="4" t="s">
        <v>656</v>
      </c>
      <c r="D169" s="8">
        <v>1</v>
      </c>
      <c r="E169" s="5">
        <v>46002</v>
      </c>
      <c r="F169" s="5">
        <v>46005</v>
      </c>
      <c r="G169" s="8" t="s">
        <v>577</v>
      </c>
      <c r="H169" s="8" t="s">
        <v>410</v>
      </c>
      <c r="I169" s="8" t="s">
        <v>411</v>
      </c>
      <c r="J169" s="4"/>
      <c r="K169" s="64">
        <v>166</v>
      </c>
      <c r="L169" s="18" t="s">
        <v>679</v>
      </c>
      <c r="M169" s="19" t="s">
        <v>667</v>
      </c>
      <c r="N169" s="18" t="s">
        <v>305</v>
      </c>
      <c r="O169" s="18">
        <v>3</v>
      </c>
      <c r="P169" s="18" t="s">
        <v>668</v>
      </c>
      <c r="Q169" s="18" t="s">
        <v>658</v>
      </c>
      <c r="R169" s="18" t="s">
        <v>305</v>
      </c>
      <c r="S169" s="18"/>
      <c r="T169" s="18" t="str">
        <f t="shared" si="4"/>
        <v>Current</v>
      </c>
      <c r="U169" s="18" t="str">
        <f t="shared" si="5"/>
        <v>Jamie Sullivan|Infrastructure as Code</v>
      </c>
    </row>
    <row r="170" spans="1:21">
      <c r="A170" s="10">
        <v>46131</v>
      </c>
      <c r="B170" s="4" t="s">
        <v>74</v>
      </c>
      <c r="C170" s="4" t="s">
        <v>589</v>
      </c>
      <c r="D170" s="8">
        <v>1</v>
      </c>
      <c r="E170" s="5">
        <v>46130</v>
      </c>
      <c r="F170" s="5">
        <v>46131</v>
      </c>
      <c r="G170" s="8" t="s">
        <v>577</v>
      </c>
      <c r="H170" s="8" t="s">
        <v>410</v>
      </c>
      <c r="I170" s="8" t="s">
        <v>411</v>
      </c>
      <c r="J170" s="4"/>
      <c r="K170" s="64">
        <v>167</v>
      </c>
      <c r="L170" s="18" t="s">
        <v>680</v>
      </c>
      <c r="M170" s="19" t="s">
        <v>667</v>
      </c>
      <c r="N170" s="18" t="s">
        <v>305</v>
      </c>
      <c r="O170" s="18">
        <v>3</v>
      </c>
      <c r="P170" s="18" t="s">
        <v>668</v>
      </c>
      <c r="Q170" s="18" t="s">
        <v>591</v>
      </c>
      <c r="R170" s="18" t="s">
        <v>305</v>
      </c>
      <c r="S170" s="18"/>
      <c r="T170" s="18" t="str">
        <f t="shared" si="4"/>
        <v>Current</v>
      </c>
      <c r="U170" s="18" t="str">
        <f t="shared" si="5"/>
        <v>Jamie Sullivan|Monitoring &amp; Alerting</v>
      </c>
    </row>
    <row r="171" spans="1:21">
      <c r="A171" s="10">
        <v>45822</v>
      </c>
      <c r="B171" s="4" t="s">
        <v>74</v>
      </c>
      <c r="C171" s="4" t="s">
        <v>593</v>
      </c>
      <c r="D171" s="8">
        <v>2</v>
      </c>
      <c r="E171" s="5">
        <v>45821</v>
      </c>
      <c r="F171" s="5">
        <v>45824</v>
      </c>
      <c r="G171" s="8" t="s">
        <v>577</v>
      </c>
      <c r="H171" s="8" t="s">
        <v>410</v>
      </c>
      <c r="I171" s="8" t="s">
        <v>411</v>
      </c>
      <c r="J171" s="4"/>
      <c r="K171" s="64">
        <v>168</v>
      </c>
      <c r="L171" s="18" t="s">
        <v>681</v>
      </c>
      <c r="M171" s="19" t="s">
        <v>667</v>
      </c>
      <c r="N171" s="18" t="s">
        <v>305</v>
      </c>
      <c r="O171" s="18">
        <v>3</v>
      </c>
      <c r="P171" s="18" t="s">
        <v>668</v>
      </c>
      <c r="Q171" s="18" t="s">
        <v>595</v>
      </c>
      <c r="R171" s="18" t="s">
        <v>305</v>
      </c>
      <c r="S171" s="18"/>
      <c r="T171" s="18" t="str">
        <f t="shared" si="4"/>
        <v>Current</v>
      </c>
      <c r="U171" s="18" t="str">
        <f t="shared" si="5"/>
        <v>Jamie Sullivan|SSO Configuration</v>
      </c>
    </row>
    <row r="172" spans="1:21">
      <c r="A172" s="10">
        <v>45735</v>
      </c>
      <c r="B172" s="4" t="s">
        <v>77</v>
      </c>
      <c r="C172" s="4" t="s">
        <v>682</v>
      </c>
      <c r="D172" s="8">
        <v>1</v>
      </c>
      <c r="E172" s="5">
        <v>45733</v>
      </c>
      <c r="F172" s="5">
        <v>45735</v>
      </c>
      <c r="G172" s="8" t="s">
        <v>683</v>
      </c>
      <c r="H172" s="8" t="s">
        <v>410</v>
      </c>
      <c r="I172" s="8" t="s">
        <v>411</v>
      </c>
      <c r="J172" s="4"/>
      <c r="K172" s="64">
        <v>169</v>
      </c>
      <c r="L172" s="18" t="s">
        <v>684</v>
      </c>
      <c r="M172" s="19" t="s">
        <v>685</v>
      </c>
      <c r="N172" s="18" t="s">
        <v>306</v>
      </c>
      <c r="O172" s="18">
        <v>1</v>
      </c>
      <c r="P172" s="18" t="s">
        <v>686</v>
      </c>
      <c r="Q172" s="18" t="s">
        <v>687</v>
      </c>
      <c r="R172" s="18" t="s">
        <v>306</v>
      </c>
      <c r="S172" s="18"/>
      <c r="T172" s="18" t="str">
        <f t="shared" si="4"/>
        <v>Historical</v>
      </c>
      <c r="U172" s="18" t="str">
        <f t="shared" si="5"/>
        <v/>
      </c>
    </row>
    <row r="173" spans="1:21">
      <c r="A173" s="10">
        <v>45783</v>
      </c>
      <c r="B173" s="4" t="s">
        <v>77</v>
      </c>
      <c r="C173" s="4" t="s">
        <v>682</v>
      </c>
      <c r="D173" s="8">
        <v>2</v>
      </c>
      <c r="E173" s="5">
        <v>45782</v>
      </c>
      <c r="F173" s="5">
        <v>45785</v>
      </c>
      <c r="G173" s="8" t="s">
        <v>683</v>
      </c>
      <c r="H173" s="8" t="s">
        <v>419</v>
      </c>
      <c r="I173" s="8" t="s">
        <v>411</v>
      </c>
      <c r="J173" s="4"/>
      <c r="K173" s="64">
        <v>170</v>
      </c>
      <c r="L173" s="18" t="s">
        <v>688</v>
      </c>
      <c r="M173" s="19" t="s">
        <v>685</v>
      </c>
      <c r="N173" s="18" t="s">
        <v>306</v>
      </c>
      <c r="O173" s="18">
        <v>1</v>
      </c>
      <c r="P173" s="18" t="s">
        <v>686</v>
      </c>
      <c r="Q173" s="18" t="s">
        <v>687</v>
      </c>
      <c r="R173" s="18" t="s">
        <v>306</v>
      </c>
      <c r="S173" s="18">
        <v>1</v>
      </c>
      <c r="T173" s="18" t="str">
        <f t="shared" si="4"/>
        <v>Historical</v>
      </c>
      <c r="U173" s="18" t="str">
        <f t="shared" si="5"/>
        <v/>
      </c>
    </row>
    <row r="174" spans="1:21">
      <c r="A174" s="10">
        <v>45815</v>
      </c>
      <c r="B174" s="4" t="s">
        <v>77</v>
      </c>
      <c r="C174" s="4" t="s">
        <v>682</v>
      </c>
      <c r="D174" s="8">
        <v>3</v>
      </c>
      <c r="E174" s="5">
        <v>45814</v>
      </c>
      <c r="F174" s="5">
        <v>45817</v>
      </c>
      <c r="G174" s="8" t="s">
        <v>683</v>
      </c>
      <c r="H174" s="8" t="s">
        <v>419</v>
      </c>
      <c r="I174" s="8" t="s">
        <v>411</v>
      </c>
      <c r="J174" s="4"/>
      <c r="K174" s="64">
        <v>171</v>
      </c>
      <c r="L174" s="18" t="s">
        <v>689</v>
      </c>
      <c r="M174" s="19" t="s">
        <v>685</v>
      </c>
      <c r="N174" s="18" t="s">
        <v>306</v>
      </c>
      <c r="O174" s="18">
        <v>1</v>
      </c>
      <c r="P174" s="18" t="s">
        <v>686</v>
      </c>
      <c r="Q174" s="18" t="s">
        <v>687</v>
      </c>
      <c r="R174" s="18" t="s">
        <v>306</v>
      </c>
      <c r="S174" s="18">
        <v>2</v>
      </c>
      <c r="T174" s="18" t="str">
        <f t="shared" si="4"/>
        <v>Current</v>
      </c>
      <c r="U174" s="18" t="str">
        <f t="shared" si="5"/>
        <v>Reese Reed|Deployment Procedures</v>
      </c>
    </row>
    <row r="175" spans="1:21">
      <c r="A175" s="10">
        <v>45693</v>
      </c>
      <c r="B175" s="4" t="s">
        <v>77</v>
      </c>
      <c r="C175" s="4" t="s">
        <v>597</v>
      </c>
      <c r="D175" s="8">
        <v>1</v>
      </c>
      <c r="E175" s="5">
        <v>45692</v>
      </c>
      <c r="F175" s="5">
        <v>45694</v>
      </c>
      <c r="G175" s="8" t="s">
        <v>683</v>
      </c>
      <c r="H175" s="8" t="s">
        <v>410</v>
      </c>
      <c r="I175" s="8" t="s">
        <v>411</v>
      </c>
      <c r="J175" s="4"/>
      <c r="K175" s="64">
        <v>172</v>
      </c>
      <c r="L175" s="18" t="s">
        <v>690</v>
      </c>
      <c r="M175" s="19" t="s">
        <v>685</v>
      </c>
      <c r="N175" s="18" t="s">
        <v>306</v>
      </c>
      <c r="O175" s="18">
        <v>1</v>
      </c>
      <c r="P175" s="18" t="s">
        <v>686</v>
      </c>
      <c r="Q175" s="18" t="s">
        <v>599</v>
      </c>
      <c r="R175" s="18" t="s">
        <v>306</v>
      </c>
      <c r="S175" s="18"/>
      <c r="T175" s="18" t="str">
        <f t="shared" si="4"/>
        <v>Historical</v>
      </c>
      <c r="U175" s="18" t="str">
        <f t="shared" si="5"/>
        <v/>
      </c>
    </row>
    <row r="176" spans="1:21">
      <c r="A176" s="10">
        <v>45722</v>
      </c>
      <c r="B176" s="4" t="s">
        <v>77</v>
      </c>
      <c r="C176" s="4" t="s">
        <v>597</v>
      </c>
      <c r="D176" s="8">
        <v>2</v>
      </c>
      <c r="E176" s="5">
        <v>45719</v>
      </c>
      <c r="F176" s="5">
        <v>45721</v>
      </c>
      <c r="G176" s="8" t="s">
        <v>683</v>
      </c>
      <c r="H176" s="8" t="s">
        <v>419</v>
      </c>
      <c r="I176" s="8" t="s">
        <v>411</v>
      </c>
      <c r="J176" s="4"/>
      <c r="K176" s="64">
        <v>173</v>
      </c>
      <c r="L176" s="18" t="s">
        <v>691</v>
      </c>
      <c r="M176" s="19" t="s">
        <v>685</v>
      </c>
      <c r="N176" s="18" t="s">
        <v>306</v>
      </c>
      <c r="O176" s="18">
        <v>1</v>
      </c>
      <c r="P176" s="18" t="s">
        <v>686</v>
      </c>
      <c r="Q176" s="18" t="s">
        <v>599</v>
      </c>
      <c r="R176" s="18" t="s">
        <v>306</v>
      </c>
      <c r="S176" s="18">
        <v>1</v>
      </c>
      <c r="T176" s="18" t="str">
        <f t="shared" si="4"/>
        <v>Current</v>
      </c>
      <c r="U176" s="18" t="str">
        <f t="shared" si="5"/>
        <v>Reese Reed|Feature Flag Management</v>
      </c>
    </row>
    <row r="177" spans="1:21">
      <c r="A177" s="10">
        <v>46210</v>
      </c>
      <c r="B177" s="4" t="s">
        <v>77</v>
      </c>
      <c r="C177" s="4" t="s">
        <v>692</v>
      </c>
      <c r="D177" s="8">
        <v>1</v>
      </c>
      <c r="E177" s="5">
        <v>46206</v>
      </c>
      <c r="F177" s="5">
        <v>46207</v>
      </c>
      <c r="G177" s="8" t="s">
        <v>683</v>
      </c>
      <c r="H177" s="8" t="s">
        <v>410</v>
      </c>
      <c r="I177" s="8" t="s">
        <v>411</v>
      </c>
      <c r="J177" s="4"/>
      <c r="K177" s="64">
        <v>174</v>
      </c>
      <c r="L177" s="18" t="s">
        <v>693</v>
      </c>
      <c r="M177" s="19" t="s">
        <v>685</v>
      </c>
      <c r="N177" s="18" t="s">
        <v>306</v>
      </c>
      <c r="O177" s="18">
        <v>1</v>
      </c>
      <c r="P177" s="18" t="s">
        <v>686</v>
      </c>
      <c r="Q177" s="18" t="s">
        <v>694</v>
      </c>
      <c r="R177" s="18" t="s">
        <v>306</v>
      </c>
      <c r="S177" s="18"/>
      <c r="T177" s="18" t="str">
        <f t="shared" si="4"/>
        <v>Historical</v>
      </c>
      <c r="U177" s="18" t="str">
        <f t="shared" si="5"/>
        <v/>
      </c>
    </row>
    <row r="178" spans="1:21">
      <c r="A178" s="10">
        <v>46249</v>
      </c>
      <c r="B178" s="4" t="s">
        <v>77</v>
      </c>
      <c r="C178" s="4" t="s">
        <v>692</v>
      </c>
      <c r="D178" s="8">
        <v>2</v>
      </c>
      <c r="E178" s="5">
        <v>46247</v>
      </c>
      <c r="F178" s="5">
        <v>46247</v>
      </c>
      <c r="G178" s="8" t="s">
        <v>683</v>
      </c>
      <c r="H178" s="8" t="s">
        <v>419</v>
      </c>
      <c r="I178" s="8" t="s">
        <v>411</v>
      </c>
      <c r="J178" s="4"/>
      <c r="K178" s="64">
        <v>175</v>
      </c>
      <c r="L178" s="18" t="s">
        <v>695</v>
      </c>
      <c r="M178" s="19" t="s">
        <v>685</v>
      </c>
      <c r="N178" s="18" t="s">
        <v>306</v>
      </c>
      <c r="O178" s="18">
        <v>1</v>
      </c>
      <c r="P178" s="18" t="s">
        <v>686</v>
      </c>
      <c r="Q178" s="18" t="s">
        <v>694</v>
      </c>
      <c r="R178" s="18" t="s">
        <v>306</v>
      </c>
      <c r="S178" s="18">
        <v>1</v>
      </c>
      <c r="T178" s="18" t="str">
        <f t="shared" si="4"/>
        <v>Current</v>
      </c>
      <c r="U178" s="18" t="str">
        <f t="shared" si="5"/>
        <v>Reese Reed|Secure Coding Basics</v>
      </c>
    </row>
    <row r="179" spans="1:21">
      <c r="A179" s="10">
        <v>45913</v>
      </c>
      <c r="B179" s="4" t="s">
        <v>77</v>
      </c>
      <c r="C179" s="4" t="s">
        <v>696</v>
      </c>
      <c r="D179" s="8">
        <v>1</v>
      </c>
      <c r="E179" s="5">
        <v>45909</v>
      </c>
      <c r="F179" s="5">
        <v>45910</v>
      </c>
      <c r="G179" s="8" t="s">
        <v>683</v>
      </c>
      <c r="H179" s="8" t="s">
        <v>410</v>
      </c>
      <c r="I179" s="8" t="s">
        <v>411</v>
      </c>
      <c r="J179" s="4"/>
      <c r="K179" s="64">
        <v>176</v>
      </c>
      <c r="L179" s="18" t="s">
        <v>697</v>
      </c>
      <c r="M179" s="19" t="s">
        <v>685</v>
      </c>
      <c r="N179" s="18" t="s">
        <v>306</v>
      </c>
      <c r="O179" s="18">
        <v>1</v>
      </c>
      <c r="P179" s="18" t="s">
        <v>686</v>
      </c>
      <c r="Q179" s="18" t="s">
        <v>698</v>
      </c>
      <c r="R179" s="18" t="s">
        <v>306</v>
      </c>
      <c r="S179" s="18"/>
      <c r="T179" s="18" t="str">
        <f t="shared" si="4"/>
        <v>Historical</v>
      </c>
      <c r="U179" s="18" t="str">
        <f t="shared" si="5"/>
        <v/>
      </c>
    </row>
    <row r="180" spans="1:21">
      <c r="A180" s="10">
        <v>45962</v>
      </c>
      <c r="B180" s="4" t="s">
        <v>77</v>
      </c>
      <c r="C180" s="4" t="s">
        <v>696</v>
      </c>
      <c r="D180" s="8">
        <v>2</v>
      </c>
      <c r="E180" s="5">
        <v>45958</v>
      </c>
      <c r="F180" s="5">
        <v>45960</v>
      </c>
      <c r="G180" s="8" t="s">
        <v>683</v>
      </c>
      <c r="H180" s="8" t="s">
        <v>419</v>
      </c>
      <c r="I180" s="8" t="s">
        <v>411</v>
      </c>
      <c r="J180" s="4"/>
      <c r="K180" s="64">
        <v>177</v>
      </c>
      <c r="L180" s="18" t="s">
        <v>699</v>
      </c>
      <c r="M180" s="19" t="s">
        <v>685</v>
      </c>
      <c r="N180" s="18" t="s">
        <v>306</v>
      </c>
      <c r="O180" s="18">
        <v>1</v>
      </c>
      <c r="P180" s="18" t="s">
        <v>686</v>
      </c>
      <c r="Q180" s="18" t="s">
        <v>698</v>
      </c>
      <c r="R180" s="18" t="s">
        <v>306</v>
      </c>
      <c r="S180" s="18">
        <v>1</v>
      </c>
      <c r="T180" s="18" t="str">
        <f t="shared" si="4"/>
        <v>Historical</v>
      </c>
      <c r="U180" s="18" t="str">
        <f t="shared" si="5"/>
        <v/>
      </c>
    </row>
    <row r="181" spans="1:21">
      <c r="A181" s="10">
        <v>46039</v>
      </c>
      <c r="B181" s="4" t="s">
        <v>77</v>
      </c>
      <c r="C181" s="4" t="s">
        <v>696</v>
      </c>
      <c r="D181" s="8">
        <v>3</v>
      </c>
      <c r="E181" s="5">
        <v>46036</v>
      </c>
      <c r="F181" s="5">
        <v>46036</v>
      </c>
      <c r="G181" s="8" t="s">
        <v>683</v>
      </c>
      <c r="H181" s="8" t="s">
        <v>419</v>
      </c>
      <c r="I181" s="8" t="s">
        <v>411</v>
      </c>
      <c r="J181" s="4"/>
      <c r="K181" s="64">
        <v>178</v>
      </c>
      <c r="L181" s="18" t="s">
        <v>700</v>
      </c>
      <c r="M181" s="19" t="s">
        <v>685</v>
      </c>
      <c r="N181" s="18" t="s">
        <v>306</v>
      </c>
      <c r="O181" s="18">
        <v>1</v>
      </c>
      <c r="P181" s="18" t="s">
        <v>686</v>
      </c>
      <c r="Q181" s="18" t="s">
        <v>698</v>
      </c>
      <c r="R181" s="18" t="s">
        <v>306</v>
      </c>
      <c r="S181" s="18">
        <v>2</v>
      </c>
      <c r="T181" s="18" t="str">
        <f t="shared" si="4"/>
        <v>Current</v>
      </c>
      <c r="U181" s="18" t="str">
        <f t="shared" si="5"/>
        <v>Reese Reed|Integration Testing</v>
      </c>
    </row>
    <row r="182" spans="1:21">
      <c r="A182" s="10">
        <v>45962</v>
      </c>
      <c r="B182" s="4" t="s">
        <v>77</v>
      </c>
      <c r="C182" s="4" t="s">
        <v>701</v>
      </c>
      <c r="D182" s="8">
        <v>1</v>
      </c>
      <c r="E182" s="5">
        <v>45957</v>
      </c>
      <c r="F182" s="5">
        <v>45958</v>
      </c>
      <c r="G182" s="8" t="s">
        <v>683</v>
      </c>
      <c r="H182" s="8" t="s">
        <v>410</v>
      </c>
      <c r="I182" s="8" t="s">
        <v>411</v>
      </c>
      <c r="J182" s="4"/>
      <c r="K182" s="64">
        <v>179</v>
      </c>
      <c r="L182" s="18" t="s">
        <v>702</v>
      </c>
      <c r="M182" s="19" t="s">
        <v>685</v>
      </c>
      <c r="N182" s="18" t="s">
        <v>306</v>
      </c>
      <c r="O182" s="18">
        <v>1</v>
      </c>
      <c r="P182" s="18" t="s">
        <v>686</v>
      </c>
      <c r="Q182" s="18" t="s">
        <v>703</v>
      </c>
      <c r="R182" s="18" t="s">
        <v>306</v>
      </c>
      <c r="S182" s="18"/>
      <c r="T182" s="18" t="str">
        <f t="shared" si="4"/>
        <v>Historical</v>
      </c>
      <c r="U182" s="18" t="str">
        <f t="shared" si="5"/>
        <v/>
      </c>
    </row>
    <row r="183" spans="1:21">
      <c r="A183" s="10">
        <v>45990</v>
      </c>
      <c r="B183" s="4" t="s">
        <v>77</v>
      </c>
      <c r="C183" s="4" t="s">
        <v>701</v>
      </c>
      <c r="D183" s="8">
        <v>2</v>
      </c>
      <c r="E183" s="5">
        <v>45986</v>
      </c>
      <c r="F183" s="5">
        <v>45988</v>
      </c>
      <c r="G183" s="8" t="s">
        <v>683</v>
      </c>
      <c r="H183" s="8" t="s">
        <v>419</v>
      </c>
      <c r="I183" s="8" t="s">
        <v>411</v>
      </c>
      <c r="J183" s="4"/>
      <c r="K183" s="64">
        <v>180</v>
      </c>
      <c r="L183" s="18" t="s">
        <v>704</v>
      </c>
      <c r="M183" s="19" t="s">
        <v>685</v>
      </c>
      <c r="N183" s="18" t="s">
        <v>306</v>
      </c>
      <c r="O183" s="18">
        <v>1</v>
      </c>
      <c r="P183" s="18" t="s">
        <v>686</v>
      </c>
      <c r="Q183" s="18" t="s">
        <v>703</v>
      </c>
      <c r="R183" s="18" t="s">
        <v>306</v>
      </c>
      <c r="S183" s="18">
        <v>1</v>
      </c>
      <c r="T183" s="18" t="str">
        <f t="shared" si="4"/>
        <v>Historical</v>
      </c>
      <c r="U183" s="18" t="str">
        <f t="shared" si="5"/>
        <v/>
      </c>
    </row>
    <row r="184" spans="1:21">
      <c r="A184" s="10">
        <v>46084</v>
      </c>
      <c r="B184" s="4" t="s">
        <v>77</v>
      </c>
      <c r="C184" s="4" t="s">
        <v>701</v>
      </c>
      <c r="D184" s="8">
        <v>3</v>
      </c>
      <c r="E184" s="5">
        <v>46081</v>
      </c>
      <c r="F184" s="5">
        <v>46084</v>
      </c>
      <c r="G184" s="8" t="s">
        <v>683</v>
      </c>
      <c r="H184" s="8" t="s">
        <v>419</v>
      </c>
      <c r="I184" s="8" t="s">
        <v>411</v>
      </c>
      <c r="J184" s="4"/>
      <c r="K184" s="64">
        <v>181</v>
      </c>
      <c r="L184" s="18" t="s">
        <v>705</v>
      </c>
      <c r="M184" s="19" t="s">
        <v>685</v>
      </c>
      <c r="N184" s="18" t="s">
        <v>306</v>
      </c>
      <c r="O184" s="18">
        <v>1</v>
      </c>
      <c r="P184" s="18" t="s">
        <v>686</v>
      </c>
      <c r="Q184" s="18" t="s">
        <v>703</v>
      </c>
      <c r="R184" s="18" t="s">
        <v>306</v>
      </c>
      <c r="S184" s="18">
        <v>2</v>
      </c>
      <c r="T184" s="18" t="str">
        <f t="shared" si="4"/>
        <v>Current</v>
      </c>
      <c r="U184" s="18" t="str">
        <f t="shared" si="5"/>
        <v>Reese Reed|Git Workflow</v>
      </c>
    </row>
    <row r="185" spans="1:21">
      <c r="A185" s="10">
        <v>45974</v>
      </c>
      <c r="B185" s="4" t="s">
        <v>77</v>
      </c>
      <c r="C185" s="4" t="s">
        <v>706</v>
      </c>
      <c r="D185" s="8">
        <v>1</v>
      </c>
      <c r="E185" s="5">
        <v>45972</v>
      </c>
      <c r="F185" s="5">
        <v>45975</v>
      </c>
      <c r="G185" s="8" t="s">
        <v>683</v>
      </c>
      <c r="H185" s="8" t="s">
        <v>410</v>
      </c>
      <c r="I185" s="8" t="s">
        <v>411</v>
      </c>
      <c r="J185" s="4"/>
      <c r="K185" s="64">
        <v>182</v>
      </c>
      <c r="L185" s="18" t="s">
        <v>707</v>
      </c>
      <c r="M185" s="19" t="s">
        <v>685</v>
      </c>
      <c r="N185" s="18" t="s">
        <v>306</v>
      </c>
      <c r="O185" s="18">
        <v>1</v>
      </c>
      <c r="P185" s="18" t="s">
        <v>686</v>
      </c>
      <c r="Q185" s="18" t="s">
        <v>708</v>
      </c>
      <c r="R185" s="18" t="s">
        <v>306</v>
      </c>
      <c r="S185" s="18"/>
      <c r="T185" s="18" t="str">
        <f t="shared" si="4"/>
        <v>Historical</v>
      </c>
      <c r="U185" s="18" t="str">
        <f t="shared" si="5"/>
        <v/>
      </c>
    </row>
    <row r="186" spans="1:21">
      <c r="A186" s="10">
        <v>46054</v>
      </c>
      <c r="B186" s="4" t="s">
        <v>77</v>
      </c>
      <c r="C186" s="4" t="s">
        <v>706</v>
      </c>
      <c r="D186" s="8">
        <v>2</v>
      </c>
      <c r="E186" s="5">
        <v>46053</v>
      </c>
      <c r="F186" s="5">
        <v>46054</v>
      </c>
      <c r="G186" s="8" t="s">
        <v>683</v>
      </c>
      <c r="H186" s="8" t="s">
        <v>419</v>
      </c>
      <c r="I186" s="8" t="s">
        <v>411</v>
      </c>
      <c r="J186" s="4"/>
      <c r="K186" s="64">
        <v>183</v>
      </c>
      <c r="L186" s="18" t="s">
        <v>709</v>
      </c>
      <c r="M186" s="19" t="s">
        <v>685</v>
      </c>
      <c r="N186" s="18" t="s">
        <v>306</v>
      </c>
      <c r="O186" s="18">
        <v>1</v>
      </c>
      <c r="P186" s="18" t="s">
        <v>686</v>
      </c>
      <c r="Q186" s="18" t="s">
        <v>708</v>
      </c>
      <c r="R186" s="18" t="s">
        <v>306</v>
      </c>
      <c r="S186" s="18">
        <v>1</v>
      </c>
      <c r="T186" s="18" t="str">
        <f t="shared" si="4"/>
        <v>Historical</v>
      </c>
      <c r="U186" s="18" t="str">
        <f t="shared" si="5"/>
        <v/>
      </c>
    </row>
    <row r="187" spans="1:21">
      <c r="A187" s="10">
        <v>46126</v>
      </c>
      <c r="B187" s="4" t="s">
        <v>77</v>
      </c>
      <c r="C187" s="4" t="s">
        <v>706</v>
      </c>
      <c r="D187" s="8">
        <v>3</v>
      </c>
      <c r="E187" s="5">
        <v>46121</v>
      </c>
      <c r="F187" s="5">
        <v>46123</v>
      </c>
      <c r="G187" s="8" t="s">
        <v>683</v>
      </c>
      <c r="H187" s="8" t="s">
        <v>419</v>
      </c>
      <c r="I187" s="8" t="s">
        <v>411</v>
      </c>
      <c r="J187" s="4"/>
      <c r="K187" s="64">
        <v>184</v>
      </c>
      <c r="L187" s="18" t="s">
        <v>710</v>
      </c>
      <c r="M187" s="19" t="s">
        <v>685</v>
      </c>
      <c r="N187" s="18" t="s">
        <v>306</v>
      </c>
      <c r="O187" s="18">
        <v>1</v>
      </c>
      <c r="P187" s="18" t="s">
        <v>686</v>
      </c>
      <c r="Q187" s="18" t="s">
        <v>708</v>
      </c>
      <c r="R187" s="18" t="s">
        <v>306</v>
      </c>
      <c r="S187" s="18">
        <v>2</v>
      </c>
      <c r="T187" s="18" t="str">
        <f t="shared" si="4"/>
        <v>Current</v>
      </c>
      <c r="U187" s="18" t="str">
        <f t="shared" si="5"/>
        <v>Reese Reed|Pull Request Review</v>
      </c>
    </row>
    <row r="188" spans="1:21">
      <c r="A188" s="10">
        <v>45966</v>
      </c>
      <c r="B188" s="4" t="s">
        <v>77</v>
      </c>
      <c r="C188" s="4" t="s">
        <v>711</v>
      </c>
      <c r="D188" s="8">
        <v>3</v>
      </c>
      <c r="E188" s="5">
        <v>45965</v>
      </c>
      <c r="F188" s="5">
        <v>45968</v>
      </c>
      <c r="G188" s="8" t="s">
        <v>683</v>
      </c>
      <c r="H188" s="8" t="s">
        <v>410</v>
      </c>
      <c r="I188" s="8" t="s">
        <v>411</v>
      </c>
      <c r="J188" s="4"/>
      <c r="K188" s="64">
        <v>185</v>
      </c>
      <c r="L188" s="18" t="s">
        <v>712</v>
      </c>
      <c r="M188" s="19" t="s">
        <v>685</v>
      </c>
      <c r="N188" s="18" t="s">
        <v>306</v>
      </c>
      <c r="O188" s="18">
        <v>1</v>
      </c>
      <c r="P188" s="18" t="s">
        <v>686</v>
      </c>
      <c r="Q188" s="18" t="s">
        <v>713</v>
      </c>
      <c r="R188" s="18" t="s">
        <v>306</v>
      </c>
      <c r="S188" s="18"/>
      <c r="T188" s="18" t="str">
        <f t="shared" si="4"/>
        <v>Current</v>
      </c>
      <c r="U188" s="18" t="str">
        <f t="shared" si="5"/>
        <v>Reese Reed|Unit Testing</v>
      </c>
    </row>
    <row r="189" spans="1:21">
      <c r="A189" s="10">
        <v>45718</v>
      </c>
      <c r="B189" s="4" t="s">
        <v>77</v>
      </c>
      <c r="C189" s="4" t="s">
        <v>438</v>
      </c>
      <c r="D189" s="8">
        <v>2</v>
      </c>
      <c r="E189" s="5">
        <v>45713</v>
      </c>
      <c r="F189" s="5">
        <v>45716</v>
      </c>
      <c r="G189" s="8" t="s">
        <v>683</v>
      </c>
      <c r="H189" s="8" t="s">
        <v>410</v>
      </c>
      <c r="I189" s="8" t="s">
        <v>411</v>
      </c>
      <c r="J189" s="4"/>
      <c r="K189" s="64">
        <v>186</v>
      </c>
      <c r="L189" s="18" t="s">
        <v>714</v>
      </c>
      <c r="M189" s="19" t="s">
        <v>685</v>
      </c>
      <c r="N189" s="18" t="s">
        <v>306</v>
      </c>
      <c r="O189" s="18">
        <v>1</v>
      </c>
      <c r="P189" s="18" t="s">
        <v>686</v>
      </c>
      <c r="Q189" s="18" t="s">
        <v>440</v>
      </c>
      <c r="R189" s="18" t="s">
        <v>213</v>
      </c>
      <c r="S189" s="18"/>
      <c r="T189" s="18" t="str">
        <f t="shared" si="4"/>
        <v>Current</v>
      </c>
      <c r="U189" s="18" t="str">
        <f t="shared" si="5"/>
        <v>Reese Reed|Data Privacy &amp; Acceptable Use</v>
      </c>
    </row>
    <row r="190" spans="1:21">
      <c r="A190" s="10">
        <v>46115</v>
      </c>
      <c r="B190" s="4" t="s">
        <v>80</v>
      </c>
      <c r="C190" s="4" t="s">
        <v>696</v>
      </c>
      <c r="D190" s="8">
        <v>1</v>
      </c>
      <c r="E190" s="5">
        <v>46114</v>
      </c>
      <c r="F190" s="5">
        <v>46116</v>
      </c>
      <c r="G190" s="8" t="s">
        <v>683</v>
      </c>
      <c r="H190" s="8" t="s">
        <v>410</v>
      </c>
      <c r="I190" s="8" t="s">
        <v>411</v>
      </c>
      <c r="J190" s="4"/>
      <c r="K190" s="64">
        <v>187</v>
      </c>
      <c r="L190" s="18" t="s">
        <v>715</v>
      </c>
      <c r="M190" s="19" t="s">
        <v>716</v>
      </c>
      <c r="N190" s="18" t="s">
        <v>306</v>
      </c>
      <c r="O190" s="18">
        <v>2</v>
      </c>
      <c r="P190" s="18" t="s">
        <v>717</v>
      </c>
      <c r="Q190" s="18" t="s">
        <v>698</v>
      </c>
      <c r="R190" s="18" t="s">
        <v>306</v>
      </c>
      <c r="S190" s="18"/>
      <c r="T190" s="18" t="str">
        <f t="shared" si="4"/>
        <v>Historical</v>
      </c>
      <c r="U190" s="18" t="str">
        <f t="shared" si="5"/>
        <v/>
      </c>
    </row>
    <row r="191" spans="1:21">
      <c r="A191" s="10">
        <v>46229</v>
      </c>
      <c r="B191" s="4" t="s">
        <v>80</v>
      </c>
      <c r="C191" s="4" t="s">
        <v>696</v>
      </c>
      <c r="D191" s="8">
        <v>2</v>
      </c>
      <c r="E191" s="5">
        <v>46227</v>
      </c>
      <c r="F191" s="5">
        <v>46227</v>
      </c>
      <c r="G191" s="8" t="s">
        <v>683</v>
      </c>
      <c r="H191" s="8" t="s">
        <v>419</v>
      </c>
      <c r="I191" s="8" t="s">
        <v>411</v>
      </c>
      <c r="J191" s="4"/>
      <c r="K191" s="64">
        <v>188</v>
      </c>
      <c r="L191" s="18" t="s">
        <v>718</v>
      </c>
      <c r="M191" s="19" t="s">
        <v>716</v>
      </c>
      <c r="N191" s="18" t="s">
        <v>306</v>
      </c>
      <c r="O191" s="18">
        <v>2</v>
      </c>
      <c r="P191" s="18" t="s">
        <v>717</v>
      </c>
      <c r="Q191" s="18" t="s">
        <v>698</v>
      </c>
      <c r="R191" s="18" t="s">
        <v>306</v>
      </c>
      <c r="S191" s="18">
        <v>1</v>
      </c>
      <c r="T191" s="18" t="str">
        <f t="shared" si="4"/>
        <v>Historical</v>
      </c>
      <c r="U191" s="18" t="str">
        <f t="shared" si="5"/>
        <v/>
      </c>
    </row>
    <row r="192" spans="1:21">
      <c r="A192" s="10">
        <v>46243</v>
      </c>
      <c r="B192" s="4" t="s">
        <v>80</v>
      </c>
      <c r="C192" s="4" t="s">
        <v>696</v>
      </c>
      <c r="D192" s="8">
        <v>3</v>
      </c>
      <c r="E192" s="5">
        <v>46239</v>
      </c>
      <c r="F192" s="5">
        <v>46240</v>
      </c>
      <c r="G192" s="8" t="s">
        <v>683</v>
      </c>
      <c r="H192" s="8" t="s">
        <v>419</v>
      </c>
      <c r="I192" s="8" t="s">
        <v>411</v>
      </c>
      <c r="J192" s="4"/>
      <c r="K192" s="64">
        <v>189</v>
      </c>
      <c r="L192" s="18" t="s">
        <v>719</v>
      </c>
      <c r="M192" s="19" t="s">
        <v>716</v>
      </c>
      <c r="N192" s="18" t="s">
        <v>306</v>
      </c>
      <c r="O192" s="18">
        <v>2</v>
      </c>
      <c r="P192" s="18" t="s">
        <v>717</v>
      </c>
      <c r="Q192" s="18" t="s">
        <v>698</v>
      </c>
      <c r="R192" s="18" t="s">
        <v>306</v>
      </c>
      <c r="S192" s="18">
        <v>2</v>
      </c>
      <c r="T192" s="18" t="str">
        <f t="shared" si="4"/>
        <v>Current</v>
      </c>
      <c r="U192" s="18" t="str">
        <f t="shared" si="5"/>
        <v>Skyler Ross|Integration Testing</v>
      </c>
    </row>
    <row r="193" spans="1:21">
      <c r="A193" s="10">
        <v>46042</v>
      </c>
      <c r="B193" s="4" t="s">
        <v>80</v>
      </c>
      <c r="C193" s="4" t="s">
        <v>597</v>
      </c>
      <c r="D193" s="8">
        <v>2</v>
      </c>
      <c r="E193" s="5">
        <v>46037</v>
      </c>
      <c r="F193" s="5">
        <v>46039</v>
      </c>
      <c r="G193" s="8" t="s">
        <v>683</v>
      </c>
      <c r="H193" s="8" t="s">
        <v>410</v>
      </c>
      <c r="I193" s="8" t="s">
        <v>411</v>
      </c>
      <c r="J193" s="4"/>
      <c r="K193" s="64">
        <v>190</v>
      </c>
      <c r="L193" s="18" t="s">
        <v>720</v>
      </c>
      <c r="M193" s="19" t="s">
        <v>716</v>
      </c>
      <c r="N193" s="18" t="s">
        <v>306</v>
      </c>
      <c r="O193" s="18">
        <v>2</v>
      </c>
      <c r="P193" s="18" t="s">
        <v>717</v>
      </c>
      <c r="Q193" s="18" t="s">
        <v>599</v>
      </c>
      <c r="R193" s="18" t="s">
        <v>306</v>
      </c>
      <c r="S193" s="18"/>
      <c r="T193" s="18" t="str">
        <f t="shared" si="4"/>
        <v>Current</v>
      </c>
      <c r="U193" s="18" t="str">
        <f t="shared" si="5"/>
        <v>Skyler Ross|Feature Flag Management</v>
      </c>
    </row>
    <row r="194" spans="1:21">
      <c r="A194" s="10">
        <v>46159</v>
      </c>
      <c r="B194" s="4" t="s">
        <v>80</v>
      </c>
      <c r="C194" s="4" t="s">
        <v>711</v>
      </c>
      <c r="D194" s="8">
        <v>1</v>
      </c>
      <c r="E194" s="5">
        <v>46156</v>
      </c>
      <c r="F194" s="5">
        <v>46158</v>
      </c>
      <c r="G194" s="8" t="s">
        <v>683</v>
      </c>
      <c r="H194" s="8" t="s">
        <v>410</v>
      </c>
      <c r="I194" s="8" t="s">
        <v>411</v>
      </c>
      <c r="J194" s="4"/>
      <c r="K194" s="64">
        <v>191</v>
      </c>
      <c r="L194" s="18" t="s">
        <v>721</v>
      </c>
      <c r="M194" s="19" t="s">
        <v>716</v>
      </c>
      <c r="N194" s="18" t="s">
        <v>306</v>
      </c>
      <c r="O194" s="18">
        <v>2</v>
      </c>
      <c r="P194" s="18" t="s">
        <v>717</v>
      </c>
      <c r="Q194" s="18" t="s">
        <v>713</v>
      </c>
      <c r="R194" s="18" t="s">
        <v>306</v>
      </c>
      <c r="S194" s="18"/>
      <c r="T194" s="18" t="str">
        <f t="shared" si="4"/>
        <v>Historical</v>
      </c>
      <c r="U194" s="18" t="str">
        <f t="shared" si="5"/>
        <v/>
      </c>
    </row>
    <row r="195" spans="1:21">
      <c r="A195" s="10">
        <v>46194</v>
      </c>
      <c r="B195" s="4" t="s">
        <v>80</v>
      </c>
      <c r="C195" s="4" t="s">
        <v>711</v>
      </c>
      <c r="D195" s="8">
        <v>2</v>
      </c>
      <c r="E195" s="5">
        <v>46190</v>
      </c>
      <c r="F195" s="5">
        <v>46190</v>
      </c>
      <c r="G195" s="8" t="s">
        <v>683</v>
      </c>
      <c r="H195" s="8" t="s">
        <v>419</v>
      </c>
      <c r="I195" s="8" t="s">
        <v>411</v>
      </c>
      <c r="J195" s="4"/>
      <c r="K195" s="64">
        <v>192</v>
      </c>
      <c r="L195" s="18" t="s">
        <v>722</v>
      </c>
      <c r="M195" s="19" t="s">
        <v>716</v>
      </c>
      <c r="N195" s="18" t="s">
        <v>306</v>
      </c>
      <c r="O195" s="18">
        <v>2</v>
      </c>
      <c r="P195" s="18" t="s">
        <v>717</v>
      </c>
      <c r="Q195" s="18" t="s">
        <v>713</v>
      </c>
      <c r="R195" s="18" t="s">
        <v>306</v>
      </c>
      <c r="S195" s="18">
        <v>1</v>
      </c>
      <c r="T195" s="18" t="str">
        <f t="shared" si="4"/>
        <v>Historical</v>
      </c>
      <c r="U195" s="18" t="str">
        <f t="shared" si="5"/>
        <v/>
      </c>
    </row>
    <row r="196" spans="1:21">
      <c r="A196" s="10">
        <v>46230</v>
      </c>
      <c r="B196" s="4" t="s">
        <v>80</v>
      </c>
      <c r="C196" s="4" t="s">
        <v>711</v>
      </c>
      <c r="D196" s="8">
        <v>3</v>
      </c>
      <c r="E196" s="5">
        <v>46228</v>
      </c>
      <c r="F196" s="5">
        <v>46231</v>
      </c>
      <c r="G196" s="8" t="s">
        <v>683</v>
      </c>
      <c r="H196" s="8" t="s">
        <v>419</v>
      </c>
      <c r="I196" s="8" t="s">
        <v>411</v>
      </c>
      <c r="J196" s="4"/>
      <c r="K196" s="64">
        <v>193</v>
      </c>
      <c r="L196" s="18" t="s">
        <v>723</v>
      </c>
      <c r="M196" s="19" t="s">
        <v>716</v>
      </c>
      <c r="N196" s="18" t="s">
        <v>306</v>
      </c>
      <c r="O196" s="18">
        <v>2</v>
      </c>
      <c r="P196" s="18" t="s">
        <v>717</v>
      </c>
      <c r="Q196" s="18" t="s">
        <v>713</v>
      </c>
      <c r="R196" s="18" t="s">
        <v>306</v>
      </c>
      <c r="S196" s="18">
        <v>2</v>
      </c>
      <c r="T196" s="18" t="str">
        <f t="shared" ref="T196:T259" si="6">IF(B196="","",IF(I196="Yes","Voided",IF(COUNTIFS($B$4:$B$803,B196,$C$4:$C$803,C196,$I$4:$I$803,"&lt;&gt;Yes",$K$4:$K$803,"&gt;"&amp;K196)=0,"Current","Historical")))</f>
        <v>Current</v>
      </c>
      <c r="U196" s="18" t="str">
        <f t="shared" ref="U196:U259" si="7">IF(T196="Current",B196&amp;"|"&amp;C196,"")</f>
        <v>Skyler Ross|Unit Testing</v>
      </c>
    </row>
    <row r="197" spans="1:21">
      <c r="A197" s="10">
        <v>46038</v>
      </c>
      <c r="B197" s="4" t="s">
        <v>80</v>
      </c>
      <c r="C197" s="4" t="s">
        <v>706</v>
      </c>
      <c r="D197" s="8">
        <v>3</v>
      </c>
      <c r="E197" s="5">
        <v>46037</v>
      </c>
      <c r="F197" s="5">
        <v>46040</v>
      </c>
      <c r="G197" s="8" t="s">
        <v>683</v>
      </c>
      <c r="H197" s="8" t="s">
        <v>410</v>
      </c>
      <c r="I197" s="8" t="s">
        <v>411</v>
      </c>
      <c r="J197" s="4"/>
      <c r="K197" s="64">
        <v>194</v>
      </c>
      <c r="L197" s="18" t="s">
        <v>724</v>
      </c>
      <c r="M197" s="19" t="s">
        <v>716</v>
      </c>
      <c r="N197" s="18" t="s">
        <v>306</v>
      </c>
      <c r="O197" s="18">
        <v>2</v>
      </c>
      <c r="P197" s="18" t="s">
        <v>717</v>
      </c>
      <c r="Q197" s="18" t="s">
        <v>708</v>
      </c>
      <c r="R197" s="18" t="s">
        <v>306</v>
      </c>
      <c r="S197" s="18"/>
      <c r="T197" s="18" t="str">
        <f t="shared" si="6"/>
        <v>Current</v>
      </c>
      <c r="U197" s="18" t="str">
        <f t="shared" si="7"/>
        <v>Skyler Ross|Pull Request Review</v>
      </c>
    </row>
    <row r="198" spans="1:21">
      <c r="A198" s="10">
        <v>46213</v>
      </c>
      <c r="B198" s="4" t="s">
        <v>80</v>
      </c>
      <c r="C198" s="4" t="s">
        <v>725</v>
      </c>
      <c r="D198" s="8">
        <v>1</v>
      </c>
      <c r="E198" s="5">
        <v>46212</v>
      </c>
      <c r="F198" s="5">
        <v>46215</v>
      </c>
      <c r="G198" s="8" t="s">
        <v>683</v>
      </c>
      <c r="H198" s="8" t="s">
        <v>410</v>
      </c>
      <c r="I198" s="8" t="s">
        <v>411</v>
      </c>
      <c r="J198" s="4"/>
      <c r="K198" s="64">
        <v>195</v>
      </c>
      <c r="L198" s="18" t="s">
        <v>726</v>
      </c>
      <c r="M198" s="19" t="s">
        <v>716</v>
      </c>
      <c r="N198" s="18" t="s">
        <v>306</v>
      </c>
      <c r="O198" s="18">
        <v>2</v>
      </c>
      <c r="P198" s="18" t="s">
        <v>717</v>
      </c>
      <c r="Q198" s="18" t="s">
        <v>727</v>
      </c>
      <c r="R198" s="18" t="s">
        <v>306</v>
      </c>
      <c r="S198" s="18"/>
      <c r="T198" s="18" t="str">
        <f t="shared" si="6"/>
        <v>Current</v>
      </c>
      <c r="U198" s="18" t="str">
        <f t="shared" si="7"/>
        <v>Skyler Ross|Release Branching</v>
      </c>
    </row>
    <row r="199" spans="1:21">
      <c r="A199" s="10">
        <v>45936</v>
      </c>
      <c r="B199" s="4" t="s">
        <v>80</v>
      </c>
      <c r="C199" s="4" t="s">
        <v>682</v>
      </c>
      <c r="D199" s="8">
        <v>2</v>
      </c>
      <c r="E199" s="5">
        <v>45931</v>
      </c>
      <c r="F199" s="5">
        <v>45934</v>
      </c>
      <c r="G199" s="8" t="s">
        <v>683</v>
      </c>
      <c r="H199" s="8" t="s">
        <v>410</v>
      </c>
      <c r="I199" s="8" t="s">
        <v>411</v>
      </c>
      <c r="J199" s="4"/>
      <c r="K199" s="64">
        <v>196</v>
      </c>
      <c r="L199" s="18" t="s">
        <v>728</v>
      </c>
      <c r="M199" s="19" t="s">
        <v>716</v>
      </c>
      <c r="N199" s="18" t="s">
        <v>306</v>
      </c>
      <c r="O199" s="18">
        <v>2</v>
      </c>
      <c r="P199" s="18" t="s">
        <v>717</v>
      </c>
      <c r="Q199" s="18" t="s">
        <v>687</v>
      </c>
      <c r="R199" s="18" t="s">
        <v>306</v>
      </c>
      <c r="S199" s="18"/>
      <c r="T199" s="18" t="str">
        <f t="shared" si="6"/>
        <v>Current</v>
      </c>
      <c r="U199" s="18" t="str">
        <f t="shared" si="7"/>
        <v>Skyler Ross|Deployment Procedures</v>
      </c>
    </row>
    <row r="200" spans="1:21">
      <c r="A200" s="10">
        <v>45775</v>
      </c>
      <c r="B200" s="4" t="s">
        <v>80</v>
      </c>
      <c r="C200" s="4" t="s">
        <v>692</v>
      </c>
      <c r="D200" s="8">
        <v>3</v>
      </c>
      <c r="E200" s="5">
        <v>45773</v>
      </c>
      <c r="F200" s="5">
        <v>45776</v>
      </c>
      <c r="G200" s="8" t="s">
        <v>683</v>
      </c>
      <c r="H200" s="8" t="s">
        <v>410</v>
      </c>
      <c r="I200" s="8" t="s">
        <v>411</v>
      </c>
      <c r="J200" s="4"/>
      <c r="K200" s="64">
        <v>197</v>
      </c>
      <c r="L200" s="18" t="s">
        <v>729</v>
      </c>
      <c r="M200" s="19" t="s">
        <v>716</v>
      </c>
      <c r="N200" s="18" t="s">
        <v>306</v>
      </c>
      <c r="O200" s="18">
        <v>2</v>
      </c>
      <c r="P200" s="18" t="s">
        <v>717</v>
      </c>
      <c r="Q200" s="18" t="s">
        <v>694</v>
      </c>
      <c r="R200" s="18" t="s">
        <v>306</v>
      </c>
      <c r="S200" s="18"/>
      <c r="T200" s="18" t="str">
        <f t="shared" si="6"/>
        <v>Current</v>
      </c>
      <c r="U200" s="18" t="str">
        <f t="shared" si="7"/>
        <v>Skyler Ross|Secure Coding Basics</v>
      </c>
    </row>
    <row r="201" spans="1:21">
      <c r="A201" s="10">
        <v>46003</v>
      </c>
      <c r="B201" s="4" t="s">
        <v>80</v>
      </c>
      <c r="C201" s="4" t="s">
        <v>730</v>
      </c>
      <c r="D201" s="8">
        <v>1</v>
      </c>
      <c r="E201" s="5">
        <v>45998</v>
      </c>
      <c r="F201" s="5">
        <v>45999</v>
      </c>
      <c r="G201" s="8" t="s">
        <v>683</v>
      </c>
      <c r="H201" s="8" t="s">
        <v>410</v>
      </c>
      <c r="I201" s="8" t="s">
        <v>411</v>
      </c>
      <c r="J201" s="4"/>
      <c r="K201" s="64">
        <v>198</v>
      </c>
      <c r="L201" s="18" t="s">
        <v>731</v>
      </c>
      <c r="M201" s="19" t="s">
        <v>716</v>
      </c>
      <c r="N201" s="18" t="s">
        <v>306</v>
      </c>
      <c r="O201" s="18">
        <v>2</v>
      </c>
      <c r="P201" s="18" t="s">
        <v>717</v>
      </c>
      <c r="Q201" s="18" t="s">
        <v>732</v>
      </c>
      <c r="R201" s="18" t="s">
        <v>311</v>
      </c>
      <c r="S201" s="18"/>
      <c r="T201" s="18" t="str">
        <f t="shared" si="6"/>
        <v>Current</v>
      </c>
      <c r="U201" s="18" t="str">
        <f t="shared" si="7"/>
        <v>Skyler Ross|Security Case Documentation</v>
      </c>
    </row>
    <row r="202" spans="1:21">
      <c r="A202" s="10">
        <v>46141</v>
      </c>
      <c r="B202" s="4" t="s">
        <v>80</v>
      </c>
      <c r="C202" s="4" t="s">
        <v>733</v>
      </c>
      <c r="D202" s="8">
        <v>3</v>
      </c>
      <c r="E202" s="5">
        <v>46138</v>
      </c>
      <c r="F202" s="5">
        <v>46141</v>
      </c>
      <c r="G202" s="8" t="s">
        <v>683</v>
      </c>
      <c r="H202" s="8" t="s">
        <v>410</v>
      </c>
      <c r="I202" s="8" t="s">
        <v>411</v>
      </c>
      <c r="J202" s="4"/>
      <c r="K202" s="64">
        <v>199</v>
      </c>
      <c r="L202" s="18" t="s">
        <v>734</v>
      </c>
      <c r="M202" s="19" t="s">
        <v>716</v>
      </c>
      <c r="N202" s="18" t="s">
        <v>306</v>
      </c>
      <c r="O202" s="18">
        <v>2</v>
      </c>
      <c r="P202" s="18" t="s">
        <v>717</v>
      </c>
      <c r="Q202" s="18" t="s">
        <v>735</v>
      </c>
      <c r="R202" s="18" t="s">
        <v>311</v>
      </c>
      <c r="S202" s="18"/>
      <c r="T202" s="18" t="str">
        <f t="shared" si="6"/>
        <v>Current</v>
      </c>
      <c r="U202" s="18" t="str">
        <f t="shared" si="7"/>
        <v>Skyler Ross|Web Application Security Review</v>
      </c>
    </row>
    <row r="203" spans="1:21">
      <c r="A203" s="10">
        <v>45710</v>
      </c>
      <c r="B203" s="4" t="s">
        <v>80</v>
      </c>
      <c r="C203" s="4" t="s">
        <v>586</v>
      </c>
      <c r="D203" s="8">
        <v>1</v>
      </c>
      <c r="E203" s="5">
        <v>45709</v>
      </c>
      <c r="F203" s="5">
        <v>45711</v>
      </c>
      <c r="G203" s="8" t="s">
        <v>683</v>
      </c>
      <c r="H203" s="8" t="s">
        <v>410</v>
      </c>
      <c r="I203" s="8" t="s">
        <v>411</v>
      </c>
      <c r="J203" s="4"/>
      <c r="K203" s="64">
        <v>200</v>
      </c>
      <c r="L203" s="18" t="s">
        <v>736</v>
      </c>
      <c r="M203" s="19" t="s">
        <v>716</v>
      </c>
      <c r="N203" s="18" t="s">
        <v>306</v>
      </c>
      <c r="O203" s="18">
        <v>2</v>
      </c>
      <c r="P203" s="18" t="s">
        <v>717</v>
      </c>
      <c r="Q203" s="18" t="s">
        <v>588</v>
      </c>
      <c r="R203" s="18" t="s">
        <v>305</v>
      </c>
      <c r="S203" s="18"/>
      <c r="T203" s="18" t="str">
        <f t="shared" si="6"/>
        <v>Current</v>
      </c>
      <c r="U203" s="18" t="str">
        <f t="shared" si="7"/>
        <v>Skyler Ross|Windows Server Administration</v>
      </c>
    </row>
    <row r="204" spans="1:21">
      <c r="A204" s="10">
        <v>45908</v>
      </c>
      <c r="B204" s="4" t="s">
        <v>80</v>
      </c>
      <c r="C204" s="4" t="s">
        <v>468</v>
      </c>
      <c r="D204" s="8">
        <v>1</v>
      </c>
      <c r="E204" s="5">
        <v>45903</v>
      </c>
      <c r="F204" s="5">
        <v>45904</v>
      </c>
      <c r="G204" s="8" t="s">
        <v>683</v>
      </c>
      <c r="H204" s="8" t="s">
        <v>410</v>
      </c>
      <c r="I204" s="8" t="s">
        <v>411</v>
      </c>
      <c r="J204" s="4"/>
      <c r="K204" s="64">
        <v>201</v>
      </c>
      <c r="L204" s="18" t="s">
        <v>737</v>
      </c>
      <c r="M204" s="19" t="s">
        <v>716</v>
      </c>
      <c r="N204" s="18" t="s">
        <v>306</v>
      </c>
      <c r="O204" s="18">
        <v>2</v>
      </c>
      <c r="P204" s="18" t="s">
        <v>717</v>
      </c>
      <c r="Q204" s="18" t="s">
        <v>470</v>
      </c>
      <c r="R204" s="18" t="s">
        <v>213</v>
      </c>
      <c r="S204" s="18"/>
      <c r="T204" s="18" t="str">
        <f t="shared" si="6"/>
        <v>Historical</v>
      </c>
      <c r="U204" s="18" t="str">
        <f t="shared" si="7"/>
        <v/>
      </c>
    </row>
    <row r="205" spans="1:21">
      <c r="A205" s="10">
        <v>45976</v>
      </c>
      <c r="B205" s="4" t="s">
        <v>80</v>
      </c>
      <c r="C205" s="4" t="s">
        <v>468</v>
      </c>
      <c r="D205" s="8">
        <v>2</v>
      </c>
      <c r="E205" s="5">
        <v>45972</v>
      </c>
      <c r="F205" s="5">
        <v>45974</v>
      </c>
      <c r="G205" s="8" t="s">
        <v>683</v>
      </c>
      <c r="H205" s="8" t="s">
        <v>419</v>
      </c>
      <c r="I205" s="8" t="s">
        <v>411</v>
      </c>
      <c r="J205" s="4"/>
      <c r="K205" s="64">
        <v>202</v>
      </c>
      <c r="L205" s="18" t="s">
        <v>738</v>
      </c>
      <c r="M205" s="19" t="s">
        <v>716</v>
      </c>
      <c r="N205" s="18" t="s">
        <v>306</v>
      </c>
      <c r="O205" s="18">
        <v>2</v>
      </c>
      <c r="P205" s="18" t="s">
        <v>717</v>
      </c>
      <c r="Q205" s="18" t="s">
        <v>470</v>
      </c>
      <c r="R205" s="18" t="s">
        <v>213</v>
      </c>
      <c r="S205" s="18">
        <v>1</v>
      </c>
      <c r="T205" s="18" t="str">
        <f t="shared" si="6"/>
        <v>Historical</v>
      </c>
      <c r="U205" s="18" t="str">
        <f t="shared" si="7"/>
        <v/>
      </c>
    </row>
    <row r="206" spans="1:21">
      <c r="A206" s="10">
        <v>46082</v>
      </c>
      <c r="B206" s="4" t="s">
        <v>80</v>
      </c>
      <c r="C206" s="4" t="s">
        <v>468</v>
      </c>
      <c r="D206" s="8">
        <v>3</v>
      </c>
      <c r="E206" s="5">
        <v>46077</v>
      </c>
      <c r="F206" s="5">
        <v>46080</v>
      </c>
      <c r="G206" s="8" t="s">
        <v>683</v>
      </c>
      <c r="H206" s="8" t="s">
        <v>419</v>
      </c>
      <c r="I206" s="8" t="s">
        <v>411</v>
      </c>
      <c r="J206" s="4"/>
      <c r="K206" s="64">
        <v>203</v>
      </c>
      <c r="L206" s="18" t="s">
        <v>739</v>
      </c>
      <c r="M206" s="19" t="s">
        <v>716</v>
      </c>
      <c r="N206" s="18" t="s">
        <v>306</v>
      </c>
      <c r="O206" s="18">
        <v>2</v>
      </c>
      <c r="P206" s="18" t="s">
        <v>717</v>
      </c>
      <c r="Q206" s="18" t="s">
        <v>470</v>
      </c>
      <c r="R206" s="18" t="s">
        <v>213</v>
      </c>
      <c r="S206" s="18">
        <v>2</v>
      </c>
      <c r="T206" s="18" t="str">
        <f t="shared" si="6"/>
        <v>Current</v>
      </c>
      <c r="U206" s="18" t="str">
        <f t="shared" si="7"/>
        <v>Skyler Ross|Business Continuity Basics</v>
      </c>
    </row>
    <row r="207" spans="1:21">
      <c r="A207" s="10">
        <v>46044</v>
      </c>
      <c r="B207" s="4" t="s">
        <v>83</v>
      </c>
      <c r="C207" s="4" t="s">
        <v>711</v>
      </c>
      <c r="D207" s="8">
        <v>1</v>
      </c>
      <c r="E207" s="5">
        <v>46039</v>
      </c>
      <c r="F207" s="5">
        <v>46041</v>
      </c>
      <c r="G207" s="8" t="s">
        <v>683</v>
      </c>
      <c r="H207" s="8" t="s">
        <v>410</v>
      </c>
      <c r="I207" s="8" t="s">
        <v>411</v>
      </c>
      <c r="J207" s="4"/>
      <c r="K207" s="64">
        <v>204</v>
      </c>
      <c r="L207" s="18" t="s">
        <v>740</v>
      </c>
      <c r="M207" s="19" t="s">
        <v>741</v>
      </c>
      <c r="N207" s="18" t="s">
        <v>306</v>
      </c>
      <c r="O207" s="18">
        <v>3</v>
      </c>
      <c r="P207" s="18" t="s">
        <v>742</v>
      </c>
      <c r="Q207" s="18" t="s">
        <v>713</v>
      </c>
      <c r="R207" s="18" t="s">
        <v>306</v>
      </c>
      <c r="S207" s="18"/>
      <c r="T207" s="18" t="str">
        <f t="shared" si="6"/>
        <v>Historical</v>
      </c>
      <c r="U207" s="18" t="str">
        <f t="shared" si="7"/>
        <v/>
      </c>
    </row>
    <row r="208" spans="1:21">
      <c r="A208" s="10">
        <v>46070</v>
      </c>
      <c r="B208" s="4" t="s">
        <v>83</v>
      </c>
      <c r="C208" s="4" t="s">
        <v>711</v>
      </c>
      <c r="D208" s="8">
        <v>2</v>
      </c>
      <c r="E208" s="5">
        <v>46066</v>
      </c>
      <c r="F208" s="5">
        <v>46068</v>
      </c>
      <c r="G208" s="8" t="s">
        <v>683</v>
      </c>
      <c r="H208" s="8" t="s">
        <v>419</v>
      </c>
      <c r="I208" s="8" t="s">
        <v>411</v>
      </c>
      <c r="J208" s="4"/>
      <c r="K208" s="64">
        <v>205</v>
      </c>
      <c r="L208" s="18" t="s">
        <v>743</v>
      </c>
      <c r="M208" s="19" t="s">
        <v>741</v>
      </c>
      <c r="N208" s="18" t="s">
        <v>306</v>
      </c>
      <c r="O208" s="18">
        <v>3</v>
      </c>
      <c r="P208" s="18" t="s">
        <v>742</v>
      </c>
      <c r="Q208" s="18" t="s">
        <v>713</v>
      </c>
      <c r="R208" s="18" t="s">
        <v>306</v>
      </c>
      <c r="S208" s="18">
        <v>1</v>
      </c>
      <c r="T208" s="18" t="str">
        <f t="shared" si="6"/>
        <v>Historical</v>
      </c>
      <c r="U208" s="18" t="str">
        <f t="shared" si="7"/>
        <v/>
      </c>
    </row>
    <row r="209" spans="1:21">
      <c r="A209" s="10">
        <v>46111</v>
      </c>
      <c r="B209" s="4" t="s">
        <v>83</v>
      </c>
      <c r="C209" s="4" t="s">
        <v>711</v>
      </c>
      <c r="D209" s="8">
        <v>3</v>
      </c>
      <c r="E209" s="5">
        <v>46110</v>
      </c>
      <c r="F209" s="5">
        <v>46113</v>
      </c>
      <c r="G209" s="8" t="s">
        <v>683</v>
      </c>
      <c r="H209" s="8" t="s">
        <v>419</v>
      </c>
      <c r="I209" s="8" t="s">
        <v>411</v>
      </c>
      <c r="J209" s="4"/>
      <c r="K209" s="64">
        <v>206</v>
      </c>
      <c r="L209" s="18" t="s">
        <v>744</v>
      </c>
      <c r="M209" s="19" t="s">
        <v>741</v>
      </c>
      <c r="N209" s="18" t="s">
        <v>306</v>
      </c>
      <c r="O209" s="18">
        <v>3</v>
      </c>
      <c r="P209" s="18" t="s">
        <v>742</v>
      </c>
      <c r="Q209" s="18" t="s">
        <v>713</v>
      </c>
      <c r="R209" s="18" t="s">
        <v>306</v>
      </c>
      <c r="S209" s="18">
        <v>2</v>
      </c>
      <c r="T209" s="18" t="str">
        <f t="shared" si="6"/>
        <v>Current</v>
      </c>
      <c r="U209" s="18" t="str">
        <f t="shared" si="7"/>
        <v>Hayden Butler|Unit Testing</v>
      </c>
    </row>
    <row r="210" spans="1:21">
      <c r="A210" s="10">
        <v>45885</v>
      </c>
      <c r="B210" s="4" t="s">
        <v>83</v>
      </c>
      <c r="C210" s="4" t="s">
        <v>696</v>
      </c>
      <c r="D210" s="8">
        <v>1</v>
      </c>
      <c r="E210" s="5">
        <v>45880</v>
      </c>
      <c r="F210" s="5">
        <v>45880</v>
      </c>
      <c r="G210" s="8" t="s">
        <v>683</v>
      </c>
      <c r="H210" s="8" t="s">
        <v>410</v>
      </c>
      <c r="I210" s="8" t="s">
        <v>411</v>
      </c>
      <c r="J210" s="4"/>
      <c r="K210" s="64">
        <v>207</v>
      </c>
      <c r="L210" s="18" t="s">
        <v>745</v>
      </c>
      <c r="M210" s="19" t="s">
        <v>741</v>
      </c>
      <c r="N210" s="18" t="s">
        <v>306</v>
      </c>
      <c r="O210" s="18">
        <v>3</v>
      </c>
      <c r="P210" s="18" t="s">
        <v>742</v>
      </c>
      <c r="Q210" s="18" t="s">
        <v>698</v>
      </c>
      <c r="R210" s="18" t="s">
        <v>306</v>
      </c>
      <c r="S210" s="18"/>
      <c r="T210" s="18" t="str">
        <f t="shared" si="6"/>
        <v>Current</v>
      </c>
      <c r="U210" s="18" t="str">
        <f t="shared" si="7"/>
        <v>Hayden Butler|Integration Testing</v>
      </c>
    </row>
    <row r="211" spans="1:21">
      <c r="A211" s="10">
        <v>46006</v>
      </c>
      <c r="B211" s="4" t="s">
        <v>83</v>
      </c>
      <c r="C211" s="4" t="s">
        <v>682</v>
      </c>
      <c r="D211" s="8">
        <v>1</v>
      </c>
      <c r="E211" s="5">
        <v>46004</v>
      </c>
      <c r="F211" s="5">
        <v>46005</v>
      </c>
      <c r="G211" s="8" t="s">
        <v>683</v>
      </c>
      <c r="H211" s="8" t="s">
        <v>410</v>
      </c>
      <c r="I211" s="8" t="s">
        <v>411</v>
      </c>
      <c r="J211" s="4"/>
      <c r="K211" s="64">
        <v>208</v>
      </c>
      <c r="L211" s="18" t="s">
        <v>746</v>
      </c>
      <c r="M211" s="19" t="s">
        <v>741</v>
      </c>
      <c r="N211" s="18" t="s">
        <v>306</v>
      </c>
      <c r="O211" s="18">
        <v>3</v>
      </c>
      <c r="P211" s="18" t="s">
        <v>742</v>
      </c>
      <c r="Q211" s="18" t="s">
        <v>687</v>
      </c>
      <c r="R211" s="18" t="s">
        <v>306</v>
      </c>
      <c r="S211" s="18"/>
      <c r="T211" s="18" t="str">
        <f t="shared" si="6"/>
        <v>Current</v>
      </c>
      <c r="U211" s="18" t="str">
        <f t="shared" si="7"/>
        <v>Hayden Butler|Deployment Procedures</v>
      </c>
    </row>
    <row r="212" spans="1:21">
      <c r="A212" s="10">
        <v>45880</v>
      </c>
      <c r="B212" s="4" t="s">
        <v>83</v>
      </c>
      <c r="C212" s="4" t="s">
        <v>701</v>
      </c>
      <c r="D212" s="8">
        <v>1</v>
      </c>
      <c r="E212" s="5">
        <v>45875</v>
      </c>
      <c r="F212" s="5">
        <v>45876</v>
      </c>
      <c r="G212" s="8" t="s">
        <v>683</v>
      </c>
      <c r="H212" s="8" t="s">
        <v>410</v>
      </c>
      <c r="I212" s="8" t="s">
        <v>411</v>
      </c>
      <c r="J212" s="4"/>
      <c r="K212" s="64">
        <v>209</v>
      </c>
      <c r="L212" s="18" t="s">
        <v>747</v>
      </c>
      <c r="M212" s="19" t="s">
        <v>741</v>
      </c>
      <c r="N212" s="18" t="s">
        <v>306</v>
      </c>
      <c r="O212" s="18">
        <v>3</v>
      </c>
      <c r="P212" s="18" t="s">
        <v>742</v>
      </c>
      <c r="Q212" s="18" t="s">
        <v>703</v>
      </c>
      <c r="R212" s="18" t="s">
        <v>306</v>
      </c>
      <c r="S212" s="18"/>
      <c r="T212" s="18" t="str">
        <f t="shared" si="6"/>
        <v>Historical</v>
      </c>
      <c r="U212" s="18" t="str">
        <f t="shared" si="7"/>
        <v/>
      </c>
    </row>
    <row r="213" spans="1:21">
      <c r="A213" s="10">
        <v>45927</v>
      </c>
      <c r="B213" s="4" t="s">
        <v>83</v>
      </c>
      <c r="C213" s="4" t="s">
        <v>701</v>
      </c>
      <c r="D213" s="8">
        <v>2</v>
      </c>
      <c r="E213" s="5">
        <v>45924</v>
      </c>
      <c r="F213" s="5">
        <v>45925</v>
      </c>
      <c r="G213" s="8" t="s">
        <v>683</v>
      </c>
      <c r="H213" s="8" t="s">
        <v>419</v>
      </c>
      <c r="I213" s="8" t="s">
        <v>411</v>
      </c>
      <c r="J213" s="4"/>
      <c r="K213" s="64">
        <v>210</v>
      </c>
      <c r="L213" s="18" t="s">
        <v>748</v>
      </c>
      <c r="M213" s="19" t="s">
        <v>741</v>
      </c>
      <c r="N213" s="18" t="s">
        <v>306</v>
      </c>
      <c r="O213" s="18">
        <v>3</v>
      </c>
      <c r="P213" s="18" t="s">
        <v>742</v>
      </c>
      <c r="Q213" s="18" t="s">
        <v>703</v>
      </c>
      <c r="R213" s="18" t="s">
        <v>306</v>
      </c>
      <c r="S213" s="18">
        <v>1</v>
      </c>
      <c r="T213" s="18" t="str">
        <f t="shared" si="6"/>
        <v>Historical</v>
      </c>
      <c r="U213" s="18" t="str">
        <f t="shared" si="7"/>
        <v/>
      </c>
    </row>
    <row r="214" spans="1:21">
      <c r="A214" s="10">
        <v>46049</v>
      </c>
      <c r="B214" s="4" t="s">
        <v>83</v>
      </c>
      <c r="C214" s="4" t="s">
        <v>701</v>
      </c>
      <c r="D214" s="8">
        <v>3</v>
      </c>
      <c r="E214" s="5">
        <v>46044</v>
      </c>
      <c r="F214" s="5">
        <v>46044</v>
      </c>
      <c r="G214" s="8" t="s">
        <v>683</v>
      </c>
      <c r="H214" s="8" t="s">
        <v>419</v>
      </c>
      <c r="I214" s="8" t="s">
        <v>411</v>
      </c>
      <c r="J214" s="4"/>
      <c r="K214" s="64">
        <v>211</v>
      </c>
      <c r="L214" s="18" t="s">
        <v>749</v>
      </c>
      <c r="M214" s="19" t="s">
        <v>741</v>
      </c>
      <c r="N214" s="18" t="s">
        <v>306</v>
      </c>
      <c r="O214" s="18">
        <v>3</v>
      </c>
      <c r="P214" s="18" t="s">
        <v>742</v>
      </c>
      <c r="Q214" s="18" t="s">
        <v>703</v>
      </c>
      <c r="R214" s="18" t="s">
        <v>306</v>
      </c>
      <c r="S214" s="18">
        <v>2</v>
      </c>
      <c r="T214" s="18" t="str">
        <f t="shared" si="6"/>
        <v>Current</v>
      </c>
      <c r="U214" s="18" t="str">
        <f t="shared" si="7"/>
        <v>Hayden Butler|Git Workflow</v>
      </c>
    </row>
    <row r="215" spans="1:21">
      <c r="A215" s="10">
        <v>45801</v>
      </c>
      <c r="B215" s="4" t="s">
        <v>83</v>
      </c>
      <c r="C215" s="4" t="s">
        <v>725</v>
      </c>
      <c r="D215" s="8">
        <v>2</v>
      </c>
      <c r="E215" s="5">
        <v>45796</v>
      </c>
      <c r="F215" s="5">
        <v>45798</v>
      </c>
      <c r="G215" s="8" t="s">
        <v>683</v>
      </c>
      <c r="H215" s="8" t="s">
        <v>410</v>
      </c>
      <c r="I215" s="8" t="s">
        <v>411</v>
      </c>
      <c r="J215" s="4"/>
      <c r="K215" s="64">
        <v>212</v>
      </c>
      <c r="L215" s="18" t="s">
        <v>750</v>
      </c>
      <c r="M215" s="19" t="s">
        <v>741</v>
      </c>
      <c r="N215" s="18" t="s">
        <v>306</v>
      </c>
      <c r="O215" s="18">
        <v>3</v>
      </c>
      <c r="P215" s="18" t="s">
        <v>742</v>
      </c>
      <c r="Q215" s="18" t="s">
        <v>727</v>
      </c>
      <c r="R215" s="18" t="s">
        <v>306</v>
      </c>
      <c r="S215" s="18"/>
      <c r="T215" s="18" t="str">
        <f t="shared" si="6"/>
        <v>Current</v>
      </c>
      <c r="U215" s="18" t="str">
        <f t="shared" si="7"/>
        <v>Hayden Butler|Release Branching</v>
      </c>
    </row>
    <row r="216" spans="1:21">
      <c r="A216" s="10">
        <v>45691</v>
      </c>
      <c r="B216" s="4" t="s">
        <v>83</v>
      </c>
      <c r="C216" s="4" t="s">
        <v>692</v>
      </c>
      <c r="D216" s="8">
        <v>1</v>
      </c>
      <c r="E216" s="5">
        <v>45689</v>
      </c>
      <c r="F216" s="5">
        <v>45689</v>
      </c>
      <c r="G216" s="8" t="s">
        <v>683</v>
      </c>
      <c r="H216" s="8" t="s">
        <v>410</v>
      </c>
      <c r="I216" s="8" t="s">
        <v>411</v>
      </c>
      <c r="J216" s="4"/>
      <c r="K216" s="64">
        <v>213</v>
      </c>
      <c r="L216" s="18" t="s">
        <v>751</v>
      </c>
      <c r="M216" s="19" t="s">
        <v>741</v>
      </c>
      <c r="N216" s="18" t="s">
        <v>306</v>
      </c>
      <c r="O216" s="18">
        <v>3</v>
      </c>
      <c r="P216" s="18" t="s">
        <v>742</v>
      </c>
      <c r="Q216" s="18" t="s">
        <v>694</v>
      </c>
      <c r="R216" s="18" t="s">
        <v>306</v>
      </c>
      <c r="S216" s="18"/>
      <c r="T216" s="18" t="str">
        <f t="shared" si="6"/>
        <v>Historical</v>
      </c>
      <c r="U216" s="18" t="str">
        <f t="shared" si="7"/>
        <v/>
      </c>
    </row>
    <row r="217" spans="1:21">
      <c r="A217" s="10">
        <v>45756</v>
      </c>
      <c r="B217" s="4" t="s">
        <v>83</v>
      </c>
      <c r="C217" s="4" t="s">
        <v>692</v>
      </c>
      <c r="D217" s="8">
        <v>2</v>
      </c>
      <c r="E217" s="5">
        <v>45754</v>
      </c>
      <c r="F217" s="5">
        <v>45756</v>
      </c>
      <c r="G217" s="8" t="s">
        <v>683</v>
      </c>
      <c r="H217" s="8" t="s">
        <v>419</v>
      </c>
      <c r="I217" s="8" t="s">
        <v>411</v>
      </c>
      <c r="J217" s="4"/>
      <c r="K217" s="64">
        <v>214</v>
      </c>
      <c r="L217" s="18" t="s">
        <v>752</v>
      </c>
      <c r="M217" s="19" t="s">
        <v>741</v>
      </c>
      <c r="N217" s="18" t="s">
        <v>306</v>
      </c>
      <c r="O217" s="18">
        <v>3</v>
      </c>
      <c r="P217" s="18" t="s">
        <v>742</v>
      </c>
      <c r="Q217" s="18" t="s">
        <v>694</v>
      </c>
      <c r="R217" s="18" t="s">
        <v>306</v>
      </c>
      <c r="S217" s="18">
        <v>1</v>
      </c>
      <c r="T217" s="18" t="str">
        <f t="shared" si="6"/>
        <v>Historical</v>
      </c>
      <c r="U217" s="18" t="str">
        <f t="shared" si="7"/>
        <v/>
      </c>
    </row>
    <row r="218" spans="1:21">
      <c r="A218" s="10">
        <v>45778</v>
      </c>
      <c r="B218" s="4" t="s">
        <v>83</v>
      </c>
      <c r="C218" s="4" t="s">
        <v>692</v>
      </c>
      <c r="D218" s="8">
        <v>3</v>
      </c>
      <c r="E218" s="5">
        <v>45776</v>
      </c>
      <c r="F218" s="5">
        <v>45778</v>
      </c>
      <c r="G218" s="8" t="s">
        <v>683</v>
      </c>
      <c r="H218" s="8" t="s">
        <v>419</v>
      </c>
      <c r="I218" s="8" t="s">
        <v>411</v>
      </c>
      <c r="J218" s="4"/>
      <c r="K218" s="64">
        <v>215</v>
      </c>
      <c r="L218" s="18" t="s">
        <v>753</v>
      </c>
      <c r="M218" s="19" t="s">
        <v>741</v>
      </c>
      <c r="N218" s="18" t="s">
        <v>306</v>
      </c>
      <c r="O218" s="18">
        <v>3</v>
      </c>
      <c r="P218" s="18" t="s">
        <v>742</v>
      </c>
      <c r="Q218" s="18" t="s">
        <v>694</v>
      </c>
      <c r="R218" s="18" t="s">
        <v>306</v>
      </c>
      <c r="S218" s="18">
        <v>2</v>
      </c>
      <c r="T218" s="18" t="str">
        <f t="shared" si="6"/>
        <v>Current</v>
      </c>
      <c r="U218" s="18" t="str">
        <f t="shared" si="7"/>
        <v>Hayden Butler|Secure Coding Basics</v>
      </c>
    </row>
    <row r="219" spans="1:21">
      <c r="A219" s="10">
        <v>46099</v>
      </c>
      <c r="B219" s="4" t="s">
        <v>83</v>
      </c>
      <c r="C219" s="4" t="s">
        <v>706</v>
      </c>
      <c r="D219" s="8">
        <v>1</v>
      </c>
      <c r="E219" s="5">
        <v>46094</v>
      </c>
      <c r="F219" s="5">
        <v>46094</v>
      </c>
      <c r="G219" s="8" t="s">
        <v>683</v>
      </c>
      <c r="H219" s="8" t="s">
        <v>410</v>
      </c>
      <c r="I219" s="8" t="s">
        <v>411</v>
      </c>
      <c r="J219" s="4"/>
      <c r="K219" s="64">
        <v>216</v>
      </c>
      <c r="L219" s="18" t="s">
        <v>754</v>
      </c>
      <c r="M219" s="19" t="s">
        <v>741</v>
      </c>
      <c r="N219" s="18" t="s">
        <v>306</v>
      </c>
      <c r="O219" s="18">
        <v>3</v>
      </c>
      <c r="P219" s="18" t="s">
        <v>742</v>
      </c>
      <c r="Q219" s="18" t="s">
        <v>708</v>
      </c>
      <c r="R219" s="18" t="s">
        <v>306</v>
      </c>
      <c r="S219" s="18"/>
      <c r="T219" s="18" t="str">
        <f t="shared" si="6"/>
        <v>Current</v>
      </c>
      <c r="U219" s="18" t="str">
        <f t="shared" si="7"/>
        <v>Hayden Butler|Pull Request Review</v>
      </c>
    </row>
    <row r="220" spans="1:21">
      <c r="A220" s="10">
        <v>46038</v>
      </c>
      <c r="B220" s="4" t="s">
        <v>83</v>
      </c>
      <c r="C220" s="4" t="s">
        <v>597</v>
      </c>
      <c r="D220" s="8">
        <v>1</v>
      </c>
      <c r="E220" s="5">
        <v>46033</v>
      </c>
      <c r="F220" s="5">
        <v>46033</v>
      </c>
      <c r="G220" s="8" t="s">
        <v>683</v>
      </c>
      <c r="H220" s="8" t="s">
        <v>410</v>
      </c>
      <c r="I220" s="8" t="s">
        <v>411</v>
      </c>
      <c r="J220" s="4"/>
      <c r="K220" s="64">
        <v>217</v>
      </c>
      <c r="L220" s="18" t="s">
        <v>755</v>
      </c>
      <c r="M220" s="19" t="s">
        <v>741</v>
      </c>
      <c r="N220" s="18" t="s">
        <v>306</v>
      </c>
      <c r="O220" s="18">
        <v>3</v>
      </c>
      <c r="P220" s="18" t="s">
        <v>742</v>
      </c>
      <c r="Q220" s="18" t="s">
        <v>599</v>
      </c>
      <c r="R220" s="18" t="s">
        <v>306</v>
      </c>
      <c r="S220" s="18"/>
      <c r="T220" s="18" t="str">
        <f t="shared" si="6"/>
        <v>Historical</v>
      </c>
      <c r="U220" s="18" t="str">
        <f t="shared" si="7"/>
        <v/>
      </c>
    </row>
    <row r="221" spans="1:21">
      <c r="A221" s="10">
        <v>46115</v>
      </c>
      <c r="B221" s="4" t="s">
        <v>83</v>
      </c>
      <c r="C221" s="4" t="s">
        <v>597</v>
      </c>
      <c r="D221" s="8">
        <v>2</v>
      </c>
      <c r="E221" s="5">
        <v>46110</v>
      </c>
      <c r="F221" s="5">
        <v>46111</v>
      </c>
      <c r="G221" s="8" t="s">
        <v>683</v>
      </c>
      <c r="H221" s="8" t="s">
        <v>419</v>
      </c>
      <c r="I221" s="8" t="s">
        <v>411</v>
      </c>
      <c r="J221" s="4"/>
      <c r="K221" s="64">
        <v>218</v>
      </c>
      <c r="L221" s="18" t="s">
        <v>756</v>
      </c>
      <c r="M221" s="19" t="s">
        <v>741</v>
      </c>
      <c r="N221" s="18" t="s">
        <v>306</v>
      </c>
      <c r="O221" s="18">
        <v>3</v>
      </c>
      <c r="P221" s="18" t="s">
        <v>742</v>
      </c>
      <c r="Q221" s="18" t="s">
        <v>599</v>
      </c>
      <c r="R221" s="18" t="s">
        <v>306</v>
      </c>
      <c r="S221" s="18">
        <v>1</v>
      </c>
      <c r="T221" s="18" t="str">
        <f t="shared" si="6"/>
        <v>Historical</v>
      </c>
      <c r="U221" s="18" t="str">
        <f t="shared" si="7"/>
        <v/>
      </c>
    </row>
    <row r="222" spans="1:21">
      <c r="A222" s="10">
        <v>46209</v>
      </c>
      <c r="B222" s="4" t="s">
        <v>83</v>
      </c>
      <c r="C222" s="4" t="s">
        <v>597</v>
      </c>
      <c r="D222" s="8">
        <v>3</v>
      </c>
      <c r="E222" s="5">
        <v>46208</v>
      </c>
      <c r="F222" s="5">
        <v>46210</v>
      </c>
      <c r="G222" s="8" t="s">
        <v>683</v>
      </c>
      <c r="H222" s="8" t="s">
        <v>419</v>
      </c>
      <c r="I222" s="8" t="s">
        <v>411</v>
      </c>
      <c r="J222" s="4"/>
      <c r="K222" s="64">
        <v>219</v>
      </c>
      <c r="L222" s="18" t="s">
        <v>757</v>
      </c>
      <c r="M222" s="19" t="s">
        <v>741</v>
      </c>
      <c r="N222" s="18" t="s">
        <v>306</v>
      </c>
      <c r="O222" s="18">
        <v>3</v>
      </c>
      <c r="P222" s="18" t="s">
        <v>742</v>
      </c>
      <c r="Q222" s="18" t="s">
        <v>599</v>
      </c>
      <c r="R222" s="18" t="s">
        <v>306</v>
      </c>
      <c r="S222" s="18">
        <v>2</v>
      </c>
      <c r="T222" s="18" t="str">
        <f t="shared" si="6"/>
        <v>Current</v>
      </c>
      <c r="U222" s="18" t="str">
        <f t="shared" si="7"/>
        <v>Hayden Butler|Feature Flag Management</v>
      </c>
    </row>
    <row r="223" spans="1:21">
      <c r="A223" s="10">
        <v>45729</v>
      </c>
      <c r="B223" s="4" t="s">
        <v>83</v>
      </c>
      <c r="C223" s="4" t="s">
        <v>615</v>
      </c>
      <c r="D223" s="8">
        <v>3</v>
      </c>
      <c r="E223" s="5">
        <v>45725</v>
      </c>
      <c r="F223" s="5">
        <v>45728</v>
      </c>
      <c r="G223" s="8" t="s">
        <v>683</v>
      </c>
      <c r="H223" s="8" t="s">
        <v>410</v>
      </c>
      <c r="I223" s="8" t="s">
        <v>411</v>
      </c>
      <c r="J223" s="4"/>
      <c r="K223" s="64">
        <v>220</v>
      </c>
      <c r="L223" s="18" t="s">
        <v>758</v>
      </c>
      <c r="M223" s="19" t="s">
        <v>741</v>
      </c>
      <c r="N223" s="18" t="s">
        <v>306</v>
      </c>
      <c r="O223" s="18">
        <v>3</v>
      </c>
      <c r="P223" s="18" t="s">
        <v>742</v>
      </c>
      <c r="Q223" s="18" t="s">
        <v>617</v>
      </c>
      <c r="R223" s="18" t="s">
        <v>305</v>
      </c>
      <c r="S223" s="18"/>
      <c r="T223" s="18" t="str">
        <f t="shared" si="6"/>
        <v>Current</v>
      </c>
      <c r="U223" s="18" t="str">
        <f t="shared" si="7"/>
        <v>Hayden Butler|Database Operations</v>
      </c>
    </row>
    <row r="224" spans="1:21">
      <c r="A224" s="10">
        <v>46118</v>
      </c>
      <c r="B224" s="4" t="s">
        <v>83</v>
      </c>
      <c r="C224" s="4" t="s">
        <v>759</v>
      </c>
      <c r="D224" s="8">
        <v>1</v>
      </c>
      <c r="E224" s="5">
        <v>46117</v>
      </c>
      <c r="F224" s="5">
        <v>46117</v>
      </c>
      <c r="G224" s="8" t="s">
        <v>683</v>
      </c>
      <c r="H224" s="8" t="s">
        <v>410</v>
      </c>
      <c r="I224" s="8" t="s">
        <v>411</v>
      </c>
      <c r="J224" s="4"/>
      <c r="K224" s="64">
        <v>221</v>
      </c>
      <c r="L224" s="18" t="s">
        <v>760</v>
      </c>
      <c r="M224" s="19" t="s">
        <v>741</v>
      </c>
      <c r="N224" s="18" t="s">
        <v>306</v>
      </c>
      <c r="O224" s="18">
        <v>3</v>
      </c>
      <c r="P224" s="18" t="s">
        <v>742</v>
      </c>
      <c r="Q224" s="18" t="s">
        <v>761</v>
      </c>
      <c r="R224" s="18" t="s">
        <v>309</v>
      </c>
      <c r="S224" s="18"/>
      <c r="T224" s="18" t="str">
        <f t="shared" si="6"/>
        <v>Historical</v>
      </c>
      <c r="U224" s="18" t="str">
        <f t="shared" si="7"/>
        <v/>
      </c>
    </row>
    <row r="225" spans="1:21">
      <c r="A225" s="10">
        <v>46183</v>
      </c>
      <c r="B225" s="4" t="s">
        <v>83</v>
      </c>
      <c r="C225" s="4" t="s">
        <v>759</v>
      </c>
      <c r="D225" s="8">
        <v>2</v>
      </c>
      <c r="E225" s="5">
        <v>46178</v>
      </c>
      <c r="F225" s="5">
        <v>46179</v>
      </c>
      <c r="G225" s="8" t="s">
        <v>683</v>
      </c>
      <c r="H225" s="8" t="s">
        <v>419</v>
      </c>
      <c r="I225" s="8" t="s">
        <v>411</v>
      </c>
      <c r="J225" s="4"/>
      <c r="K225" s="64">
        <v>222</v>
      </c>
      <c r="L225" s="18" t="s">
        <v>762</v>
      </c>
      <c r="M225" s="19" t="s">
        <v>741</v>
      </c>
      <c r="N225" s="18" t="s">
        <v>306</v>
      </c>
      <c r="O225" s="18">
        <v>3</v>
      </c>
      <c r="P225" s="18" t="s">
        <v>742</v>
      </c>
      <c r="Q225" s="18" t="s">
        <v>761</v>
      </c>
      <c r="R225" s="18" t="s">
        <v>309</v>
      </c>
      <c r="S225" s="18">
        <v>1</v>
      </c>
      <c r="T225" s="18" t="str">
        <f t="shared" si="6"/>
        <v>Current</v>
      </c>
      <c r="U225" s="18" t="str">
        <f t="shared" si="7"/>
        <v>Hayden Butler|SLO &amp; SLI Monitoring</v>
      </c>
    </row>
    <row r="226" spans="1:21">
      <c r="A226" s="10">
        <v>45949</v>
      </c>
      <c r="B226" s="4" t="s">
        <v>83</v>
      </c>
      <c r="C226" s="4" t="s">
        <v>531</v>
      </c>
      <c r="D226" s="8">
        <v>1</v>
      </c>
      <c r="E226" s="5">
        <v>45944</v>
      </c>
      <c r="F226" s="5">
        <v>45946</v>
      </c>
      <c r="G226" s="8" t="s">
        <v>683</v>
      </c>
      <c r="H226" s="8" t="s">
        <v>410</v>
      </c>
      <c r="I226" s="8" t="s">
        <v>411</v>
      </c>
      <c r="J226" s="4"/>
      <c r="K226" s="64">
        <v>223</v>
      </c>
      <c r="L226" s="18" t="s">
        <v>763</v>
      </c>
      <c r="M226" s="19" t="s">
        <v>741</v>
      </c>
      <c r="N226" s="18" t="s">
        <v>306</v>
      </c>
      <c r="O226" s="18">
        <v>3</v>
      </c>
      <c r="P226" s="18" t="s">
        <v>742</v>
      </c>
      <c r="Q226" s="18" t="s">
        <v>533</v>
      </c>
      <c r="R226" s="18" t="s">
        <v>213</v>
      </c>
      <c r="S226" s="18"/>
      <c r="T226" s="18" t="str">
        <f t="shared" si="6"/>
        <v>Current</v>
      </c>
      <c r="U226" s="18" t="str">
        <f t="shared" si="7"/>
        <v>Hayden Butler|Security Awareness</v>
      </c>
    </row>
    <row r="227" spans="1:21">
      <c r="A227" s="10">
        <v>45987</v>
      </c>
      <c r="B227" s="4" t="s">
        <v>86</v>
      </c>
      <c r="C227" s="4" t="s">
        <v>597</v>
      </c>
      <c r="D227" s="8">
        <v>2</v>
      </c>
      <c r="E227" s="5">
        <v>45983</v>
      </c>
      <c r="F227" s="5">
        <v>45985</v>
      </c>
      <c r="G227" s="8" t="s">
        <v>683</v>
      </c>
      <c r="H227" s="8" t="s">
        <v>410</v>
      </c>
      <c r="I227" s="8" t="s">
        <v>411</v>
      </c>
      <c r="J227" s="4"/>
      <c r="K227" s="64">
        <v>224</v>
      </c>
      <c r="L227" s="18" t="s">
        <v>764</v>
      </c>
      <c r="M227" s="19" t="s">
        <v>765</v>
      </c>
      <c r="N227" s="18" t="s">
        <v>306</v>
      </c>
      <c r="O227" s="18">
        <v>1</v>
      </c>
      <c r="P227" s="18" t="s">
        <v>686</v>
      </c>
      <c r="Q227" s="18" t="s">
        <v>599</v>
      </c>
      <c r="R227" s="18" t="s">
        <v>306</v>
      </c>
      <c r="S227" s="18"/>
      <c r="T227" s="18" t="str">
        <f t="shared" si="6"/>
        <v>Current</v>
      </c>
      <c r="U227" s="18" t="str">
        <f t="shared" si="7"/>
        <v>Rowan Carter|Feature Flag Management</v>
      </c>
    </row>
    <row r="228" spans="1:21">
      <c r="A228" s="10">
        <v>45823</v>
      </c>
      <c r="B228" s="4" t="s">
        <v>86</v>
      </c>
      <c r="C228" s="4" t="s">
        <v>696</v>
      </c>
      <c r="D228" s="8">
        <v>1</v>
      </c>
      <c r="E228" s="5">
        <v>45819</v>
      </c>
      <c r="F228" s="5">
        <v>45819</v>
      </c>
      <c r="G228" s="8" t="s">
        <v>683</v>
      </c>
      <c r="H228" s="8" t="s">
        <v>410</v>
      </c>
      <c r="I228" s="8" t="s">
        <v>411</v>
      </c>
      <c r="J228" s="4"/>
      <c r="K228" s="64">
        <v>225</v>
      </c>
      <c r="L228" s="18" t="s">
        <v>766</v>
      </c>
      <c r="M228" s="19" t="s">
        <v>765</v>
      </c>
      <c r="N228" s="18" t="s">
        <v>306</v>
      </c>
      <c r="O228" s="18">
        <v>1</v>
      </c>
      <c r="P228" s="18" t="s">
        <v>686</v>
      </c>
      <c r="Q228" s="18" t="s">
        <v>698</v>
      </c>
      <c r="R228" s="18" t="s">
        <v>306</v>
      </c>
      <c r="S228" s="18"/>
      <c r="T228" s="18" t="str">
        <f t="shared" si="6"/>
        <v>Historical</v>
      </c>
      <c r="U228" s="18" t="str">
        <f t="shared" si="7"/>
        <v/>
      </c>
    </row>
    <row r="229" spans="1:21">
      <c r="A229" s="10">
        <v>45851</v>
      </c>
      <c r="B229" s="4" t="s">
        <v>86</v>
      </c>
      <c r="C229" s="4" t="s">
        <v>696</v>
      </c>
      <c r="D229" s="8">
        <v>2</v>
      </c>
      <c r="E229" s="5">
        <v>45850</v>
      </c>
      <c r="F229" s="5">
        <v>45850</v>
      </c>
      <c r="G229" s="8" t="s">
        <v>683</v>
      </c>
      <c r="H229" s="8" t="s">
        <v>419</v>
      </c>
      <c r="I229" s="8" t="s">
        <v>411</v>
      </c>
      <c r="J229" s="4"/>
      <c r="K229" s="64">
        <v>226</v>
      </c>
      <c r="L229" s="18" t="s">
        <v>767</v>
      </c>
      <c r="M229" s="19" t="s">
        <v>765</v>
      </c>
      <c r="N229" s="18" t="s">
        <v>306</v>
      </c>
      <c r="O229" s="18">
        <v>1</v>
      </c>
      <c r="P229" s="18" t="s">
        <v>686</v>
      </c>
      <c r="Q229" s="18" t="s">
        <v>698</v>
      </c>
      <c r="R229" s="18" t="s">
        <v>306</v>
      </c>
      <c r="S229" s="18">
        <v>1</v>
      </c>
      <c r="T229" s="18" t="str">
        <f t="shared" si="6"/>
        <v>Historical</v>
      </c>
      <c r="U229" s="18" t="str">
        <f t="shared" si="7"/>
        <v/>
      </c>
    </row>
    <row r="230" spans="1:21">
      <c r="A230" s="10">
        <v>45926</v>
      </c>
      <c r="B230" s="4" t="s">
        <v>86</v>
      </c>
      <c r="C230" s="4" t="s">
        <v>696</v>
      </c>
      <c r="D230" s="8">
        <v>3</v>
      </c>
      <c r="E230" s="5">
        <v>45925</v>
      </c>
      <c r="F230" s="5">
        <v>45927</v>
      </c>
      <c r="G230" s="8" t="s">
        <v>683</v>
      </c>
      <c r="H230" s="8" t="s">
        <v>419</v>
      </c>
      <c r="I230" s="8" t="s">
        <v>411</v>
      </c>
      <c r="J230" s="4"/>
      <c r="K230" s="64">
        <v>227</v>
      </c>
      <c r="L230" s="18" t="s">
        <v>768</v>
      </c>
      <c r="M230" s="19" t="s">
        <v>765</v>
      </c>
      <c r="N230" s="18" t="s">
        <v>306</v>
      </c>
      <c r="O230" s="18">
        <v>1</v>
      </c>
      <c r="P230" s="18" t="s">
        <v>686</v>
      </c>
      <c r="Q230" s="18" t="s">
        <v>698</v>
      </c>
      <c r="R230" s="18" t="s">
        <v>306</v>
      </c>
      <c r="S230" s="18">
        <v>2</v>
      </c>
      <c r="T230" s="18" t="str">
        <f t="shared" si="6"/>
        <v>Current</v>
      </c>
      <c r="U230" s="18" t="str">
        <f t="shared" si="7"/>
        <v>Rowan Carter|Integration Testing</v>
      </c>
    </row>
    <row r="231" spans="1:21">
      <c r="A231" s="10">
        <v>46001</v>
      </c>
      <c r="B231" s="4" t="s">
        <v>86</v>
      </c>
      <c r="C231" s="4" t="s">
        <v>692</v>
      </c>
      <c r="D231" s="8">
        <v>3</v>
      </c>
      <c r="E231" s="5">
        <v>46000</v>
      </c>
      <c r="F231" s="5">
        <v>46003</v>
      </c>
      <c r="G231" s="8" t="s">
        <v>683</v>
      </c>
      <c r="H231" s="8" t="s">
        <v>410</v>
      </c>
      <c r="I231" s="8" t="s">
        <v>411</v>
      </c>
      <c r="J231" s="4"/>
      <c r="K231" s="64">
        <v>228</v>
      </c>
      <c r="L231" s="18" t="s">
        <v>769</v>
      </c>
      <c r="M231" s="19" t="s">
        <v>765</v>
      </c>
      <c r="N231" s="18" t="s">
        <v>306</v>
      </c>
      <c r="O231" s="18">
        <v>1</v>
      </c>
      <c r="P231" s="18" t="s">
        <v>686</v>
      </c>
      <c r="Q231" s="18" t="s">
        <v>694</v>
      </c>
      <c r="R231" s="18" t="s">
        <v>306</v>
      </c>
      <c r="S231" s="18"/>
      <c r="T231" s="18" t="str">
        <f t="shared" si="6"/>
        <v>Current</v>
      </c>
      <c r="U231" s="18" t="str">
        <f t="shared" si="7"/>
        <v>Rowan Carter|Secure Coding Basics</v>
      </c>
    </row>
    <row r="232" spans="1:21">
      <c r="A232" s="10">
        <v>46097</v>
      </c>
      <c r="B232" s="4" t="s">
        <v>86</v>
      </c>
      <c r="C232" s="4" t="s">
        <v>682</v>
      </c>
      <c r="D232" s="8">
        <v>2</v>
      </c>
      <c r="E232" s="5">
        <v>46096</v>
      </c>
      <c r="F232" s="5">
        <v>46098</v>
      </c>
      <c r="G232" s="8" t="s">
        <v>683</v>
      </c>
      <c r="H232" s="8" t="s">
        <v>410</v>
      </c>
      <c r="I232" s="8" t="s">
        <v>411</v>
      </c>
      <c r="J232" s="4"/>
      <c r="K232" s="64">
        <v>229</v>
      </c>
      <c r="L232" s="18" t="s">
        <v>770</v>
      </c>
      <c r="M232" s="19" t="s">
        <v>765</v>
      </c>
      <c r="N232" s="18" t="s">
        <v>306</v>
      </c>
      <c r="O232" s="18">
        <v>1</v>
      </c>
      <c r="P232" s="18" t="s">
        <v>686</v>
      </c>
      <c r="Q232" s="18" t="s">
        <v>687</v>
      </c>
      <c r="R232" s="18" t="s">
        <v>306</v>
      </c>
      <c r="S232" s="18"/>
      <c r="T232" s="18" t="str">
        <f t="shared" si="6"/>
        <v>Current</v>
      </c>
      <c r="U232" s="18" t="str">
        <f t="shared" si="7"/>
        <v>Rowan Carter|Deployment Procedures</v>
      </c>
    </row>
    <row r="233" spans="1:21">
      <c r="A233" s="10">
        <v>46184</v>
      </c>
      <c r="B233" s="4" t="s">
        <v>86</v>
      </c>
      <c r="C233" s="4" t="s">
        <v>725</v>
      </c>
      <c r="D233" s="8">
        <v>1</v>
      </c>
      <c r="E233" s="5">
        <v>46182</v>
      </c>
      <c r="F233" s="5">
        <v>46183</v>
      </c>
      <c r="G233" s="8" t="s">
        <v>683</v>
      </c>
      <c r="H233" s="8" t="s">
        <v>410</v>
      </c>
      <c r="I233" s="8" t="s">
        <v>411</v>
      </c>
      <c r="J233" s="4"/>
      <c r="K233" s="64">
        <v>230</v>
      </c>
      <c r="L233" s="18" t="s">
        <v>771</v>
      </c>
      <c r="M233" s="19" t="s">
        <v>765</v>
      </c>
      <c r="N233" s="18" t="s">
        <v>306</v>
      </c>
      <c r="O233" s="18">
        <v>1</v>
      </c>
      <c r="P233" s="18" t="s">
        <v>686</v>
      </c>
      <c r="Q233" s="18" t="s">
        <v>727</v>
      </c>
      <c r="R233" s="18" t="s">
        <v>306</v>
      </c>
      <c r="S233" s="18"/>
      <c r="T233" s="18" t="str">
        <f t="shared" si="6"/>
        <v>Historical</v>
      </c>
      <c r="U233" s="18" t="str">
        <f t="shared" si="7"/>
        <v/>
      </c>
    </row>
    <row r="234" spans="1:21">
      <c r="A234" s="10">
        <v>46236</v>
      </c>
      <c r="B234" s="4" t="s">
        <v>86</v>
      </c>
      <c r="C234" s="4" t="s">
        <v>725</v>
      </c>
      <c r="D234" s="8">
        <v>2</v>
      </c>
      <c r="E234" s="5">
        <v>46234</v>
      </c>
      <c r="F234" s="5">
        <v>46234</v>
      </c>
      <c r="G234" s="8" t="s">
        <v>683</v>
      </c>
      <c r="H234" s="8" t="s">
        <v>419</v>
      </c>
      <c r="I234" s="8" t="s">
        <v>411</v>
      </c>
      <c r="J234" s="4"/>
      <c r="K234" s="64">
        <v>231</v>
      </c>
      <c r="L234" s="18" t="s">
        <v>772</v>
      </c>
      <c r="M234" s="19" t="s">
        <v>765</v>
      </c>
      <c r="N234" s="18" t="s">
        <v>306</v>
      </c>
      <c r="O234" s="18">
        <v>1</v>
      </c>
      <c r="P234" s="18" t="s">
        <v>686</v>
      </c>
      <c r="Q234" s="18" t="s">
        <v>727</v>
      </c>
      <c r="R234" s="18" t="s">
        <v>306</v>
      </c>
      <c r="S234" s="18">
        <v>1</v>
      </c>
      <c r="T234" s="18" t="str">
        <f t="shared" si="6"/>
        <v>Historical</v>
      </c>
      <c r="U234" s="18" t="str">
        <f t="shared" si="7"/>
        <v/>
      </c>
    </row>
    <row r="235" spans="1:21">
      <c r="A235" s="10">
        <v>46227</v>
      </c>
      <c r="B235" s="4" t="s">
        <v>86</v>
      </c>
      <c r="C235" s="4" t="s">
        <v>725</v>
      </c>
      <c r="D235" s="8">
        <v>3</v>
      </c>
      <c r="E235" s="5">
        <v>46222</v>
      </c>
      <c r="F235" s="5">
        <v>46224</v>
      </c>
      <c r="G235" s="8" t="s">
        <v>683</v>
      </c>
      <c r="H235" s="8" t="s">
        <v>419</v>
      </c>
      <c r="I235" s="8" t="s">
        <v>411</v>
      </c>
      <c r="J235" s="4"/>
      <c r="K235" s="64">
        <v>232</v>
      </c>
      <c r="L235" s="18" t="s">
        <v>773</v>
      </c>
      <c r="M235" s="19" t="s">
        <v>765</v>
      </c>
      <c r="N235" s="18" t="s">
        <v>306</v>
      </c>
      <c r="O235" s="18">
        <v>1</v>
      </c>
      <c r="P235" s="18" t="s">
        <v>686</v>
      </c>
      <c r="Q235" s="18" t="s">
        <v>727</v>
      </c>
      <c r="R235" s="18" t="s">
        <v>306</v>
      </c>
      <c r="S235" s="18">
        <v>2</v>
      </c>
      <c r="T235" s="18" t="str">
        <f t="shared" si="6"/>
        <v>Current</v>
      </c>
      <c r="U235" s="18" t="str">
        <f t="shared" si="7"/>
        <v>Rowan Carter|Release Branching</v>
      </c>
    </row>
    <row r="236" spans="1:21">
      <c r="A236" s="10">
        <v>45953</v>
      </c>
      <c r="B236" s="4" t="s">
        <v>86</v>
      </c>
      <c r="C236" s="4" t="s">
        <v>701</v>
      </c>
      <c r="D236" s="8">
        <v>1</v>
      </c>
      <c r="E236" s="5">
        <v>45948</v>
      </c>
      <c r="F236" s="5">
        <v>45949</v>
      </c>
      <c r="G236" s="8" t="s">
        <v>683</v>
      </c>
      <c r="H236" s="8" t="s">
        <v>410</v>
      </c>
      <c r="I236" s="8" t="s">
        <v>411</v>
      </c>
      <c r="J236" s="4"/>
      <c r="K236" s="64">
        <v>233</v>
      </c>
      <c r="L236" s="18" t="s">
        <v>774</v>
      </c>
      <c r="M236" s="19" t="s">
        <v>765</v>
      </c>
      <c r="N236" s="18" t="s">
        <v>306</v>
      </c>
      <c r="O236" s="18">
        <v>1</v>
      </c>
      <c r="P236" s="18" t="s">
        <v>686</v>
      </c>
      <c r="Q236" s="18" t="s">
        <v>703</v>
      </c>
      <c r="R236" s="18" t="s">
        <v>306</v>
      </c>
      <c r="S236" s="18"/>
      <c r="T236" s="18" t="str">
        <f t="shared" si="6"/>
        <v>Current</v>
      </c>
      <c r="U236" s="18" t="str">
        <f t="shared" si="7"/>
        <v>Rowan Carter|Git Workflow</v>
      </c>
    </row>
    <row r="237" spans="1:21">
      <c r="A237" s="10">
        <v>45694</v>
      </c>
      <c r="B237" s="4" t="s">
        <v>86</v>
      </c>
      <c r="C237" s="4" t="s">
        <v>711</v>
      </c>
      <c r="D237" s="8">
        <v>3</v>
      </c>
      <c r="E237" s="5">
        <v>45689</v>
      </c>
      <c r="F237" s="5">
        <v>45691</v>
      </c>
      <c r="G237" s="8" t="s">
        <v>683</v>
      </c>
      <c r="H237" s="8" t="s">
        <v>410</v>
      </c>
      <c r="I237" s="8" t="s">
        <v>411</v>
      </c>
      <c r="J237" s="4"/>
      <c r="K237" s="64">
        <v>234</v>
      </c>
      <c r="L237" s="18" t="s">
        <v>775</v>
      </c>
      <c r="M237" s="19" t="s">
        <v>765</v>
      </c>
      <c r="N237" s="18" t="s">
        <v>306</v>
      </c>
      <c r="O237" s="18">
        <v>1</v>
      </c>
      <c r="P237" s="18" t="s">
        <v>686</v>
      </c>
      <c r="Q237" s="18" t="s">
        <v>713</v>
      </c>
      <c r="R237" s="18" t="s">
        <v>306</v>
      </c>
      <c r="S237" s="18"/>
      <c r="T237" s="18" t="str">
        <f t="shared" si="6"/>
        <v>Current</v>
      </c>
      <c r="U237" s="18" t="str">
        <f t="shared" si="7"/>
        <v>Rowan Carter|Unit Testing</v>
      </c>
    </row>
    <row r="238" spans="1:21">
      <c r="A238" s="10">
        <v>45945</v>
      </c>
      <c r="B238" s="4" t="s">
        <v>86</v>
      </c>
      <c r="C238" s="4" t="s">
        <v>706</v>
      </c>
      <c r="D238" s="8">
        <v>1</v>
      </c>
      <c r="E238" s="5">
        <v>45942</v>
      </c>
      <c r="F238" s="5">
        <v>45944</v>
      </c>
      <c r="G238" s="8" t="s">
        <v>683</v>
      </c>
      <c r="H238" s="8" t="s">
        <v>410</v>
      </c>
      <c r="I238" s="8" t="s">
        <v>411</v>
      </c>
      <c r="J238" s="4"/>
      <c r="K238" s="64">
        <v>235</v>
      </c>
      <c r="L238" s="18" t="s">
        <v>776</v>
      </c>
      <c r="M238" s="19" t="s">
        <v>765</v>
      </c>
      <c r="N238" s="18" t="s">
        <v>306</v>
      </c>
      <c r="O238" s="18">
        <v>1</v>
      </c>
      <c r="P238" s="18" t="s">
        <v>686</v>
      </c>
      <c r="Q238" s="18" t="s">
        <v>708</v>
      </c>
      <c r="R238" s="18" t="s">
        <v>306</v>
      </c>
      <c r="S238" s="18"/>
      <c r="T238" s="18" t="str">
        <f t="shared" si="6"/>
        <v>Current</v>
      </c>
      <c r="U238" s="18" t="str">
        <f t="shared" si="7"/>
        <v>Rowan Carter|Pull Request Review</v>
      </c>
    </row>
    <row r="239" spans="1:21">
      <c r="A239" s="10">
        <v>45814</v>
      </c>
      <c r="B239" s="4" t="s">
        <v>86</v>
      </c>
      <c r="C239" s="4" t="s">
        <v>777</v>
      </c>
      <c r="D239" s="8">
        <v>1</v>
      </c>
      <c r="E239" s="5">
        <v>45809</v>
      </c>
      <c r="F239" s="5">
        <v>45812</v>
      </c>
      <c r="G239" s="8" t="s">
        <v>683</v>
      </c>
      <c r="H239" s="8" t="s">
        <v>410</v>
      </c>
      <c r="I239" s="8" t="s">
        <v>411</v>
      </c>
      <c r="J239" s="4"/>
      <c r="K239" s="64">
        <v>236</v>
      </c>
      <c r="L239" s="18" t="s">
        <v>778</v>
      </c>
      <c r="M239" s="19" t="s">
        <v>765</v>
      </c>
      <c r="N239" s="18" t="s">
        <v>306</v>
      </c>
      <c r="O239" s="18">
        <v>1</v>
      </c>
      <c r="P239" s="18" t="s">
        <v>686</v>
      </c>
      <c r="Q239" s="18" t="s">
        <v>779</v>
      </c>
      <c r="R239" s="18" t="s">
        <v>309</v>
      </c>
      <c r="S239" s="18"/>
      <c r="T239" s="18" t="str">
        <f t="shared" si="6"/>
        <v>Historical</v>
      </c>
      <c r="U239" s="18" t="str">
        <f t="shared" si="7"/>
        <v/>
      </c>
    </row>
    <row r="240" spans="1:21">
      <c r="A240" s="10">
        <v>45839</v>
      </c>
      <c r="B240" s="4" t="s">
        <v>86</v>
      </c>
      <c r="C240" s="4" t="s">
        <v>777</v>
      </c>
      <c r="D240" s="8">
        <v>2</v>
      </c>
      <c r="E240" s="5">
        <v>45837</v>
      </c>
      <c r="F240" s="5">
        <v>45837</v>
      </c>
      <c r="G240" s="8" t="s">
        <v>683</v>
      </c>
      <c r="H240" s="8" t="s">
        <v>419</v>
      </c>
      <c r="I240" s="8" t="s">
        <v>411</v>
      </c>
      <c r="J240" s="4"/>
      <c r="K240" s="64">
        <v>237</v>
      </c>
      <c r="L240" s="18" t="s">
        <v>780</v>
      </c>
      <c r="M240" s="19" t="s">
        <v>765</v>
      </c>
      <c r="N240" s="18" t="s">
        <v>306</v>
      </c>
      <c r="O240" s="18">
        <v>1</v>
      </c>
      <c r="P240" s="18" t="s">
        <v>686</v>
      </c>
      <c r="Q240" s="18" t="s">
        <v>779</v>
      </c>
      <c r="R240" s="18" t="s">
        <v>309</v>
      </c>
      <c r="S240" s="18">
        <v>1</v>
      </c>
      <c r="T240" s="18" t="str">
        <f t="shared" si="6"/>
        <v>Current</v>
      </c>
      <c r="U240" s="18" t="str">
        <f t="shared" si="7"/>
        <v>Rowan Carter|Disaster Recovery</v>
      </c>
    </row>
    <row r="241" spans="1:21">
      <c r="A241" s="10">
        <v>46208</v>
      </c>
      <c r="B241" s="4" t="s">
        <v>86</v>
      </c>
      <c r="C241" s="4" t="s">
        <v>438</v>
      </c>
      <c r="D241" s="8">
        <v>1</v>
      </c>
      <c r="E241" s="5">
        <v>46206</v>
      </c>
      <c r="F241" s="5">
        <v>46209</v>
      </c>
      <c r="G241" s="8" t="s">
        <v>683</v>
      </c>
      <c r="H241" s="8" t="s">
        <v>410</v>
      </c>
      <c r="I241" s="8" t="s">
        <v>411</v>
      </c>
      <c r="J241" s="4"/>
      <c r="K241" s="64">
        <v>238</v>
      </c>
      <c r="L241" s="18" t="s">
        <v>781</v>
      </c>
      <c r="M241" s="19" t="s">
        <v>765</v>
      </c>
      <c r="N241" s="18" t="s">
        <v>306</v>
      </c>
      <c r="O241" s="18">
        <v>1</v>
      </c>
      <c r="P241" s="18" t="s">
        <v>686</v>
      </c>
      <c r="Q241" s="18" t="s">
        <v>440</v>
      </c>
      <c r="R241" s="18" t="s">
        <v>213</v>
      </c>
      <c r="S241" s="18"/>
      <c r="T241" s="18" t="str">
        <f t="shared" si="6"/>
        <v>Current</v>
      </c>
      <c r="U241" s="18" t="str">
        <f t="shared" si="7"/>
        <v>Rowan Carter|Data Privacy &amp; Acceptable Use</v>
      </c>
    </row>
    <row r="242" spans="1:21">
      <c r="A242" s="10">
        <v>45749</v>
      </c>
      <c r="B242" s="4" t="s">
        <v>91</v>
      </c>
      <c r="C242" s="4" t="s">
        <v>692</v>
      </c>
      <c r="D242" s="8">
        <v>1</v>
      </c>
      <c r="E242" s="5">
        <v>45746</v>
      </c>
      <c r="F242" s="5">
        <v>45749</v>
      </c>
      <c r="G242" s="8" t="s">
        <v>683</v>
      </c>
      <c r="H242" s="8" t="s">
        <v>410</v>
      </c>
      <c r="I242" s="8" t="s">
        <v>411</v>
      </c>
      <c r="J242" s="4"/>
      <c r="K242" s="64">
        <v>239</v>
      </c>
      <c r="L242" s="18" t="s">
        <v>782</v>
      </c>
      <c r="M242" s="19" t="s">
        <v>783</v>
      </c>
      <c r="N242" s="18" t="s">
        <v>306</v>
      </c>
      <c r="O242" s="18">
        <v>2</v>
      </c>
      <c r="P242" s="18" t="s">
        <v>717</v>
      </c>
      <c r="Q242" s="18" t="s">
        <v>694</v>
      </c>
      <c r="R242" s="18" t="s">
        <v>306</v>
      </c>
      <c r="S242" s="18"/>
      <c r="T242" s="18" t="str">
        <f t="shared" si="6"/>
        <v>Current</v>
      </c>
      <c r="U242" s="18" t="str">
        <f t="shared" si="7"/>
        <v>Emerson Perry|Secure Coding Basics</v>
      </c>
    </row>
    <row r="243" spans="1:21">
      <c r="A243" s="10">
        <v>46119</v>
      </c>
      <c r="B243" s="4" t="s">
        <v>91</v>
      </c>
      <c r="C243" s="4" t="s">
        <v>711</v>
      </c>
      <c r="D243" s="8">
        <v>1</v>
      </c>
      <c r="E243" s="5">
        <v>46115</v>
      </c>
      <c r="F243" s="5">
        <v>46117</v>
      </c>
      <c r="G243" s="8" t="s">
        <v>683</v>
      </c>
      <c r="H243" s="8" t="s">
        <v>410</v>
      </c>
      <c r="I243" s="8" t="s">
        <v>411</v>
      </c>
      <c r="J243" s="4"/>
      <c r="K243" s="64">
        <v>240</v>
      </c>
      <c r="L243" s="18" t="s">
        <v>784</v>
      </c>
      <c r="M243" s="19" t="s">
        <v>783</v>
      </c>
      <c r="N243" s="18" t="s">
        <v>306</v>
      </c>
      <c r="O243" s="18">
        <v>2</v>
      </c>
      <c r="P243" s="18" t="s">
        <v>717</v>
      </c>
      <c r="Q243" s="18" t="s">
        <v>713</v>
      </c>
      <c r="R243" s="18" t="s">
        <v>306</v>
      </c>
      <c r="S243" s="18"/>
      <c r="T243" s="18" t="str">
        <f t="shared" si="6"/>
        <v>Historical</v>
      </c>
      <c r="U243" s="18" t="str">
        <f t="shared" si="7"/>
        <v/>
      </c>
    </row>
    <row r="244" spans="1:21">
      <c r="A244" s="10">
        <v>46167</v>
      </c>
      <c r="B244" s="4" t="s">
        <v>91</v>
      </c>
      <c r="C244" s="4" t="s">
        <v>711</v>
      </c>
      <c r="D244" s="8">
        <v>2</v>
      </c>
      <c r="E244" s="5">
        <v>46162</v>
      </c>
      <c r="F244" s="5">
        <v>46162</v>
      </c>
      <c r="G244" s="8" t="s">
        <v>683</v>
      </c>
      <c r="H244" s="8" t="s">
        <v>419</v>
      </c>
      <c r="I244" s="8" t="s">
        <v>411</v>
      </c>
      <c r="J244" s="4"/>
      <c r="K244" s="64">
        <v>241</v>
      </c>
      <c r="L244" s="18" t="s">
        <v>785</v>
      </c>
      <c r="M244" s="19" t="s">
        <v>783</v>
      </c>
      <c r="N244" s="18" t="s">
        <v>306</v>
      </c>
      <c r="O244" s="18">
        <v>2</v>
      </c>
      <c r="P244" s="18" t="s">
        <v>717</v>
      </c>
      <c r="Q244" s="18" t="s">
        <v>713</v>
      </c>
      <c r="R244" s="18" t="s">
        <v>306</v>
      </c>
      <c r="S244" s="18">
        <v>1</v>
      </c>
      <c r="T244" s="18" t="str">
        <f t="shared" si="6"/>
        <v>Historical</v>
      </c>
      <c r="U244" s="18" t="str">
        <f t="shared" si="7"/>
        <v/>
      </c>
    </row>
    <row r="245" spans="1:21">
      <c r="A245" s="10">
        <v>46230</v>
      </c>
      <c r="B245" s="4" t="s">
        <v>91</v>
      </c>
      <c r="C245" s="4" t="s">
        <v>711</v>
      </c>
      <c r="D245" s="8">
        <v>3</v>
      </c>
      <c r="E245" s="5">
        <v>46226</v>
      </c>
      <c r="F245" s="5">
        <v>46226</v>
      </c>
      <c r="G245" s="8" t="s">
        <v>683</v>
      </c>
      <c r="H245" s="8" t="s">
        <v>419</v>
      </c>
      <c r="I245" s="8" t="s">
        <v>411</v>
      </c>
      <c r="J245" s="4"/>
      <c r="K245" s="64">
        <v>242</v>
      </c>
      <c r="L245" s="18" t="s">
        <v>786</v>
      </c>
      <c r="M245" s="19" t="s">
        <v>783</v>
      </c>
      <c r="N245" s="18" t="s">
        <v>306</v>
      </c>
      <c r="O245" s="18">
        <v>2</v>
      </c>
      <c r="P245" s="18" t="s">
        <v>717</v>
      </c>
      <c r="Q245" s="18" t="s">
        <v>713</v>
      </c>
      <c r="R245" s="18" t="s">
        <v>306</v>
      </c>
      <c r="S245" s="18">
        <v>2</v>
      </c>
      <c r="T245" s="18" t="str">
        <f t="shared" si="6"/>
        <v>Current</v>
      </c>
      <c r="U245" s="18" t="str">
        <f t="shared" si="7"/>
        <v>Emerson Perry|Unit Testing</v>
      </c>
    </row>
    <row r="246" spans="1:21">
      <c r="A246" s="10">
        <v>46166</v>
      </c>
      <c r="B246" s="4" t="s">
        <v>91</v>
      </c>
      <c r="C246" s="4" t="s">
        <v>706</v>
      </c>
      <c r="D246" s="8">
        <v>2</v>
      </c>
      <c r="E246" s="5">
        <v>46161</v>
      </c>
      <c r="F246" s="5">
        <v>46163</v>
      </c>
      <c r="G246" s="8" t="s">
        <v>683</v>
      </c>
      <c r="H246" s="8" t="s">
        <v>410</v>
      </c>
      <c r="I246" s="8" t="s">
        <v>411</v>
      </c>
      <c r="J246" s="4"/>
      <c r="K246" s="64">
        <v>243</v>
      </c>
      <c r="L246" s="18" t="s">
        <v>787</v>
      </c>
      <c r="M246" s="19" t="s">
        <v>783</v>
      </c>
      <c r="N246" s="18" t="s">
        <v>306</v>
      </c>
      <c r="O246" s="18">
        <v>2</v>
      </c>
      <c r="P246" s="18" t="s">
        <v>717</v>
      </c>
      <c r="Q246" s="18" t="s">
        <v>708</v>
      </c>
      <c r="R246" s="18" t="s">
        <v>306</v>
      </c>
      <c r="S246" s="18"/>
      <c r="T246" s="18" t="str">
        <f t="shared" si="6"/>
        <v>Current</v>
      </c>
      <c r="U246" s="18" t="str">
        <f t="shared" si="7"/>
        <v>Emerson Perry|Pull Request Review</v>
      </c>
    </row>
    <row r="247" spans="1:21">
      <c r="A247" s="10">
        <v>46072</v>
      </c>
      <c r="B247" s="4" t="s">
        <v>91</v>
      </c>
      <c r="C247" s="4" t="s">
        <v>725</v>
      </c>
      <c r="D247" s="8">
        <v>1</v>
      </c>
      <c r="E247" s="5">
        <v>46067</v>
      </c>
      <c r="F247" s="5">
        <v>46067</v>
      </c>
      <c r="G247" s="8" t="s">
        <v>683</v>
      </c>
      <c r="H247" s="8" t="s">
        <v>410</v>
      </c>
      <c r="I247" s="8" t="s">
        <v>411</v>
      </c>
      <c r="J247" s="4"/>
      <c r="K247" s="64">
        <v>244</v>
      </c>
      <c r="L247" s="18" t="s">
        <v>788</v>
      </c>
      <c r="M247" s="19" t="s">
        <v>783</v>
      </c>
      <c r="N247" s="18" t="s">
        <v>306</v>
      </c>
      <c r="O247" s="18">
        <v>2</v>
      </c>
      <c r="P247" s="18" t="s">
        <v>717</v>
      </c>
      <c r="Q247" s="18" t="s">
        <v>727</v>
      </c>
      <c r="R247" s="18" t="s">
        <v>306</v>
      </c>
      <c r="S247" s="18"/>
      <c r="T247" s="18" t="str">
        <f t="shared" si="6"/>
        <v>Current</v>
      </c>
      <c r="U247" s="18" t="str">
        <f t="shared" si="7"/>
        <v>Emerson Perry|Release Branching</v>
      </c>
    </row>
    <row r="248" spans="1:21">
      <c r="A248" s="10">
        <v>45973</v>
      </c>
      <c r="B248" s="4" t="s">
        <v>91</v>
      </c>
      <c r="C248" s="4" t="s">
        <v>597</v>
      </c>
      <c r="D248" s="8">
        <v>1</v>
      </c>
      <c r="E248" s="5">
        <v>45971</v>
      </c>
      <c r="F248" s="5">
        <v>45972</v>
      </c>
      <c r="G248" s="8" t="s">
        <v>683</v>
      </c>
      <c r="H248" s="8" t="s">
        <v>410</v>
      </c>
      <c r="I248" s="8" t="s">
        <v>411</v>
      </c>
      <c r="J248" s="4"/>
      <c r="K248" s="64">
        <v>245</v>
      </c>
      <c r="L248" s="18" t="s">
        <v>789</v>
      </c>
      <c r="M248" s="19" t="s">
        <v>783</v>
      </c>
      <c r="N248" s="18" t="s">
        <v>306</v>
      </c>
      <c r="O248" s="18">
        <v>2</v>
      </c>
      <c r="P248" s="18" t="s">
        <v>717</v>
      </c>
      <c r="Q248" s="18" t="s">
        <v>599</v>
      </c>
      <c r="R248" s="18" t="s">
        <v>306</v>
      </c>
      <c r="S248" s="18"/>
      <c r="T248" s="18" t="str">
        <f t="shared" si="6"/>
        <v>Current</v>
      </c>
      <c r="U248" s="18" t="str">
        <f t="shared" si="7"/>
        <v>Emerson Perry|Feature Flag Management</v>
      </c>
    </row>
    <row r="249" spans="1:21">
      <c r="A249" s="10">
        <v>45786</v>
      </c>
      <c r="B249" s="4" t="s">
        <v>91</v>
      </c>
      <c r="C249" s="4" t="s">
        <v>696</v>
      </c>
      <c r="D249" s="8">
        <v>1</v>
      </c>
      <c r="E249" s="5">
        <v>45785</v>
      </c>
      <c r="F249" s="5">
        <v>45788</v>
      </c>
      <c r="G249" s="8" t="s">
        <v>683</v>
      </c>
      <c r="H249" s="8" t="s">
        <v>410</v>
      </c>
      <c r="I249" s="8" t="s">
        <v>411</v>
      </c>
      <c r="J249" s="4"/>
      <c r="K249" s="64">
        <v>246</v>
      </c>
      <c r="L249" s="18" t="s">
        <v>790</v>
      </c>
      <c r="M249" s="19" t="s">
        <v>783</v>
      </c>
      <c r="N249" s="18" t="s">
        <v>306</v>
      </c>
      <c r="O249" s="18">
        <v>2</v>
      </c>
      <c r="P249" s="18" t="s">
        <v>717</v>
      </c>
      <c r="Q249" s="18" t="s">
        <v>698</v>
      </c>
      <c r="R249" s="18" t="s">
        <v>306</v>
      </c>
      <c r="S249" s="18"/>
      <c r="T249" s="18" t="str">
        <f t="shared" si="6"/>
        <v>Historical</v>
      </c>
      <c r="U249" s="18" t="str">
        <f t="shared" si="7"/>
        <v/>
      </c>
    </row>
    <row r="250" spans="1:21">
      <c r="A250" s="10">
        <v>45904</v>
      </c>
      <c r="B250" s="4" t="s">
        <v>91</v>
      </c>
      <c r="C250" s="4" t="s">
        <v>696</v>
      </c>
      <c r="D250" s="8">
        <v>2</v>
      </c>
      <c r="E250" s="5">
        <v>45900</v>
      </c>
      <c r="F250" s="5">
        <v>45901</v>
      </c>
      <c r="G250" s="8" t="s">
        <v>683</v>
      </c>
      <c r="H250" s="8" t="s">
        <v>419</v>
      </c>
      <c r="I250" s="8" t="s">
        <v>411</v>
      </c>
      <c r="J250" s="4"/>
      <c r="K250" s="64">
        <v>247</v>
      </c>
      <c r="L250" s="18" t="s">
        <v>791</v>
      </c>
      <c r="M250" s="19" t="s">
        <v>783</v>
      </c>
      <c r="N250" s="18" t="s">
        <v>306</v>
      </c>
      <c r="O250" s="18">
        <v>2</v>
      </c>
      <c r="P250" s="18" t="s">
        <v>717</v>
      </c>
      <c r="Q250" s="18" t="s">
        <v>698</v>
      </c>
      <c r="R250" s="18" t="s">
        <v>306</v>
      </c>
      <c r="S250" s="18">
        <v>1</v>
      </c>
      <c r="T250" s="18" t="str">
        <f t="shared" si="6"/>
        <v>Historical</v>
      </c>
      <c r="U250" s="18" t="str">
        <f t="shared" si="7"/>
        <v/>
      </c>
    </row>
    <row r="251" spans="1:21">
      <c r="A251" s="10">
        <v>45940</v>
      </c>
      <c r="B251" s="4" t="s">
        <v>91</v>
      </c>
      <c r="C251" s="4" t="s">
        <v>696</v>
      </c>
      <c r="D251" s="8">
        <v>3</v>
      </c>
      <c r="E251" s="5">
        <v>45936</v>
      </c>
      <c r="F251" s="5">
        <v>45937</v>
      </c>
      <c r="G251" s="8" t="s">
        <v>683</v>
      </c>
      <c r="H251" s="8" t="s">
        <v>419</v>
      </c>
      <c r="I251" s="8" t="s">
        <v>411</v>
      </c>
      <c r="J251" s="4"/>
      <c r="K251" s="64">
        <v>248</v>
      </c>
      <c r="L251" s="18" t="s">
        <v>792</v>
      </c>
      <c r="M251" s="19" t="s">
        <v>783</v>
      </c>
      <c r="N251" s="18" t="s">
        <v>306</v>
      </c>
      <c r="O251" s="18">
        <v>2</v>
      </c>
      <c r="P251" s="18" t="s">
        <v>717</v>
      </c>
      <c r="Q251" s="18" t="s">
        <v>698</v>
      </c>
      <c r="R251" s="18" t="s">
        <v>306</v>
      </c>
      <c r="S251" s="18">
        <v>2</v>
      </c>
      <c r="T251" s="18" t="str">
        <f t="shared" si="6"/>
        <v>Current</v>
      </c>
      <c r="U251" s="18" t="str">
        <f t="shared" si="7"/>
        <v>Emerson Perry|Integration Testing</v>
      </c>
    </row>
    <row r="252" spans="1:21">
      <c r="A252" s="10">
        <v>46026</v>
      </c>
      <c r="B252" s="4" t="s">
        <v>91</v>
      </c>
      <c r="C252" s="4" t="s">
        <v>682</v>
      </c>
      <c r="D252" s="8">
        <v>3</v>
      </c>
      <c r="E252" s="5">
        <v>46025</v>
      </c>
      <c r="F252" s="5">
        <v>46028</v>
      </c>
      <c r="G252" s="8" t="s">
        <v>683</v>
      </c>
      <c r="H252" s="8" t="s">
        <v>410</v>
      </c>
      <c r="I252" s="8" t="s">
        <v>411</v>
      </c>
      <c r="J252" s="4"/>
      <c r="K252" s="64">
        <v>249</v>
      </c>
      <c r="L252" s="18" t="s">
        <v>793</v>
      </c>
      <c r="M252" s="19" t="s">
        <v>783</v>
      </c>
      <c r="N252" s="18" t="s">
        <v>306</v>
      </c>
      <c r="O252" s="18">
        <v>2</v>
      </c>
      <c r="P252" s="18" t="s">
        <v>717</v>
      </c>
      <c r="Q252" s="18" t="s">
        <v>687</v>
      </c>
      <c r="R252" s="18" t="s">
        <v>306</v>
      </c>
      <c r="S252" s="18"/>
      <c r="T252" s="18" t="str">
        <f t="shared" si="6"/>
        <v>Current</v>
      </c>
      <c r="U252" s="18" t="str">
        <f t="shared" si="7"/>
        <v>Emerson Perry|Deployment Procedures</v>
      </c>
    </row>
    <row r="253" spans="1:21">
      <c r="A253" s="10">
        <v>45686</v>
      </c>
      <c r="B253" s="4" t="s">
        <v>91</v>
      </c>
      <c r="C253" s="4" t="s">
        <v>701</v>
      </c>
      <c r="D253" s="8">
        <v>1</v>
      </c>
      <c r="E253" s="5">
        <v>45682</v>
      </c>
      <c r="F253" s="5">
        <v>45682</v>
      </c>
      <c r="G253" s="8" t="s">
        <v>683</v>
      </c>
      <c r="H253" s="8" t="s">
        <v>410</v>
      </c>
      <c r="I253" s="8" t="s">
        <v>411</v>
      </c>
      <c r="J253" s="4"/>
      <c r="K253" s="64">
        <v>250</v>
      </c>
      <c r="L253" s="18" t="s">
        <v>794</v>
      </c>
      <c r="M253" s="19" t="s">
        <v>783</v>
      </c>
      <c r="N253" s="18" t="s">
        <v>306</v>
      </c>
      <c r="O253" s="18">
        <v>2</v>
      </c>
      <c r="P253" s="18" t="s">
        <v>717</v>
      </c>
      <c r="Q253" s="18" t="s">
        <v>703</v>
      </c>
      <c r="R253" s="18" t="s">
        <v>306</v>
      </c>
      <c r="S253" s="18"/>
      <c r="T253" s="18" t="str">
        <f t="shared" si="6"/>
        <v>Historical</v>
      </c>
      <c r="U253" s="18" t="str">
        <f t="shared" si="7"/>
        <v/>
      </c>
    </row>
    <row r="254" spans="1:21">
      <c r="A254" s="10">
        <v>45747</v>
      </c>
      <c r="B254" s="4" t="s">
        <v>91</v>
      </c>
      <c r="C254" s="4" t="s">
        <v>701</v>
      </c>
      <c r="D254" s="8">
        <v>2</v>
      </c>
      <c r="E254" s="5">
        <v>45742</v>
      </c>
      <c r="F254" s="5">
        <v>45745</v>
      </c>
      <c r="G254" s="8" t="s">
        <v>683</v>
      </c>
      <c r="H254" s="8" t="s">
        <v>419</v>
      </c>
      <c r="I254" s="8" t="s">
        <v>411</v>
      </c>
      <c r="J254" s="4"/>
      <c r="K254" s="64">
        <v>251</v>
      </c>
      <c r="L254" s="18" t="s">
        <v>795</v>
      </c>
      <c r="M254" s="19" t="s">
        <v>783</v>
      </c>
      <c r="N254" s="18" t="s">
        <v>306</v>
      </c>
      <c r="O254" s="18">
        <v>2</v>
      </c>
      <c r="P254" s="18" t="s">
        <v>717</v>
      </c>
      <c r="Q254" s="18" t="s">
        <v>703</v>
      </c>
      <c r="R254" s="18" t="s">
        <v>306</v>
      </c>
      <c r="S254" s="18">
        <v>1</v>
      </c>
      <c r="T254" s="18" t="str">
        <f t="shared" si="6"/>
        <v>Historical</v>
      </c>
      <c r="U254" s="18" t="str">
        <f t="shared" si="7"/>
        <v/>
      </c>
    </row>
    <row r="255" spans="1:21">
      <c r="A255" s="10">
        <v>45839</v>
      </c>
      <c r="B255" s="4" t="s">
        <v>91</v>
      </c>
      <c r="C255" s="4" t="s">
        <v>701</v>
      </c>
      <c r="D255" s="8">
        <v>3</v>
      </c>
      <c r="E255" s="5">
        <v>45835</v>
      </c>
      <c r="F255" s="5">
        <v>45838</v>
      </c>
      <c r="G255" s="8" t="s">
        <v>683</v>
      </c>
      <c r="H255" s="8" t="s">
        <v>419</v>
      </c>
      <c r="I255" s="8" t="s">
        <v>411</v>
      </c>
      <c r="J255" s="4"/>
      <c r="K255" s="64">
        <v>252</v>
      </c>
      <c r="L255" s="18" t="s">
        <v>796</v>
      </c>
      <c r="M255" s="19" t="s">
        <v>783</v>
      </c>
      <c r="N255" s="18" t="s">
        <v>306</v>
      </c>
      <c r="O255" s="18">
        <v>2</v>
      </c>
      <c r="P255" s="18" t="s">
        <v>717</v>
      </c>
      <c r="Q255" s="18" t="s">
        <v>703</v>
      </c>
      <c r="R255" s="18" t="s">
        <v>306</v>
      </c>
      <c r="S255" s="18">
        <v>2</v>
      </c>
      <c r="T255" s="18" t="str">
        <f t="shared" si="6"/>
        <v>Current</v>
      </c>
      <c r="U255" s="18" t="str">
        <f t="shared" si="7"/>
        <v>Emerson Perry|Git Workflow</v>
      </c>
    </row>
    <row r="256" spans="1:21">
      <c r="A256" s="10">
        <v>45997</v>
      </c>
      <c r="B256" s="4" t="s">
        <v>91</v>
      </c>
      <c r="C256" s="4" t="s">
        <v>468</v>
      </c>
      <c r="D256" s="8">
        <v>1</v>
      </c>
      <c r="E256" s="5">
        <v>45995</v>
      </c>
      <c r="F256" s="5">
        <v>45998</v>
      </c>
      <c r="G256" s="8" t="s">
        <v>683</v>
      </c>
      <c r="H256" s="8" t="s">
        <v>410</v>
      </c>
      <c r="I256" s="8" t="s">
        <v>411</v>
      </c>
      <c r="J256" s="4"/>
      <c r="K256" s="64">
        <v>253</v>
      </c>
      <c r="L256" s="18" t="s">
        <v>797</v>
      </c>
      <c r="M256" s="19" t="s">
        <v>783</v>
      </c>
      <c r="N256" s="18" t="s">
        <v>306</v>
      </c>
      <c r="O256" s="18">
        <v>2</v>
      </c>
      <c r="P256" s="18" t="s">
        <v>717</v>
      </c>
      <c r="Q256" s="18" t="s">
        <v>470</v>
      </c>
      <c r="R256" s="18" t="s">
        <v>213</v>
      </c>
      <c r="S256" s="18"/>
      <c r="T256" s="18" t="str">
        <f t="shared" si="6"/>
        <v>Historical</v>
      </c>
      <c r="U256" s="18" t="str">
        <f t="shared" si="7"/>
        <v/>
      </c>
    </row>
    <row r="257" spans="1:21">
      <c r="A257" s="10">
        <v>46106</v>
      </c>
      <c r="B257" s="4" t="s">
        <v>91</v>
      </c>
      <c r="C257" s="4" t="s">
        <v>468</v>
      </c>
      <c r="D257" s="8">
        <v>2</v>
      </c>
      <c r="E257" s="5">
        <v>46103</v>
      </c>
      <c r="F257" s="5">
        <v>46103</v>
      </c>
      <c r="G257" s="8" t="s">
        <v>683</v>
      </c>
      <c r="H257" s="8" t="s">
        <v>419</v>
      </c>
      <c r="I257" s="8" t="s">
        <v>411</v>
      </c>
      <c r="J257" s="4"/>
      <c r="K257" s="64">
        <v>254</v>
      </c>
      <c r="L257" s="18" t="s">
        <v>798</v>
      </c>
      <c r="M257" s="19" t="s">
        <v>783</v>
      </c>
      <c r="N257" s="18" t="s">
        <v>306</v>
      </c>
      <c r="O257" s="18">
        <v>2</v>
      </c>
      <c r="P257" s="18" t="s">
        <v>717</v>
      </c>
      <c r="Q257" s="18" t="s">
        <v>470</v>
      </c>
      <c r="R257" s="18" t="s">
        <v>213</v>
      </c>
      <c r="S257" s="18">
        <v>1</v>
      </c>
      <c r="T257" s="18" t="str">
        <f t="shared" si="6"/>
        <v>Current</v>
      </c>
      <c r="U257" s="18" t="str">
        <f t="shared" si="7"/>
        <v>Emerson Perry|Business Continuity Basics</v>
      </c>
    </row>
    <row r="258" spans="1:21">
      <c r="A258" s="10">
        <v>45746</v>
      </c>
      <c r="B258" s="4" t="s">
        <v>94</v>
      </c>
      <c r="C258" s="4" t="s">
        <v>706</v>
      </c>
      <c r="D258" s="8">
        <v>2</v>
      </c>
      <c r="E258" s="5">
        <v>45741</v>
      </c>
      <c r="F258" s="5">
        <v>45741</v>
      </c>
      <c r="G258" s="8" t="s">
        <v>683</v>
      </c>
      <c r="H258" s="8" t="s">
        <v>410</v>
      </c>
      <c r="I258" s="8" t="s">
        <v>411</v>
      </c>
      <c r="J258" s="4"/>
      <c r="K258" s="64">
        <v>255</v>
      </c>
      <c r="L258" s="18" t="s">
        <v>799</v>
      </c>
      <c r="M258" s="19" t="s">
        <v>800</v>
      </c>
      <c r="N258" s="18" t="s">
        <v>306</v>
      </c>
      <c r="O258" s="18">
        <v>3</v>
      </c>
      <c r="P258" s="18" t="s">
        <v>742</v>
      </c>
      <c r="Q258" s="18" t="s">
        <v>708</v>
      </c>
      <c r="R258" s="18" t="s">
        <v>306</v>
      </c>
      <c r="S258" s="18"/>
      <c r="T258" s="18" t="str">
        <f t="shared" si="6"/>
        <v>Current</v>
      </c>
      <c r="U258" s="18" t="str">
        <f t="shared" si="7"/>
        <v>Blake Price|Pull Request Review</v>
      </c>
    </row>
    <row r="259" spans="1:21">
      <c r="A259" s="10">
        <v>46023</v>
      </c>
      <c r="B259" s="4" t="s">
        <v>94</v>
      </c>
      <c r="C259" s="4" t="s">
        <v>692</v>
      </c>
      <c r="D259" s="8">
        <v>1</v>
      </c>
      <c r="E259" s="5">
        <v>46020</v>
      </c>
      <c r="F259" s="5">
        <v>46021</v>
      </c>
      <c r="G259" s="8" t="s">
        <v>683</v>
      </c>
      <c r="H259" s="8" t="s">
        <v>410</v>
      </c>
      <c r="I259" s="8" t="s">
        <v>411</v>
      </c>
      <c r="J259" s="4"/>
      <c r="K259" s="64">
        <v>256</v>
      </c>
      <c r="L259" s="18" t="s">
        <v>801</v>
      </c>
      <c r="M259" s="19" t="s">
        <v>800</v>
      </c>
      <c r="N259" s="18" t="s">
        <v>306</v>
      </c>
      <c r="O259" s="18">
        <v>3</v>
      </c>
      <c r="P259" s="18" t="s">
        <v>742</v>
      </c>
      <c r="Q259" s="18" t="s">
        <v>694</v>
      </c>
      <c r="R259" s="18" t="s">
        <v>306</v>
      </c>
      <c r="S259" s="18"/>
      <c r="T259" s="18" t="str">
        <f t="shared" si="6"/>
        <v>Historical</v>
      </c>
      <c r="U259" s="18" t="str">
        <f t="shared" si="7"/>
        <v/>
      </c>
    </row>
    <row r="260" spans="1:21">
      <c r="A260" s="10">
        <v>46071</v>
      </c>
      <c r="B260" s="4" t="s">
        <v>94</v>
      </c>
      <c r="C260" s="4" t="s">
        <v>692</v>
      </c>
      <c r="D260" s="8">
        <v>2</v>
      </c>
      <c r="E260" s="5">
        <v>46070</v>
      </c>
      <c r="F260" s="5">
        <v>46071</v>
      </c>
      <c r="G260" s="8" t="s">
        <v>683</v>
      </c>
      <c r="H260" s="8" t="s">
        <v>419</v>
      </c>
      <c r="I260" s="8" t="s">
        <v>411</v>
      </c>
      <c r="J260" s="4"/>
      <c r="K260" s="64">
        <v>257</v>
      </c>
      <c r="L260" s="18" t="s">
        <v>802</v>
      </c>
      <c r="M260" s="19" t="s">
        <v>800</v>
      </c>
      <c r="N260" s="18" t="s">
        <v>306</v>
      </c>
      <c r="O260" s="18">
        <v>3</v>
      </c>
      <c r="P260" s="18" t="s">
        <v>742</v>
      </c>
      <c r="Q260" s="18" t="s">
        <v>694</v>
      </c>
      <c r="R260" s="18" t="s">
        <v>306</v>
      </c>
      <c r="S260" s="18">
        <v>1</v>
      </c>
      <c r="T260" s="18" t="str">
        <f t="shared" ref="T260:T323" si="8">IF(B260="","",IF(I260="Yes","Voided",IF(COUNTIFS($B$4:$B$803,B260,$C$4:$C$803,C260,$I$4:$I$803,"&lt;&gt;Yes",$K$4:$K$803,"&gt;"&amp;K260)=0,"Current","Historical")))</f>
        <v>Historical</v>
      </c>
      <c r="U260" s="18" t="str">
        <f t="shared" ref="U260:U323" si="9">IF(T260="Current",B260&amp;"|"&amp;C260,"")</f>
        <v/>
      </c>
    </row>
    <row r="261" spans="1:21">
      <c r="A261" s="10">
        <v>46124</v>
      </c>
      <c r="B261" s="4" t="s">
        <v>94</v>
      </c>
      <c r="C261" s="4" t="s">
        <v>692</v>
      </c>
      <c r="D261" s="8">
        <v>3</v>
      </c>
      <c r="E261" s="5">
        <v>46122</v>
      </c>
      <c r="F261" s="5">
        <v>46123</v>
      </c>
      <c r="G261" s="8" t="s">
        <v>683</v>
      </c>
      <c r="H261" s="8" t="s">
        <v>419</v>
      </c>
      <c r="I261" s="8" t="s">
        <v>411</v>
      </c>
      <c r="J261" s="4"/>
      <c r="K261" s="64">
        <v>258</v>
      </c>
      <c r="L261" s="18" t="s">
        <v>803</v>
      </c>
      <c r="M261" s="19" t="s">
        <v>800</v>
      </c>
      <c r="N261" s="18" t="s">
        <v>306</v>
      </c>
      <c r="O261" s="18">
        <v>3</v>
      </c>
      <c r="P261" s="18" t="s">
        <v>742</v>
      </c>
      <c r="Q261" s="18" t="s">
        <v>694</v>
      </c>
      <c r="R261" s="18" t="s">
        <v>306</v>
      </c>
      <c r="S261" s="18">
        <v>2</v>
      </c>
      <c r="T261" s="18" t="str">
        <f t="shared" si="8"/>
        <v>Current</v>
      </c>
      <c r="U261" s="18" t="str">
        <f t="shared" si="9"/>
        <v>Blake Price|Secure Coding Basics</v>
      </c>
    </row>
    <row r="262" spans="1:21">
      <c r="A262" s="10">
        <v>45742</v>
      </c>
      <c r="B262" s="4" t="s">
        <v>94</v>
      </c>
      <c r="C262" s="4" t="s">
        <v>696</v>
      </c>
      <c r="D262" s="8">
        <v>3</v>
      </c>
      <c r="E262" s="5">
        <v>45740</v>
      </c>
      <c r="F262" s="5">
        <v>45743</v>
      </c>
      <c r="G262" s="8" t="s">
        <v>683</v>
      </c>
      <c r="H262" s="8" t="s">
        <v>410</v>
      </c>
      <c r="I262" s="8" t="s">
        <v>411</v>
      </c>
      <c r="J262" s="4"/>
      <c r="K262" s="64">
        <v>259</v>
      </c>
      <c r="L262" s="18" t="s">
        <v>804</v>
      </c>
      <c r="M262" s="19" t="s">
        <v>800</v>
      </c>
      <c r="N262" s="18" t="s">
        <v>306</v>
      </c>
      <c r="O262" s="18">
        <v>3</v>
      </c>
      <c r="P262" s="18" t="s">
        <v>742</v>
      </c>
      <c r="Q262" s="18" t="s">
        <v>698</v>
      </c>
      <c r="R262" s="18" t="s">
        <v>306</v>
      </c>
      <c r="S262" s="18"/>
      <c r="T262" s="18" t="str">
        <f t="shared" si="8"/>
        <v>Current</v>
      </c>
      <c r="U262" s="18" t="str">
        <f t="shared" si="9"/>
        <v>Blake Price|Integration Testing</v>
      </c>
    </row>
    <row r="263" spans="1:21">
      <c r="A263" s="10">
        <v>46127</v>
      </c>
      <c r="B263" s="4" t="s">
        <v>94</v>
      </c>
      <c r="C263" s="4" t="s">
        <v>597</v>
      </c>
      <c r="D263" s="8">
        <v>3</v>
      </c>
      <c r="E263" s="5">
        <v>46122</v>
      </c>
      <c r="F263" s="5">
        <v>46124</v>
      </c>
      <c r="G263" s="8" t="s">
        <v>683</v>
      </c>
      <c r="H263" s="8" t="s">
        <v>410</v>
      </c>
      <c r="I263" s="8" t="s">
        <v>411</v>
      </c>
      <c r="J263" s="4"/>
      <c r="K263" s="64">
        <v>260</v>
      </c>
      <c r="L263" s="18" t="s">
        <v>805</v>
      </c>
      <c r="M263" s="19" t="s">
        <v>800</v>
      </c>
      <c r="N263" s="18" t="s">
        <v>306</v>
      </c>
      <c r="O263" s="18">
        <v>3</v>
      </c>
      <c r="P263" s="18" t="s">
        <v>742</v>
      </c>
      <c r="Q263" s="18" t="s">
        <v>599</v>
      </c>
      <c r="R263" s="18" t="s">
        <v>306</v>
      </c>
      <c r="S263" s="18"/>
      <c r="T263" s="18" t="str">
        <f t="shared" si="8"/>
        <v>Current</v>
      </c>
      <c r="U263" s="18" t="str">
        <f t="shared" si="9"/>
        <v>Blake Price|Feature Flag Management</v>
      </c>
    </row>
    <row r="264" spans="1:21">
      <c r="A264" s="10">
        <v>45821</v>
      </c>
      <c r="B264" s="4" t="s">
        <v>94</v>
      </c>
      <c r="C264" s="4" t="s">
        <v>682</v>
      </c>
      <c r="D264" s="8">
        <v>3</v>
      </c>
      <c r="E264" s="5">
        <v>45817</v>
      </c>
      <c r="F264" s="5">
        <v>45817</v>
      </c>
      <c r="G264" s="8" t="s">
        <v>683</v>
      </c>
      <c r="H264" s="8" t="s">
        <v>410</v>
      </c>
      <c r="I264" s="8" t="s">
        <v>411</v>
      </c>
      <c r="J264" s="4"/>
      <c r="K264" s="64">
        <v>261</v>
      </c>
      <c r="L264" s="18" t="s">
        <v>806</v>
      </c>
      <c r="M264" s="19" t="s">
        <v>800</v>
      </c>
      <c r="N264" s="18" t="s">
        <v>306</v>
      </c>
      <c r="O264" s="18">
        <v>3</v>
      </c>
      <c r="P264" s="18" t="s">
        <v>742</v>
      </c>
      <c r="Q264" s="18" t="s">
        <v>687</v>
      </c>
      <c r="R264" s="18" t="s">
        <v>306</v>
      </c>
      <c r="S264" s="18"/>
      <c r="T264" s="18" t="str">
        <f t="shared" si="8"/>
        <v>Current</v>
      </c>
      <c r="U264" s="18" t="str">
        <f t="shared" si="9"/>
        <v>Blake Price|Deployment Procedures</v>
      </c>
    </row>
    <row r="265" spans="1:21">
      <c r="A265" s="10">
        <v>45949</v>
      </c>
      <c r="B265" s="4" t="s">
        <v>94</v>
      </c>
      <c r="C265" s="4" t="s">
        <v>711</v>
      </c>
      <c r="D265" s="8">
        <v>3</v>
      </c>
      <c r="E265" s="5">
        <v>45944</v>
      </c>
      <c r="F265" s="5">
        <v>45944</v>
      </c>
      <c r="G265" s="8" t="s">
        <v>683</v>
      </c>
      <c r="H265" s="8" t="s">
        <v>410</v>
      </c>
      <c r="I265" s="8" t="s">
        <v>411</v>
      </c>
      <c r="J265" s="4"/>
      <c r="K265" s="64">
        <v>262</v>
      </c>
      <c r="L265" s="18" t="s">
        <v>807</v>
      </c>
      <c r="M265" s="19" t="s">
        <v>800</v>
      </c>
      <c r="N265" s="18" t="s">
        <v>306</v>
      </c>
      <c r="O265" s="18">
        <v>3</v>
      </c>
      <c r="P265" s="18" t="s">
        <v>742</v>
      </c>
      <c r="Q265" s="18" t="s">
        <v>713</v>
      </c>
      <c r="R265" s="18" t="s">
        <v>306</v>
      </c>
      <c r="S265" s="18"/>
      <c r="T265" s="18" t="str">
        <f t="shared" si="8"/>
        <v>Current</v>
      </c>
      <c r="U265" s="18" t="str">
        <f t="shared" si="9"/>
        <v>Blake Price|Unit Testing</v>
      </c>
    </row>
    <row r="266" spans="1:21">
      <c r="A266" s="10">
        <v>46139</v>
      </c>
      <c r="B266" s="4" t="s">
        <v>94</v>
      </c>
      <c r="C266" s="4" t="s">
        <v>701</v>
      </c>
      <c r="D266" s="8">
        <v>1</v>
      </c>
      <c r="E266" s="5">
        <v>46135</v>
      </c>
      <c r="F266" s="5">
        <v>46135</v>
      </c>
      <c r="G266" s="8" t="s">
        <v>683</v>
      </c>
      <c r="H266" s="8" t="s">
        <v>410</v>
      </c>
      <c r="I266" s="8" t="s">
        <v>411</v>
      </c>
      <c r="J266" s="4"/>
      <c r="K266" s="64">
        <v>263</v>
      </c>
      <c r="L266" s="18" t="s">
        <v>808</v>
      </c>
      <c r="M266" s="19" t="s">
        <v>800</v>
      </c>
      <c r="N266" s="18" t="s">
        <v>306</v>
      </c>
      <c r="O266" s="18">
        <v>3</v>
      </c>
      <c r="P266" s="18" t="s">
        <v>742</v>
      </c>
      <c r="Q266" s="18" t="s">
        <v>703</v>
      </c>
      <c r="R266" s="18" t="s">
        <v>306</v>
      </c>
      <c r="S266" s="18"/>
      <c r="T266" s="18" t="str">
        <f t="shared" si="8"/>
        <v>Historical</v>
      </c>
      <c r="U266" s="18" t="str">
        <f t="shared" si="9"/>
        <v/>
      </c>
    </row>
    <row r="267" spans="1:21">
      <c r="A267" s="10">
        <v>46165</v>
      </c>
      <c r="B267" s="4" t="s">
        <v>94</v>
      </c>
      <c r="C267" s="4" t="s">
        <v>701</v>
      </c>
      <c r="D267" s="8">
        <v>2</v>
      </c>
      <c r="E267" s="5">
        <v>46162</v>
      </c>
      <c r="F267" s="5">
        <v>46164</v>
      </c>
      <c r="G267" s="8" t="s">
        <v>683</v>
      </c>
      <c r="H267" s="8" t="s">
        <v>419</v>
      </c>
      <c r="I267" s="8" t="s">
        <v>411</v>
      </c>
      <c r="J267" s="4"/>
      <c r="K267" s="64">
        <v>264</v>
      </c>
      <c r="L267" s="18" t="s">
        <v>809</v>
      </c>
      <c r="M267" s="19" t="s">
        <v>800</v>
      </c>
      <c r="N267" s="18" t="s">
        <v>306</v>
      </c>
      <c r="O267" s="18">
        <v>3</v>
      </c>
      <c r="P267" s="18" t="s">
        <v>742</v>
      </c>
      <c r="Q267" s="18" t="s">
        <v>703</v>
      </c>
      <c r="R267" s="18" t="s">
        <v>306</v>
      </c>
      <c r="S267" s="18">
        <v>1</v>
      </c>
      <c r="T267" s="18" t="str">
        <f t="shared" si="8"/>
        <v>Current</v>
      </c>
      <c r="U267" s="18" t="str">
        <f t="shared" si="9"/>
        <v>Blake Price|Git Workflow</v>
      </c>
    </row>
    <row r="268" spans="1:21">
      <c r="A268" s="10">
        <v>45760</v>
      </c>
      <c r="B268" s="4" t="s">
        <v>94</v>
      </c>
      <c r="C268" s="4" t="s">
        <v>725</v>
      </c>
      <c r="D268" s="8">
        <v>1</v>
      </c>
      <c r="E268" s="5">
        <v>45755</v>
      </c>
      <c r="F268" s="5">
        <v>45758</v>
      </c>
      <c r="G268" s="8" t="s">
        <v>683</v>
      </c>
      <c r="H268" s="8" t="s">
        <v>410</v>
      </c>
      <c r="I268" s="8" t="s">
        <v>411</v>
      </c>
      <c r="J268" s="4"/>
      <c r="K268" s="64">
        <v>265</v>
      </c>
      <c r="L268" s="18" t="s">
        <v>810</v>
      </c>
      <c r="M268" s="19" t="s">
        <v>800</v>
      </c>
      <c r="N268" s="18" t="s">
        <v>306</v>
      </c>
      <c r="O268" s="18">
        <v>3</v>
      </c>
      <c r="P268" s="18" t="s">
        <v>742</v>
      </c>
      <c r="Q268" s="18" t="s">
        <v>727</v>
      </c>
      <c r="R268" s="18" t="s">
        <v>306</v>
      </c>
      <c r="S268" s="18"/>
      <c r="T268" s="18" t="str">
        <f t="shared" si="8"/>
        <v>Current</v>
      </c>
      <c r="U268" s="18" t="str">
        <f t="shared" si="9"/>
        <v>Blake Price|Release Branching</v>
      </c>
    </row>
    <row r="269" spans="1:21">
      <c r="A269" s="10">
        <v>45840</v>
      </c>
      <c r="B269" s="4" t="s">
        <v>97</v>
      </c>
      <c r="C269" s="4" t="s">
        <v>811</v>
      </c>
      <c r="D269" s="8">
        <v>1</v>
      </c>
      <c r="E269" s="5">
        <v>45839</v>
      </c>
      <c r="F269" s="5">
        <v>45840</v>
      </c>
      <c r="G269" s="8" t="s">
        <v>812</v>
      </c>
      <c r="H269" s="8" t="s">
        <v>410</v>
      </c>
      <c r="I269" s="8" t="s">
        <v>411</v>
      </c>
      <c r="J269" s="4"/>
      <c r="K269" s="64">
        <v>266</v>
      </c>
      <c r="L269" s="18" t="s">
        <v>813</v>
      </c>
      <c r="M269" s="19" t="s">
        <v>814</v>
      </c>
      <c r="N269" s="18" t="s">
        <v>307</v>
      </c>
      <c r="O269" s="18">
        <v>1</v>
      </c>
      <c r="P269" s="18" t="s">
        <v>815</v>
      </c>
      <c r="Q269" s="18" t="s">
        <v>816</v>
      </c>
      <c r="R269" s="18" t="s">
        <v>307</v>
      </c>
      <c r="S269" s="18"/>
      <c r="T269" s="18" t="str">
        <f t="shared" si="8"/>
        <v>Historical</v>
      </c>
      <c r="U269" s="18" t="str">
        <f t="shared" si="9"/>
        <v/>
      </c>
    </row>
    <row r="270" spans="1:21">
      <c r="A270" s="10">
        <v>45953</v>
      </c>
      <c r="B270" s="4" t="s">
        <v>97</v>
      </c>
      <c r="C270" s="4" t="s">
        <v>811</v>
      </c>
      <c r="D270" s="8">
        <v>2</v>
      </c>
      <c r="E270" s="5">
        <v>45949</v>
      </c>
      <c r="F270" s="5">
        <v>45952</v>
      </c>
      <c r="G270" s="8" t="s">
        <v>812</v>
      </c>
      <c r="H270" s="8" t="s">
        <v>419</v>
      </c>
      <c r="I270" s="8" t="s">
        <v>411</v>
      </c>
      <c r="J270" s="4"/>
      <c r="K270" s="64">
        <v>267</v>
      </c>
      <c r="L270" s="18" t="s">
        <v>817</v>
      </c>
      <c r="M270" s="19" t="s">
        <v>814</v>
      </c>
      <c r="N270" s="18" t="s">
        <v>307</v>
      </c>
      <c r="O270" s="18">
        <v>1</v>
      </c>
      <c r="P270" s="18" t="s">
        <v>815</v>
      </c>
      <c r="Q270" s="18" t="s">
        <v>816</v>
      </c>
      <c r="R270" s="18" t="s">
        <v>307</v>
      </c>
      <c r="S270" s="18">
        <v>1</v>
      </c>
      <c r="T270" s="18" t="str">
        <f t="shared" si="8"/>
        <v>Historical</v>
      </c>
      <c r="U270" s="18" t="str">
        <f t="shared" si="9"/>
        <v/>
      </c>
    </row>
    <row r="271" spans="1:21">
      <c r="A271" s="10">
        <v>46041</v>
      </c>
      <c r="B271" s="4" t="s">
        <v>97</v>
      </c>
      <c r="C271" s="4" t="s">
        <v>811</v>
      </c>
      <c r="D271" s="8">
        <v>3</v>
      </c>
      <c r="E271" s="5">
        <v>46036</v>
      </c>
      <c r="F271" s="5">
        <v>46037</v>
      </c>
      <c r="G271" s="8" t="s">
        <v>812</v>
      </c>
      <c r="H271" s="8" t="s">
        <v>419</v>
      </c>
      <c r="I271" s="8" t="s">
        <v>411</v>
      </c>
      <c r="J271" s="4"/>
      <c r="K271" s="64">
        <v>268</v>
      </c>
      <c r="L271" s="18" t="s">
        <v>818</v>
      </c>
      <c r="M271" s="19" t="s">
        <v>814</v>
      </c>
      <c r="N271" s="18" t="s">
        <v>307</v>
      </c>
      <c r="O271" s="18">
        <v>1</v>
      </c>
      <c r="P271" s="18" t="s">
        <v>815</v>
      </c>
      <c r="Q271" s="18" t="s">
        <v>816</v>
      </c>
      <c r="R271" s="18" t="s">
        <v>307</v>
      </c>
      <c r="S271" s="18">
        <v>2</v>
      </c>
      <c r="T271" s="18" t="str">
        <f t="shared" si="8"/>
        <v>Current</v>
      </c>
      <c r="U271" s="18" t="str">
        <f t="shared" si="9"/>
        <v>Devon Kelly|IT Service Desk Escalation</v>
      </c>
    </row>
    <row r="272" spans="1:21">
      <c r="A272" s="10">
        <v>46063</v>
      </c>
      <c r="B272" s="4" t="s">
        <v>97</v>
      </c>
      <c r="C272" s="4" t="s">
        <v>819</v>
      </c>
      <c r="D272" s="8">
        <v>2</v>
      </c>
      <c r="E272" s="5">
        <v>46059</v>
      </c>
      <c r="F272" s="5">
        <v>46061</v>
      </c>
      <c r="G272" s="8" t="s">
        <v>812</v>
      </c>
      <c r="H272" s="8" t="s">
        <v>410</v>
      </c>
      <c r="I272" s="8" t="s">
        <v>411</v>
      </c>
      <c r="J272" s="4"/>
      <c r="K272" s="64">
        <v>269</v>
      </c>
      <c r="L272" s="18" t="s">
        <v>820</v>
      </c>
      <c r="M272" s="19" t="s">
        <v>814</v>
      </c>
      <c r="N272" s="18" t="s">
        <v>307</v>
      </c>
      <c r="O272" s="18">
        <v>1</v>
      </c>
      <c r="P272" s="18" t="s">
        <v>815</v>
      </c>
      <c r="Q272" s="18" t="s">
        <v>821</v>
      </c>
      <c r="R272" s="18" t="s">
        <v>307</v>
      </c>
      <c r="S272" s="18"/>
      <c r="T272" s="18" t="str">
        <f t="shared" si="8"/>
        <v>Current</v>
      </c>
      <c r="U272" s="18" t="str">
        <f t="shared" si="9"/>
        <v>Devon Kelly|Network Support Analyst</v>
      </c>
    </row>
    <row r="273" spans="1:21">
      <c r="A273" s="10">
        <v>46006</v>
      </c>
      <c r="B273" s="4" t="s">
        <v>97</v>
      </c>
      <c r="C273" s="4" t="s">
        <v>822</v>
      </c>
      <c r="D273" s="8">
        <v>1</v>
      </c>
      <c r="E273" s="5">
        <v>46005</v>
      </c>
      <c r="F273" s="5">
        <v>46007</v>
      </c>
      <c r="G273" s="8" t="s">
        <v>812</v>
      </c>
      <c r="H273" s="8" t="s">
        <v>410</v>
      </c>
      <c r="I273" s="8" t="s">
        <v>411</v>
      </c>
      <c r="J273" s="4"/>
      <c r="K273" s="64">
        <v>270</v>
      </c>
      <c r="L273" s="18" t="s">
        <v>823</v>
      </c>
      <c r="M273" s="19" t="s">
        <v>814</v>
      </c>
      <c r="N273" s="18" t="s">
        <v>307</v>
      </c>
      <c r="O273" s="18">
        <v>1</v>
      </c>
      <c r="P273" s="18" t="s">
        <v>815</v>
      </c>
      <c r="Q273" s="18" t="s">
        <v>824</v>
      </c>
      <c r="R273" s="18" t="s">
        <v>307</v>
      </c>
      <c r="S273" s="18"/>
      <c r="T273" s="18" t="str">
        <f t="shared" si="8"/>
        <v>Historical</v>
      </c>
      <c r="U273" s="18" t="str">
        <f t="shared" si="9"/>
        <v/>
      </c>
    </row>
    <row r="274" spans="1:21">
      <c r="A274" s="10">
        <v>46042</v>
      </c>
      <c r="B274" s="4" t="s">
        <v>97</v>
      </c>
      <c r="C274" s="4" t="s">
        <v>822</v>
      </c>
      <c r="D274" s="8">
        <v>2</v>
      </c>
      <c r="E274" s="5">
        <v>46037</v>
      </c>
      <c r="F274" s="5">
        <v>46040</v>
      </c>
      <c r="G274" s="8" t="s">
        <v>812</v>
      </c>
      <c r="H274" s="8" t="s">
        <v>419</v>
      </c>
      <c r="I274" s="8" t="s">
        <v>411</v>
      </c>
      <c r="J274" s="4"/>
      <c r="K274" s="64">
        <v>271</v>
      </c>
      <c r="L274" s="18" t="s">
        <v>825</v>
      </c>
      <c r="M274" s="19" t="s">
        <v>814</v>
      </c>
      <c r="N274" s="18" t="s">
        <v>307</v>
      </c>
      <c r="O274" s="18">
        <v>1</v>
      </c>
      <c r="P274" s="18" t="s">
        <v>815</v>
      </c>
      <c r="Q274" s="18" t="s">
        <v>824</v>
      </c>
      <c r="R274" s="18" t="s">
        <v>307</v>
      </c>
      <c r="S274" s="18">
        <v>1</v>
      </c>
      <c r="T274" s="18" t="str">
        <f t="shared" si="8"/>
        <v>Historical</v>
      </c>
      <c r="U274" s="18" t="str">
        <f t="shared" si="9"/>
        <v/>
      </c>
    </row>
    <row r="275" spans="1:21">
      <c r="A275" s="10">
        <v>46096</v>
      </c>
      <c r="B275" s="4" t="s">
        <v>97</v>
      </c>
      <c r="C275" s="4" t="s">
        <v>822</v>
      </c>
      <c r="D275" s="8">
        <v>3</v>
      </c>
      <c r="E275" s="5">
        <v>46093</v>
      </c>
      <c r="F275" s="5">
        <v>46094</v>
      </c>
      <c r="G275" s="8" t="s">
        <v>812</v>
      </c>
      <c r="H275" s="8" t="s">
        <v>419</v>
      </c>
      <c r="I275" s="8" t="s">
        <v>411</v>
      </c>
      <c r="J275" s="4"/>
      <c r="K275" s="64">
        <v>272</v>
      </c>
      <c r="L275" s="18" t="s">
        <v>826</v>
      </c>
      <c r="M275" s="19" t="s">
        <v>814</v>
      </c>
      <c r="N275" s="18" t="s">
        <v>307</v>
      </c>
      <c r="O275" s="18">
        <v>1</v>
      </c>
      <c r="P275" s="18" t="s">
        <v>815</v>
      </c>
      <c r="Q275" s="18" t="s">
        <v>824</v>
      </c>
      <c r="R275" s="18" t="s">
        <v>307</v>
      </c>
      <c r="S275" s="18">
        <v>2</v>
      </c>
      <c r="T275" s="18" t="str">
        <f t="shared" si="8"/>
        <v>Current</v>
      </c>
      <c r="U275" s="18" t="str">
        <f t="shared" si="9"/>
        <v>Devon Kelly|Endpoint Provisioning</v>
      </c>
    </row>
    <row r="276" spans="1:21">
      <c r="A276" s="10">
        <v>45810</v>
      </c>
      <c r="B276" s="4" t="s">
        <v>97</v>
      </c>
      <c r="C276" s="4" t="s">
        <v>827</v>
      </c>
      <c r="D276" s="8">
        <v>2</v>
      </c>
      <c r="E276" s="5">
        <v>45807</v>
      </c>
      <c r="F276" s="5">
        <v>45809</v>
      </c>
      <c r="G276" s="8" t="s">
        <v>812</v>
      </c>
      <c r="H276" s="8" t="s">
        <v>410</v>
      </c>
      <c r="I276" s="8" t="s">
        <v>411</v>
      </c>
      <c r="J276" s="4"/>
      <c r="K276" s="64">
        <v>273</v>
      </c>
      <c r="L276" s="18" t="s">
        <v>828</v>
      </c>
      <c r="M276" s="19" t="s">
        <v>814</v>
      </c>
      <c r="N276" s="18" t="s">
        <v>307</v>
      </c>
      <c r="O276" s="18">
        <v>1</v>
      </c>
      <c r="P276" s="18" t="s">
        <v>815</v>
      </c>
      <c r="Q276" s="18" t="s">
        <v>829</v>
      </c>
      <c r="R276" s="18" t="s">
        <v>307</v>
      </c>
      <c r="S276" s="18"/>
      <c r="T276" s="18" t="str">
        <f t="shared" si="8"/>
        <v>Current</v>
      </c>
      <c r="U276" s="18" t="str">
        <f t="shared" si="9"/>
        <v>Devon Kelly|VPN Administration</v>
      </c>
    </row>
    <row r="277" spans="1:21">
      <c r="A277" s="10">
        <v>46066</v>
      </c>
      <c r="B277" s="4" t="s">
        <v>97</v>
      </c>
      <c r="C277" s="4" t="s">
        <v>830</v>
      </c>
      <c r="D277" s="8">
        <v>3</v>
      </c>
      <c r="E277" s="5">
        <v>46064</v>
      </c>
      <c r="F277" s="5">
        <v>46064</v>
      </c>
      <c r="G277" s="8" t="s">
        <v>812</v>
      </c>
      <c r="H277" s="8" t="s">
        <v>410</v>
      </c>
      <c r="I277" s="8" t="s">
        <v>411</v>
      </c>
      <c r="J277" s="4"/>
      <c r="K277" s="64">
        <v>274</v>
      </c>
      <c r="L277" s="18" t="s">
        <v>831</v>
      </c>
      <c r="M277" s="19" t="s">
        <v>814</v>
      </c>
      <c r="N277" s="18" t="s">
        <v>307</v>
      </c>
      <c r="O277" s="18">
        <v>1</v>
      </c>
      <c r="P277" s="18" t="s">
        <v>815</v>
      </c>
      <c r="Q277" s="18" t="s">
        <v>832</v>
      </c>
      <c r="R277" s="18" t="s">
        <v>307</v>
      </c>
      <c r="S277" s="18"/>
      <c r="T277" s="18" t="str">
        <f t="shared" si="8"/>
        <v>Current</v>
      </c>
      <c r="U277" s="18" t="str">
        <f t="shared" si="9"/>
        <v>Devon Kelly|Device Provisioning Specialist</v>
      </c>
    </row>
    <row r="278" spans="1:21">
      <c r="A278" s="10">
        <v>46001</v>
      </c>
      <c r="B278" s="4" t="s">
        <v>97</v>
      </c>
      <c r="C278" s="4" t="s">
        <v>833</v>
      </c>
      <c r="D278" s="8">
        <v>1</v>
      </c>
      <c r="E278" s="5">
        <v>45999</v>
      </c>
      <c r="F278" s="5">
        <v>45999</v>
      </c>
      <c r="G278" s="8" t="s">
        <v>812</v>
      </c>
      <c r="H278" s="8" t="s">
        <v>410</v>
      </c>
      <c r="I278" s="8" t="s">
        <v>411</v>
      </c>
      <c r="J278" s="4"/>
      <c r="K278" s="64">
        <v>275</v>
      </c>
      <c r="L278" s="18" t="s">
        <v>834</v>
      </c>
      <c r="M278" s="19" t="s">
        <v>814</v>
      </c>
      <c r="N278" s="18" t="s">
        <v>307</v>
      </c>
      <c r="O278" s="18">
        <v>1</v>
      </c>
      <c r="P278" s="18" t="s">
        <v>815</v>
      </c>
      <c r="Q278" s="18" t="s">
        <v>835</v>
      </c>
      <c r="R278" s="18" t="s">
        <v>307</v>
      </c>
      <c r="S278" s="18"/>
      <c r="T278" s="18" t="str">
        <f t="shared" si="8"/>
        <v>Historical</v>
      </c>
      <c r="U278" s="18" t="str">
        <f t="shared" si="9"/>
        <v/>
      </c>
    </row>
    <row r="279" spans="1:21">
      <c r="A279" s="10">
        <v>46105</v>
      </c>
      <c r="B279" s="4" t="s">
        <v>97</v>
      </c>
      <c r="C279" s="4" t="s">
        <v>833</v>
      </c>
      <c r="D279" s="8">
        <v>2</v>
      </c>
      <c r="E279" s="5">
        <v>46101</v>
      </c>
      <c r="F279" s="5">
        <v>46103</v>
      </c>
      <c r="G279" s="8" t="s">
        <v>812</v>
      </c>
      <c r="H279" s="8" t="s">
        <v>419</v>
      </c>
      <c r="I279" s="8" t="s">
        <v>411</v>
      </c>
      <c r="J279" s="4"/>
      <c r="K279" s="64">
        <v>276</v>
      </c>
      <c r="L279" s="18" t="s">
        <v>836</v>
      </c>
      <c r="M279" s="19" t="s">
        <v>814</v>
      </c>
      <c r="N279" s="18" t="s">
        <v>307</v>
      </c>
      <c r="O279" s="18">
        <v>1</v>
      </c>
      <c r="P279" s="18" t="s">
        <v>815</v>
      </c>
      <c r="Q279" s="18" t="s">
        <v>835</v>
      </c>
      <c r="R279" s="18" t="s">
        <v>307</v>
      </c>
      <c r="S279" s="18">
        <v>1</v>
      </c>
      <c r="T279" s="18" t="str">
        <f t="shared" si="8"/>
        <v>Current</v>
      </c>
      <c r="U279" s="18" t="str">
        <f t="shared" si="9"/>
        <v>Devon Kelly|Identity &amp; Access Specialist</v>
      </c>
    </row>
    <row r="280" spans="1:21">
      <c r="A280" s="10">
        <v>45981</v>
      </c>
      <c r="B280" s="4" t="s">
        <v>97</v>
      </c>
      <c r="C280" s="4" t="s">
        <v>837</v>
      </c>
      <c r="D280" s="8">
        <v>1</v>
      </c>
      <c r="E280" s="5">
        <v>45979</v>
      </c>
      <c r="F280" s="5">
        <v>45980</v>
      </c>
      <c r="G280" s="8" t="s">
        <v>812</v>
      </c>
      <c r="H280" s="8" t="s">
        <v>410</v>
      </c>
      <c r="I280" s="8" t="s">
        <v>411</v>
      </c>
      <c r="J280" s="4"/>
      <c r="K280" s="64">
        <v>277</v>
      </c>
      <c r="L280" s="18" t="s">
        <v>838</v>
      </c>
      <c r="M280" s="19" t="s">
        <v>814</v>
      </c>
      <c r="N280" s="18" t="s">
        <v>307</v>
      </c>
      <c r="O280" s="18">
        <v>1</v>
      </c>
      <c r="P280" s="18" t="s">
        <v>815</v>
      </c>
      <c r="Q280" s="18" t="s">
        <v>839</v>
      </c>
      <c r="R280" s="18" t="s">
        <v>307</v>
      </c>
      <c r="S280" s="18"/>
      <c r="T280" s="18" t="str">
        <f t="shared" si="8"/>
        <v>Current</v>
      </c>
      <c r="U280" s="18" t="str">
        <f t="shared" si="9"/>
        <v>Devon Kelly|IT Service Analyst</v>
      </c>
    </row>
    <row r="281" spans="1:21">
      <c r="A281" s="10">
        <v>45861</v>
      </c>
      <c r="B281" s="4" t="s">
        <v>97</v>
      </c>
      <c r="C281" s="4" t="s">
        <v>840</v>
      </c>
      <c r="D281" s="8">
        <v>2</v>
      </c>
      <c r="E281" s="5">
        <v>45859</v>
      </c>
      <c r="F281" s="5">
        <v>45860</v>
      </c>
      <c r="G281" s="8" t="s">
        <v>812</v>
      </c>
      <c r="H281" s="8" t="s">
        <v>410</v>
      </c>
      <c r="I281" s="8" t="s">
        <v>411</v>
      </c>
      <c r="J281" s="4"/>
      <c r="K281" s="64">
        <v>278</v>
      </c>
      <c r="L281" s="18" t="s">
        <v>841</v>
      </c>
      <c r="M281" s="19" t="s">
        <v>814</v>
      </c>
      <c r="N281" s="18" t="s">
        <v>307</v>
      </c>
      <c r="O281" s="18">
        <v>1</v>
      </c>
      <c r="P281" s="18" t="s">
        <v>815</v>
      </c>
      <c r="Q281" s="18" t="s">
        <v>824</v>
      </c>
      <c r="R281" s="18" t="s">
        <v>307</v>
      </c>
      <c r="S281" s="18"/>
      <c r="T281" s="18" t="str">
        <f t="shared" si="8"/>
        <v>Current</v>
      </c>
      <c r="U281" s="18" t="str">
        <f t="shared" si="9"/>
        <v>Devon Kelly|Mobile Device Management</v>
      </c>
    </row>
    <row r="282" spans="1:21">
      <c r="A282" s="10">
        <v>45966</v>
      </c>
      <c r="B282" s="4" t="s">
        <v>97</v>
      </c>
      <c r="C282" s="4" t="s">
        <v>454</v>
      </c>
      <c r="D282" s="8">
        <v>1</v>
      </c>
      <c r="E282" s="5">
        <v>45965</v>
      </c>
      <c r="F282" s="5">
        <v>45965</v>
      </c>
      <c r="G282" s="8" t="s">
        <v>812</v>
      </c>
      <c r="H282" s="8" t="s">
        <v>410</v>
      </c>
      <c r="I282" s="8" t="s">
        <v>411</v>
      </c>
      <c r="J282" s="4"/>
      <c r="K282" s="64">
        <v>279</v>
      </c>
      <c r="L282" s="18" t="s">
        <v>842</v>
      </c>
      <c r="M282" s="19" t="s">
        <v>814</v>
      </c>
      <c r="N282" s="18" t="s">
        <v>307</v>
      </c>
      <c r="O282" s="18">
        <v>1</v>
      </c>
      <c r="P282" s="18" t="s">
        <v>815</v>
      </c>
      <c r="Q282" s="18" t="s">
        <v>456</v>
      </c>
      <c r="R282" s="18" t="s">
        <v>304</v>
      </c>
      <c r="S282" s="18"/>
      <c r="T282" s="18" t="str">
        <f t="shared" si="8"/>
        <v>Current</v>
      </c>
      <c r="U282" s="18" t="str">
        <f t="shared" si="9"/>
        <v>Devon Kelly|Incident Communication</v>
      </c>
    </row>
    <row r="283" spans="1:21">
      <c r="A283" s="10">
        <v>45802</v>
      </c>
      <c r="B283" s="4" t="s">
        <v>97</v>
      </c>
      <c r="C283" s="4" t="s">
        <v>438</v>
      </c>
      <c r="D283" s="8">
        <v>3</v>
      </c>
      <c r="E283" s="5">
        <v>45797</v>
      </c>
      <c r="F283" s="5">
        <v>45800</v>
      </c>
      <c r="G283" s="8" t="s">
        <v>812</v>
      </c>
      <c r="H283" s="8" t="s">
        <v>410</v>
      </c>
      <c r="I283" s="8" t="s">
        <v>411</v>
      </c>
      <c r="J283" s="4"/>
      <c r="K283" s="64">
        <v>280</v>
      </c>
      <c r="L283" s="18" t="s">
        <v>843</v>
      </c>
      <c r="M283" s="19" t="s">
        <v>814</v>
      </c>
      <c r="N283" s="18" t="s">
        <v>307</v>
      </c>
      <c r="O283" s="18">
        <v>1</v>
      </c>
      <c r="P283" s="18" t="s">
        <v>815</v>
      </c>
      <c r="Q283" s="18" t="s">
        <v>440</v>
      </c>
      <c r="R283" s="18" t="s">
        <v>213</v>
      </c>
      <c r="S283" s="18"/>
      <c r="T283" s="18" t="str">
        <f t="shared" si="8"/>
        <v>Current</v>
      </c>
      <c r="U283" s="18" t="str">
        <f t="shared" si="9"/>
        <v>Devon Kelly|Data Privacy &amp; Acceptable Use</v>
      </c>
    </row>
    <row r="284" spans="1:21">
      <c r="A284" s="10">
        <v>45910</v>
      </c>
      <c r="B284" s="4" t="s">
        <v>100</v>
      </c>
      <c r="C284" s="4" t="s">
        <v>837</v>
      </c>
      <c r="D284" s="8">
        <v>1</v>
      </c>
      <c r="E284" s="5">
        <v>45907</v>
      </c>
      <c r="F284" s="5">
        <v>45910</v>
      </c>
      <c r="G284" s="8" t="s">
        <v>812</v>
      </c>
      <c r="H284" s="8" t="s">
        <v>410</v>
      </c>
      <c r="I284" s="8" t="s">
        <v>411</v>
      </c>
      <c r="J284" s="4"/>
      <c r="K284" s="64">
        <v>281</v>
      </c>
      <c r="L284" s="18" t="s">
        <v>844</v>
      </c>
      <c r="M284" s="19" t="s">
        <v>845</v>
      </c>
      <c r="N284" s="18" t="s">
        <v>307</v>
      </c>
      <c r="O284" s="18">
        <v>2</v>
      </c>
      <c r="P284" s="18" t="s">
        <v>833</v>
      </c>
      <c r="Q284" s="18" t="s">
        <v>839</v>
      </c>
      <c r="R284" s="18" t="s">
        <v>307</v>
      </c>
      <c r="S284" s="18"/>
      <c r="T284" s="18" t="str">
        <f t="shared" si="8"/>
        <v>Historical</v>
      </c>
      <c r="U284" s="18" t="str">
        <f t="shared" si="9"/>
        <v/>
      </c>
    </row>
    <row r="285" spans="1:21">
      <c r="A285" s="10">
        <v>45954</v>
      </c>
      <c r="B285" s="4" t="s">
        <v>100</v>
      </c>
      <c r="C285" s="4" t="s">
        <v>837</v>
      </c>
      <c r="D285" s="8">
        <v>2</v>
      </c>
      <c r="E285" s="5">
        <v>45951</v>
      </c>
      <c r="F285" s="5">
        <v>45954</v>
      </c>
      <c r="G285" s="8" t="s">
        <v>812</v>
      </c>
      <c r="H285" s="8" t="s">
        <v>419</v>
      </c>
      <c r="I285" s="8" t="s">
        <v>411</v>
      </c>
      <c r="J285" s="4"/>
      <c r="K285" s="64">
        <v>282</v>
      </c>
      <c r="L285" s="18" t="s">
        <v>846</v>
      </c>
      <c r="M285" s="19" t="s">
        <v>845</v>
      </c>
      <c r="N285" s="18" t="s">
        <v>307</v>
      </c>
      <c r="O285" s="18">
        <v>2</v>
      </c>
      <c r="P285" s="18" t="s">
        <v>833</v>
      </c>
      <c r="Q285" s="18" t="s">
        <v>839</v>
      </c>
      <c r="R285" s="18" t="s">
        <v>307</v>
      </c>
      <c r="S285" s="18">
        <v>1</v>
      </c>
      <c r="T285" s="18" t="str">
        <f t="shared" si="8"/>
        <v>Historical</v>
      </c>
      <c r="U285" s="18" t="str">
        <f t="shared" si="9"/>
        <v/>
      </c>
    </row>
    <row r="286" spans="1:21">
      <c r="A286" s="10">
        <v>46033</v>
      </c>
      <c r="B286" s="4" t="s">
        <v>100</v>
      </c>
      <c r="C286" s="4" t="s">
        <v>837</v>
      </c>
      <c r="D286" s="8">
        <v>3</v>
      </c>
      <c r="E286" s="5">
        <v>46030</v>
      </c>
      <c r="F286" s="5">
        <v>46033</v>
      </c>
      <c r="G286" s="8" t="s">
        <v>812</v>
      </c>
      <c r="H286" s="8" t="s">
        <v>419</v>
      </c>
      <c r="I286" s="8" t="s">
        <v>411</v>
      </c>
      <c r="J286" s="4"/>
      <c r="K286" s="64">
        <v>283</v>
      </c>
      <c r="L286" s="18" t="s">
        <v>847</v>
      </c>
      <c r="M286" s="19" t="s">
        <v>845</v>
      </c>
      <c r="N286" s="18" t="s">
        <v>307</v>
      </c>
      <c r="O286" s="18">
        <v>2</v>
      </c>
      <c r="P286" s="18" t="s">
        <v>833</v>
      </c>
      <c r="Q286" s="18" t="s">
        <v>839</v>
      </c>
      <c r="R286" s="18" t="s">
        <v>307</v>
      </c>
      <c r="S286" s="18">
        <v>2</v>
      </c>
      <c r="T286" s="18" t="str">
        <f t="shared" si="8"/>
        <v>Current</v>
      </c>
      <c r="U286" s="18" t="str">
        <f t="shared" si="9"/>
        <v>Kendall Washington|IT Service Analyst</v>
      </c>
    </row>
    <row r="287" spans="1:21">
      <c r="A287" s="10">
        <v>45830</v>
      </c>
      <c r="B287" s="4" t="s">
        <v>100</v>
      </c>
      <c r="C287" s="4" t="s">
        <v>811</v>
      </c>
      <c r="D287" s="8">
        <v>1</v>
      </c>
      <c r="E287" s="5">
        <v>45828</v>
      </c>
      <c r="F287" s="5">
        <v>45829</v>
      </c>
      <c r="G287" s="8" t="s">
        <v>812</v>
      </c>
      <c r="H287" s="8" t="s">
        <v>410</v>
      </c>
      <c r="I287" s="8" t="s">
        <v>411</v>
      </c>
      <c r="J287" s="4"/>
      <c r="K287" s="64">
        <v>284</v>
      </c>
      <c r="L287" s="18" t="s">
        <v>848</v>
      </c>
      <c r="M287" s="19" t="s">
        <v>845</v>
      </c>
      <c r="N287" s="18" t="s">
        <v>307</v>
      </c>
      <c r="O287" s="18">
        <v>2</v>
      </c>
      <c r="P287" s="18" t="s">
        <v>833</v>
      </c>
      <c r="Q287" s="18" t="s">
        <v>816</v>
      </c>
      <c r="R287" s="18" t="s">
        <v>307</v>
      </c>
      <c r="S287" s="18"/>
      <c r="T287" s="18" t="str">
        <f t="shared" si="8"/>
        <v>Historical</v>
      </c>
      <c r="U287" s="18" t="str">
        <f t="shared" si="9"/>
        <v/>
      </c>
    </row>
    <row r="288" spans="1:21">
      <c r="A288" s="10">
        <v>45881</v>
      </c>
      <c r="B288" s="4" t="s">
        <v>100</v>
      </c>
      <c r="C288" s="4" t="s">
        <v>811</v>
      </c>
      <c r="D288" s="8">
        <v>2</v>
      </c>
      <c r="E288" s="5">
        <v>45880</v>
      </c>
      <c r="F288" s="5">
        <v>45883</v>
      </c>
      <c r="G288" s="8" t="s">
        <v>812</v>
      </c>
      <c r="H288" s="8" t="s">
        <v>419</v>
      </c>
      <c r="I288" s="8" t="s">
        <v>411</v>
      </c>
      <c r="J288" s="4"/>
      <c r="K288" s="64">
        <v>285</v>
      </c>
      <c r="L288" s="18" t="s">
        <v>849</v>
      </c>
      <c r="M288" s="19" t="s">
        <v>845</v>
      </c>
      <c r="N288" s="18" t="s">
        <v>307</v>
      </c>
      <c r="O288" s="18">
        <v>2</v>
      </c>
      <c r="P288" s="18" t="s">
        <v>833</v>
      </c>
      <c r="Q288" s="18" t="s">
        <v>816</v>
      </c>
      <c r="R288" s="18" t="s">
        <v>307</v>
      </c>
      <c r="S288" s="18">
        <v>1</v>
      </c>
      <c r="T288" s="18" t="str">
        <f t="shared" si="8"/>
        <v>Historical</v>
      </c>
      <c r="U288" s="18" t="str">
        <f t="shared" si="9"/>
        <v/>
      </c>
    </row>
    <row r="289" spans="1:21">
      <c r="A289" s="10">
        <v>45952</v>
      </c>
      <c r="B289" s="4" t="s">
        <v>100</v>
      </c>
      <c r="C289" s="4" t="s">
        <v>811</v>
      </c>
      <c r="D289" s="8">
        <v>3</v>
      </c>
      <c r="E289" s="5">
        <v>45947</v>
      </c>
      <c r="F289" s="5">
        <v>45947</v>
      </c>
      <c r="G289" s="8" t="s">
        <v>812</v>
      </c>
      <c r="H289" s="8" t="s">
        <v>419</v>
      </c>
      <c r="I289" s="8" t="s">
        <v>411</v>
      </c>
      <c r="J289" s="4"/>
      <c r="K289" s="64">
        <v>286</v>
      </c>
      <c r="L289" s="18" t="s">
        <v>850</v>
      </c>
      <c r="M289" s="19" t="s">
        <v>845</v>
      </c>
      <c r="N289" s="18" t="s">
        <v>307</v>
      </c>
      <c r="O289" s="18">
        <v>2</v>
      </c>
      <c r="P289" s="18" t="s">
        <v>833</v>
      </c>
      <c r="Q289" s="18" t="s">
        <v>816</v>
      </c>
      <c r="R289" s="18" t="s">
        <v>307</v>
      </c>
      <c r="S289" s="18">
        <v>2</v>
      </c>
      <c r="T289" s="18" t="str">
        <f t="shared" si="8"/>
        <v>Current</v>
      </c>
      <c r="U289" s="18" t="str">
        <f t="shared" si="9"/>
        <v>Kendall Washington|IT Service Desk Escalation</v>
      </c>
    </row>
    <row r="290" spans="1:21">
      <c r="A290" s="10">
        <v>45793</v>
      </c>
      <c r="B290" s="4" t="s">
        <v>100</v>
      </c>
      <c r="C290" s="4" t="s">
        <v>819</v>
      </c>
      <c r="D290" s="8">
        <v>3</v>
      </c>
      <c r="E290" s="5">
        <v>45790</v>
      </c>
      <c r="F290" s="5">
        <v>45790</v>
      </c>
      <c r="G290" s="8" t="s">
        <v>812</v>
      </c>
      <c r="H290" s="8" t="s">
        <v>410</v>
      </c>
      <c r="I290" s="8" t="s">
        <v>411</v>
      </c>
      <c r="J290" s="4"/>
      <c r="K290" s="64">
        <v>287</v>
      </c>
      <c r="L290" s="18" t="s">
        <v>851</v>
      </c>
      <c r="M290" s="19" t="s">
        <v>845</v>
      </c>
      <c r="N290" s="18" t="s">
        <v>307</v>
      </c>
      <c r="O290" s="18">
        <v>2</v>
      </c>
      <c r="P290" s="18" t="s">
        <v>833</v>
      </c>
      <c r="Q290" s="18" t="s">
        <v>821</v>
      </c>
      <c r="R290" s="18" t="s">
        <v>307</v>
      </c>
      <c r="S290" s="18"/>
      <c r="T290" s="18" t="str">
        <f t="shared" si="8"/>
        <v>Current</v>
      </c>
      <c r="U290" s="18" t="str">
        <f t="shared" si="9"/>
        <v>Kendall Washington|Network Support Analyst</v>
      </c>
    </row>
    <row r="291" spans="1:21">
      <c r="A291" s="10">
        <v>46190</v>
      </c>
      <c r="B291" s="4" t="s">
        <v>100</v>
      </c>
      <c r="C291" s="4" t="s">
        <v>852</v>
      </c>
      <c r="D291" s="8">
        <v>1</v>
      </c>
      <c r="E291" s="5">
        <v>46188</v>
      </c>
      <c r="F291" s="5">
        <v>46191</v>
      </c>
      <c r="G291" s="8" t="s">
        <v>812</v>
      </c>
      <c r="H291" s="8" t="s">
        <v>410</v>
      </c>
      <c r="I291" s="8" t="s">
        <v>411</v>
      </c>
      <c r="J291" s="4"/>
      <c r="K291" s="64">
        <v>288</v>
      </c>
      <c r="L291" s="18" t="s">
        <v>853</v>
      </c>
      <c r="M291" s="19" t="s">
        <v>845</v>
      </c>
      <c r="N291" s="18" t="s">
        <v>307</v>
      </c>
      <c r="O291" s="18">
        <v>2</v>
      </c>
      <c r="P291" s="18" t="s">
        <v>833</v>
      </c>
      <c r="Q291" s="18" t="s">
        <v>854</v>
      </c>
      <c r="R291" s="18" t="s">
        <v>307</v>
      </c>
      <c r="S291" s="18"/>
      <c r="T291" s="18" t="str">
        <f t="shared" si="8"/>
        <v>Historical</v>
      </c>
      <c r="U291" s="18" t="str">
        <f t="shared" si="9"/>
        <v/>
      </c>
    </row>
    <row r="292" spans="1:21">
      <c r="A292" s="10">
        <v>46221</v>
      </c>
      <c r="B292" s="4" t="s">
        <v>100</v>
      </c>
      <c r="C292" s="4" t="s">
        <v>852</v>
      </c>
      <c r="D292" s="8">
        <v>2</v>
      </c>
      <c r="E292" s="5">
        <v>46219</v>
      </c>
      <c r="F292" s="5">
        <v>46222</v>
      </c>
      <c r="G292" s="8" t="s">
        <v>812</v>
      </c>
      <c r="H292" s="8" t="s">
        <v>419</v>
      </c>
      <c r="I292" s="8" t="s">
        <v>411</v>
      </c>
      <c r="J292" s="4"/>
      <c r="K292" s="64">
        <v>289</v>
      </c>
      <c r="L292" s="18" t="s">
        <v>855</v>
      </c>
      <c r="M292" s="19" t="s">
        <v>845</v>
      </c>
      <c r="N292" s="18" t="s">
        <v>307</v>
      </c>
      <c r="O292" s="18">
        <v>2</v>
      </c>
      <c r="P292" s="18" t="s">
        <v>833</v>
      </c>
      <c r="Q292" s="18" t="s">
        <v>854</v>
      </c>
      <c r="R292" s="18" t="s">
        <v>307</v>
      </c>
      <c r="S292" s="18">
        <v>1</v>
      </c>
      <c r="T292" s="18" t="str">
        <f t="shared" si="8"/>
        <v>Historical</v>
      </c>
      <c r="U292" s="18" t="str">
        <f t="shared" si="9"/>
        <v/>
      </c>
    </row>
    <row r="293" spans="1:21">
      <c r="A293" s="10">
        <v>46221</v>
      </c>
      <c r="B293" s="4" t="s">
        <v>100</v>
      </c>
      <c r="C293" s="4" t="s">
        <v>852</v>
      </c>
      <c r="D293" s="8">
        <v>3</v>
      </c>
      <c r="E293" s="5">
        <v>46220</v>
      </c>
      <c r="F293" s="5">
        <v>46223</v>
      </c>
      <c r="G293" s="8" t="s">
        <v>812</v>
      </c>
      <c r="H293" s="8" t="s">
        <v>419</v>
      </c>
      <c r="I293" s="8" t="s">
        <v>411</v>
      </c>
      <c r="J293" s="4"/>
      <c r="K293" s="64">
        <v>290</v>
      </c>
      <c r="L293" s="18" t="s">
        <v>856</v>
      </c>
      <c r="M293" s="19" t="s">
        <v>845</v>
      </c>
      <c r="N293" s="18" t="s">
        <v>307</v>
      </c>
      <c r="O293" s="18">
        <v>2</v>
      </c>
      <c r="P293" s="18" t="s">
        <v>833</v>
      </c>
      <c r="Q293" s="18" t="s">
        <v>854</v>
      </c>
      <c r="R293" s="18" t="s">
        <v>307</v>
      </c>
      <c r="S293" s="18">
        <v>2</v>
      </c>
      <c r="T293" s="18" t="str">
        <f t="shared" si="8"/>
        <v>Current</v>
      </c>
      <c r="U293" s="18" t="str">
        <f t="shared" si="9"/>
        <v>Kendall Washington|Asset Lifecycle Management</v>
      </c>
    </row>
    <row r="294" spans="1:21">
      <c r="A294" s="10">
        <v>46180</v>
      </c>
      <c r="B294" s="4" t="s">
        <v>100</v>
      </c>
      <c r="C294" s="4" t="s">
        <v>827</v>
      </c>
      <c r="D294" s="8">
        <v>1</v>
      </c>
      <c r="E294" s="5">
        <v>46177</v>
      </c>
      <c r="F294" s="5">
        <v>46178</v>
      </c>
      <c r="G294" s="8" t="s">
        <v>812</v>
      </c>
      <c r="H294" s="8" t="s">
        <v>410</v>
      </c>
      <c r="I294" s="8" t="s">
        <v>411</v>
      </c>
      <c r="J294" s="4"/>
      <c r="K294" s="64">
        <v>291</v>
      </c>
      <c r="L294" s="18" t="s">
        <v>857</v>
      </c>
      <c r="M294" s="19" t="s">
        <v>845</v>
      </c>
      <c r="N294" s="18" t="s">
        <v>307</v>
      </c>
      <c r="O294" s="18">
        <v>2</v>
      </c>
      <c r="P294" s="18" t="s">
        <v>833</v>
      </c>
      <c r="Q294" s="18" t="s">
        <v>829</v>
      </c>
      <c r="R294" s="18" t="s">
        <v>307</v>
      </c>
      <c r="S294" s="18"/>
      <c r="T294" s="18" t="str">
        <f t="shared" si="8"/>
        <v>Current</v>
      </c>
      <c r="U294" s="18" t="str">
        <f t="shared" si="9"/>
        <v>Kendall Washington|VPN Administration</v>
      </c>
    </row>
    <row r="295" spans="1:21">
      <c r="A295" s="10">
        <v>45893</v>
      </c>
      <c r="B295" s="4" t="s">
        <v>100</v>
      </c>
      <c r="C295" s="4" t="s">
        <v>822</v>
      </c>
      <c r="D295" s="8">
        <v>1</v>
      </c>
      <c r="E295" s="5">
        <v>45892</v>
      </c>
      <c r="F295" s="5">
        <v>45894</v>
      </c>
      <c r="G295" s="8" t="s">
        <v>812</v>
      </c>
      <c r="H295" s="8" t="s">
        <v>410</v>
      </c>
      <c r="I295" s="8" t="s">
        <v>411</v>
      </c>
      <c r="J295" s="4"/>
      <c r="K295" s="64">
        <v>292</v>
      </c>
      <c r="L295" s="18" t="s">
        <v>858</v>
      </c>
      <c r="M295" s="19" t="s">
        <v>845</v>
      </c>
      <c r="N295" s="18" t="s">
        <v>307</v>
      </c>
      <c r="O295" s="18">
        <v>2</v>
      </c>
      <c r="P295" s="18" t="s">
        <v>833</v>
      </c>
      <c r="Q295" s="18" t="s">
        <v>824</v>
      </c>
      <c r="R295" s="18" t="s">
        <v>307</v>
      </c>
      <c r="S295" s="18"/>
      <c r="T295" s="18" t="str">
        <f t="shared" si="8"/>
        <v>Historical</v>
      </c>
      <c r="U295" s="18" t="str">
        <f t="shared" si="9"/>
        <v/>
      </c>
    </row>
    <row r="296" spans="1:21">
      <c r="A296" s="10">
        <v>45927</v>
      </c>
      <c r="B296" s="4" t="s">
        <v>100</v>
      </c>
      <c r="C296" s="4" t="s">
        <v>822</v>
      </c>
      <c r="D296" s="8">
        <v>2</v>
      </c>
      <c r="E296" s="5">
        <v>45924</v>
      </c>
      <c r="F296" s="5">
        <v>45925</v>
      </c>
      <c r="G296" s="8" t="s">
        <v>812</v>
      </c>
      <c r="H296" s="8" t="s">
        <v>419</v>
      </c>
      <c r="I296" s="8" t="s">
        <v>411</v>
      </c>
      <c r="J296" s="4"/>
      <c r="K296" s="64">
        <v>293</v>
      </c>
      <c r="L296" s="18" t="s">
        <v>859</v>
      </c>
      <c r="M296" s="19" t="s">
        <v>845</v>
      </c>
      <c r="N296" s="18" t="s">
        <v>307</v>
      </c>
      <c r="O296" s="18">
        <v>2</v>
      </c>
      <c r="P296" s="18" t="s">
        <v>833</v>
      </c>
      <c r="Q296" s="18" t="s">
        <v>824</v>
      </c>
      <c r="R296" s="18" t="s">
        <v>307</v>
      </c>
      <c r="S296" s="18">
        <v>1</v>
      </c>
      <c r="T296" s="18" t="str">
        <f t="shared" si="8"/>
        <v>Current</v>
      </c>
      <c r="U296" s="18" t="str">
        <f t="shared" si="9"/>
        <v>Kendall Washington|Endpoint Provisioning</v>
      </c>
    </row>
    <row r="297" spans="1:21">
      <c r="A297" s="10">
        <v>45960</v>
      </c>
      <c r="B297" s="4" t="s">
        <v>100</v>
      </c>
      <c r="C297" s="4" t="s">
        <v>701</v>
      </c>
      <c r="D297" s="8">
        <v>1</v>
      </c>
      <c r="E297" s="5">
        <v>45956</v>
      </c>
      <c r="F297" s="5">
        <v>45957</v>
      </c>
      <c r="G297" s="8" t="s">
        <v>812</v>
      </c>
      <c r="H297" s="8" t="s">
        <v>410</v>
      </c>
      <c r="I297" s="8" t="s">
        <v>411</v>
      </c>
      <c r="J297" s="4"/>
      <c r="K297" s="64">
        <v>294</v>
      </c>
      <c r="L297" s="18" t="s">
        <v>860</v>
      </c>
      <c r="M297" s="19" t="s">
        <v>845</v>
      </c>
      <c r="N297" s="18" t="s">
        <v>307</v>
      </c>
      <c r="O297" s="18">
        <v>2</v>
      </c>
      <c r="P297" s="18" t="s">
        <v>833</v>
      </c>
      <c r="Q297" s="18" t="s">
        <v>703</v>
      </c>
      <c r="R297" s="18" t="s">
        <v>306</v>
      </c>
      <c r="S297" s="18"/>
      <c r="T297" s="18" t="str">
        <f t="shared" si="8"/>
        <v>Current</v>
      </c>
      <c r="U297" s="18" t="str">
        <f t="shared" si="9"/>
        <v>Kendall Washington|Git Workflow</v>
      </c>
    </row>
    <row r="298" spans="1:21">
      <c r="A298" s="10">
        <v>45669</v>
      </c>
      <c r="B298" s="4" t="s">
        <v>100</v>
      </c>
      <c r="C298" s="4" t="s">
        <v>435</v>
      </c>
      <c r="D298" s="8">
        <v>1</v>
      </c>
      <c r="E298" s="5">
        <v>45668</v>
      </c>
      <c r="F298" s="5">
        <v>45668</v>
      </c>
      <c r="G298" s="8" t="s">
        <v>812</v>
      </c>
      <c r="H298" s="8" t="s">
        <v>410</v>
      </c>
      <c r="I298" s="8" t="s">
        <v>411</v>
      </c>
      <c r="J298" s="4"/>
      <c r="K298" s="64">
        <v>295</v>
      </c>
      <c r="L298" s="18" t="s">
        <v>861</v>
      </c>
      <c r="M298" s="19" t="s">
        <v>845</v>
      </c>
      <c r="N298" s="18" t="s">
        <v>307</v>
      </c>
      <c r="O298" s="18">
        <v>2</v>
      </c>
      <c r="P298" s="18" t="s">
        <v>833</v>
      </c>
      <c r="Q298" s="18" t="s">
        <v>437</v>
      </c>
      <c r="R298" s="18" t="s">
        <v>309</v>
      </c>
      <c r="S298" s="18"/>
      <c r="T298" s="18" t="str">
        <f t="shared" si="8"/>
        <v>Historical</v>
      </c>
      <c r="U298" s="18" t="str">
        <f t="shared" si="9"/>
        <v/>
      </c>
    </row>
    <row r="299" spans="1:21">
      <c r="A299" s="10">
        <v>45722</v>
      </c>
      <c r="B299" s="4" t="s">
        <v>100</v>
      </c>
      <c r="C299" s="4" t="s">
        <v>435</v>
      </c>
      <c r="D299" s="8">
        <v>2</v>
      </c>
      <c r="E299" s="5">
        <v>45720</v>
      </c>
      <c r="F299" s="5">
        <v>45721</v>
      </c>
      <c r="G299" s="8" t="s">
        <v>812</v>
      </c>
      <c r="H299" s="8" t="s">
        <v>419</v>
      </c>
      <c r="I299" s="8" t="s">
        <v>411</v>
      </c>
      <c r="J299" s="4"/>
      <c r="K299" s="64">
        <v>296</v>
      </c>
      <c r="L299" s="18" t="s">
        <v>862</v>
      </c>
      <c r="M299" s="19" t="s">
        <v>845</v>
      </c>
      <c r="N299" s="18" t="s">
        <v>307</v>
      </c>
      <c r="O299" s="18">
        <v>2</v>
      </c>
      <c r="P299" s="18" t="s">
        <v>833</v>
      </c>
      <c r="Q299" s="18" t="s">
        <v>437</v>
      </c>
      <c r="R299" s="18" t="s">
        <v>309</v>
      </c>
      <c r="S299" s="18">
        <v>1</v>
      </c>
      <c r="T299" s="18" t="str">
        <f t="shared" si="8"/>
        <v>Historical</v>
      </c>
      <c r="U299" s="18" t="str">
        <f t="shared" si="9"/>
        <v/>
      </c>
    </row>
    <row r="300" spans="1:21">
      <c r="A300" s="10">
        <v>45815</v>
      </c>
      <c r="B300" s="4" t="s">
        <v>100</v>
      </c>
      <c r="C300" s="4" t="s">
        <v>435</v>
      </c>
      <c r="D300" s="8">
        <v>3</v>
      </c>
      <c r="E300" s="5">
        <v>45810</v>
      </c>
      <c r="F300" s="5">
        <v>45813</v>
      </c>
      <c r="G300" s="8" t="s">
        <v>812</v>
      </c>
      <c r="H300" s="8" t="s">
        <v>419</v>
      </c>
      <c r="I300" s="8" t="s">
        <v>411</v>
      </c>
      <c r="J300" s="4"/>
      <c r="K300" s="64">
        <v>297</v>
      </c>
      <c r="L300" s="18" t="s">
        <v>863</v>
      </c>
      <c r="M300" s="19" t="s">
        <v>845</v>
      </c>
      <c r="N300" s="18" t="s">
        <v>307</v>
      </c>
      <c r="O300" s="18">
        <v>2</v>
      </c>
      <c r="P300" s="18" t="s">
        <v>833</v>
      </c>
      <c r="Q300" s="18" t="s">
        <v>437</v>
      </c>
      <c r="R300" s="18" t="s">
        <v>309</v>
      </c>
      <c r="S300" s="18">
        <v>2</v>
      </c>
      <c r="T300" s="18" t="str">
        <f t="shared" si="8"/>
        <v>Current</v>
      </c>
      <c r="U300" s="18" t="str">
        <f t="shared" si="9"/>
        <v>Kendall Washington|Backup Validation</v>
      </c>
    </row>
    <row r="301" spans="1:21">
      <c r="A301" s="10">
        <v>45960</v>
      </c>
      <c r="B301" s="4" t="s">
        <v>100</v>
      </c>
      <c r="C301" s="4" t="s">
        <v>864</v>
      </c>
      <c r="D301" s="8">
        <v>1</v>
      </c>
      <c r="E301" s="5">
        <v>45958</v>
      </c>
      <c r="F301" s="5">
        <v>45960</v>
      </c>
      <c r="G301" s="8" t="s">
        <v>812</v>
      </c>
      <c r="H301" s="8" t="s">
        <v>410</v>
      </c>
      <c r="I301" s="8" t="s">
        <v>411</v>
      </c>
      <c r="J301" s="4"/>
      <c r="K301" s="64">
        <v>298</v>
      </c>
      <c r="L301" s="18" t="s">
        <v>865</v>
      </c>
      <c r="M301" s="19" t="s">
        <v>845</v>
      </c>
      <c r="N301" s="18" t="s">
        <v>307</v>
      </c>
      <c r="O301" s="18">
        <v>2</v>
      </c>
      <c r="P301" s="18" t="s">
        <v>833</v>
      </c>
      <c r="Q301" s="18" t="s">
        <v>866</v>
      </c>
      <c r="R301" s="18" t="s">
        <v>311</v>
      </c>
      <c r="S301" s="18"/>
      <c r="T301" s="18" t="str">
        <f t="shared" si="8"/>
        <v>Current</v>
      </c>
      <c r="U301" s="18" t="str">
        <f t="shared" si="9"/>
        <v>Kendall Washington|Log Correlation</v>
      </c>
    </row>
    <row r="302" spans="1:21">
      <c r="A302" s="10">
        <v>45911</v>
      </c>
      <c r="B302" s="4" t="s">
        <v>100</v>
      </c>
      <c r="C302" s="4" t="s">
        <v>468</v>
      </c>
      <c r="D302" s="8">
        <v>1</v>
      </c>
      <c r="E302" s="5">
        <v>45907</v>
      </c>
      <c r="F302" s="5">
        <v>45910</v>
      </c>
      <c r="G302" s="8" t="s">
        <v>812</v>
      </c>
      <c r="H302" s="8" t="s">
        <v>410</v>
      </c>
      <c r="I302" s="8" t="s">
        <v>411</v>
      </c>
      <c r="J302" s="4"/>
      <c r="K302" s="64">
        <v>299</v>
      </c>
      <c r="L302" s="18" t="s">
        <v>867</v>
      </c>
      <c r="M302" s="19" t="s">
        <v>845</v>
      </c>
      <c r="N302" s="18" t="s">
        <v>307</v>
      </c>
      <c r="O302" s="18">
        <v>2</v>
      </c>
      <c r="P302" s="18" t="s">
        <v>833</v>
      </c>
      <c r="Q302" s="18" t="s">
        <v>470</v>
      </c>
      <c r="R302" s="18" t="s">
        <v>213</v>
      </c>
      <c r="S302" s="18"/>
      <c r="T302" s="18" t="str">
        <f t="shared" si="8"/>
        <v>Current</v>
      </c>
      <c r="U302" s="18" t="str">
        <f t="shared" si="9"/>
        <v>Kendall Washington|Business Continuity Basics</v>
      </c>
    </row>
    <row r="303" spans="1:21">
      <c r="A303" s="10">
        <v>45755</v>
      </c>
      <c r="B303" s="4" t="s">
        <v>103</v>
      </c>
      <c r="C303" s="4" t="s">
        <v>833</v>
      </c>
      <c r="D303" s="8">
        <v>1</v>
      </c>
      <c r="E303" s="5">
        <v>45750</v>
      </c>
      <c r="F303" s="5">
        <v>45752</v>
      </c>
      <c r="G303" s="8" t="s">
        <v>812</v>
      </c>
      <c r="H303" s="8" t="s">
        <v>410</v>
      </c>
      <c r="I303" s="8" t="s">
        <v>411</v>
      </c>
      <c r="J303" s="4"/>
      <c r="K303" s="64">
        <v>300</v>
      </c>
      <c r="L303" s="18" t="s">
        <v>868</v>
      </c>
      <c r="M303" s="19" t="s">
        <v>869</v>
      </c>
      <c r="N303" s="18" t="s">
        <v>307</v>
      </c>
      <c r="O303" s="18">
        <v>3</v>
      </c>
      <c r="P303" s="18" t="s">
        <v>833</v>
      </c>
      <c r="Q303" s="18" t="s">
        <v>835</v>
      </c>
      <c r="R303" s="18" t="s">
        <v>307</v>
      </c>
      <c r="S303" s="18"/>
      <c r="T303" s="18" t="str">
        <f t="shared" si="8"/>
        <v>Historical</v>
      </c>
      <c r="U303" s="18" t="str">
        <f t="shared" si="9"/>
        <v/>
      </c>
    </row>
    <row r="304" spans="1:21">
      <c r="A304" s="10">
        <v>45783</v>
      </c>
      <c r="B304" s="4" t="s">
        <v>103</v>
      </c>
      <c r="C304" s="4" t="s">
        <v>833</v>
      </c>
      <c r="D304" s="8">
        <v>2</v>
      </c>
      <c r="E304" s="5">
        <v>45778</v>
      </c>
      <c r="F304" s="5">
        <v>45778</v>
      </c>
      <c r="G304" s="8" t="s">
        <v>812</v>
      </c>
      <c r="H304" s="8" t="s">
        <v>419</v>
      </c>
      <c r="I304" s="8" t="s">
        <v>411</v>
      </c>
      <c r="J304" s="4"/>
      <c r="K304" s="64">
        <v>301</v>
      </c>
      <c r="L304" s="18" t="s">
        <v>870</v>
      </c>
      <c r="M304" s="19" t="s">
        <v>869</v>
      </c>
      <c r="N304" s="18" t="s">
        <v>307</v>
      </c>
      <c r="O304" s="18">
        <v>3</v>
      </c>
      <c r="P304" s="18" t="s">
        <v>833</v>
      </c>
      <c r="Q304" s="18" t="s">
        <v>835</v>
      </c>
      <c r="R304" s="18" t="s">
        <v>307</v>
      </c>
      <c r="S304" s="18">
        <v>1</v>
      </c>
      <c r="T304" s="18" t="str">
        <f t="shared" si="8"/>
        <v>Current</v>
      </c>
      <c r="U304" s="18" t="str">
        <f t="shared" si="9"/>
        <v>Logan Russell|Identity &amp; Access Specialist</v>
      </c>
    </row>
    <row r="305" spans="1:21">
      <c r="A305" s="10">
        <v>46062</v>
      </c>
      <c r="B305" s="4" t="s">
        <v>103</v>
      </c>
      <c r="C305" s="4" t="s">
        <v>871</v>
      </c>
      <c r="D305" s="8">
        <v>1</v>
      </c>
      <c r="E305" s="5">
        <v>46059</v>
      </c>
      <c r="F305" s="5">
        <v>46061</v>
      </c>
      <c r="G305" s="8" t="s">
        <v>812</v>
      </c>
      <c r="H305" s="8" t="s">
        <v>410</v>
      </c>
      <c r="I305" s="8" t="s">
        <v>411</v>
      </c>
      <c r="J305" s="4"/>
      <c r="K305" s="64">
        <v>302</v>
      </c>
      <c r="L305" s="18" t="s">
        <v>872</v>
      </c>
      <c r="M305" s="19" t="s">
        <v>869</v>
      </c>
      <c r="N305" s="18" t="s">
        <v>307</v>
      </c>
      <c r="O305" s="18">
        <v>3</v>
      </c>
      <c r="P305" s="18" t="s">
        <v>833</v>
      </c>
      <c r="Q305" s="18" t="s">
        <v>873</v>
      </c>
      <c r="R305" s="18" t="s">
        <v>307</v>
      </c>
      <c r="S305" s="18"/>
      <c r="T305" s="18" t="str">
        <f t="shared" si="8"/>
        <v>Historical</v>
      </c>
      <c r="U305" s="18" t="str">
        <f t="shared" si="9"/>
        <v/>
      </c>
    </row>
    <row r="306" spans="1:21">
      <c r="A306" s="10">
        <v>46175</v>
      </c>
      <c r="B306" s="4" t="s">
        <v>103</v>
      </c>
      <c r="C306" s="4" t="s">
        <v>871</v>
      </c>
      <c r="D306" s="8">
        <v>2</v>
      </c>
      <c r="E306" s="5">
        <v>46174</v>
      </c>
      <c r="F306" s="5">
        <v>46176</v>
      </c>
      <c r="G306" s="8" t="s">
        <v>812</v>
      </c>
      <c r="H306" s="8" t="s">
        <v>419</v>
      </c>
      <c r="I306" s="8" t="s">
        <v>411</v>
      </c>
      <c r="J306" s="4"/>
      <c r="K306" s="64">
        <v>303</v>
      </c>
      <c r="L306" s="18" t="s">
        <v>874</v>
      </c>
      <c r="M306" s="19" t="s">
        <v>869</v>
      </c>
      <c r="N306" s="18" t="s">
        <v>307</v>
      </c>
      <c r="O306" s="18">
        <v>3</v>
      </c>
      <c r="P306" s="18" t="s">
        <v>833</v>
      </c>
      <c r="Q306" s="18" t="s">
        <v>873</v>
      </c>
      <c r="R306" s="18" t="s">
        <v>307</v>
      </c>
      <c r="S306" s="18">
        <v>1</v>
      </c>
      <c r="T306" s="18" t="str">
        <f t="shared" si="8"/>
        <v>Current</v>
      </c>
      <c r="U306" s="18" t="str">
        <f t="shared" si="9"/>
        <v>Logan Russell|Remote Access Support</v>
      </c>
    </row>
    <row r="307" spans="1:21">
      <c r="A307" s="10">
        <v>45774</v>
      </c>
      <c r="B307" s="4" t="s">
        <v>103</v>
      </c>
      <c r="C307" s="4" t="s">
        <v>822</v>
      </c>
      <c r="D307" s="8">
        <v>1</v>
      </c>
      <c r="E307" s="5">
        <v>45769</v>
      </c>
      <c r="F307" s="5">
        <v>45771</v>
      </c>
      <c r="G307" s="8" t="s">
        <v>812</v>
      </c>
      <c r="H307" s="8" t="s">
        <v>410</v>
      </c>
      <c r="I307" s="8" t="s">
        <v>411</v>
      </c>
      <c r="J307" s="4"/>
      <c r="K307" s="64">
        <v>304</v>
      </c>
      <c r="L307" s="18" t="s">
        <v>875</v>
      </c>
      <c r="M307" s="19" t="s">
        <v>869</v>
      </c>
      <c r="N307" s="18" t="s">
        <v>307</v>
      </c>
      <c r="O307" s="18">
        <v>3</v>
      </c>
      <c r="P307" s="18" t="s">
        <v>833</v>
      </c>
      <c r="Q307" s="18" t="s">
        <v>824</v>
      </c>
      <c r="R307" s="18" t="s">
        <v>307</v>
      </c>
      <c r="S307" s="18"/>
      <c r="T307" s="18" t="str">
        <f t="shared" si="8"/>
        <v>Historical</v>
      </c>
      <c r="U307" s="18" t="str">
        <f t="shared" si="9"/>
        <v/>
      </c>
    </row>
    <row r="308" spans="1:21">
      <c r="A308" s="10">
        <v>45807</v>
      </c>
      <c r="B308" s="4" t="s">
        <v>103</v>
      </c>
      <c r="C308" s="4" t="s">
        <v>822</v>
      </c>
      <c r="D308" s="8">
        <v>2</v>
      </c>
      <c r="E308" s="5">
        <v>45806</v>
      </c>
      <c r="F308" s="5">
        <v>45808</v>
      </c>
      <c r="G308" s="8" t="s">
        <v>812</v>
      </c>
      <c r="H308" s="8" t="s">
        <v>419</v>
      </c>
      <c r="I308" s="8" t="s">
        <v>411</v>
      </c>
      <c r="J308" s="4"/>
      <c r="K308" s="64">
        <v>305</v>
      </c>
      <c r="L308" s="18" t="s">
        <v>876</v>
      </c>
      <c r="M308" s="19" t="s">
        <v>869</v>
      </c>
      <c r="N308" s="18" t="s">
        <v>307</v>
      </c>
      <c r="O308" s="18">
        <v>3</v>
      </c>
      <c r="P308" s="18" t="s">
        <v>833</v>
      </c>
      <c r="Q308" s="18" t="s">
        <v>824</v>
      </c>
      <c r="R308" s="18" t="s">
        <v>307</v>
      </c>
      <c r="S308" s="18">
        <v>1</v>
      </c>
      <c r="T308" s="18" t="str">
        <f t="shared" si="8"/>
        <v>Historical</v>
      </c>
      <c r="U308" s="18" t="str">
        <f t="shared" si="9"/>
        <v/>
      </c>
    </row>
    <row r="309" spans="1:21">
      <c r="A309" s="10">
        <v>45898</v>
      </c>
      <c r="B309" s="4" t="s">
        <v>103</v>
      </c>
      <c r="C309" s="4" t="s">
        <v>822</v>
      </c>
      <c r="D309" s="8">
        <v>3</v>
      </c>
      <c r="E309" s="5">
        <v>45895</v>
      </c>
      <c r="F309" s="5">
        <v>45896</v>
      </c>
      <c r="G309" s="8" t="s">
        <v>812</v>
      </c>
      <c r="H309" s="8" t="s">
        <v>419</v>
      </c>
      <c r="I309" s="8" t="s">
        <v>411</v>
      </c>
      <c r="J309" s="4"/>
      <c r="K309" s="64">
        <v>306</v>
      </c>
      <c r="L309" s="18" t="s">
        <v>877</v>
      </c>
      <c r="M309" s="19" t="s">
        <v>869</v>
      </c>
      <c r="N309" s="18" t="s">
        <v>307</v>
      </c>
      <c r="O309" s="18">
        <v>3</v>
      </c>
      <c r="P309" s="18" t="s">
        <v>833</v>
      </c>
      <c r="Q309" s="18" t="s">
        <v>824</v>
      </c>
      <c r="R309" s="18" t="s">
        <v>307</v>
      </c>
      <c r="S309" s="18">
        <v>2</v>
      </c>
      <c r="T309" s="18" t="str">
        <f t="shared" si="8"/>
        <v>Current</v>
      </c>
      <c r="U309" s="18" t="str">
        <f t="shared" si="9"/>
        <v>Logan Russell|Endpoint Provisioning</v>
      </c>
    </row>
    <row r="310" spans="1:21">
      <c r="A310" s="10">
        <v>46155</v>
      </c>
      <c r="B310" s="4" t="s">
        <v>103</v>
      </c>
      <c r="C310" s="4" t="s">
        <v>852</v>
      </c>
      <c r="D310" s="8">
        <v>3</v>
      </c>
      <c r="E310" s="5">
        <v>46153</v>
      </c>
      <c r="F310" s="5">
        <v>46154</v>
      </c>
      <c r="G310" s="8" t="s">
        <v>812</v>
      </c>
      <c r="H310" s="8" t="s">
        <v>410</v>
      </c>
      <c r="I310" s="8" t="s">
        <v>411</v>
      </c>
      <c r="J310" s="4"/>
      <c r="K310" s="64">
        <v>307</v>
      </c>
      <c r="L310" s="18" t="s">
        <v>878</v>
      </c>
      <c r="M310" s="19" t="s">
        <v>869</v>
      </c>
      <c r="N310" s="18" t="s">
        <v>307</v>
      </c>
      <c r="O310" s="18">
        <v>3</v>
      </c>
      <c r="P310" s="18" t="s">
        <v>833</v>
      </c>
      <c r="Q310" s="18" t="s">
        <v>854</v>
      </c>
      <c r="R310" s="18" t="s">
        <v>307</v>
      </c>
      <c r="S310" s="18"/>
      <c r="T310" s="18" t="str">
        <f t="shared" si="8"/>
        <v>Current</v>
      </c>
      <c r="U310" s="18" t="str">
        <f t="shared" si="9"/>
        <v>Logan Russell|Asset Lifecycle Management</v>
      </c>
    </row>
    <row r="311" spans="1:21">
      <c r="A311" s="10">
        <v>46132</v>
      </c>
      <c r="B311" s="4" t="s">
        <v>103</v>
      </c>
      <c r="C311" s="4" t="s">
        <v>830</v>
      </c>
      <c r="D311" s="8">
        <v>1</v>
      </c>
      <c r="E311" s="5">
        <v>46131</v>
      </c>
      <c r="F311" s="5">
        <v>46133</v>
      </c>
      <c r="G311" s="8" t="s">
        <v>812</v>
      </c>
      <c r="H311" s="8" t="s">
        <v>410</v>
      </c>
      <c r="I311" s="8" t="s">
        <v>411</v>
      </c>
      <c r="J311" s="4"/>
      <c r="K311" s="64">
        <v>308</v>
      </c>
      <c r="L311" s="18" t="s">
        <v>879</v>
      </c>
      <c r="M311" s="19" t="s">
        <v>869</v>
      </c>
      <c r="N311" s="18" t="s">
        <v>307</v>
      </c>
      <c r="O311" s="18">
        <v>3</v>
      </c>
      <c r="P311" s="18" t="s">
        <v>833</v>
      </c>
      <c r="Q311" s="18" t="s">
        <v>832</v>
      </c>
      <c r="R311" s="18" t="s">
        <v>307</v>
      </c>
      <c r="S311" s="18"/>
      <c r="T311" s="18" t="str">
        <f t="shared" si="8"/>
        <v>Current</v>
      </c>
      <c r="U311" s="18" t="str">
        <f t="shared" si="9"/>
        <v>Logan Russell|Device Provisioning Specialist</v>
      </c>
    </row>
    <row r="312" spans="1:21">
      <c r="A312" s="10">
        <v>45708</v>
      </c>
      <c r="B312" s="4" t="s">
        <v>103</v>
      </c>
      <c r="C312" s="4" t="s">
        <v>576</v>
      </c>
      <c r="D312" s="8">
        <v>2</v>
      </c>
      <c r="E312" s="5">
        <v>45705</v>
      </c>
      <c r="F312" s="5">
        <v>45707</v>
      </c>
      <c r="G312" s="8" t="s">
        <v>812</v>
      </c>
      <c r="H312" s="8" t="s">
        <v>410</v>
      </c>
      <c r="I312" s="8" t="s">
        <v>411</v>
      </c>
      <c r="J312" s="4"/>
      <c r="K312" s="64">
        <v>309</v>
      </c>
      <c r="L312" s="18" t="s">
        <v>880</v>
      </c>
      <c r="M312" s="19" t="s">
        <v>869</v>
      </c>
      <c r="N312" s="18" t="s">
        <v>307</v>
      </c>
      <c r="O312" s="18">
        <v>3</v>
      </c>
      <c r="P312" s="18" t="s">
        <v>833</v>
      </c>
      <c r="Q312" s="18" t="s">
        <v>581</v>
      </c>
      <c r="R312" s="18" t="s">
        <v>305</v>
      </c>
      <c r="S312" s="18"/>
      <c r="T312" s="18" t="str">
        <f t="shared" si="8"/>
        <v>Current</v>
      </c>
      <c r="U312" s="18" t="str">
        <f t="shared" si="9"/>
        <v>Logan Russell|Identity Provisioning</v>
      </c>
    </row>
    <row r="313" spans="1:21">
      <c r="A313" s="10">
        <v>46223</v>
      </c>
      <c r="B313" s="4" t="s">
        <v>103</v>
      </c>
      <c r="C313" s="4" t="s">
        <v>692</v>
      </c>
      <c r="D313" s="8">
        <v>3</v>
      </c>
      <c r="E313" s="5">
        <v>46219</v>
      </c>
      <c r="F313" s="5">
        <v>46221</v>
      </c>
      <c r="G313" s="8" t="s">
        <v>812</v>
      </c>
      <c r="H313" s="8" t="s">
        <v>410</v>
      </c>
      <c r="I313" s="8" t="s">
        <v>411</v>
      </c>
      <c r="J313" s="4"/>
      <c r="K313" s="64">
        <v>310</v>
      </c>
      <c r="L313" s="18" t="s">
        <v>881</v>
      </c>
      <c r="M313" s="19" t="s">
        <v>869</v>
      </c>
      <c r="N313" s="18" t="s">
        <v>307</v>
      </c>
      <c r="O313" s="18">
        <v>3</v>
      </c>
      <c r="P313" s="18" t="s">
        <v>833</v>
      </c>
      <c r="Q313" s="18" t="s">
        <v>694</v>
      </c>
      <c r="R313" s="18" t="s">
        <v>306</v>
      </c>
      <c r="S313" s="18"/>
      <c r="T313" s="18" t="str">
        <f t="shared" si="8"/>
        <v>Current</v>
      </c>
      <c r="U313" s="18" t="str">
        <f t="shared" si="9"/>
        <v>Logan Russell|Secure Coding Basics</v>
      </c>
    </row>
    <row r="314" spans="1:21">
      <c r="A314" s="10">
        <v>45861</v>
      </c>
      <c r="B314" s="4" t="s">
        <v>103</v>
      </c>
      <c r="C314" s="4" t="s">
        <v>882</v>
      </c>
      <c r="D314" s="8">
        <v>1</v>
      </c>
      <c r="E314" s="5">
        <v>45858</v>
      </c>
      <c r="F314" s="5">
        <v>45860</v>
      </c>
      <c r="G314" s="8" t="s">
        <v>812</v>
      </c>
      <c r="H314" s="8" t="s">
        <v>410</v>
      </c>
      <c r="I314" s="8" t="s">
        <v>411</v>
      </c>
      <c r="J314" s="4"/>
      <c r="K314" s="64">
        <v>311</v>
      </c>
      <c r="L314" s="18" t="s">
        <v>883</v>
      </c>
      <c r="M314" s="19" t="s">
        <v>869</v>
      </c>
      <c r="N314" s="18" t="s">
        <v>307</v>
      </c>
      <c r="O314" s="18">
        <v>3</v>
      </c>
      <c r="P314" s="18" t="s">
        <v>833</v>
      </c>
      <c r="Q314" s="18" t="s">
        <v>884</v>
      </c>
      <c r="R314" s="18" t="s">
        <v>309</v>
      </c>
      <c r="S314" s="18"/>
      <c r="T314" s="18" t="str">
        <f t="shared" si="8"/>
        <v>Current</v>
      </c>
      <c r="U314" s="18" t="str">
        <f t="shared" si="9"/>
        <v>Logan Russell|Observability Dashboards</v>
      </c>
    </row>
    <row r="315" spans="1:21">
      <c r="A315" s="10">
        <v>46005</v>
      </c>
      <c r="B315" s="4" t="s">
        <v>103</v>
      </c>
      <c r="C315" s="4" t="s">
        <v>438</v>
      </c>
      <c r="D315" s="8">
        <v>1</v>
      </c>
      <c r="E315" s="5">
        <v>46002</v>
      </c>
      <c r="F315" s="5">
        <v>46002</v>
      </c>
      <c r="G315" s="8" t="s">
        <v>812</v>
      </c>
      <c r="H315" s="8" t="s">
        <v>410</v>
      </c>
      <c r="I315" s="8" t="s">
        <v>411</v>
      </c>
      <c r="J315" s="4"/>
      <c r="K315" s="64">
        <v>312</v>
      </c>
      <c r="L315" s="18" t="s">
        <v>885</v>
      </c>
      <c r="M315" s="19" t="s">
        <v>869</v>
      </c>
      <c r="N315" s="18" t="s">
        <v>307</v>
      </c>
      <c r="O315" s="18">
        <v>3</v>
      </c>
      <c r="P315" s="18" t="s">
        <v>833</v>
      </c>
      <c r="Q315" s="18" t="s">
        <v>440</v>
      </c>
      <c r="R315" s="18" t="s">
        <v>213</v>
      </c>
      <c r="S315" s="18"/>
      <c r="T315" s="18" t="str">
        <f t="shared" si="8"/>
        <v>Historical</v>
      </c>
      <c r="U315" s="18" t="str">
        <f t="shared" si="9"/>
        <v/>
      </c>
    </row>
    <row r="316" spans="1:21">
      <c r="A316" s="10">
        <v>46073</v>
      </c>
      <c r="B316" s="4" t="s">
        <v>103</v>
      </c>
      <c r="C316" s="4" t="s">
        <v>438</v>
      </c>
      <c r="D316" s="8">
        <v>2</v>
      </c>
      <c r="E316" s="5">
        <v>46069</v>
      </c>
      <c r="F316" s="5">
        <v>46072</v>
      </c>
      <c r="G316" s="8" t="s">
        <v>812</v>
      </c>
      <c r="H316" s="8" t="s">
        <v>419</v>
      </c>
      <c r="I316" s="8" t="s">
        <v>411</v>
      </c>
      <c r="J316" s="4"/>
      <c r="K316" s="64">
        <v>313</v>
      </c>
      <c r="L316" s="18" t="s">
        <v>886</v>
      </c>
      <c r="M316" s="19" t="s">
        <v>869</v>
      </c>
      <c r="N316" s="18" t="s">
        <v>307</v>
      </c>
      <c r="O316" s="18">
        <v>3</v>
      </c>
      <c r="P316" s="18" t="s">
        <v>833</v>
      </c>
      <c r="Q316" s="18" t="s">
        <v>440</v>
      </c>
      <c r="R316" s="18" t="s">
        <v>213</v>
      </c>
      <c r="S316" s="18">
        <v>1</v>
      </c>
      <c r="T316" s="18" t="str">
        <f t="shared" si="8"/>
        <v>Historical</v>
      </c>
      <c r="U316" s="18" t="str">
        <f t="shared" si="9"/>
        <v/>
      </c>
    </row>
    <row r="317" spans="1:21">
      <c r="A317" s="10">
        <v>46188</v>
      </c>
      <c r="B317" s="4" t="s">
        <v>103</v>
      </c>
      <c r="C317" s="4" t="s">
        <v>438</v>
      </c>
      <c r="D317" s="8">
        <v>3</v>
      </c>
      <c r="E317" s="5">
        <v>46184</v>
      </c>
      <c r="F317" s="5">
        <v>46187</v>
      </c>
      <c r="G317" s="8" t="s">
        <v>812</v>
      </c>
      <c r="H317" s="8" t="s">
        <v>419</v>
      </c>
      <c r="I317" s="8" t="s">
        <v>411</v>
      </c>
      <c r="J317" s="4"/>
      <c r="K317" s="64">
        <v>314</v>
      </c>
      <c r="L317" s="18" t="s">
        <v>887</v>
      </c>
      <c r="M317" s="19" t="s">
        <v>869</v>
      </c>
      <c r="N317" s="18" t="s">
        <v>307</v>
      </c>
      <c r="O317" s="18">
        <v>3</v>
      </c>
      <c r="P317" s="18" t="s">
        <v>833</v>
      </c>
      <c r="Q317" s="18" t="s">
        <v>440</v>
      </c>
      <c r="R317" s="18" t="s">
        <v>213</v>
      </c>
      <c r="S317" s="18">
        <v>2</v>
      </c>
      <c r="T317" s="18" t="str">
        <f t="shared" si="8"/>
        <v>Current</v>
      </c>
      <c r="U317" s="18" t="str">
        <f t="shared" si="9"/>
        <v>Logan Russell|Data Privacy &amp; Acceptable Use</v>
      </c>
    </row>
    <row r="318" spans="1:21">
      <c r="A318" s="10">
        <v>45966</v>
      </c>
      <c r="B318" s="4" t="s">
        <v>108</v>
      </c>
      <c r="C318" s="4" t="s">
        <v>837</v>
      </c>
      <c r="D318" s="8">
        <v>1</v>
      </c>
      <c r="E318" s="5">
        <v>45963</v>
      </c>
      <c r="F318" s="5">
        <v>45963</v>
      </c>
      <c r="G318" s="8" t="s">
        <v>812</v>
      </c>
      <c r="H318" s="8" t="s">
        <v>410</v>
      </c>
      <c r="I318" s="8" t="s">
        <v>411</v>
      </c>
      <c r="J318" s="4"/>
      <c r="K318" s="64">
        <v>315</v>
      </c>
      <c r="L318" s="18" t="s">
        <v>888</v>
      </c>
      <c r="M318" s="19" t="s">
        <v>889</v>
      </c>
      <c r="N318" s="18" t="s">
        <v>307</v>
      </c>
      <c r="O318" s="18">
        <v>1</v>
      </c>
      <c r="P318" s="18" t="s">
        <v>819</v>
      </c>
      <c r="Q318" s="18" t="s">
        <v>839</v>
      </c>
      <c r="R318" s="18" t="s">
        <v>307</v>
      </c>
      <c r="S318" s="18"/>
      <c r="T318" s="18" t="str">
        <f t="shared" si="8"/>
        <v>Historical</v>
      </c>
      <c r="U318" s="18" t="str">
        <f t="shared" si="9"/>
        <v/>
      </c>
    </row>
    <row r="319" spans="1:21">
      <c r="A319" s="10">
        <v>45996</v>
      </c>
      <c r="B319" s="4" t="s">
        <v>108</v>
      </c>
      <c r="C319" s="4" t="s">
        <v>837</v>
      </c>
      <c r="D319" s="8">
        <v>2</v>
      </c>
      <c r="E319" s="5">
        <v>45993</v>
      </c>
      <c r="F319" s="5">
        <v>45995</v>
      </c>
      <c r="G319" s="8" t="s">
        <v>812</v>
      </c>
      <c r="H319" s="8" t="s">
        <v>419</v>
      </c>
      <c r="I319" s="8" t="s">
        <v>411</v>
      </c>
      <c r="J319" s="4"/>
      <c r="K319" s="64">
        <v>316</v>
      </c>
      <c r="L319" s="18" t="s">
        <v>890</v>
      </c>
      <c r="M319" s="19" t="s">
        <v>889</v>
      </c>
      <c r="N319" s="18" t="s">
        <v>307</v>
      </c>
      <c r="O319" s="18">
        <v>1</v>
      </c>
      <c r="P319" s="18" t="s">
        <v>819</v>
      </c>
      <c r="Q319" s="18" t="s">
        <v>839</v>
      </c>
      <c r="R319" s="18" t="s">
        <v>307</v>
      </c>
      <c r="S319" s="18">
        <v>1</v>
      </c>
      <c r="T319" s="18" t="str">
        <f t="shared" si="8"/>
        <v>Historical</v>
      </c>
      <c r="U319" s="18" t="str">
        <f t="shared" si="9"/>
        <v/>
      </c>
    </row>
    <row r="320" spans="1:21">
      <c r="A320" s="10">
        <v>46056</v>
      </c>
      <c r="B320" s="4" t="s">
        <v>108</v>
      </c>
      <c r="C320" s="4" t="s">
        <v>837</v>
      </c>
      <c r="D320" s="8">
        <v>3</v>
      </c>
      <c r="E320" s="5">
        <v>46052</v>
      </c>
      <c r="F320" s="5">
        <v>46055</v>
      </c>
      <c r="G320" s="8" t="s">
        <v>812</v>
      </c>
      <c r="H320" s="8" t="s">
        <v>419</v>
      </c>
      <c r="I320" s="8" t="s">
        <v>411</v>
      </c>
      <c r="J320" s="4"/>
      <c r="K320" s="64">
        <v>317</v>
      </c>
      <c r="L320" s="18" t="s">
        <v>891</v>
      </c>
      <c r="M320" s="19" t="s">
        <v>889</v>
      </c>
      <c r="N320" s="18" t="s">
        <v>307</v>
      </c>
      <c r="O320" s="18">
        <v>1</v>
      </c>
      <c r="P320" s="18" t="s">
        <v>819</v>
      </c>
      <c r="Q320" s="18" t="s">
        <v>839</v>
      </c>
      <c r="R320" s="18" t="s">
        <v>307</v>
      </c>
      <c r="S320" s="18">
        <v>2</v>
      </c>
      <c r="T320" s="18" t="str">
        <f t="shared" si="8"/>
        <v>Current</v>
      </c>
      <c r="U320" s="18" t="str">
        <f t="shared" si="9"/>
        <v>Sydney Morgan|IT Service Analyst</v>
      </c>
    </row>
    <row r="321" spans="1:21">
      <c r="A321" s="10">
        <v>46121</v>
      </c>
      <c r="B321" s="4" t="s">
        <v>108</v>
      </c>
      <c r="C321" s="4" t="s">
        <v>871</v>
      </c>
      <c r="D321" s="8">
        <v>1</v>
      </c>
      <c r="E321" s="5">
        <v>46120</v>
      </c>
      <c r="F321" s="5">
        <v>46122</v>
      </c>
      <c r="G321" s="8" t="s">
        <v>812</v>
      </c>
      <c r="H321" s="8" t="s">
        <v>410</v>
      </c>
      <c r="I321" s="8" t="s">
        <v>411</v>
      </c>
      <c r="J321" s="4"/>
      <c r="K321" s="64">
        <v>318</v>
      </c>
      <c r="L321" s="18" t="s">
        <v>892</v>
      </c>
      <c r="M321" s="19" t="s">
        <v>889</v>
      </c>
      <c r="N321" s="18" t="s">
        <v>307</v>
      </c>
      <c r="O321" s="18">
        <v>1</v>
      </c>
      <c r="P321" s="18" t="s">
        <v>819</v>
      </c>
      <c r="Q321" s="18" t="s">
        <v>873</v>
      </c>
      <c r="R321" s="18" t="s">
        <v>307</v>
      </c>
      <c r="S321" s="18"/>
      <c r="T321" s="18" t="str">
        <f t="shared" si="8"/>
        <v>Historical</v>
      </c>
      <c r="U321" s="18" t="str">
        <f t="shared" si="9"/>
        <v/>
      </c>
    </row>
    <row r="322" spans="1:21">
      <c r="A322" s="10">
        <v>46222</v>
      </c>
      <c r="B322" s="4" t="s">
        <v>108</v>
      </c>
      <c r="C322" s="4" t="s">
        <v>871</v>
      </c>
      <c r="D322" s="8">
        <v>2</v>
      </c>
      <c r="E322" s="5">
        <v>46218</v>
      </c>
      <c r="F322" s="5">
        <v>46220</v>
      </c>
      <c r="G322" s="8" t="s">
        <v>812</v>
      </c>
      <c r="H322" s="8" t="s">
        <v>419</v>
      </c>
      <c r="I322" s="8" t="s">
        <v>411</v>
      </c>
      <c r="J322" s="4"/>
      <c r="K322" s="64">
        <v>319</v>
      </c>
      <c r="L322" s="18" t="s">
        <v>893</v>
      </c>
      <c r="M322" s="19" t="s">
        <v>889</v>
      </c>
      <c r="N322" s="18" t="s">
        <v>307</v>
      </c>
      <c r="O322" s="18">
        <v>1</v>
      </c>
      <c r="P322" s="18" t="s">
        <v>819</v>
      </c>
      <c r="Q322" s="18" t="s">
        <v>873</v>
      </c>
      <c r="R322" s="18" t="s">
        <v>307</v>
      </c>
      <c r="S322" s="18">
        <v>1</v>
      </c>
      <c r="T322" s="18" t="str">
        <f t="shared" si="8"/>
        <v>Current</v>
      </c>
      <c r="U322" s="18" t="str">
        <f t="shared" si="9"/>
        <v>Sydney Morgan|Remote Access Support</v>
      </c>
    </row>
    <row r="323" spans="1:21">
      <c r="A323" s="10">
        <v>45722</v>
      </c>
      <c r="B323" s="4" t="s">
        <v>108</v>
      </c>
      <c r="C323" s="4" t="s">
        <v>819</v>
      </c>
      <c r="D323" s="8">
        <v>3</v>
      </c>
      <c r="E323" s="5">
        <v>45721</v>
      </c>
      <c r="F323" s="5">
        <v>45724</v>
      </c>
      <c r="G323" s="8" t="s">
        <v>812</v>
      </c>
      <c r="H323" s="8" t="s">
        <v>410</v>
      </c>
      <c r="I323" s="8" t="s">
        <v>411</v>
      </c>
      <c r="J323" s="4"/>
      <c r="K323" s="64">
        <v>320</v>
      </c>
      <c r="L323" s="18" t="s">
        <v>894</v>
      </c>
      <c r="M323" s="19" t="s">
        <v>889</v>
      </c>
      <c r="N323" s="18" t="s">
        <v>307</v>
      </c>
      <c r="O323" s="18">
        <v>1</v>
      </c>
      <c r="P323" s="18" t="s">
        <v>819</v>
      </c>
      <c r="Q323" s="18" t="s">
        <v>821</v>
      </c>
      <c r="R323" s="18" t="s">
        <v>307</v>
      </c>
      <c r="S323" s="18"/>
      <c r="T323" s="18" t="str">
        <f t="shared" si="8"/>
        <v>Current</v>
      </c>
      <c r="U323" s="18" t="str">
        <f t="shared" si="9"/>
        <v>Sydney Morgan|Network Support Analyst</v>
      </c>
    </row>
    <row r="324" spans="1:21">
      <c r="A324" s="10">
        <v>45827</v>
      </c>
      <c r="B324" s="4" t="s">
        <v>108</v>
      </c>
      <c r="C324" s="4" t="s">
        <v>811</v>
      </c>
      <c r="D324" s="8">
        <v>2</v>
      </c>
      <c r="E324" s="5">
        <v>45826</v>
      </c>
      <c r="F324" s="5">
        <v>45827</v>
      </c>
      <c r="G324" s="8" t="s">
        <v>812</v>
      </c>
      <c r="H324" s="8" t="s">
        <v>410</v>
      </c>
      <c r="I324" s="8" t="s">
        <v>411</v>
      </c>
      <c r="J324" s="4"/>
      <c r="K324" s="64">
        <v>321</v>
      </c>
      <c r="L324" s="18" t="s">
        <v>895</v>
      </c>
      <c r="M324" s="19" t="s">
        <v>889</v>
      </c>
      <c r="N324" s="18" t="s">
        <v>307</v>
      </c>
      <c r="O324" s="18">
        <v>1</v>
      </c>
      <c r="P324" s="18" t="s">
        <v>819</v>
      </c>
      <c r="Q324" s="18" t="s">
        <v>816</v>
      </c>
      <c r="R324" s="18" t="s">
        <v>307</v>
      </c>
      <c r="S324" s="18"/>
      <c r="T324" s="18" t="str">
        <f t="shared" ref="T324:T387" si="10">IF(B324="","",IF(I324="Yes","Voided",IF(COUNTIFS($B$4:$B$803,B324,$C$4:$C$803,C324,$I$4:$I$803,"&lt;&gt;Yes",$K$4:$K$803,"&gt;"&amp;K324)=0,"Current","Historical")))</f>
        <v>Current</v>
      </c>
      <c r="U324" s="18" t="str">
        <f t="shared" ref="U324:U387" si="11">IF(T324="Current",B324&amp;"|"&amp;C324,"")</f>
        <v>Sydney Morgan|IT Service Desk Escalation</v>
      </c>
    </row>
    <row r="325" spans="1:21">
      <c r="A325" s="10">
        <v>46112</v>
      </c>
      <c r="B325" s="4" t="s">
        <v>108</v>
      </c>
      <c r="C325" s="4" t="s">
        <v>830</v>
      </c>
      <c r="D325" s="8">
        <v>3</v>
      </c>
      <c r="E325" s="5">
        <v>46111</v>
      </c>
      <c r="F325" s="5">
        <v>46112</v>
      </c>
      <c r="G325" s="8" t="s">
        <v>812</v>
      </c>
      <c r="H325" s="8" t="s">
        <v>410</v>
      </c>
      <c r="I325" s="8" t="s">
        <v>411</v>
      </c>
      <c r="J325" s="4"/>
      <c r="K325" s="64">
        <v>322</v>
      </c>
      <c r="L325" s="18" t="s">
        <v>896</v>
      </c>
      <c r="M325" s="19" t="s">
        <v>889</v>
      </c>
      <c r="N325" s="18" t="s">
        <v>307</v>
      </c>
      <c r="O325" s="18">
        <v>1</v>
      </c>
      <c r="P325" s="18" t="s">
        <v>819</v>
      </c>
      <c r="Q325" s="18" t="s">
        <v>832</v>
      </c>
      <c r="R325" s="18" t="s">
        <v>307</v>
      </c>
      <c r="S325" s="18"/>
      <c r="T325" s="18" t="str">
        <f t="shared" si="10"/>
        <v>Current</v>
      </c>
      <c r="U325" s="18" t="str">
        <f t="shared" si="11"/>
        <v>Sydney Morgan|Device Provisioning Specialist</v>
      </c>
    </row>
    <row r="326" spans="1:21">
      <c r="A326" s="10">
        <v>46041</v>
      </c>
      <c r="B326" s="4" t="s">
        <v>108</v>
      </c>
      <c r="C326" s="4" t="s">
        <v>840</v>
      </c>
      <c r="D326" s="8">
        <v>1</v>
      </c>
      <c r="E326" s="5">
        <v>46038</v>
      </c>
      <c r="F326" s="5">
        <v>46041</v>
      </c>
      <c r="G326" s="8" t="s">
        <v>812</v>
      </c>
      <c r="H326" s="8" t="s">
        <v>410</v>
      </c>
      <c r="I326" s="8" t="s">
        <v>411</v>
      </c>
      <c r="J326" s="4"/>
      <c r="K326" s="64">
        <v>323</v>
      </c>
      <c r="L326" s="18" t="s">
        <v>897</v>
      </c>
      <c r="M326" s="19" t="s">
        <v>889</v>
      </c>
      <c r="N326" s="18" t="s">
        <v>307</v>
      </c>
      <c r="O326" s="18">
        <v>1</v>
      </c>
      <c r="P326" s="18" t="s">
        <v>819</v>
      </c>
      <c r="Q326" s="18" t="s">
        <v>824</v>
      </c>
      <c r="R326" s="18" t="s">
        <v>307</v>
      </c>
      <c r="S326" s="18"/>
      <c r="T326" s="18" t="str">
        <f t="shared" si="10"/>
        <v>Current</v>
      </c>
      <c r="U326" s="18" t="str">
        <f t="shared" si="11"/>
        <v>Sydney Morgan|Mobile Device Management</v>
      </c>
    </row>
    <row r="327" spans="1:21">
      <c r="A327" s="10">
        <v>45824</v>
      </c>
      <c r="B327" s="4" t="s">
        <v>108</v>
      </c>
      <c r="C327" s="4" t="s">
        <v>822</v>
      </c>
      <c r="D327" s="8">
        <v>1</v>
      </c>
      <c r="E327" s="5">
        <v>45820</v>
      </c>
      <c r="F327" s="5">
        <v>45822</v>
      </c>
      <c r="G327" s="8" t="s">
        <v>812</v>
      </c>
      <c r="H327" s="8" t="s">
        <v>410</v>
      </c>
      <c r="I327" s="8" t="s">
        <v>411</v>
      </c>
      <c r="J327" s="4"/>
      <c r="K327" s="64">
        <v>324</v>
      </c>
      <c r="L327" s="18" t="s">
        <v>898</v>
      </c>
      <c r="M327" s="19" t="s">
        <v>889</v>
      </c>
      <c r="N327" s="18" t="s">
        <v>307</v>
      </c>
      <c r="O327" s="18">
        <v>1</v>
      </c>
      <c r="P327" s="18" t="s">
        <v>819</v>
      </c>
      <c r="Q327" s="18" t="s">
        <v>824</v>
      </c>
      <c r="R327" s="18" t="s">
        <v>307</v>
      </c>
      <c r="S327" s="18"/>
      <c r="T327" s="18" t="str">
        <f t="shared" si="10"/>
        <v>Historical</v>
      </c>
      <c r="U327" s="18" t="str">
        <f t="shared" si="11"/>
        <v/>
      </c>
    </row>
    <row r="328" spans="1:21">
      <c r="A328" s="10">
        <v>45891</v>
      </c>
      <c r="B328" s="4" t="s">
        <v>108</v>
      </c>
      <c r="C328" s="4" t="s">
        <v>822</v>
      </c>
      <c r="D328" s="8">
        <v>2</v>
      </c>
      <c r="E328" s="5">
        <v>45887</v>
      </c>
      <c r="F328" s="5">
        <v>45887</v>
      </c>
      <c r="G328" s="8" t="s">
        <v>812</v>
      </c>
      <c r="H328" s="8" t="s">
        <v>419</v>
      </c>
      <c r="I328" s="8" t="s">
        <v>411</v>
      </c>
      <c r="J328" s="4"/>
      <c r="K328" s="64">
        <v>325</v>
      </c>
      <c r="L328" s="18" t="s">
        <v>899</v>
      </c>
      <c r="M328" s="19" t="s">
        <v>889</v>
      </c>
      <c r="N328" s="18" t="s">
        <v>307</v>
      </c>
      <c r="O328" s="18">
        <v>1</v>
      </c>
      <c r="P328" s="18" t="s">
        <v>819</v>
      </c>
      <c r="Q328" s="18" t="s">
        <v>824</v>
      </c>
      <c r="R328" s="18" t="s">
        <v>307</v>
      </c>
      <c r="S328" s="18">
        <v>1</v>
      </c>
      <c r="T328" s="18" t="str">
        <f t="shared" si="10"/>
        <v>Historical</v>
      </c>
      <c r="U328" s="18" t="str">
        <f t="shared" si="11"/>
        <v/>
      </c>
    </row>
    <row r="329" spans="1:21">
      <c r="A329" s="10">
        <v>45982</v>
      </c>
      <c r="B329" s="4" t="s">
        <v>108</v>
      </c>
      <c r="C329" s="4" t="s">
        <v>822</v>
      </c>
      <c r="D329" s="8">
        <v>3</v>
      </c>
      <c r="E329" s="5">
        <v>45980</v>
      </c>
      <c r="F329" s="5">
        <v>45982</v>
      </c>
      <c r="G329" s="8" t="s">
        <v>812</v>
      </c>
      <c r="H329" s="8" t="s">
        <v>419</v>
      </c>
      <c r="I329" s="8" t="s">
        <v>411</v>
      </c>
      <c r="J329" s="4"/>
      <c r="K329" s="64">
        <v>326</v>
      </c>
      <c r="L329" s="18" t="s">
        <v>900</v>
      </c>
      <c r="M329" s="19" t="s">
        <v>889</v>
      </c>
      <c r="N329" s="18" t="s">
        <v>307</v>
      </c>
      <c r="O329" s="18">
        <v>1</v>
      </c>
      <c r="P329" s="18" t="s">
        <v>819</v>
      </c>
      <c r="Q329" s="18" t="s">
        <v>824</v>
      </c>
      <c r="R329" s="18" t="s">
        <v>307</v>
      </c>
      <c r="S329" s="18">
        <v>2</v>
      </c>
      <c r="T329" s="18" t="str">
        <f t="shared" si="10"/>
        <v>Current</v>
      </c>
      <c r="U329" s="18" t="str">
        <f t="shared" si="11"/>
        <v>Sydney Morgan|Endpoint Provisioning</v>
      </c>
    </row>
    <row r="330" spans="1:21">
      <c r="A330" s="10">
        <v>45919</v>
      </c>
      <c r="B330" s="4" t="s">
        <v>108</v>
      </c>
      <c r="C330" s="4" t="s">
        <v>468</v>
      </c>
      <c r="D330" s="8">
        <v>2</v>
      </c>
      <c r="E330" s="5">
        <v>45918</v>
      </c>
      <c r="F330" s="5">
        <v>45918</v>
      </c>
      <c r="G330" s="8" t="s">
        <v>812</v>
      </c>
      <c r="H330" s="8" t="s">
        <v>410</v>
      </c>
      <c r="I330" s="8" t="s">
        <v>411</v>
      </c>
      <c r="J330" s="4"/>
      <c r="K330" s="64">
        <v>327</v>
      </c>
      <c r="L330" s="18" t="s">
        <v>901</v>
      </c>
      <c r="M330" s="19" t="s">
        <v>889</v>
      </c>
      <c r="N330" s="18" t="s">
        <v>307</v>
      </c>
      <c r="O330" s="18">
        <v>1</v>
      </c>
      <c r="P330" s="18" t="s">
        <v>819</v>
      </c>
      <c r="Q330" s="18" t="s">
        <v>470</v>
      </c>
      <c r="R330" s="18" t="s">
        <v>213</v>
      </c>
      <c r="S330" s="18"/>
      <c r="T330" s="18" t="str">
        <f t="shared" si="10"/>
        <v>Current</v>
      </c>
      <c r="U330" s="18" t="str">
        <f t="shared" si="11"/>
        <v>Sydney Morgan|Business Continuity Basics</v>
      </c>
    </row>
    <row r="331" spans="1:21">
      <c r="A331" s="10">
        <v>46167</v>
      </c>
      <c r="B331" s="4" t="s">
        <v>111</v>
      </c>
      <c r="C331" s="4" t="s">
        <v>871</v>
      </c>
      <c r="D331" s="8">
        <v>2</v>
      </c>
      <c r="E331" s="5">
        <v>46165</v>
      </c>
      <c r="F331" s="5">
        <v>46165</v>
      </c>
      <c r="G331" s="8" t="s">
        <v>812</v>
      </c>
      <c r="H331" s="8" t="s">
        <v>410</v>
      </c>
      <c r="I331" s="8" t="s">
        <v>411</v>
      </c>
      <c r="J331" s="4"/>
      <c r="K331" s="64">
        <v>328</v>
      </c>
      <c r="L331" s="18" t="s">
        <v>902</v>
      </c>
      <c r="M331" s="19" t="s">
        <v>903</v>
      </c>
      <c r="N331" s="18" t="s">
        <v>307</v>
      </c>
      <c r="O331" s="18">
        <v>2</v>
      </c>
      <c r="P331" s="18" t="s">
        <v>904</v>
      </c>
      <c r="Q331" s="18" t="s">
        <v>873</v>
      </c>
      <c r="R331" s="18" t="s">
        <v>307</v>
      </c>
      <c r="S331" s="18"/>
      <c r="T331" s="18" t="str">
        <f t="shared" si="10"/>
        <v>Current</v>
      </c>
      <c r="U331" s="18" t="str">
        <f t="shared" si="11"/>
        <v>Dakota Ward|Remote Access Support</v>
      </c>
    </row>
    <row r="332" spans="1:21">
      <c r="A332" s="10">
        <v>45742</v>
      </c>
      <c r="B332" s="4" t="s">
        <v>111</v>
      </c>
      <c r="C332" s="4" t="s">
        <v>819</v>
      </c>
      <c r="D332" s="8">
        <v>1</v>
      </c>
      <c r="E332" s="5">
        <v>45738</v>
      </c>
      <c r="F332" s="5">
        <v>45739</v>
      </c>
      <c r="G332" s="8" t="s">
        <v>812</v>
      </c>
      <c r="H332" s="8" t="s">
        <v>410</v>
      </c>
      <c r="I332" s="8" t="s">
        <v>411</v>
      </c>
      <c r="J332" s="4"/>
      <c r="K332" s="64">
        <v>329</v>
      </c>
      <c r="L332" s="18" t="s">
        <v>905</v>
      </c>
      <c r="M332" s="19" t="s">
        <v>903</v>
      </c>
      <c r="N332" s="18" t="s">
        <v>307</v>
      </c>
      <c r="O332" s="18">
        <v>2</v>
      </c>
      <c r="P332" s="18" t="s">
        <v>904</v>
      </c>
      <c r="Q332" s="18" t="s">
        <v>821</v>
      </c>
      <c r="R332" s="18" t="s">
        <v>307</v>
      </c>
      <c r="S332" s="18"/>
      <c r="T332" s="18" t="str">
        <f t="shared" si="10"/>
        <v>Current</v>
      </c>
      <c r="U332" s="18" t="str">
        <f t="shared" si="11"/>
        <v>Dakota Ward|Network Support Analyst</v>
      </c>
    </row>
    <row r="333" spans="1:21">
      <c r="A333" s="10">
        <v>45755</v>
      </c>
      <c r="B333" s="4" t="s">
        <v>111</v>
      </c>
      <c r="C333" s="4" t="s">
        <v>840</v>
      </c>
      <c r="D333" s="8">
        <v>1</v>
      </c>
      <c r="E333" s="5">
        <v>45752</v>
      </c>
      <c r="F333" s="5">
        <v>45754</v>
      </c>
      <c r="G333" s="8" t="s">
        <v>812</v>
      </c>
      <c r="H333" s="8" t="s">
        <v>410</v>
      </c>
      <c r="I333" s="8" t="s">
        <v>411</v>
      </c>
      <c r="J333" s="4"/>
      <c r="K333" s="64">
        <v>330</v>
      </c>
      <c r="L333" s="18" t="s">
        <v>906</v>
      </c>
      <c r="M333" s="19" t="s">
        <v>903</v>
      </c>
      <c r="N333" s="18" t="s">
        <v>307</v>
      </c>
      <c r="O333" s="18">
        <v>2</v>
      </c>
      <c r="P333" s="18" t="s">
        <v>904</v>
      </c>
      <c r="Q333" s="18" t="s">
        <v>824</v>
      </c>
      <c r="R333" s="18" t="s">
        <v>307</v>
      </c>
      <c r="S333" s="18"/>
      <c r="T333" s="18" t="str">
        <f t="shared" si="10"/>
        <v>Historical</v>
      </c>
      <c r="U333" s="18" t="str">
        <f t="shared" si="11"/>
        <v/>
      </c>
    </row>
    <row r="334" spans="1:21">
      <c r="A334" s="10">
        <v>45863</v>
      </c>
      <c r="B334" s="4" t="s">
        <v>111</v>
      </c>
      <c r="C334" s="4" t="s">
        <v>840</v>
      </c>
      <c r="D334" s="8">
        <v>2</v>
      </c>
      <c r="E334" s="5">
        <v>45862</v>
      </c>
      <c r="F334" s="5">
        <v>45864</v>
      </c>
      <c r="G334" s="8" t="s">
        <v>812</v>
      </c>
      <c r="H334" s="8" t="s">
        <v>419</v>
      </c>
      <c r="I334" s="8" t="s">
        <v>411</v>
      </c>
      <c r="J334" s="4"/>
      <c r="K334" s="64">
        <v>331</v>
      </c>
      <c r="L334" s="18" t="s">
        <v>907</v>
      </c>
      <c r="M334" s="19" t="s">
        <v>903</v>
      </c>
      <c r="N334" s="18" t="s">
        <v>307</v>
      </c>
      <c r="O334" s="18">
        <v>2</v>
      </c>
      <c r="P334" s="18" t="s">
        <v>904</v>
      </c>
      <c r="Q334" s="18" t="s">
        <v>824</v>
      </c>
      <c r="R334" s="18" t="s">
        <v>307</v>
      </c>
      <c r="S334" s="18">
        <v>1</v>
      </c>
      <c r="T334" s="18" t="str">
        <f t="shared" si="10"/>
        <v>Historical</v>
      </c>
      <c r="U334" s="18" t="str">
        <f t="shared" si="11"/>
        <v/>
      </c>
    </row>
    <row r="335" spans="1:21">
      <c r="A335" s="10">
        <v>45922</v>
      </c>
      <c r="B335" s="4" t="s">
        <v>111</v>
      </c>
      <c r="C335" s="4" t="s">
        <v>840</v>
      </c>
      <c r="D335" s="8">
        <v>3</v>
      </c>
      <c r="E335" s="5">
        <v>45920</v>
      </c>
      <c r="F335" s="5">
        <v>45921</v>
      </c>
      <c r="G335" s="8" t="s">
        <v>812</v>
      </c>
      <c r="H335" s="8" t="s">
        <v>419</v>
      </c>
      <c r="I335" s="8" t="s">
        <v>411</v>
      </c>
      <c r="J335" s="4"/>
      <c r="K335" s="64">
        <v>332</v>
      </c>
      <c r="L335" s="18" t="s">
        <v>908</v>
      </c>
      <c r="M335" s="19" t="s">
        <v>903</v>
      </c>
      <c r="N335" s="18" t="s">
        <v>307</v>
      </c>
      <c r="O335" s="18">
        <v>2</v>
      </c>
      <c r="P335" s="18" t="s">
        <v>904</v>
      </c>
      <c r="Q335" s="18" t="s">
        <v>824</v>
      </c>
      <c r="R335" s="18" t="s">
        <v>307</v>
      </c>
      <c r="S335" s="18">
        <v>2</v>
      </c>
      <c r="T335" s="18" t="str">
        <f t="shared" si="10"/>
        <v>Current</v>
      </c>
      <c r="U335" s="18" t="str">
        <f t="shared" si="11"/>
        <v>Dakota Ward|Mobile Device Management</v>
      </c>
    </row>
    <row r="336" spans="1:21">
      <c r="A336" s="10">
        <v>45789</v>
      </c>
      <c r="B336" s="4" t="s">
        <v>111</v>
      </c>
      <c r="C336" s="4" t="s">
        <v>830</v>
      </c>
      <c r="D336" s="8">
        <v>3</v>
      </c>
      <c r="E336" s="5">
        <v>45787</v>
      </c>
      <c r="F336" s="5">
        <v>45788</v>
      </c>
      <c r="G336" s="8" t="s">
        <v>812</v>
      </c>
      <c r="H336" s="8" t="s">
        <v>410</v>
      </c>
      <c r="I336" s="8" t="s">
        <v>411</v>
      </c>
      <c r="J336" s="4"/>
      <c r="K336" s="64">
        <v>333</v>
      </c>
      <c r="L336" s="18" t="s">
        <v>909</v>
      </c>
      <c r="M336" s="19" t="s">
        <v>903</v>
      </c>
      <c r="N336" s="18" t="s">
        <v>307</v>
      </c>
      <c r="O336" s="18">
        <v>2</v>
      </c>
      <c r="P336" s="18" t="s">
        <v>904</v>
      </c>
      <c r="Q336" s="18" t="s">
        <v>832</v>
      </c>
      <c r="R336" s="18" t="s">
        <v>307</v>
      </c>
      <c r="S336" s="18"/>
      <c r="T336" s="18" t="str">
        <f t="shared" si="10"/>
        <v>Current</v>
      </c>
      <c r="U336" s="18" t="str">
        <f t="shared" si="11"/>
        <v>Dakota Ward|Device Provisioning Specialist</v>
      </c>
    </row>
    <row r="337" spans="1:21">
      <c r="A337" s="10">
        <v>46037</v>
      </c>
      <c r="B337" s="4" t="s">
        <v>111</v>
      </c>
      <c r="C337" s="4" t="s">
        <v>822</v>
      </c>
      <c r="D337" s="8">
        <v>1</v>
      </c>
      <c r="E337" s="5">
        <v>46032</v>
      </c>
      <c r="F337" s="5">
        <v>46034</v>
      </c>
      <c r="G337" s="8" t="s">
        <v>812</v>
      </c>
      <c r="H337" s="8" t="s">
        <v>410</v>
      </c>
      <c r="I337" s="8" t="s">
        <v>411</v>
      </c>
      <c r="J337" s="4"/>
      <c r="K337" s="64">
        <v>334</v>
      </c>
      <c r="L337" s="18" t="s">
        <v>910</v>
      </c>
      <c r="M337" s="19" t="s">
        <v>903</v>
      </c>
      <c r="N337" s="18" t="s">
        <v>307</v>
      </c>
      <c r="O337" s="18">
        <v>2</v>
      </c>
      <c r="P337" s="18" t="s">
        <v>904</v>
      </c>
      <c r="Q337" s="18" t="s">
        <v>824</v>
      </c>
      <c r="R337" s="18" t="s">
        <v>307</v>
      </c>
      <c r="S337" s="18"/>
      <c r="T337" s="18" t="str">
        <f t="shared" si="10"/>
        <v>Historical</v>
      </c>
      <c r="U337" s="18" t="str">
        <f t="shared" si="11"/>
        <v/>
      </c>
    </row>
    <row r="338" spans="1:21">
      <c r="A338" s="10">
        <v>46116</v>
      </c>
      <c r="B338" s="4" t="s">
        <v>111</v>
      </c>
      <c r="C338" s="4" t="s">
        <v>822</v>
      </c>
      <c r="D338" s="8">
        <v>2</v>
      </c>
      <c r="E338" s="5">
        <v>46111</v>
      </c>
      <c r="F338" s="5">
        <v>46112</v>
      </c>
      <c r="G338" s="8" t="s">
        <v>812</v>
      </c>
      <c r="H338" s="8" t="s">
        <v>419</v>
      </c>
      <c r="I338" s="8" t="s">
        <v>411</v>
      </c>
      <c r="J338" s="4"/>
      <c r="K338" s="64">
        <v>335</v>
      </c>
      <c r="L338" s="18" t="s">
        <v>911</v>
      </c>
      <c r="M338" s="19" t="s">
        <v>903</v>
      </c>
      <c r="N338" s="18" t="s">
        <v>307</v>
      </c>
      <c r="O338" s="18">
        <v>2</v>
      </c>
      <c r="P338" s="18" t="s">
        <v>904</v>
      </c>
      <c r="Q338" s="18" t="s">
        <v>824</v>
      </c>
      <c r="R338" s="18" t="s">
        <v>307</v>
      </c>
      <c r="S338" s="18">
        <v>1</v>
      </c>
      <c r="T338" s="18" t="str">
        <f t="shared" si="10"/>
        <v>Current</v>
      </c>
      <c r="U338" s="18" t="str">
        <f t="shared" si="11"/>
        <v>Dakota Ward|Endpoint Provisioning</v>
      </c>
    </row>
    <row r="339" spans="1:21">
      <c r="A339" s="10">
        <v>45983</v>
      </c>
      <c r="B339" s="4" t="s">
        <v>111</v>
      </c>
      <c r="C339" s="4" t="s">
        <v>837</v>
      </c>
      <c r="D339" s="8">
        <v>1</v>
      </c>
      <c r="E339" s="5">
        <v>45979</v>
      </c>
      <c r="F339" s="5">
        <v>45982</v>
      </c>
      <c r="G339" s="8" t="s">
        <v>812</v>
      </c>
      <c r="H339" s="8" t="s">
        <v>410</v>
      </c>
      <c r="I339" s="8" t="s">
        <v>411</v>
      </c>
      <c r="J339" s="4"/>
      <c r="K339" s="64">
        <v>336</v>
      </c>
      <c r="L339" s="18" t="s">
        <v>912</v>
      </c>
      <c r="M339" s="19" t="s">
        <v>903</v>
      </c>
      <c r="N339" s="18" t="s">
        <v>307</v>
      </c>
      <c r="O339" s="18">
        <v>2</v>
      </c>
      <c r="P339" s="18" t="s">
        <v>904</v>
      </c>
      <c r="Q339" s="18" t="s">
        <v>839</v>
      </c>
      <c r="R339" s="18" t="s">
        <v>307</v>
      </c>
      <c r="S339" s="18"/>
      <c r="T339" s="18" t="str">
        <f t="shared" si="10"/>
        <v>Historical</v>
      </c>
      <c r="U339" s="18" t="str">
        <f t="shared" si="11"/>
        <v/>
      </c>
    </row>
    <row r="340" spans="1:21">
      <c r="A340" s="10">
        <v>46070</v>
      </c>
      <c r="B340" s="4" t="s">
        <v>111</v>
      </c>
      <c r="C340" s="4" t="s">
        <v>837</v>
      </c>
      <c r="D340" s="8">
        <v>2</v>
      </c>
      <c r="E340" s="5">
        <v>46066</v>
      </c>
      <c r="F340" s="5">
        <v>46069</v>
      </c>
      <c r="G340" s="8" t="s">
        <v>812</v>
      </c>
      <c r="H340" s="8" t="s">
        <v>419</v>
      </c>
      <c r="I340" s="8" t="s">
        <v>411</v>
      </c>
      <c r="J340" s="4"/>
      <c r="K340" s="64">
        <v>337</v>
      </c>
      <c r="L340" s="18" t="s">
        <v>913</v>
      </c>
      <c r="M340" s="19" t="s">
        <v>903</v>
      </c>
      <c r="N340" s="18" t="s">
        <v>307</v>
      </c>
      <c r="O340" s="18">
        <v>2</v>
      </c>
      <c r="P340" s="18" t="s">
        <v>904</v>
      </c>
      <c r="Q340" s="18" t="s">
        <v>839</v>
      </c>
      <c r="R340" s="18" t="s">
        <v>307</v>
      </c>
      <c r="S340" s="18">
        <v>1</v>
      </c>
      <c r="T340" s="18" t="str">
        <f t="shared" si="10"/>
        <v>Historical</v>
      </c>
      <c r="U340" s="18" t="str">
        <f t="shared" si="11"/>
        <v/>
      </c>
    </row>
    <row r="341" spans="1:21">
      <c r="A341" s="10">
        <v>46160</v>
      </c>
      <c r="B341" s="4" t="s">
        <v>111</v>
      </c>
      <c r="C341" s="4" t="s">
        <v>837</v>
      </c>
      <c r="D341" s="8">
        <v>3</v>
      </c>
      <c r="E341" s="5">
        <v>46159</v>
      </c>
      <c r="F341" s="5">
        <v>46160</v>
      </c>
      <c r="G341" s="8" t="s">
        <v>812</v>
      </c>
      <c r="H341" s="8" t="s">
        <v>419</v>
      </c>
      <c r="I341" s="8" t="s">
        <v>411</v>
      </c>
      <c r="J341" s="4"/>
      <c r="K341" s="64">
        <v>338</v>
      </c>
      <c r="L341" s="18" t="s">
        <v>914</v>
      </c>
      <c r="M341" s="19" t="s">
        <v>903</v>
      </c>
      <c r="N341" s="18" t="s">
        <v>307</v>
      </c>
      <c r="O341" s="18">
        <v>2</v>
      </c>
      <c r="P341" s="18" t="s">
        <v>904</v>
      </c>
      <c r="Q341" s="18" t="s">
        <v>839</v>
      </c>
      <c r="R341" s="18" t="s">
        <v>307</v>
      </c>
      <c r="S341" s="18">
        <v>2</v>
      </c>
      <c r="T341" s="18" t="str">
        <f t="shared" si="10"/>
        <v>Current</v>
      </c>
      <c r="U341" s="18" t="str">
        <f t="shared" si="11"/>
        <v>Dakota Ward|IT Service Analyst</v>
      </c>
    </row>
    <row r="342" spans="1:21">
      <c r="A342" s="10">
        <v>45799</v>
      </c>
      <c r="B342" s="4" t="s">
        <v>114</v>
      </c>
      <c r="C342" s="4" t="s">
        <v>833</v>
      </c>
      <c r="D342" s="8">
        <v>1</v>
      </c>
      <c r="E342" s="5">
        <v>45795</v>
      </c>
      <c r="F342" s="5">
        <v>45795</v>
      </c>
      <c r="G342" s="8" t="s">
        <v>812</v>
      </c>
      <c r="H342" s="8" t="s">
        <v>410</v>
      </c>
      <c r="I342" s="8" t="s">
        <v>411</v>
      </c>
      <c r="J342" s="4"/>
      <c r="K342" s="64">
        <v>339</v>
      </c>
      <c r="L342" s="18" t="s">
        <v>915</v>
      </c>
      <c r="M342" s="19" t="s">
        <v>916</v>
      </c>
      <c r="N342" s="18" t="s">
        <v>307</v>
      </c>
      <c r="O342" s="18">
        <v>3</v>
      </c>
      <c r="P342" s="18" t="s">
        <v>819</v>
      </c>
      <c r="Q342" s="18" t="s">
        <v>835</v>
      </c>
      <c r="R342" s="18" t="s">
        <v>307</v>
      </c>
      <c r="S342" s="18"/>
      <c r="T342" s="18" t="str">
        <f t="shared" si="10"/>
        <v>Historical</v>
      </c>
      <c r="U342" s="18" t="str">
        <f t="shared" si="11"/>
        <v/>
      </c>
    </row>
    <row r="343" spans="1:21">
      <c r="A343" s="10">
        <v>45835</v>
      </c>
      <c r="B343" s="4" t="s">
        <v>114</v>
      </c>
      <c r="C343" s="4" t="s">
        <v>833</v>
      </c>
      <c r="D343" s="8">
        <v>2</v>
      </c>
      <c r="E343" s="5">
        <v>45830</v>
      </c>
      <c r="F343" s="5">
        <v>45831</v>
      </c>
      <c r="G343" s="8" t="s">
        <v>812</v>
      </c>
      <c r="H343" s="8" t="s">
        <v>419</v>
      </c>
      <c r="I343" s="8" t="s">
        <v>411</v>
      </c>
      <c r="J343" s="4"/>
      <c r="K343" s="64">
        <v>340</v>
      </c>
      <c r="L343" s="18" t="s">
        <v>917</v>
      </c>
      <c r="M343" s="19" t="s">
        <v>916</v>
      </c>
      <c r="N343" s="18" t="s">
        <v>307</v>
      </c>
      <c r="O343" s="18">
        <v>3</v>
      </c>
      <c r="P343" s="18" t="s">
        <v>819</v>
      </c>
      <c r="Q343" s="18" t="s">
        <v>835</v>
      </c>
      <c r="R343" s="18" t="s">
        <v>307</v>
      </c>
      <c r="S343" s="18">
        <v>1</v>
      </c>
      <c r="T343" s="18" t="str">
        <f t="shared" si="10"/>
        <v>Historical</v>
      </c>
      <c r="U343" s="18" t="str">
        <f t="shared" si="11"/>
        <v/>
      </c>
    </row>
    <row r="344" spans="1:21">
      <c r="A344" s="10">
        <v>45890</v>
      </c>
      <c r="B344" s="4" t="s">
        <v>114</v>
      </c>
      <c r="C344" s="4" t="s">
        <v>833</v>
      </c>
      <c r="D344" s="8">
        <v>3</v>
      </c>
      <c r="E344" s="5">
        <v>45888</v>
      </c>
      <c r="F344" s="5">
        <v>45889</v>
      </c>
      <c r="G344" s="8" t="s">
        <v>812</v>
      </c>
      <c r="H344" s="8" t="s">
        <v>419</v>
      </c>
      <c r="I344" s="8" t="s">
        <v>411</v>
      </c>
      <c r="J344" s="4"/>
      <c r="K344" s="64">
        <v>341</v>
      </c>
      <c r="L344" s="18" t="s">
        <v>918</v>
      </c>
      <c r="M344" s="19" t="s">
        <v>916</v>
      </c>
      <c r="N344" s="18" t="s">
        <v>307</v>
      </c>
      <c r="O344" s="18">
        <v>3</v>
      </c>
      <c r="P344" s="18" t="s">
        <v>819</v>
      </c>
      <c r="Q344" s="18" t="s">
        <v>835</v>
      </c>
      <c r="R344" s="18" t="s">
        <v>307</v>
      </c>
      <c r="S344" s="18">
        <v>2</v>
      </c>
      <c r="T344" s="18" t="str">
        <f t="shared" si="10"/>
        <v>Current</v>
      </c>
      <c r="U344" s="18" t="str">
        <f t="shared" si="11"/>
        <v>Payton Bailey|Identity &amp; Access Specialist</v>
      </c>
    </row>
    <row r="345" spans="1:21">
      <c r="A345" s="10">
        <v>46022</v>
      </c>
      <c r="B345" s="4" t="s">
        <v>114</v>
      </c>
      <c r="C345" s="4" t="s">
        <v>871</v>
      </c>
      <c r="D345" s="8">
        <v>2</v>
      </c>
      <c r="E345" s="5">
        <v>46017</v>
      </c>
      <c r="F345" s="5">
        <v>46019</v>
      </c>
      <c r="G345" s="8" t="s">
        <v>812</v>
      </c>
      <c r="H345" s="8" t="s">
        <v>410</v>
      </c>
      <c r="I345" s="8" t="s">
        <v>411</v>
      </c>
      <c r="J345" s="4"/>
      <c r="K345" s="64">
        <v>342</v>
      </c>
      <c r="L345" s="18" t="s">
        <v>919</v>
      </c>
      <c r="M345" s="19" t="s">
        <v>916</v>
      </c>
      <c r="N345" s="18" t="s">
        <v>307</v>
      </c>
      <c r="O345" s="18">
        <v>3</v>
      </c>
      <c r="P345" s="18" t="s">
        <v>819</v>
      </c>
      <c r="Q345" s="18" t="s">
        <v>873</v>
      </c>
      <c r="R345" s="18" t="s">
        <v>307</v>
      </c>
      <c r="S345" s="18"/>
      <c r="T345" s="18" t="str">
        <f t="shared" si="10"/>
        <v>Current</v>
      </c>
      <c r="U345" s="18" t="str">
        <f t="shared" si="11"/>
        <v>Payton Bailey|Remote Access Support</v>
      </c>
    </row>
    <row r="346" spans="1:21">
      <c r="A346" s="10">
        <v>45946</v>
      </c>
      <c r="B346" s="4" t="s">
        <v>114</v>
      </c>
      <c r="C346" s="4" t="s">
        <v>819</v>
      </c>
      <c r="D346" s="8">
        <v>1</v>
      </c>
      <c r="E346" s="5">
        <v>45944</v>
      </c>
      <c r="F346" s="5">
        <v>45946</v>
      </c>
      <c r="G346" s="8" t="s">
        <v>812</v>
      </c>
      <c r="H346" s="8" t="s">
        <v>410</v>
      </c>
      <c r="I346" s="8" t="s">
        <v>411</v>
      </c>
      <c r="J346" s="4"/>
      <c r="K346" s="64">
        <v>343</v>
      </c>
      <c r="L346" s="18" t="s">
        <v>920</v>
      </c>
      <c r="M346" s="19" t="s">
        <v>916</v>
      </c>
      <c r="N346" s="18" t="s">
        <v>307</v>
      </c>
      <c r="O346" s="18">
        <v>3</v>
      </c>
      <c r="P346" s="18" t="s">
        <v>819</v>
      </c>
      <c r="Q346" s="18" t="s">
        <v>821</v>
      </c>
      <c r="R346" s="18" t="s">
        <v>307</v>
      </c>
      <c r="S346" s="18"/>
      <c r="T346" s="18" t="str">
        <f t="shared" si="10"/>
        <v>Historical</v>
      </c>
      <c r="U346" s="18" t="str">
        <f t="shared" si="11"/>
        <v/>
      </c>
    </row>
    <row r="347" spans="1:21">
      <c r="A347" s="10">
        <v>46047</v>
      </c>
      <c r="B347" s="4" t="s">
        <v>114</v>
      </c>
      <c r="C347" s="4" t="s">
        <v>819</v>
      </c>
      <c r="D347" s="8">
        <v>2</v>
      </c>
      <c r="E347" s="5">
        <v>46042</v>
      </c>
      <c r="F347" s="5">
        <v>46042</v>
      </c>
      <c r="G347" s="8" t="s">
        <v>812</v>
      </c>
      <c r="H347" s="8" t="s">
        <v>419</v>
      </c>
      <c r="I347" s="8" t="s">
        <v>411</v>
      </c>
      <c r="J347" s="4"/>
      <c r="K347" s="64">
        <v>344</v>
      </c>
      <c r="L347" s="18" t="s">
        <v>921</v>
      </c>
      <c r="M347" s="19" t="s">
        <v>916</v>
      </c>
      <c r="N347" s="18" t="s">
        <v>307</v>
      </c>
      <c r="O347" s="18">
        <v>3</v>
      </c>
      <c r="P347" s="18" t="s">
        <v>819</v>
      </c>
      <c r="Q347" s="18" t="s">
        <v>821</v>
      </c>
      <c r="R347" s="18" t="s">
        <v>307</v>
      </c>
      <c r="S347" s="18">
        <v>1</v>
      </c>
      <c r="T347" s="18" t="str">
        <f t="shared" si="10"/>
        <v>Historical</v>
      </c>
      <c r="U347" s="18" t="str">
        <f t="shared" si="11"/>
        <v/>
      </c>
    </row>
    <row r="348" spans="1:21">
      <c r="A348" s="10">
        <v>46128</v>
      </c>
      <c r="B348" s="4" t="s">
        <v>114</v>
      </c>
      <c r="C348" s="4" t="s">
        <v>819</v>
      </c>
      <c r="D348" s="8">
        <v>3</v>
      </c>
      <c r="E348" s="5">
        <v>46126</v>
      </c>
      <c r="F348" s="5">
        <v>46127</v>
      </c>
      <c r="G348" s="8" t="s">
        <v>812</v>
      </c>
      <c r="H348" s="8" t="s">
        <v>419</v>
      </c>
      <c r="I348" s="8" t="s">
        <v>411</v>
      </c>
      <c r="J348" s="4"/>
      <c r="K348" s="64">
        <v>345</v>
      </c>
      <c r="L348" s="18" t="s">
        <v>922</v>
      </c>
      <c r="M348" s="19" t="s">
        <v>916</v>
      </c>
      <c r="N348" s="18" t="s">
        <v>307</v>
      </c>
      <c r="O348" s="18">
        <v>3</v>
      </c>
      <c r="P348" s="18" t="s">
        <v>819</v>
      </c>
      <c r="Q348" s="18" t="s">
        <v>821</v>
      </c>
      <c r="R348" s="18" t="s">
        <v>307</v>
      </c>
      <c r="S348" s="18">
        <v>2</v>
      </c>
      <c r="T348" s="18" t="str">
        <f t="shared" si="10"/>
        <v>Current</v>
      </c>
      <c r="U348" s="18" t="str">
        <f t="shared" si="11"/>
        <v>Payton Bailey|Network Support Analyst</v>
      </c>
    </row>
    <row r="349" spans="1:21">
      <c r="A349" s="10">
        <v>46013</v>
      </c>
      <c r="B349" s="4" t="s">
        <v>114</v>
      </c>
      <c r="C349" s="4" t="s">
        <v>852</v>
      </c>
      <c r="D349" s="8">
        <v>2</v>
      </c>
      <c r="E349" s="5">
        <v>46008</v>
      </c>
      <c r="F349" s="5">
        <v>46008</v>
      </c>
      <c r="G349" s="8" t="s">
        <v>812</v>
      </c>
      <c r="H349" s="8" t="s">
        <v>410</v>
      </c>
      <c r="I349" s="8" t="s">
        <v>411</v>
      </c>
      <c r="J349" s="4"/>
      <c r="K349" s="64">
        <v>346</v>
      </c>
      <c r="L349" s="18" t="s">
        <v>923</v>
      </c>
      <c r="M349" s="19" t="s">
        <v>916</v>
      </c>
      <c r="N349" s="18" t="s">
        <v>307</v>
      </c>
      <c r="O349" s="18">
        <v>3</v>
      </c>
      <c r="P349" s="18" t="s">
        <v>819</v>
      </c>
      <c r="Q349" s="18" t="s">
        <v>854</v>
      </c>
      <c r="R349" s="18" t="s">
        <v>307</v>
      </c>
      <c r="S349" s="18"/>
      <c r="T349" s="18" t="str">
        <f t="shared" si="10"/>
        <v>Current</v>
      </c>
      <c r="U349" s="18" t="str">
        <f t="shared" si="11"/>
        <v>Payton Bailey|Asset Lifecycle Management</v>
      </c>
    </row>
    <row r="350" spans="1:21">
      <c r="A350" s="10">
        <v>45714</v>
      </c>
      <c r="B350" s="4" t="s">
        <v>114</v>
      </c>
      <c r="C350" s="4" t="s">
        <v>830</v>
      </c>
      <c r="D350" s="8">
        <v>1</v>
      </c>
      <c r="E350" s="5">
        <v>45709</v>
      </c>
      <c r="F350" s="5">
        <v>45711</v>
      </c>
      <c r="G350" s="8" t="s">
        <v>812</v>
      </c>
      <c r="H350" s="8" t="s">
        <v>410</v>
      </c>
      <c r="I350" s="8" t="s">
        <v>411</v>
      </c>
      <c r="J350" s="4"/>
      <c r="K350" s="64">
        <v>347</v>
      </c>
      <c r="L350" s="18" t="s">
        <v>924</v>
      </c>
      <c r="M350" s="19" t="s">
        <v>916</v>
      </c>
      <c r="N350" s="18" t="s">
        <v>307</v>
      </c>
      <c r="O350" s="18">
        <v>3</v>
      </c>
      <c r="P350" s="18" t="s">
        <v>819</v>
      </c>
      <c r="Q350" s="18" t="s">
        <v>832</v>
      </c>
      <c r="R350" s="18" t="s">
        <v>307</v>
      </c>
      <c r="S350" s="18"/>
      <c r="T350" s="18" t="str">
        <f t="shared" si="10"/>
        <v>Historical</v>
      </c>
      <c r="U350" s="18" t="str">
        <f t="shared" si="11"/>
        <v/>
      </c>
    </row>
    <row r="351" spans="1:21">
      <c r="A351" s="10">
        <v>45814</v>
      </c>
      <c r="B351" s="4" t="s">
        <v>114</v>
      </c>
      <c r="C351" s="4" t="s">
        <v>830</v>
      </c>
      <c r="D351" s="8">
        <v>2</v>
      </c>
      <c r="E351" s="5">
        <v>45812</v>
      </c>
      <c r="F351" s="5">
        <v>45815</v>
      </c>
      <c r="G351" s="8" t="s">
        <v>812</v>
      </c>
      <c r="H351" s="8" t="s">
        <v>419</v>
      </c>
      <c r="I351" s="8" t="s">
        <v>411</v>
      </c>
      <c r="J351" s="4"/>
      <c r="K351" s="64">
        <v>348</v>
      </c>
      <c r="L351" s="18" t="s">
        <v>925</v>
      </c>
      <c r="M351" s="19" t="s">
        <v>916</v>
      </c>
      <c r="N351" s="18" t="s">
        <v>307</v>
      </c>
      <c r="O351" s="18">
        <v>3</v>
      </c>
      <c r="P351" s="18" t="s">
        <v>819</v>
      </c>
      <c r="Q351" s="18" t="s">
        <v>832</v>
      </c>
      <c r="R351" s="18" t="s">
        <v>307</v>
      </c>
      <c r="S351" s="18">
        <v>1</v>
      </c>
      <c r="T351" s="18" t="str">
        <f t="shared" si="10"/>
        <v>Historical</v>
      </c>
      <c r="U351" s="18" t="str">
        <f t="shared" si="11"/>
        <v/>
      </c>
    </row>
    <row r="352" spans="1:21">
      <c r="A352" s="10">
        <v>45912</v>
      </c>
      <c r="B352" s="4" t="s">
        <v>114</v>
      </c>
      <c r="C352" s="4" t="s">
        <v>830</v>
      </c>
      <c r="D352" s="8">
        <v>3</v>
      </c>
      <c r="E352" s="5">
        <v>45911</v>
      </c>
      <c r="F352" s="5">
        <v>45914</v>
      </c>
      <c r="G352" s="8" t="s">
        <v>812</v>
      </c>
      <c r="H352" s="8" t="s">
        <v>419</v>
      </c>
      <c r="I352" s="8" t="s">
        <v>411</v>
      </c>
      <c r="J352" s="4"/>
      <c r="K352" s="64">
        <v>349</v>
      </c>
      <c r="L352" s="18" t="s">
        <v>926</v>
      </c>
      <c r="M352" s="19" t="s">
        <v>916</v>
      </c>
      <c r="N352" s="18" t="s">
        <v>307</v>
      </c>
      <c r="O352" s="18">
        <v>3</v>
      </c>
      <c r="P352" s="18" t="s">
        <v>819</v>
      </c>
      <c r="Q352" s="18" t="s">
        <v>832</v>
      </c>
      <c r="R352" s="18" t="s">
        <v>307</v>
      </c>
      <c r="S352" s="18">
        <v>2</v>
      </c>
      <c r="T352" s="18" t="str">
        <f t="shared" si="10"/>
        <v>Current</v>
      </c>
      <c r="U352" s="18" t="str">
        <f t="shared" si="11"/>
        <v>Payton Bailey|Device Provisioning Specialist</v>
      </c>
    </row>
    <row r="353" spans="1:21">
      <c r="A353" s="10">
        <v>45976</v>
      </c>
      <c r="B353" s="4" t="s">
        <v>114</v>
      </c>
      <c r="C353" s="4" t="s">
        <v>837</v>
      </c>
      <c r="D353" s="8">
        <v>3</v>
      </c>
      <c r="E353" s="5">
        <v>45972</v>
      </c>
      <c r="F353" s="5">
        <v>45973</v>
      </c>
      <c r="G353" s="8" t="s">
        <v>812</v>
      </c>
      <c r="H353" s="8" t="s">
        <v>410</v>
      </c>
      <c r="I353" s="8" t="s">
        <v>411</v>
      </c>
      <c r="J353" s="4"/>
      <c r="K353" s="64">
        <v>350</v>
      </c>
      <c r="L353" s="18" t="s">
        <v>927</v>
      </c>
      <c r="M353" s="19" t="s">
        <v>916</v>
      </c>
      <c r="N353" s="18" t="s">
        <v>307</v>
      </c>
      <c r="O353" s="18">
        <v>3</v>
      </c>
      <c r="P353" s="18" t="s">
        <v>819</v>
      </c>
      <c r="Q353" s="18" t="s">
        <v>839</v>
      </c>
      <c r="R353" s="18" t="s">
        <v>307</v>
      </c>
      <c r="S353" s="18"/>
      <c r="T353" s="18" t="str">
        <f t="shared" si="10"/>
        <v>Current</v>
      </c>
      <c r="U353" s="18" t="str">
        <f t="shared" si="11"/>
        <v>Payton Bailey|IT Service Analyst</v>
      </c>
    </row>
    <row r="354" spans="1:21">
      <c r="A354" s="10">
        <v>45971</v>
      </c>
      <c r="B354" s="4" t="s">
        <v>114</v>
      </c>
      <c r="C354" s="4" t="s">
        <v>811</v>
      </c>
      <c r="D354" s="8">
        <v>3</v>
      </c>
      <c r="E354" s="5">
        <v>45967</v>
      </c>
      <c r="F354" s="5">
        <v>45967</v>
      </c>
      <c r="G354" s="8" t="s">
        <v>812</v>
      </c>
      <c r="H354" s="8" t="s">
        <v>410</v>
      </c>
      <c r="I354" s="8" t="s">
        <v>411</v>
      </c>
      <c r="J354" s="4"/>
      <c r="K354" s="64">
        <v>351</v>
      </c>
      <c r="L354" s="18" t="s">
        <v>928</v>
      </c>
      <c r="M354" s="19" t="s">
        <v>916</v>
      </c>
      <c r="N354" s="18" t="s">
        <v>307</v>
      </c>
      <c r="O354" s="18">
        <v>3</v>
      </c>
      <c r="P354" s="18" t="s">
        <v>819</v>
      </c>
      <c r="Q354" s="18" t="s">
        <v>816</v>
      </c>
      <c r="R354" s="18" t="s">
        <v>307</v>
      </c>
      <c r="S354" s="18"/>
      <c r="T354" s="18" t="str">
        <f t="shared" si="10"/>
        <v>Current</v>
      </c>
      <c r="U354" s="18" t="str">
        <f t="shared" si="11"/>
        <v>Payton Bailey|IT Service Desk Escalation</v>
      </c>
    </row>
    <row r="355" spans="1:21">
      <c r="A355" s="10">
        <v>46047</v>
      </c>
      <c r="B355" s="4" t="s">
        <v>117</v>
      </c>
      <c r="C355" s="4" t="s">
        <v>929</v>
      </c>
      <c r="D355" s="8">
        <v>1</v>
      </c>
      <c r="E355" s="5">
        <v>46042</v>
      </c>
      <c r="F355" s="5">
        <v>46042</v>
      </c>
      <c r="G355" s="8" t="s">
        <v>930</v>
      </c>
      <c r="H355" s="8" t="s">
        <v>410</v>
      </c>
      <c r="I355" s="8" t="s">
        <v>411</v>
      </c>
      <c r="J355" s="4"/>
      <c r="K355" s="64">
        <v>352</v>
      </c>
      <c r="L355" s="18" t="s">
        <v>931</v>
      </c>
      <c r="M355" s="19" t="s">
        <v>932</v>
      </c>
      <c r="N355" s="18" t="s">
        <v>308</v>
      </c>
      <c r="O355" s="18">
        <v>1</v>
      </c>
      <c r="P355" s="18" t="s">
        <v>933</v>
      </c>
      <c r="Q355" s="18" t="s">
        <v>934</v>
      </c>
      <c r="R355" s="18" t="s">
        <v>308</v>
      </c>
      <c r="S355" s="18"/>
      <c r="T355" s="18" t="str">
        <f t="shared" si="10"/>
        <v>Historical</v>
      </c>
      <c r="U355" s="18" t="str">
        <f t="shared" si="11"/>
        <v/>
      </c>
    </row>
    <row r="356" spans="1:21">
      <c r="A356" s="10">
        <v>46104</v>
      </c>
      <c r="B356" s="4" t="s">
        <v>117</v>
      </c>
      <c r="C356" s="4" t="s">
        <v>929</v>
      </c>
      <c r="D356" s="8">
        <v>2</v>
      </c>
      <c r="E356" s="5">
        <v>46102</v>
      </c>
      <c r="F356" s="5">
        <v>46105</v>
      </c>
      <c r="G356" s="8" t="s">
        <v>930</v>
      </c>
      <c r="H356" s="8" t="s">
        <v>419</v>
      </c>
      <c r="I356" s="8" t="s">
        <v>411</v>
      </c>
      <c r="J356" s="4"/>
      <c r="K356" s="64">
        <v>353</v>
      </c>
      <c r="L356" s="18" t="s">
        <v>935</v>
      </c>
      <c r="M356" s="19" t="s">
        <v>932</v>
      </c>
      <c r="N356" s="18" t="s">
        <v>308</v>
      </c>
      <c r="O356" s="18">
        <v>1</v>
      </c>
      <c r="P356" s="18" t="s">
        <v>933</v>
      </c>
      <c r="Q356" s="18" t="s">
        <v>934</v>
      </c>
      <c r="R356" s="18" t="s">
        <v>308</v>
      </c>
      <c r="S356" s="18">
        <v>1</v>
      </c>
      <c r="T356" s="18" t="str">
        <f t="shared" si="10"/>
        <v>Historical</v>
      </c>
      <c r="U356" s="18" t="str">
        <f t="shared" si="11"/>
        <v/>
      </c>
    </row>
    <row r="357" spans="1:21">
      <c r="A357" s="10">
        <v>46140</v>
      </c>
      <c r="B357" s="4" t="s">
        <v>117</v>
      </c>
      <c r="C357" s="4" t="s">
        <v>929</v>
      </c>
      <c r="D357" s="8">
        <v>3</v>
      </c>
      <c r="E357" s="5">
        <v>46137</v>
      </c>
      <c r="F357" s="5">
        <v>46140</v>
      </c>
      <c r="G357" s="8" t="s">
        <v>930</v>
      </c>
      <c r="H357" s="8" t="s">
        <v>419</v>
      </c>
      <c r="I357" s="8" t="s">
        <v>411</v>
      </c>
      <c r="J357" s="4"/>
      <c r="K357" s="64">
        <v>354</v>
      </c>
      <c r="L357" s="18" t="s">
        <v>936</v>
      </c>
      <c r="M357" s="19" t="s">
        <v>932</v>
      </c>
      <c r="N357" s="18" t="s">
        <v>308</v>
      </c>
      <c r="O357" s="18">
        <v>1</v>
      </c>
      <c r="P357" s="18" t="s">
        <v>933</v>
      </c>
      <c r="Q357" s="18" t="s">
        <v>934</v>
      </c>
      <c r="R357" s="18" t="s">
        <v>308</v>
      </c>
      <c r="S357" s="18">
        <v>2</v>
      </c>
      <c r="T357" s="18" t="str">
        <f t="shared" si="10"/>
        <v>Current</v>
      </c>
      <c r="U357" s="18" t="str">
        <f t="shared" si="11"/>
        <v>Charlie Flores|Regression Testing</v>
      </c>
    </row>
    <row r="358" spans="1:21">
      <c r="A358" s="10">
        <v>45964</v>
      </c>
      <c r="B358" s="4" t="s">
        <v>117</v>
      </c>
      <c r="C358" s="4" t="s">
        <v>937</v>
      </c>
      <c r="D358" s="8">
        <v>1</v>
      </c>
      <c r="E358" s="5">
        <v>45960</v>
      </c>
      <c r="F358" s="5">
        <v>45963</v>
      </c>
      <c r="G358" s="8" t="s">
        <v>930</v>
      </c>
      <c r="H358" s="8" t="s">
        <v>410</v>
      </c>
      <c r="I358" s="8" t="s">
        <v>411</v>
      </c>
      <c r="J358" s="4"/>
      <c r="K358" s="64">
        <v>355</v>
      </c>
      <c r="L358" s="18" t="s">
        <v>938</v>
      </c>
      <c r="M358" s="19" t="s">
        <v>932</v>
      </c>
      <c r="N358" s="18" t="s">
        <v>308</v>
      </c>
      <c r="O358" s="18">
        <v>1</v>
      </c>
      <c r="P358" s="18" t="s">
        <v>933</v>
      </c>
      <c r="Q358" s="18" t="s">
        <v>939</v>
      </c>
      <c r="R358" s="18" t="s">
        <v>308</v>
      </c>
      <c r="S358" s="18"/>
      <c r="T358" s="18" t="str">
        <f t="shared" si="10"/>
        <v>Historical</v>
      </c>
      <c r="U358" s="18" t="str">
        <f t="shared" si="11"/>
        <v/>
      </c>
    </row>
    <row r="359" spans="1:21">
      <c r="A359" s="10">
        <v>46013</v>
      </c>
      <c r="B359" s="4" t="s">
        <v>117</v>
      </c>
      <c r="C359" s="4" t="s">
        <v>937</v>
      </c>
      <c r="D359" s="8">
        <v>2</v>
      </c>
      <c r="E359" s="5">
        <v>46011</v>
      </c>
      <c r="F359" s="5">
        <v>46013</v>
      </c>
      <c r="G359" s="8" t="s">
        <v>930</v>
      </c>
      <c r="H359" s="8" t="s">
        <v>419</v>
      </c>
      <c r="I359" s="8" t="s">
        <v>411</v>
      </c>
      <c r="J359" s="4"/>
      <c r="K359" s="64">
        <v>356</v>
      </c>
      <c r="L359" s="18" t="s">
        <v>940</v>
      </c>
      <c r="M359" s="19" t="s">
        <v>932</v>
      </c>
      <c r="N359" s="18" t="s">
        <v>308</v>
      </c>
      <c r="O359" s="18">
        <v>1</v>
      </c>
      <c r="P359" s="18" t="s">
        <v>933</v>
      </c>
      <c r="Q359" s="18" t="s">
        <v>939</v>
      </c>
      <c r="R359" s="18" t="s">
        <v>308</v>
      </c>
      <c r="S359" s="18">
        <v>1</v>
      </c>
      <c r="T359" s="18" t="str">
        <f t="shared" si="10"/>
        <v>Current</v>
      </c>
      <c r="U359" s="18" t="str">
        <f t="shared" si="11"/>
        <v>Charlie Flores|Defect Documentation</v>
      </c>
    </row>
    <row r="360" spans="1:21">
      <c r="A360" s="10">
        <v>45859</v>
      </c>
      <c r="B360" s="4" t="s">
        <v>117</v>
      </c>
      <c r="C360" s="4" t="s">
        <v>941</v>
      </c>
      <c r="D360" s="8">
        <v>3</v>
      </c>
      <c r="E360" s="5">
        <v>45857</v>
      </c>
      <c r="F360" s="5">
        <v>45860</v>
      </c>
      <c r="G360" s="8" t="s">
        <v>930</v>
      </c>
      <c r="H360" s="8" t="s">
        <v>410</v>
      </c>
      <c r="I360" s="8" t="s">
        <v>411</v>
      </c>
      <c r="J360" s="4"/>
      <c r="K360" s="64">
        <v>357</v>
      </c>
      <c r="L360" s="18" t="s">
        <v>942</v>
      </c>
      <c r="M360" s="19" t="s">
        <v>932</v>
      </c>
      <c r="N360" s="18" t="s">
        <v>308</v>
      </c>
      <c r="O360" s="18">
        <v>1</v>
      </c>
      <c r="P360" s="18" t="s">
        <v>933</v>
      </c>
      <c r="Q360" s="18" t="s">
        <v>943</v>
      </c>
      <c r="R360" s="18" t="s">
        <v>308</v>
      </c>
      <c r="S360" s="18"/>
      <c r="T360" s="18" t="str">
        <f t="shared" si="10"/>
        <v>Current</v>
      </c>
      <c r="U360" s="18" t="str">
        <f t="shared" si="11"/>
        <v>Charlie Flores|Browser Compatibility Testing</v>
      </c>
    </row>
    <row r="361" spans="1:21">
      <c r="A361" s="10">
        <v>45982</v>
      </c>
      <c r="B361" s="4" t="s">
        <v>117</v>
      </c>
      <c r="C361" s="4" t="s">
        <v>944</v>
      </c>
      <c r="D361" s="8">
        <v>1</v>
      </c>
      <c r="E361" s="5">
        <v>45978</v>
      </c>
      <c r="F361" s="5">
        <v>45978</v>
      </c>
      <c r="G361" s="8" t="s">
        <v>930</v>
      </c>
      <c r="H361" s="8" t="s">
        <v>410</v>
      </c>
      <c r="I361" s="8" t="s">
        <v>411</v>
      </c>
      <c r="J361" s="4"/>
      <c r="K361" s="64">
        <v>358</v>
      </c>
      <c r="L361" s="18" t="s">
        <v>945</v>
      </c>
      <c r="M361" s="19" t="s">
        <v>932</v>
      </c>
      <c r="N361" s="18" t="s">
        <v>308</v>
      </c>
      <c r="O361" s="18">
        <v>1</v>
      </c>
      <c r="P361" s="18" t="s">
        <v>933</v>
      </c>
      <c r="Q361" s="18" t="s">
        <v>946</v>
      </c>
      <c r="R361" s="18" t="s">
        <v>308</v>
      </c>
      <c r="S361" s="18"/>
      <c r="T361" s="18" t="str">
        <f t="shared" si="10"/>
        <v>Historical</v>
      </c>
      <c r="U361" s="18" t="str">
        <f t="shared" si="11"/>
        <v/>
      </c>
    </row>
    <row r="362" spans="1:21">
      <c r="A362" s="10">
        <v>46013</v>
      </c>
      <c r="B362" s="4" t="s">
        <v>117</v>
      </c>
      <c r="C362" s="4" t="s">
        <v>944</v>
      </c>
      <c r="D362" s="8">
        <v>2</v>
      </c>
      <c r="E362" s="5">
        <v>46009</v>
      </c>
      <c r="F362" s="5">
        <v>46012</v>
      </c>
      <c r="G362" s="8" t="s">
        <v>930</v>
      </c>
      <c r="H362" s="8" t="s">
        <v>419</v>
      </c>
      <c r="I362" s="8" t="s">
        <v>411</v>
      </c>
      <c r="J362" s="4"/>
      <c r="K362" s="64">
        <v>359</v>
      </c>
      <c r="L362" s="18" t="s">
        <v>947</v>
      </c>
      <c r="M362" s="19" t="s">
        <v>932</v>
      </c>
      <c r="N362" s="18" t="s">
        <v>308</v>
      </c>
      <c r="O362" s="18">
        <v>1</v>
      </c>
      <c r="P362" s="18" t="s">
        <v>933</v>
      </c>
      <c r="Q362" s="18" t="s">
        <v>946</v>
      </c>
      <c r="R362" s="18" t="s">
        <v>308</v>
      </c>
      <c r="S362" s="18">
        <v>1</v>
      </c>
      <c r="T362" s="18" t="str">
        <f t="shared" si="10"/>
        <v>Historical</v>
      </c>
      <c r="U362" s="18" t="str">
        <f t="shared" si="11"/>
        <v/>
      </c>
    </row>
    <row r="363" spans="1:21">
      <c r="A363" s="10">
        <v>46061</v>
      </c>
      <c r="B363" s="4" t="s">
        <v>117</v>
      </c>
      <c r="C363" s="4" t="s">
        <v>944</v>
      </c>
      <c r="D363" s="8">
        <v>3</v>
      </c>
      <c r="E363" s="5">
        <v>46059</v>
      </c>
      <c r="F363" s="5">
        <v>46061</v>
      </c>
      <c r="G363" s="8" t="s">
        <v>930</v>
      </c>
      <c r="H363" s="8" t="s">
        <v>419</v>
      </c>
      <c r="I363" s="8" t="s">
        <v>411</v>
      </c>
      <c r="J363" s="4"/>
      <c r="K363" s="64">
        <v>360</v>
      </c>
      <c r="L363" s="18" t="s">
        <v>948</v>
      </c>
      <c r="M363" s="19" t="s">
        <v>932</v>
      </c>
      <c r="N363" s="18" t="s">
        <v>308</v>
      </c>
      <c r="O363" s="18">
        <v>1</v>
      </c>
      <c r="P363" s="18" t="s">
        <v>933</v>
      </c>
      <c r="Q363" s="18" t="s">
        <v>946</v>
      </c>
      <c r="R363" s="18" t="s">
        <v>308</v>
      </c>
      <c r="S363" s="18">
        <v>2</v>
      </c>
      <c r="T363" s="18" t="str">
        <f t="shared" si="10"/>
        <v>Current</v>
      </c>
      <c r="U363" s="18" t="str">
        <f t="shared" si="11"/>
        <v>Charlie Flores|Automation Test Execution</v>
      </c>
    </row>
    <row r="364" spans="1:21">
      <c r="A364" s="10">
        <v>45955</v>
      </c>
      <c r="B364" s="4" t="s">
        <v>117</v>
      </c>
      <c r="C364" s="4" t="s">
        <v>949</v>
      </c>
      <c r="D364" s="8">
        <v>1</v>
      </c>
      <c r="E364" s="5">
        <v>45951</v>
      </c>
      <c r="F364" s="5">
        <v>45954</v>
      </c>
      <c r="G364" s="8" t="s">
        <v>930</v>
      </c>
      <c r="H364" s="8" t="s">
        <v>410</v>
      </c>
      <c r="I364" s="8" t="s">
        <v>411</v>
      </c>
      <c r="J364" s="4"/>
      <c r="K364" s="64">
        <v>361</v>
      </c>
      <c r="L364" s="18" t="s">
        <v>950</v>
      </c>
      <c r="M364" s="19" t="s">
        <v>932</v>
      </c>
      <c r="N364" s="18" t="s">
        <v>308</v>
      </c>
      <c r="O364" s="18">
        <v>1</v>
      </c>
      <c r="P364" s="18" t="s">
        <v>933</v>
      </c>
      <c r="Q364" s="18" t="s">
        <v>951</v>
      </c>
      <c r="R364" s="18" t="s">
        <v>308</v>
      </c>
      <c r="S364" s="18"/>
      <c r="T364" s="18" t="str">
        <f t="shared" si="10"/>
        <v>Current</v>
      </c>
      <c r="U364" s="18" t="str">
        <f t="shared" si="11"/>
        <v>Charlie Flores|Exploratory Testing</v>
      </c>
    </row>
    <row r="365" spans="1:21">
      <c r="A365" s="10">
        <v>45777</v>
      </c>
      <c r="B365" s="4" t="s">
        <v>117</v>
      </c>
      <c r="C365" s="4" t="s">
        <v>576</v>
      </c>
      <c r="D365" s="8">
        <v>1</v>
      </c>
      <c r="E365" s="5">
        <v>45773</v>
      </c>
      <c r="F365" s="5">
        <v>45774</v>
      </c>
      <c r="G365" s="8" t="s">
        <v>930</v>
      </c>
      <c r="H365" s="8" t="s">
        <v>410</v>
      </c>
      <c r="I365" s="8" t="s">
        <v>411</v>
      </c>
      <c r="J365" s="4"/>
      <c r="K365" s="64">
        <v>362</v>
      </c>
      <c r="L365" s="18" t="s">
        <v>952</v>
      </c>
      <c r="M365" s="19" t="s">
        <v>932</v>
      </c>
      <c r="N365" s="18" t="s">
        <v>308</v>
      </c>
      <c r="O365" s="18">
        <v>1</v>
      </c>
      <c r="P365" s="18" t="s">
        <v>933</v>
      </c>
      <c r="Q365" s="18" t="s">
        <v>581</v>
      </c>
      <c r="R365" s="18" t="s">
        <v>305</v>
      </c>
      <c r="S365" s="18"/>
      <c r="T365" s="18" t="str">
        <f t="shared" si="10"/>
        <v>Historical</v>
      </c>
      <c r="U365" s="18" t="str">
        <f t="shared" si="11"/>
        <v/>
      </c>
    </row>
    <row r="366" spans="1:21">
      <c r="A366" s="10">
        <v>45829</v>
      </c>
      <c r="B366" s="4" t="s">
        <v>117</v>
      </c>
      <c r="C366" s="4" t="s">
        <v>576</v>
      </c>
      <c r="D366" s="8">
        <v>2</v>
      </c>
      <c r="E366" s="5">
        <v>45826</v>
      </c>
      <c r="F366" s="5">
        <v>45829</v>
      </c>
      <c r="G366" s="8" t="s">
        <v>930</v>
      </c>
      <c r="H366" s="8" t="s">
        <v>419</v>
      </c>
      <c r="I366" s="8" t="s">
        <v>411</v>
      </c>
      <c r="J366" s="4"/>
      <c r="K366" s="64">
        <v>363</v>
      </c>
      <c r="L366" s="18" t="s">
        <v>953</v>
      </c>
      <c r="M366" s="19" t="s">
        <v>932</v>
      </c>
      <c r="N366" s="18" t="s">
        <v>308</v>
      </c>
      <c r="O366" s="18">
        <v>1</v>
      </c>
      <c r="P366" s="18" t="s">
        <v>933</v>
      </c>
      <c r="Q366" s="18" t="s">
        <v>581</v>
      </c>
      <c r="R366" s="18" t="s">
        <v>305</v>
      </c>
      <c r="S366" s="18">
        <v>1</v>
      </c>
      <c r="T366" s="18" t="str">
        <f t="shared" si="10"/>
        <v>Current</v>
      </c>
      <c r="U366" s="18" t="str">
        <f t="shared" si="11"/>
        <v>Charlie Flores|Identity Provisioning</v>
      </c>
    </row>
    <row r="367" spans="1:21">
      <c r="A367" s="10">
        <v>45865</v>
      </c>
      <c r="B367" s="4" t="s">
        <v>117</v>
      </c>
      <c r="C367" s="4" t="s">
        <v>837</v>
      </c>
      <c r="D367" s="8">
        <v>1</v>
      </c>
      <c r="E367" s="5">
        <v>45862</v>
      </c>
      <c r="F367" s="5">
        <v>45864</v>
      </c>
      <c r="G367" s="8" t="s">
        <v>930</v>
      </c>
      <c r="H367" s="8" t="s">
        <v>410</v>
      </c>
      <c r="I367" s="8" t="s">
        <v>411</v>
      </c>
      <c r="J367" s="4"/>
      <c r="K367" s="64">
        <v>364</v>
      </c>
      <c r="L367" s="18" t="s">
        <v>954</v>
      </c>
      <c r="M367" s="19" t="s">
        <v>932</v>
      </c>
      <c r="N367" s="18" t="s">
        <v>308</v>
      </c>
      <c r="O367" s="18">
        <v>1</v>
      </c>
      <c r="P367" s="18" t="s">
        <v>933</v>
      </c>
      <c r="Q367" s="18" t="s">
        <v>839</v>
      </c>
      <c r="R367" s="18" t="s">
        <v>307</v>
      </c>
      <c r="S367" s="18"/>
      <c r="T367" s="18" t="str">
        <f t="shared" si="10"/>
        <v>Historical</v>
      </c>
      <c r="U367" s="18" t="str">
        <f t="shared" si="11"/>
        <v/>
      </c>
    </row>
    <row r="368" spans="1:21">
      <c r="A368" s="10">
        <v>45895</v>
      </c>
      <c r="B368" s="4" t="s">
        <v>117</v>
      </c>
      <c r="C368" s="4" t="s">
        <v>837</v>
      </c>
      <c r="D368" s="8">
        <v>2</v>
      </c>
      <c r="E368" s="5">
        <v>45891</v>
      </c>
      <c r="F368" s="5">
        <v>45894</v>
      </c>
      <c r="G368" s="8" t="s">
        <v>930</v>
      </c>
      <c r="H368" s="8" t="s">
        <v>419</v>
      </c>
      <c r="I368" s="8" t="s">
        <v>411</v>
      </c>
      <c r="J368" s="4"/>
      <c r="K368" s="64">
        <v>365</v>
      </c>
      <c r="L368" s="18" t="s">
        <v>955</v>
      </c>
      <c r="M368" s="19" t="s">
        <v>932</v>
      </c>
      <c r="N368" s="18" t="s">
        <v>308</v>
      </c>
      <c r="O368" s="18">
        <v>1</v>
      </c>
      <c r="P368" s="18" t="s">
        <v>933</v>
      </c>
      <c r="Q368" s="18" t="s">
        <v>839</v>
      </c>
      <c r="R368" s="18" t="s">
        <v>307</v>
      </c>
      <c r="S368" s="18">
        <v>1</v>
      </c>
      <c r="T368" s="18" t="str">
        <f t="shared" si="10"/>
        <v>Current</v>
      </c>
      <c r="U368" s="18" t="str">
        <f t="shared" si="11"/>
        <v>Charlie Flores|IT Service Analyst</v>
      </c>
    </row>
    <row r="369" spans="1:21">
      <c r="A369" s="10">
        <v>45786</v>
      </c>
      <c r="B369" s="4" t="s">
        <v>117</v>
      </c>
      <c r="C369" s="4" t="s">
        <v>956</v>
      </c>
      <c r="D369" s="8">
        <v>1</v>
      </c>
      <c r="E369" s="5">
        <v>45784</v>
      </c>
      <c r="F369" s="5">
        <v>45784</v>
      </c>
      <c r="G369" s="8" t="s">
        <v>930</v>
      </c>
      <c r="H369" s="8" t="s">
        <v>410</v>
      </c>
      <c r="I369" s="8" t="s">
        <v>411</v>
      </c>
      <c r="J369" s="4"/>
      <c r="K369" s="64">
        <v>366</v>
      </c>
      <c r="L369" s="18" t="s">
        <v>957</v>
      </c>
      <c r="M369" s="19" t="s">
        <v>932</v>
      </c>
      <c r="N369" s="18" t="s">
        <v>308</v>
      </c>
      <c r="O369" s="18">
        <v>1</v>
      </c>
      <c r="P369" s="18" t="s">
        <v>933</v>
      </c>
      <c r="Q369" s="18" t="s">
        <v>958</v>
      </c>
      <c r="R369" s="18" t="s">
        <v>311</v>
      </c>
      <c r="S369" s="18"/>
      <c r="T369" s="18" t="str">
        <f t="shared" si="10"/>
        <v>Historical</v>
      </c>
      <c r="U369" s="18" t="str">
        <f t="shared" si="11"/>
        <v/>
      </c>
    </row>
    <row r="370" spans="1:21">
      <c r="A370" s="10">
        <v>45857</v>
      </c>
      <c r="B370" s="4" t="s">
        <v>117</v>
      </c>
      <c r="C370" s="4" t="s">
        <v>956</v>
      </c>
      <c r="D370" s="8">
        <v>2</v>
      </c>
      <c r="E370" s="5">
        <v>45854</v>
      </c>
      <c r="F370" s="5">
        <v>45856</v>
      </c>
      <c r="G370" s="8" t="s">
        <v>930</v>
      </c>
      <c r="H370" s="8" t="s">
        <v>419</v>
      </c>
      <c r="I370" s="8" t="s">
        <v>411</v>
      </c>
      <c r="J370" s="4"/>
      <c r="K370" s="64">
        <v>367</v>
      </c>
      <c r="L370" s="18" t="s">
        <v>959</v>
      </c>
      <c r="M370" s="19" t="s">
        <v>932</v>
      </c>
      <c r="N370" s="18" t="s">
        <v>308</v>
      </c>
      <c r="O370" s="18">
        <v>1</v>
      </c>
      <c r="P370" s="18" t="s">
        <v>933</v>
      </c>
      <c r="Q370" s="18" t="s">
        <v>958</v>
      </c>
      <c r="R370" s="18" t="s">
        <v>311</v>
      </c>
      <c r="S370" s="18">
        <v>1</v>
      </c>
      <c r="T370" s="18" t="str">
        <f t="shared" si="10"/>
        <v>Historical</v>
      </c>
      <c r="U370" s="18" t="str">
        <f t="shared" si="11"/>
        <v/>
      </c>
    </row>
    <row r="371" spans="1:21">
      <c r="A371" s="10">
        <v>45948</v>
      </c>
      <c r="B371" s="4" t="s">
        <v>117</v>
      </c>
      <c r="C371" s="4" t="s">
        <v>956</v>
      </c>
      <c r="D371" s="8">
        <v>3</v>
      </c>
      <c r="E371" s="5">
        <v>45945</v>
      </c>
      <c r="F371" s="5">
        <v>45946</v>
      </c>
      <c r="G371" s="8" t="s">
        <v>930</v>
      </c>
      <c r="H371" s="8" t="s">
        <v>419</v>
      </c>
      <c r="I371" s="8" t="s">
        <v>411</v>
      </c>
      <c r="J371" s="4"/>
      <c r="K371" s="64">
        <v>368</v>
      </c>
      <c r="L371" s="18" t="s">
        <v>960</v>
      </c>
      <c r="M371" s="19" t="s">
        <v>932</v>
      </c>
      <c r="N371" s="18" t="s">
        <v>308</v>
      </c>
      <c r="O371" s="18">
        <v>1</v>
      </c>
      <c r="P371" s="18" t="s">
        <v>933</v>
      </c>
      <c r="Q371" s="18" t="s">
        <v>958</v>
      </c>
      <c r="R371" s="18" t="s">
        <v>311</v>
      </c>
      <c r="S371" s="18">
        <v>2</v>
      </c>
      <c r="T371" s="18" t="str">
        <f t="shared" si="10"/>
        <v>Current</v>
      </c>
      <c r="U371" s="18" t="str">
        <f t="shared" si="11"/>
        <v>Charlie Flores|Risk Assessment</v>
      </c>
    </row>
    <row r="372" spans="1:21">
      <c r="A372" s="10">
        <v>46176</v>
      </c>
      <c r="B372" s="4" t="s">
        <v>117</v>
      </c>
      <c r="C372" s="4" t="s">
        <v>438</v>
      </c>
      <c r="D372" s="8">
        <v>2</v>
      </c>
      <c r="E372" s="5">
        <v>46175</v>
      </c>
      <c r="F372" s="5">
        <v>46175</v>
      </c>
      <c r="G372" s="8" t="s">
        <v>930</v>
      </c>
      <c r="H372" s="8" t="s">
        <v>410</v>
      </c>
      <c r="I372" s="8" t="s">
        <v>411</v>
      </c>
      <c r="J372" s="4"/>
      <c r="K372" s="64">
        <v>369</v>
      </c>
      <c r="L372" s="18" t="s">
        <v>961</v>
      </c>
      <c r="M372" s="19" t="s">
        <v>932</v>
      </c>
      <c r="N372" s="18" t="s">
        <v>308</v>
      </c>
      <c r="O372" s="18">
        <v>1</v>
      </c>
      <c r="P372" s="18" t="s">
        <v>933</v>
      </c>
      <c r="Q372" s="18" t="s">
        <v>440</v>
      </c>
      <c r="R372" s="18" t="s">
        <v>213</v>
      </c>
      <c r="S372" s="18"/>
      <c r="T372" s="18" t="str">
        <f t="shared" si="10"/>
        <v>Current</v>
      </c>
      <c r="U372" s="18" t="str">
        <f t="shared" si="11"/>
        <v>Charlie Flores|Data Privacy &amp; Acceptable Use</v>
      </c>
    </row>
    <row r="373" spans="1:21">
      <c r="A373" s="10">
        <v>45974</v>
      </c>
      <c r="B373" s="4" t="s">
        <v>120</v>
      </c>
      <c r="C373" s="4" t="s">
        <v>929</v>
      </c>
      <c r="D373" s="8">
        <v>3</v>
      </c>
      <c r="E373" s="5">
        <v>45969</v>
      </c>
      <c r="F373" s="5">
        <v>45971</v>
      </c>
      <c r="G373" s="8" t="s">
        <v>930</v>
      </c>
      <c r="H373" s="8" t="s">
        <v>410</v>
      </c>
      <c r="I373" s="8" t="s">
        <v>411</v>
      </c>
      <c r="J373" s="4"/>
      <c r="K373" s="64">
        <v>370</v>
      </c>
      <c r="L373" s="18" t="s">
        <v>962</v>
      </c>
      <c r="M373" s="19" t="s">
        <v>963</v>
      </c>
      <c r="N373" s="18" t="s">
        <v>308</v>
      </c>
      <c r="O373" s="18">
        <v>2</v>
      </c>
      <c r="P373" s="18" t="s">
        <v>933</v>
      </c>
      <c r="Q373" s="18" t="s">
        <v>934</v>
      </c>
      <c r="R373" s="18" t="s">
        <v>308</v>
      </c>
      <c r="S373" s="18"/>
      <c r="T373" s="18" t="str">
        <f t="shared" si="10"/>
        <v>Current</v>
      </c>
      <c r="U373" s="18" t="str">
        <f t="shared" si="11"/>
        <v>Finley Bryant|Regression Testing</v>
      </c>
    </row>
    <row r="374" spans="1:21">
      <c r="A374" s="10">
        <v>46169</v>
      </c>
      <c r="B374" s="4" t="s">
        <v>120</v>
      </c>
      <c r="C374" s="4" t="s">
        <v>949</v>
      </c>
      <c r="D374" s="8">
        <v>3</v>
      </c>
      <c r="E374" s="5">
        <v>46164</v>
      </c>
      <c r="F374" s="5">
        <v>46166</v>
      </c>
      <c r="G374" s="8" t="s">
        <v>930</v>
      </c>
      <c r="H374" s="8" t="s">
        <v>410</v>
      </c>
      <c r="I374" s="8" t="s">
        <v>411</v>
      </c>
      <c r="J374" s="4"/>
      <c r="K374" s="64">
        <v>371</v>
      </c>
      <c r="L374" s="18" t="s">
        <v>964</v>
      </c>
      <c r="M374" s="19" t="s">
        <v>963</v>
      </c>
      <c r="N374" s="18" t="s">
        <v>308</v>
      </c>
      <c r="O374" s="18">
        <v>2</v>
      </c>
      <c r="P374" s="18" t="s">
        <v>933</v>
      </c>
      <c r="Q374" s="18" t="s">
        <v>951</v>
      </c>
      <c r="R374" s="18" t="s">
        <v>308</v>
      </c>
      <c r="S374" s="18"/>
      <c r="T374" s="18" t="str">
        <f t="shared" si="10"/>
        <v>Current</v>
      </c>
      <c r="U374" s="18" t="str">
        <f t="shared" si="11"/>
        <v>Finley Bryant|Exploratory Testing</v>
      </c>
    </row>
    <row r="375" spans="1:21">
      <c r="A375" s="10">
        <v>46003</v>
      </c>
      <c r="B375" s="4" t="s">
        <v>120</v>
      </c>
      <c r="C375" s="4" t="s">
        <v>937</v>
      </c>
      <c r="D375" s="8">
        <v>1</v>
      </c>
      <c r="E375" s="5">
        <v>46002</v>
      </c>
      <c r="F375" s="5">
        <v>46005</v>
      </c>
      <c r="G375" s="8" t="s">
        <v>930</v>
      </c>
      <c r="H375" s="8" t="s">
        <v>410</v>
      </c>
      <c r="I375" s="8" t="s">
        <v>411</v>
      </c>
      <c r="J375" s="4"/>
      <c r="K375" s="64">
        <v>372</v>
      </c>
      <c r="L375" s="18" t="s">
        <v>965</v>
      </c>
      <c r="M375" s="19" t="s">
        <v>963</v>
      </c>
      <c r="N375" s="18" t="s">
        <v>308</v>
      </c>
      <c r="O375" s="18">
        <v>2</v>
      </c>
      <c r="P375" s="18" t="s">
        <v>933</v>
      </c>
      <c r="Q375" s="18" t="s">
        <v>939</v>
      </c>
      <c r="R375" s="18" t="s">
        <v>308</v>
      </c>
      <c r="S375" s="18"/>
      <c r="T375" s="18" t="str">
        <f t="shared" si="10"/>
        <v>Historical</v>
      </c>
      <c r="U375" s="18" t="str">
        <f t="shared" si="11"/>
        <v/>
      </c>
    </row>
    <row r="376" spans="1:21">
      <c r="A376" s="10">
        <v>46099</v>
      </c>
      <c r="B376" s="4" t="s">
        <v>120</v>
      </c>
      <c r="C376" s="4" t="s">
        <v>937</v>
      </c>
      <c r="D376" s="8">
        <v>2</v>
      </c>
      <c r="E376" s="5">
        <v>46096</v>
      </c>
      <c r="F376" s="5">
        <v>46096</v>
      </c>
      <c r="G376" s="8" t="s">
        <v>930</v>
      </c>
      <c r="H376" s="8" t="s">
        <v>419</v>
      </c>
      <c r="I376" s="8" t="s">
        <v>411</v>
      </c>
      <c r="J376" s="4"/>
      <c r="K376" s="64">
        <v>373</v>
      </c>
      <c r="L376" s="18" t="s">
        <v>966</v>
      </c>
      <c r="M376" s="19" t="s">
        <v>963</v>
      </c>
      <c r="N376" s="18" t="s">
        <v>308</v>
      </c>
      <c r="O376" s="18">
        <v>2</v>
      </c>
      <c r="P376" s="18" t="s">
        <v>933</v>
      </c>
      <c r="Q376" s="18" t="s">
        <v>939</v>
      </c>
      <c r="R376" s="18" t="s">
        <v>308</v>
      </c>
      <c r="S376" s="18">
        <v>1</v>
      </c>
      <c r="T376" s="18" t="str">
        <f t="shared" si="10"/>
        <v>Historical</v>
      </c>
      <c r="U376" s="18" t="str">
        <f t="shared" si="11"/>
        <v/>
      </c>
    </row>
    <row r="377" spans="1:21">
      <c r="A377" s="10">
        <v>46196</v>
      </c>
      <c r="B377" s="4" t="s">
        <v>120</v>
      </c>
      <c r="C377" s="4" t="s">
        <v>937</v>
      </c>
      <c r="D377" s="8">
        <v>3</v>
      </c>
      <c r="E377" s="5">
        <v>46192</v>
      </c>
      <c r="F377" s="5">
        <v>46194</v>
      </c>
      <c r="G377" s="8" t="s">
        <v>930</v>
      </c>
      <c r="H377" s="8" t="s">
        <v>419</v>
      </c>
      <c r="I377" s="8" t="s">
        <v>411</v>
      </c>
      <c r="J377" s="4"/>
      <c r="K377" s="64">
        <v>374</v>
      </c>
      <c r="L377" s="18" t="s">
        <v>967</v>
      </c>
      <c r="M377" s="19" t="s">
        <v>963</v>
      </c>
      <c r="N377" s="18" t="s">
        <v>308</v>
      </c>
      <c r="O377" s="18">
        <v>2</v>
      </c>
      <c r="P377" s="18" t="s">
        <v>933</v>
      </c>
      <c r="Q377" s="18" t="s">
        <v>939</v>
      </c>
      <c r="R377" s="18" t="s">
        <v>308</v>
      </c>
      <c r="S377" s="18">
        <v>2</v>
      </c>
      <c r="T377" s="18" t="str">
        <f t="shared" si="10"/>
        <v>Current</v>
      </c>
      <c r="U377" s="18" t="str">
        <f t="shared" si="11"/>
        <v>Finley Bryant|Defect Documentation</v>
      </c>
    </row>
    <row r="378" spans="1:21">
      <c r="A378" s="10">
        <v>45897</v>
      </c>
      <c r="B378" s="4" t="s">
        <v>120</v>
      </c>
      <c r="C378" s="4" t="s">
        <v>941</v>
      </c>
      <c r="D378" s="8">
        <v>3</v>
      </c>
      <c r="E378" s="5">
        <v>45896</v>
      </c>
      <c r="F378" s="5">
        <v>45899</v>
      </c>
      <c r="G378" s="8" t="s">
        <v>930</v>
      </c>
      <c r="H378" s="8" t="s">
        <v>410</v>
      </c>
      <c r="I378" s="8" t="s">
        <v>411</v>
      </c>
      <c r="J378" s="4"/>
      <c r="K378" s="64">
        <v>375</v>
      </c>
      <c r="L378" s="18" t="s">
        <v>968</v>
      </c>
      <c r="M378" s="19" t="s">
        <v>963</v>
      </c>
      <c r="N378" s="18" t="s">
        <v>308</v>
      </c>
      <c r="O378" s="18">
        <v>2</v>
      </c>
      <c r="P378" s="18" t="s">
        <v>933</v>
      </c>
      <c r="Q378" s="18" t="s">
        <v>943</v>
      </c>
      <c r="R378" s="18" t="s">
        <v>308</v>
      </c>
      <c r="S378" s="18"/>
      <c r="T378" s="18" t="str">
        <f t="shared" si="10"/>
        <v>Current</v>
      </c>
      <c r="U378" s="18" t="str">
        <f t="shared" si="11"/>
        <v>Finley Bryant|Browser Compatibility Testing</v>
      </c>
    </row>
    <row r="379" spans="1:21">
      <c r="A379" s="10">
        <v>46054</v>
      </c>
      <c r="B379" s="4" t="s">
        <v>120</v>
      </c>
      <c r="C379" s="4" t="s">
        <v>944</v>
      </c>
      <c r="D379" s="8">
        <v>2</v>
      </c>
      <c r="E379" s="5">
        <v>46052</v>
      </c>
      <c r="F379" s="5">
        <v>46053</v>
      </c>
      <c r="G379" s="8" t="s">
        <v>930</v>
      </c>
      <c r="H379" s="8" t="s">
        <v>410</v>
      </c>
      <c r="I379" s="8" t="s">
        <v>411</v>
      </c>
      <c r="J379" s="4"/>
      <c r="K379" s="64">
        <v>376</v>
      </c>
      <c r="L379" s="18" t="s">
        <v>969</v>
      </c>
      <c r="M379" s="19" t="s">
        <v>963</v>
      </c>
      <c r="N379" s="18" t="s">
        <v>308</v>
      </c>
      <c r="O379" s="18">
        <v>2</v>
      </c>
      <c r="P379" s="18" t="s">
        <v>933</v>
      </c>
      <c r="Q379" s="18" t="s">
        <v>946</v>
      </c>
      <c r="R379" s="18" t="s">
        <v>308</v>
      </c>
      <c r="S379" s="18"/>
      <c r="T379" s="18" t="str">
        <f t="shared" si="10"/>
        <v>Current</v>
      </c>
      <c r="U379" s="18" t="str">
        <f t="shared" si="11"/>
        <v>Finley Bryant|Automation Test Execution</v>
      </c>
    </row>
    <row r="380" spans="1:21">
      <c r="A380" s="10">
        <v>45777</v>
      </c>
      <c r="B380" s="4" t="s">
        <v>120</v>
      </c>
      <c r="C380" s="4" t="s">
        <v>586</v>
      </c>
      <c r="D380" s="8">
        <v>1</v>
      </c>
      <c r="E380" s="5">
        <v>45775</v>
      </c>
      <c r="F380" s="5">
        <v>45775</v>
      </c>
      <c r="G380" s="8" t="s">
        <v>930</v>
      </c>
      <c r="H380" s="8" t="s">
        <v>410</v>
      </c>
      <c r="I380" s="8" t="s">
        <v>411</v>
      </c>
      <c r="J380" s="4"/>
      <c r="K380" s="64">
        <v>377</v>
      </c>
      <c r="L380" s="18" t="s">
        <v>970</v>
      </c>
      <c r="M380" s="19" t="s">
        <v>963</v>
      </c>
      <c r="N380" s="18" t="s">
        <v>308</v>
      </c>
      <c r="O380" s="18">
        <v>2</v>
      </c>
      <c r="P380" s="18" t="s">
        <v>933</v>
      </c>
      <c r="Q380" s="18" t="s">
        <v>588</v>
      </c>
      <c r="R380" s="18" t="s">
        <v>305</v>
      </c>
      <c r="S380" s="18"/>
      <c r="T380" s="18" t="str">
        <f t="shared" si="10"/>
        <v>Current</v>
      </c>
      <c r="U380" s="18" t="str">
        <f t="shared" si="11"/>
        <v>Finley Bryant|Windows Server Administration</v>
      </c>
    </row>
    <row r="381" spans="1:21">
      <c r="A381" s="10">
        <v>46087</v>
      </c>
      <c r="B381" s="4" t="s">
        <v>120</v>
      </c>
      <c r="C381" s="4" t="s">
        <v>827</v>
      </c>
      <c r="D381" s="8">
        <v>1</v>
      </c>
      <c r="E381" s="5">
        <v>46085</v>
      </c>
      <c r="F381" s="5">
        <v>46088</v>
      </c>
      <c r="G381" s="8" t="s">
        <v>930</v>
      </c>
      <c r="H381" s="8" t="s">
        <v>410</v>
      </c>
      <c r="I381" s="8" t="s">
        <v>411</v>
      </c>
      <c r="J381" s="4"/>
      <c r="K381" s="64">
        <v>378</v>
      </c>
      <c r="L381" s="18" t="s">
        <v>971</v>
      </c>
      <c r="M381" s="19" t="s">
        <v>963</v>
      </c>
      <c r="N381" s="18" t="s">
        <v>308</v>
      </c>
      <c r="O381" s="18">
        <v>2</v>
      </c>
      <c r="P381" s="18" t="s">
        <v>933</v>
      </c>
      <c r="Q381" s="18" t="s">
        <v>829</v>
      </c>
      <c r="R381" s="18" t="s">
        <v>307</v>
      </c>
      <c r="S381" s="18"/>
      <c r="T381" s="18" t="str">
        <f t="shared" si="10"/>
        <v>Historical</v>
      </c>
      <c r="U381" s="18" t="str">
        <f t="shared" si="11"/>
        <v/>
      </c>
    </row>
    <row r="382" spans="1:21">
      <c r="A382" s="10">
        <v>46174</v>
      </c>
      <c r="B382" s="4" t="s">
        <v>120</v>
      </c>
      <c r="C382" s="4" t="s">
        <v>827</v>
      </c>
      <c r="D382" s="8">
        <v>2</v>
      </c>
      <c r="E382" s="5">
        <v>46169</v>
      </c>
      <c r="F382" s="5">
        <v>46172</v>
      </c>
      <c r="G382" s="8" t="s">
        <v>930</v>
      </c>
      <c r="H382" s="8" t="s">
        <v>419</v>
      </c>
      <c r="I382" s="8" t="s">
        <v>411</v>
      </c>
      <c r="J382" s="4"/>
      <c r="K382" s="64">
        <v>379</v>
      </c>
      <c r="L382" s="18" t="s">
        <v>972</v>
      </c>
      <c r="M382" s="19" t="s">
        <v>963</v>
      </c>
      <c r="N382" s="18" t="s">
        <v>308</v>
      </c>
      <c r="O382" s="18">
        <v>2</v>
      </c>
      <c r="P382" s="18" t="s">
        <v>933</v>
      </c>
      <c r="Q382" s="18" t="s">
        <v>829</v>
      </c>
      <c r="R382" s="18" t="s">
        <v>307</v>
      </c>
      <c r="S382" s="18">
        <v>1</v>
      </c>
      <c r="T382" s="18" t="str">
        <f t="shared" si="10"/>
        <v>Historical</v>
      </c>
      <c r="U382" s="18" t="str">
        <f t="shared" si="11"/>
        <v/>
      </c>
    </row>
    <row r="383" spans="1:21">
      <c r="A383" s="10">
        <v>46227</v>
      </c>
      <c r="B383" s="4" t="s">
        <v>120</v>
      </c>
      <c r="C383" s="4" t="s">
        <v>827</v>
      </c>
      <c r="D383" s="8">
        <v>3</v>
      </c>
      <c r="E383" s="5">
        <v>46226</v>
      </c>
      <c r="F383" s="5">
        <v>46227</v>
      </c>
      <c r="G383" s="8" t="s">
        <v>930</v>
      </c>
      <c r="H383" s="8" t="s">
        <v>419</v>
      </c>
      <c r="I383" s="8" t="s">
        <v>411</v>
      </c>
      <c r="J383" s="4"/>
      <c r="K383" s="64">
        <v>380</v>
      </c>
      <c r="L383" s="18" t="s">
        <v>973</v>
      </c>
      <c r="M383" s="19" t="s">
        <v>963</v>
      </c>
      <c r="N383" s="18" t="s">
        <v>308</v>
      </c>
      <c r="O383" s="18">
        <v>2</v>
      </c>
      <c r="P383" s="18" t="s">
        <v>933</v>
      </c>
      <c r="Q383" s="18" t="s">
        <v>829</v>
      </c>
      <c r="R383" s="18" t="s">
        <v>307</v>
      </c>
      <c r="S383" s="18">
        <v>2</v>
      </c>
      <c r="T383" s="18" t="str">
        <f t="shared" si="10"/>
        <v>Current</v>
      </c>
      <c r="U383" s="18" t="str">
        <f t="shared" si="11"/>
        <v>Finley Bryant|VPN Administration</v>
      </c>
    </row>
    <row r="384" spans="1:21">
      <c r="A384" s="10">
        <v>46157</v>
      </c>
      <c r="B384" s="4" t="s">
        <v>120</v>
      </c>
      <c r="C384" s="4" t="s">
        <v>974</v>
      </c>
      <c r="D384" s="8">
        <v>3</v>
      </c>
      <c r="E384" s="5">
        <v>46152</v>
      </c>
      <c r="F384" s="5">
        <v>46155</v>
      </c>
      <c r="G384" s="8" t="s">
        <v>930</v>
      </c>
      <c r="H384" s="8" t="s">
        <v>410</v>
      </c>
      <c r="I384" s="8" t="s">
        <v>411</v>
      </c>
      <c r="J384" s="4"/>
      <c r="K384" s="64">
        <v>381</v>
      </c>
      <c r="L384" s="18" t="s">
        <v>975</v>
      </c>
      <c r="M384" s="19" t="s">
        <v>963</v>
      </c>
      <c r="N384" s="18" t="s">
        <v>308</v>
      </c>
      <c r="O384" s="18">
        <v>2</v>
      </c>
      <c r="P384" s="18" t="s">
        <v>933</v>
      </c>
      <c r="Q384" s="18" t="s">
        <v>976</v>
      </c>
      <c r="R384" s="18" t="s">
        <v>311</v>
      </c>
      <c r="S384" s="18"/>
      <c r="T384" s="18" t="str">
        <f t="shared" si="10"/>
        <v>Current</v>
      </c>
      <c r="U384" s="18" t="str">
        <f t="shared" si="11"/>
        <v>Finley Bryant|Vulnerability Remediation</v>
      </c>
    </row>
    <row r="385" spans="1:21">
      <c r="A385" s="10">
        <v>46211</v>
      </c>
      <c r="B385" s="4" t="s">
        <v>120</v>
      </c>
      <c r="C385" s="4" t="s">
        <v>438</v>
      </c>
      <c r="D385" s="8">
        <v>1</v>
      </c>
      <c r="E385" s="5">
        <v>46208</v>
      </c>
      <c r="F385" s="5">
        <v>46210</v>
      </c>
      <c r="G385" s="8" t="s">
        <v>930</v>
      </c>
      <c r="H385" s="8" t="s">
        <v>410</v>
      </c>
      <c r="I385" s="8" t="s">
        <v>411</v>
      </c>
      <c r="J385" s="4"/>
      <c r="K385" s="64">
        <v>382</v>
      </c>
      <c r="L385" s="18" t="s">
        <v>977</v>
      </c>
      <c r="M385" s="19" t="s">
        <v>963</v>
      </c>
      <c r="N385" s="18" t="s">
        <v>308</v>
      </c>
      <c r="O385" s="18">
        <v>2</v>
      </c>
      <c r="P385" s="18" t="s">
        <v>933</v>
      </c>
      <c r="Q385" s="18" t="s">
        <v>440</v>
      </c>
      <c r="R385" s="18" t="s">
        <v>213</v>
      </c>
      <c r="S385" s="18"/>
      <c r="T385" s="18" t="str">
        <f t="shared" si="10"/>
        <v>Historical</v>
      </c>
      <c r="U385" s="18" t="str">
        <f t="shared" si="11"/>
        <v/>
      </c>
    </row>
    <row r="386" spans="1:21">
      <c r="A386" s="10">
        <v>46228</v>
      </c>
      <c r="B386" s="4" t="s">
        <v>120</v>
      </c>
      <c r="C386" s="4" t="s">
        <v>438</v>
      </c>
      <c r="D386" s="8">
        <v>2</v>
      </c>
      <c r="E386" s="5">
        <v>46225</v>
      </c>
      <c r="F386" s="5">
        <v>46228</v>
      </c>
      <c r="G386" s="8" t="s">
        <v>930</v>
      </c>
      <c r="H386" s="8" t="s">
        <v>419</v>
      </c>
      <c r="I386" s="8" t="s">
        <v>411</v>
      </c>
      <c r="J386" s="4"/>
      <c r="K386" s="64">
        <v>383</v>
      </c>
      <c r="L386" s="18" t="s">
        <v>978</v>
      </c>
      <c r="M386" s="19" t="s">
        <v>963</v>
      </c>
      <c r="N386" s="18" t="s">
        <v>308</v>
      </c>
      <c r="O386" s="18">
        <v>2</v>
      </c>
      <c r="P386" s="18" t="s">
        <v>933</v>
      </c>
      <c r="Q386" s="18" t="s">
        <v>440</v>
      </c>
      <c r="R386" s="18" t="s">
        <v>213</v>
      </c>
      <c r="S386" s="18">
        <v>1</v>
      </c>
      <c r="T386" s="18" t="str">
        <f t="shared" si="10"/>
        <v>Current</v>
      </c>
      <c r="U386" s="18" t="str">
        <f t="shared" si="11"/>
        <v>Finley Bryant|Data Privacy &amp; Acceptable Use</v>
      </c>
    </row>
    <row r="387" spans="1:21">
      <c r="A387" s="10">
        <v>45946</v>
      </c>
      <c r="B387" s="4" t="s">
        <v>125</v>
      </c>
      <c r="C387" s="4" t="s">
        <v>929</v>
      </c>
      <c r="D387" s="8">
        <v>3</v>
      </c>
      <c r="E387" s="5">
        <v>45943</v>
      </c>
      <c r="F387" s="5">
        <v>45943</v>
      </c>
      <c r="G387" s="8" t="s">
        <v>930</v>
      </c>
      <c r="H387" s="8" t="s">
        <v>410</v>
      </c>
      <c r="I387" s="8" t="s">
        <v>411</v>
      </c>
      <c r="J387" s="4"/>
      <c r="K387" s="64">
        <v>384</v>
      </c>
      <c r="L387" s="18" t="s">
        <v>979</v>
      </c>
      <c r="M387" s="19" t="s">
        <v>980</v>
      </c>
      <c r="N387" s="18" t="s">
        <v>308</v>
      </c>
      <c r="O387" s="18">
        <v>3</v>
      </c>
      <c r="P387" s="18" t="s">
        <v>933</v>
      </c>
      <c r="Q387" s="18" t="s">
        <v>934</v>
      </c>
      <c r="R387" s="18" t="s">
        <v>308</v>
      </c>
      <c r="S387" s="18"/>
      <c r="T387" s="18" t="str">
        <f t="shared" si="10"/>
        <v>Current</v>
      </c>
      <c r="U387" s="18" t="str">
        <f t="shared" si="11"/>
        <v>Jesse Hayes|Regression Testing</v>
      </c>
    </row>
    <row r="388" spans="1:21">
      <c r="A388" s="10">
        <v>46070</v>
      </c>
      <c r="B388" s="4" t="s">
        <v>125</v>
      </c>
      <c r="C388" s="4" t="s">
        <v>949</v>
      </c>
      <c r="D388" s="8">
        <v>3</v>
      </c>
      <c r="E388" s="5">
        <v>46067</v>
      </c>
      <c r="F388" s="5">
        <v>46068</v>
      </c>
      <c r="G388" s="8" t="s">
        <v>930</v>
      </c>
      <c r="H388" s="8" t="s">
        <v>410</v>
      </c>
      <c r="I388" s="8" t="s">
        <v>411</v>
      </c>
      <c r="J388" s="4"/>
      <c r="K388" s="64">
        <v>385</v>
      </c>
      <c r="L388" s="18" t="s">
        <v>981</v>
      </c>
      <c r="M388" s="19" t="s">
        <v>980</v>
      </c>
      <c r="N388" s="18" t="s">
        <v>308</v>
      </c>
      <c r="O388" s="18">
        <v>3</v>
      </c>
      <c r="P388" s="18" t="s">
        <v>933</v>
      </c>
      <c r="Q388" s="18" t="s">
        <v>951</v>
      </c>
      <c r="R388" s="18" t="s">
        <v>308</v>
      </c>
      <c r="S388" s="18"/>
      <c r="T388" s="18" t="str">
        <f t="shared" ref="T388:T451" si="12">IF(B388="","",IF(I388="Yes","Voided",IF(COUNTIFS($B$4:$B$803,B388,$C$4:$C$803,C388,$I$4:$I$803,"&lt;&gt;Yes",$K$4:$K$803,"&gt;"&amp;K388)=0,"Current","Historical")))</f>
        <v>Current</v>
      </c>
      <c r="U388" s="18" t="str">
        <f t="shared" ref="U388:U451" si="13">IF(T388="Current",B388&amp;"|"&amp;C388,"")</f>
        <v>Jesse Hayes|Exploratory Testing</v>
      </c>
    </row>
    <row r="389" spans="1:21">
      <c r="A389" s="10">
        <v>45746</v>
      </c>
      <c r="B389" s="4" t="s">
        <v>125</v>
      </c>
      <c r="C389" s="4" t="s">
        <v>941</v>
      </c>
      <c r="D389" s="8">
        <v>1</v>
      </c>
      <c r="E389" s="5">
        <v>45743</v>
      </c>
      <c r="F389" s="5">
        <v>45746</v>
      </c>
      <c r="G389" s="8" t="s">
        <v>930</v>
      </c>
      <c r="H389" s="8" t="s">
        <v>410</v>
      </c>
      <c r="I389" s="8" t="s">
        <v>411</v>
      </c>
      <c r="J389" s="4"/>
      <c r="K389" s="64">
        <v>386</v>
      </c>
      <c r="L389" s="18" t="s">
        <v>982</v>
      </c>
      <c r="M389" s="19" t="s">
        <v>980</v>
      </c>
      <c r="N389" s="18" t="s">
        <v>308</v>
      </c>
      <c r="O389" s="18">
        <v>3</v>
      </c>
      <c r="P389" s="18" t="s">
        <v>933</v>
      </c>
      <c r="Q389" s="18" t="s">
        <v>943</v>
      </c>
      <c r="R389" s="18" t="s">
        <v>308</v>
      </c>
      <c r="S389" s="18"/>
      <c r="T389" s="18" t="str">
        <f t="shared" si="12"/>
        <v>Historical</v>
      </c>
      <c r="U389" s="18" t="str">
        <f t="shared" si="13"/>
        <v/>
      </c>
    </row>
    <row r="390" spans="1:21">
      <c r="A390" s="10">
        <v>45849</v>
      </c>
      <c r="B390" s="4" t="s">
        <v>125</v>
      </c>
      <c r="C390" s="4" t="s">
        <v>941</v>
      </c>
      <c r="D390" s="8">
        <v>2</v>
      </c>
      <c r="E390" s="5">
        <v>45846</v>
      </c>
      <c r="F390" s="5">
        <v>45849</v>
      </c>
      <c r="G390" s="8" t="s">
        <v>930</v>
      </c>
      <c r="H390" s="8" t="s">
        <v>419</v>
      </c>
      <c r="I390" s="8" t="s">
        <v>411</v>
      </c>
      <c r="J390" s="4"/>
      <c r="K390" s="64">
        <v>387</v>
      </c>
      <c r="L390" s="18" t="s">
        <v>983</v>
      </c>
      <c r="M390" s="19" t="s">
        <v>980</v>
      </c>
      <c r="N390" s="18" t="s">
        <v>308</v>
      </c>
      <c r="O390" s="18">
        <v>3</v>
      </c>
      <c r="P390" s="18" t="s">
        <v>933</v>
      </c>
      <c r="Q390" s="18" t="s">
        <v>943</v>
      </c>
      <c r="R390" s="18" t="s">
        <v>308</v>
      </c>
      <c r="S390" s="18">
        <v>1</v>
      </c>
      <c r="T390" s="18" t="str">
        <f t="shared" si="12"/>
        <v>Current</v>
      </c>
      <c r="U390" s="18" t="str">
        <f t="shared" si="13"/>
        <v>Jesse Hayes|Browser Compatibility Testing</v>
      </c>
    </row>
    <row r="391" spans="1:21">
      <c r="A391" s="10">
        <v>45945</v>
      </c>
      <c r="B391" s="4" t="s">
        <v>125</v>
      </c>
      <c r="C391" s="4" t="s">
        <v>984</v>
      </c>
      <c r="D391" s="8">
        <v>2</v>
      </c>
      <c r="E391" s="5">
        <v>45940</v>
      </c>
      <c r="F391" s="5">
        <v>45942</v>
      </c>
      <c r="G391" s="8" t="s">
        <v>930</v>
      </c>
      <c r="H391" s="8" t="s">
        <v>410</v>
      </c>
      <c r="I391" s="8" t="s">
        <v>411</v>
      </c>
      <c r="J391" s="4"/>
      <c r="K391" s="64">
        <v>388</v>
      </c>
      <c r="L391" s="18" t="s">
        <v>985</v>
      </c>
      <c r="M391" s="19" t="s">
        <v>980</v>
      </c>
      <c r="N391" s="18" t="s">
        <v>308</v>
      </c>
      <c r="O391" s="18">
        <v>3</v>
      </c>
      <c r="P391" s="18" t="s">
        <v>933</v>
      </c>
      <c r="Q391" s="18" t="s">
        <v>986</v>
      </c>
      <c r="R391" s="18" t="s">
        <v>308</v>
      </c>
      <c r="S391" s="18"/>
      <c r="T391" s="18" t="str">
        <f t="shared" si="12"/>
        <v>Current</v>
      </c>
      <c r="U391" s="18" t="str">
        <f t="shared" si="13"/>
        <v>Jesse Hayes|Test Case Design</v>
      </c>
    </row>
    <row r="392" spans="1:21">
      <c r="A392" s="10">
        <v>45910</v>
      </c>
      <c r="B392" s="4" t="s">
        <v>125</v>
      </c>
      <c r="C392" s="4" t="s">
        <v>944</v>
      </c>
      <c r="D392" s="8">
        <v>1</v>
      </c>
      <c r="E392" s="5">
        <v>45908</v>
      </c>
      <c r="F392" s="5">
        <v>45908</v>
      </c>
      <c r="G392" s="8" t="s">
        <v>930</v>
      </c>
      <c r="H392" s="8" t="s">
        <v>410</v>
      </c>
      <c r="I392" s="8" t="s">
        <v>411</v>
      </c>
      <c r="J392" s="4"/>
      <c r="K392" s="64">
        <v>389</v>
      </c>
      <c r="L392" s="18" t="s">
        <v>987</v>
      </c>
      <c r="M392" s="19" t="s">
        <v>980</v>
      </c>
      <c r="N392" s="18" t="s">
        <v>308</v>
      </c>
      <c r="O392" s="18">
        <v>3</v>
      </c>
      <c r="P392" s="18" t="s">
        <v>933</v>
      </c>
      <c r="Q392" s="18" t="s">
        <v>946</v>
      </c>
      <c r="R392" s="18" t="s">
        <v>308</v>
      </c>
      <c r="S392" s="18"/>
      <c r="T392" s="18" t="str">
        <f t="shared" si="12"/>
        <v>Current</v>
      </c>
      <c r="U392" s="18" t="str">
        <f t="shared" si="13"/>
        <v>Jesse Hayes|Automation Test Execution</v>
      </c>
    </row>
    <row r="393" spans="1:21">
      <c r="A393" s="10">
        <v>45902</v>
      </c>
      <c r="B393" s="4" t="s">
        <v>125</v>
      </c>
      <c r="C393" s="4" t="s">
        <v>937</v>
      </c>
      <c r="D393" s="8">
        <v>3</v>
      </c>
      <c r="E393" s="5">
        <v>45901</v>
      </c>
      <c r="F393" s="5">
        <v>45901</v>
      </c>
      <c r="G393" s="8" t="s">
        <v>930</v>
      </c>
      <c r="H393" s="8" t="s">
        <v>410</v>
      </c>
      <c r="I393" s="8" t="s">
        <v>411</v>
      </c>
      <c r="J393" s="4"/>
      <c r="K393" s="64">
        <v>390</v>
      </c>
      <c r="L393" s="18" t="s">
        <v>988</v>
      </c>
      <c r="M393" s="19" t="s">
        <v>980</v>
      </c>
      <c r="N393" s="18" t="s">
        <v>308</v>
      </c>
      <c r="O393" s="18">
        <v>3</v>
      </c>
      <c r="P393" s="18" t="s">
        <v>933</v>
      </c>
      <c r="Q393" s="18" t="s">
        <v>939</v>
      </c>
      <c r="R393" s="18" t="s">
        <v>308</v>
      </c>
      <c r="S393" s="18"/>
      <c r="T393" s="18" t="str">
        <f t="shared" si="12"/>
        <v>Current</v>
      </c>
      <c r="U393" s="18" t="str">
        <f t="shared" si="13"/>
        <v>Jesse Hayes|Defect Documentation</v>
      </c>
    </row>
    <row r="394" spans="1:21">
      <c r="A394" s="10">
        <v>45767</v>
      </c>
      <c r="B394" s="4" t="s">
        <v>125</v>
      </c>
      <c r="C394" s="4" t="s">
        <v>989</v>
      </c>
      <c r="D394" s="8">
        <v>2</v>
      </c>
      <c r="E394" s="5">
        <v>45765</v>
      </c>
      <c r="F394" s="5">
        <v>45765</v>
      </c>
      <c r="G394" s="8" t="s">
        <v>930</v>
      </c>
      <c r="H394" s="8" t="s">
        <v>410</v>
      </c>
      <c r="I394" s="8" t="s">
        <v>411</v>
      </c>
      <c r="J394" s="4"/>
      <c r="K394" s="64">
        <v>391</v>
      </c>
      <c r="L394" s="18" t="s">
        <v>990</v>
      </c>
      <c r="M394" s="19" t="s">
        <v>980</v>
      </c>
      <c r="N394" s="18" t="s">
        <v>308</v>
      </c>
      <c r="O394" s="18">
        <v>3</v>
      </c>
      <c r="P394" s="18" t="s">
        <v>933</v>
      </c>
      <c r="Q394" s="18" t="s">
        <v>991</v>
      </c>
      <c r="R394" s="18" t="s">
        <v>311</v>
      </c>
      <c r="S394" s="18"/>
      <c r="T394" s="18" t="str">
        <f t="shared" si="12"/>
        <v>Current</v>
      </c>
      <c r="U394" s="18" t="str">
        <f t="shared" si="13"/>
        <v>Jesse Hayes|Secure Configuration Review</v>
      </c>
    </row>
    <row r="395" spans="1:21">
      <c r="A395" s="10">
        <v>45828</v>
      </c>
      <c r="B395" s="4" t="s">
        <v>125</v>
      </c>
      <c r="C395" s="4" t="s">
        <v>992</v>
      </c>
      <c r="D395" s="8">
        <v>3</v>
      </c>
      <c r="E395" s="5">
        <v>45824</v>
      </c>
      <c r="F395" s="5">
        <v>45827</v>
      </c>
      <c r="G395" s="8" t="s">
        <v>930</v>
      </c>
      <c r="H395" s="8" t="s">
        <v>410</v>
      </c>
      <c r="I395" s="8" t="s">
        <v>411</v>
      </c>
      <c r="J395" s="4"/>
      <c r="K395" s="64">
        <v>392</v>
      </c>
      <c r="L395" s="18" t="s">
        <v>993</v>
      </c>
      <c r="M395" s="19" t="s">
        <v>980</v>
      </c>
      <c r="N395" s="18" t="s">
        <v>308</v>
      </c>
      <c r="O395" s="18">
        <v>3</v>
      </c>
      <c r="P395" s="18" t="s">
        <v>933</v>
      </c>
      <c r="Q395" s="18" t="s">
        <v>994</v>
      </c>
      <c r="R395" s="18" t="s">
        <v>309</v>
      </c>
      <c r="S395" s="18"/>
      <c r="T395" s="18" t="str">
        <f t="shared" si="12"/>
        <v>Current</v>
      </c>
      <c r="U395" s="18" t="str">
        <f t="shared" si="13"/>
        <v>Jesse Hayes|Reliability Testing</v>
      </c>
    </row>
    <row r="396" spans="1:21">
      <c r="A396" s="10">
        <v>45960</v>
      </c>
      <c r="B396" s="4" t="s">
        <v>125</v>
      </c>
      <c r="C396" s="4" t="s">
        <v>837</v>
      </c>
      <c r="D396" s="8">
        <v>1</v>
      </c>
      <c r="E396" s="5">
        <v>45957</v>
      </c>
      <c r="F396" s="5">
        <v>45959</v>
      </c>
      <c r="G396" s="8" t="s">
        <v>930</v>
      </c>
      <c r="H396" s="8" t="s">
        <v>410</v>
      </c>
      <c r="I396" s="8" t="s">
        <v>411</v>
      </c>
      <c r="J396" s="4"/>
      <c r="K396" s="64">
        <v>393</v>
      </c>
      <c r="L396" s="18" t="s">
        <v>995</v>
      </c>
      <c r="M396" s="19" t="s">
        <v>980</v>
      </c>
      <c r="N396" s="18" t="s">
        <v>308</v>
      </c>
      <c r="O396" s="18">
        <v>3</v>
      </c>
      <c r="P396" s="18" t="s">
        <v>933</v>
      </c>
      <c r="Q396" s="18" t="s">
        <v>839</v>
      </c>
      <c r="R396" s="18" t="s">
        <v>307</v>
      </c>
      <c r="S396" s="18"/>
      <c r="T396" s="18" t="str">
        <f t="shared" si="12"/>
        <v>Historical</v>
      </c>
      <c r="U396" s="18" t="str">
        <f t="shared" si="13"/>
        <v/>
      </c>
    </row>
    <row r="397" spans="1:21">
      <c r="A397" s="10">
        <v>46060</v>
      </c>
      <c r="B397" s="4" t="s">
        <v>125</v>
      </c>
      <c r="C397" s="4" t="s">
        <v>837</v>
      </c>
      <c r="D397" s="8">
        <v>2</v>
      </c>
      <c r="E397" s="5">
        <v>46059</v>
      </c>
      <c r="F397" s="5">
        <v>46059</v>
      </c>
      <c r="G397" s="8" t="s">
        <v>930</v>
      </c>
      <c r="H397" s="8" t="s">
        <v>419</v>
      </c>
      <c r="I397" s="8" t="s">
        <v>411</v>
      </c>
      <c r="J397" s="4"/>
      <c r="K397" s="64">
        <v>394</v>
      </c>
      <c r="L397" s="18" t="s">
        <v>996</v>
      </c>
      <c r="M397" s="19" t="s">
        <v>980</v>
      </c>
      <c r="N397" s="18" t="s">
        <v>308</v>
      </c>
      <c r="O397" s="18">
        <v>3</v>
      </c>
      <c r="P397" s="18" t="s">
        <v>933</v>
      </c>
      <c r="Q397" s="18" t="s">
        <v>839</v>
      </c>
      <c r="R397" s="18" t="s">
        <v>307</v>
      </c>
      <c r="S397" s="18">
        <v>1</v>
      </c>
      <c r="T397" s="18" t="str">
        <f t="shared" si="12"/>
        <v>Historical</v>
      </c>
      <c r="U397" s="18" t="str">
        <f t="shared" si="13"/>
        <v/>
      </c>
    </row>
    <row r="398" spans="1:21">
      <c r="A398" s="10">
        <v>46167</v>
      </c>
      <c r="B398" s="4" t="s">
        <v>125</v>
      </c>
      <c r="C398" s="4" t="s">
        <v>837</v>
      </c>
      <c r="D398" s="8">
        <v>3</v>
      </c>
      <c r="E398" s="5">
        <v>46162</v>
      </c>
      <c r="F398" s="5">
        <v>46163</v>
      </c>
      <c r="G398" s="8" t="s">
        <v>930</v>
      </c>
      <c r="H398" s="8" t="s">
        <v>419</v>
      </c>
      <c r="I398" s="8" t="s">
        <v>411</v>
      </c>
      <c r="J398" s="4"/>
      <c r="K398" s="64">
        <v>395</v>
      </c>
      <c r="L398" s="18" t="s">
        <v>997</v>
      </c>
      <c r="M398" s="19" t="s">
        <v>980</v>
      </c>
      <c r="N398" s="18" t="s">
        <v>308</v>
      </c>
      <c r="O398" s="18">
        <v>3</v>
      </c>
      <c r="P398" s="18" t="s">
        <v>933</v>
      </c>
      <c r="Q398" s="18" t="s">
        <v>839</v>
      </c>
      <c r="R398" s="18" t="s">
        <v>307</v>
      </c>
      <c r="S398" s="18">
        <v>2</v>
      </c>
      <c r="T398" s="18" t="str">
        <f t="shared" si="12"/>
        <v>Current</v>
      </c>
      <c r="U398" s="18" t="str">
        <f t="shared" si="13"/>
        <v>Jesse Hayes|IT Service Analyst</v>
      </c>
    </row>
    <row r="399" spans="1:21">
      <c r="A399" s="10">
        <v>45703</v>
      </c>
      <c r="B399" s="4" t="s">
        <v>125</v>
      </c>
      <c r="C399" s="4" t="s">
        <v>468</v>
      </c>
      <c r="D399" s="8">
        <v>3</v>
      </c>
      <c r="E399" s="5">
        <v>45701</v>
      </c>
      <c r="F399" s="5">
        <v>45704</v>
      </c>
      <c r="G399" s="8" t="s">
        <v>930</v>
      </c>
      <c r="H399" s="8" t="s">
        <v>410</v>
      </c>
      <c r="I399" s="8" t="s">
        <v>411</v>
      </c>
      <c r="J399" s="4"/>
      <c r="K399" s="64">
        <v>396</v>
      </c>
      <c r="L399" s="18" t="s">
        <v>998</v>
      </c>
      <c r="M399" s="19" t="s">
        <v>980</v>
      </c>
      <c r="N399" s="18" t="s">
        <v>308</v>
      </c>
      <c r="O399" s="18">
        <v>3</v>
      </c>
      <c r="P399" s="18" t="s">
        <v>933</v>
      </c>
      <c r="Q399" s="18" t="s">
        <v>470</v>
      </c>
      <c r="R399" s="18" t="s">
        <v>213</v>
      </c>
      <c r="S399" s="18"/>
      <c r="T399" s="18" t="str">
        <f t="shared" si="12"/>
        <v>Current</v>
      </c>
      <c r="U399" s="18" t="str">
        <f t="shared" si="13"/>
        <v>Jesse Hayes|Business Continuity Basics</v>
      </c>
    </row>
    <row r="400" spans="1:21">
      <c r="A400" s="10">
        <v>45805</v>
      </c>
      <c r="B400" s="4" t="s">
        <v>128</v>
      </c>
      <c r="C400" s="4" t="s">
        <v>984</v>
      </c>
      <c r="D400" s="8">
        <v>1</v>
      </c>
      <c r="E400" s="5">
        <v>45800</v>
      </c>
      <c r="F400" s="5">
        <v>45803</v>
      </c>
      <c r="G400" s="8" t="s">
        <v>930</v>
      </c>
      <c r="H400" s="8" t="s">
        <v>410</v>
      </c>
      <c r="I400" s="8" t="s">
        <v>411</v>
      </c>
      <c r="J400" s="4"/>
      <c r="K400" s="64">
        <v>397</v>
      </c>
      <c r="L400" s="18" t="s">
        <v>999</v>
      </c>
      <c r="M400" s="19" t="s">
        <v>1000</v>
      </c>
      <c r="N400" s="18" t="s">
        <v>308</v>
      </c>
      <c r="O400" s="18">
        <v>1</v>
      </c>
      <c r="P400" s="18" t="s">
        <v>933</v>
      </c>
      <c r="Q400" s="18" t="s">
        <v>986</v>
      </c>
      <c r="R400" s="18" t="s">
        <v>308</v>
      </c>
      <c r="S400" s="18"/>
      <c r="T400" s="18" t="str">
        <f t="shared" si="12"/>
        <v>Historical</v>
      </c>
      <c r="U400" s="18" t="str">
        <f t="shared" si="13"/>
        <v/>
      </c>
    </row>
    <row r="401" spans="1:21">
      <c r="A401" s="10">
        <v>45856</v>
      </c>
      <c r="B401" s="4" t="s">
        <v>128</v>
      </c>
      <c r="C401" s="4" t="s">
        <v>984</v>
      </c>
      <c r="D401" s="8">
        <v>2</v>
      </c>
      <c r="E401" s="5">
        <v>45854</v>
      </c>
      <c r="F401" s="5">
        <v>45854</v>
      </c>
      <c r="G401" s="8" t="s">
        <v>930</v>
      </c>
      <c r="H401" s="8" t="s">
        <v>419</v>
      </c>
      <c r="I401" s="8" t="s">
        <v>411</v>
      </c>
      <c r="J401" s="4"/>
      <c r="K401" s="64">
        <v>398</v>
      </c>
      <c r="L401" s="18" t="s">
        <v>1001</v>
      </c>
      <c r="M401" s="19" t="s">
        <v>1000</v>
      </c>
      <c r="N401" s="18" t="s">
        <v>308</v>
      </c>
      <c r="O401" s="18">
        <v>1</v>
      </c>
      <c r="P401" s="18" t="s">
        <v>933</v>
      </c>
      <c r="Q401" s="18" t="s">
        <v>986</v>
      </c>
      <c r="R401" s="18" t="s">
        <v>308</v>
      </c>
      <c r="S401" s="18">
        <v>1</v>
      </c>
      <c r="T401" s="18" t="str">
        <f t="shared" si="12"/>
        <v>Historical</v>
      </c>
      <c r="U401" s="18" t="str">
        <f t="shared" si="13"/>
        <v/>
      </c>
    </row>
    <row r="402" spans="1:21">
      <c r="A402" s="10">
        <v>45918</v>
      </c>
      <c r="B402" s="4" t="s">
        <v>128</v>
      </c>
      <c r="C402" s="4" t="s">
        <v>984</v>
      </c>
      <c r="D402" s="8">
        <v>3</v>
      </c>
      <c r="E402" s="5">
        <v>45916</v>
      </c>
      <c r="F402" s="5">
        <v>45919</v>
      </c>
      <c r="G402" s="8" t="s">
        <v>930</v>
      </c>
      <c r="H402" s="8" t="s">
        <v>419</v>
      </c>
      <c r="I402" s="8" t="s">
        <v>411</v>
      </c>
      <c r="J402" s="4"/>
      <c r="K402" s="64">
        <v>399</v>
      </c>
      <c r="L402" s="18" t="s">
        <v>1002</v>
      </c>
      <c r="M402" s="19" t="s">
        <v>1000</v>
      </c>
      <c r="N402" s="18" t="s">
        <v>308</v>
      </c>
      <c r="O402" s="18">
        <v>1</v>
      </c>
      <c r="P402" s="18" t="s">
        <v>933</v>
      </c>
      <c r="Q402" s="18" t="s">
        <v>986</v>
      </c>
      <c r="R402" s="18" t="s">
        <v>308</v>
      </c>
      <c r="S402" s="18">
        <v>2</v>
      </c>
      <c r="T402" s="18" t="str">
        <f t="shared" si="12"/>
        <v>Current</v>
      </c>
      <c r="U402" s="18" t="str">
        <f t="shared" si="13"/>
        <v>Robin Cooper|Test Case Design</v>
      </c>
    </row>
    <row r="403" spans="1:21">
      <c r="A403" s="10">
        <v>45680</v>
      </c>
      <c r="B403" s="4" t="s">
        <v>128</v>
      </c>
      <c r="C403" s="4" t="s">
        <v>937</v>
      </c>
      <c r="D403" s="8">
        <v>3</v>
      </c>
      <c r="E403" s="5">
        <v>45677</v>
      </c>
      <c r="F403" s="5">
        <v>45679</v>
      </c>
      <c r="G403" s="8" t="s">
        <v>930</v>
      </c>
      <c r="H403" s="8" t="s">
        <v>410</v>
      </c>
      <c r="I403" s="8" t="s">
        <v>411</v>
      </c>
      <c r="J403" s="4"/>
      <c r="K403" s="64">
        <v>400</v>
      </c>
      <c r="L403" s="18" t="s">
        <v>1003</v>
      </c>
      <c r="M403" s="19" t="s">
        <v>1000</v>
      </c>
      <c r="N403" s="18" t="s">
        <v>308</v>
      </c>
      <c r="O403" s="18">
        <v>1</v>
      </c>
      <c r="P403" s="18" t="s">
        <v>933</v>
      </c>
      <c r="Q403" s="18" t="s">
        <v>939</v>
      </c>
      <c r="R403" s="18" t="s">
        <v>308</v>
      </c>
      <c r="S403" s="18"/>
      <c r="T403" s="18" t="str">
        <f t="shared" si="12"/>
        <v>Current</v>
      </c>
      <c r="U403" s="18" t="str">
        <f t="shared" si="13"/>
        <v>Robin Cooper|Defect Documentation</v>
      </c>
    </row>
    <row r="404" spans="1:21">
      <c r="A404" s="10">
        <v>45847</v>
      </c>
      <c r="B404" s="4" t="s">
        <v>128</v>
      </c>
      <c r="C404" s="4" t="s">
        <v>941</v>
      </c>
      <c r="D404" s="8">
        <v>3</v>
      </c>
      <c r="E404" s="5">
        <v>45842</v>
      </c>
      <c r="F404" s="5">
        <v>45845</v>
      </c>
      <c r="G404" s="8" t="s">
        <v>930</v>
      </c>
      <c r="H404" s="8" t="s">
        <v>410</v>
      </c>
      <c r="I404" s="8" t="s">
        <v>411</v>
      </c>
      <c r="J404" s="4"/>
      <c r="K404" s="64">
        <v>401</v>
      </c>
      <c r="L404" s="18" t="s">
        <v>1004</v>
      </c>
      <c r="M404" s="19" t="s">
        <v>1000</v>
      </c>
      <c r="N404" s="18" t="s">
        <v>308</v>
      </c>
      <c r="O404" s="18">
        <v>1</v>
      </c>
      <c r="P404" s="18" t="s">
        <v>933</v>
      </c>
      <c r="Q404" s="18" t="s">
        <v>943</v>
      </c>
      <c r="R404" s="18" t="s">
        <v>308</v>
      </c>
      <c r="S404" s="18"/>
      <c r="T404" s="18" t="str">
        <f t="shared" si="12"/>
        <v>Current</v>
      </c>
      <c r="U404" s="18" t="str">
        <f t="shared" si="13"/>
        <v>Robin Cooper|Browser Compatibility Testing</v>
      </c>
    </row>
    <row r="405" spans="1:21">
      <c r="A405" s="10">
        <v>45755</v>
      </c>
      <c r="B405" s="4" t="s">
        <v>128</v>
      </c>
      <c r="C405" s="4" t="s">
        <v>944</v>
      </c>
      <c r="D405" s="8">
        <v>3</v>
      </c>
      <c r="E405" s="5">
        <v>45751</v>
      </c>
      <c r="F405" s="5">
        <v>45751</v>
      </c>
      <c r="G405" s="8" t="s">
        <v>930</v>
      </c>
      <c r="H405" s="8" t="s">
        <v>410</v>
      </c>
      <c r="I405" s="8" t="s">
        <v>411</v>
      </c>
      <c r="J405" s="4"/>
      <c r="K405" s="64">
        <v>402</v>
      </c>
      <c r="L405" s="18" t="s">
        <v>1005</v>
      </c>
      <c r="M405" s="19" t="s">
        <v>1000</v>
      </c>
      <c r="N405" s="18" t="s">
        <v>308</v>
      </c>
      <c r="O405" s="18">
        <v>1</v>
      </c>
      <c r="P405" s="18" t="s">
        <v>933</v>
      </c>
      <c r="Q405" s="18" t="s">
        <v>946</v>
      </c>
      <c r="R405" s="18" t="s">
        <v>308</v>
      </c>
      <c r="S405" s="18"/>
      <c r="T405" s="18" t="str">
        <f t="shared" si="12"/>
        <v>Current</v>
      </c>
      <c r="U405" s="18" t="str">
        <f t="shared" si="13"/>
        <v>Robin Cooper|Automation Test Execution</v>
      </c>
    </row>
    <row r="406" spans="1:21">
      <c r="A406" s="10">
        <v>45996</v>
      </c>
      <c r="B406" s="4" t="s">
        <v>128</v>
      </c>
      <c r="C406" s="4" t="s">
        <v>929</v>
      </c>
      <c r="D406" s="8">
        <v>1</v>
      </c>
      <c r="E406" s="5">
        <v>45994</v>
      </c>
      <c r="F406" s="5">
        <v>45994</v>
      </c>
      <c r="G406" s="8" t="s">
        <v>930</v>
      </c>
      <c r="H406" s="8" t="s">
        <v>410</v>
      </c>
      <c r="I406" s="8" t="s">
        <v>411</v>
      </c>
      <c r="J406" s="4"/>
      <c r="K406" s="64">
        <v>403</v>
      </c>
      <c r="L406" s="18" t="s">
        <v>1006</v>
      </c>
      <c r="M406" s="19" t="s">
        <v>1000</v>
      </c>
      <c r="N406" s="18" t="s">
        <v>308</v>
      </c>
      <c r="O406" s="18">
        <v>1</v>
      </c>
      <c r="P406" s="18" t="s">
        <v>933</v>
      </c>
      <c r="Q406" s="18" t="s">
        <v>934</v>
      </c>
      <c r="R406" s="18" t="s">
        <v>308</v>
      </c>
      <c r="S406" s="18"/>
      <c r="T406" s="18" t="str">
        <f t="shared" si="12"/>
        <v>Historical</v>
      </c>
      <c r="U406" s="18" t="str">
        <f t="shared" si="13"/>
        <v/>
      </c>
    </row>
    <row r="407" spans="1:21">
      <c r="A407" s="10">
        <v>46051</v>
      </c>
      <c r="B407" s="4" t="s">
        <v>128</v>
      </c>
      <c r="C407" s="4" t="s">
        <v>929</v>
      </c>
      <c r="D407" s="8">
        <v>2</v>
      </c>
      <c r="E407" s="5">
        <v>46047</v>
      </c>
      <c r="F407" s="5">
        <v>46048</v>
      </c>
      <c r="G407" s="8" t="s">
        <v>930</v>
      </c>
      <c r="H407" s="8" t="s">
        <v>419</v>
      </c>
      <c r="I407" s="8" t="s">
        <v>411</v>
      </c>
      <c r="J407" s="4"/>
      <c r="K407" s="64">
        <v>404</v>
      </c>
      <c r="L407" s="18" t="s">
        <v>1007</v>
      </c>
      <c r="M407" s="19" t="s">
        <v>1000</v>
      </c>
      <c r="N407" s="18" t="s">
        <v>308</v>
      </c>
      <c r="O407" s="18">
        <v>1</v>
      </c>
      <c r="P407" s="18" t="s">
        <v>933</v>
      </c>
      <c r="Q407" s="18" t="s">
        <v>934</v>
      </c>
      <c r="R407" s="18" t="s">
        <v>308</v>
      </c>
      <c r="S407" s="18">
        <v>1</v>
      </c>
      <c r="T407" s="18" t="str">
        <f t="shared" si="12"/>
        <v>Current</v>
      </c>
      <c r="U407" s="18" t="str">
        <f t="shared" si="13"/>
        <v>Robin Cooper|Regression Testing</v>
      </c>
    </row>
    <row r="408" spans="1:21">
      <c r="A408" s="10">
        <v>46003</v>
      </c>
      <c r="B408" s="4" t="s">
        <v>128</v>
      </c>
      <c r="C408" s="4" t="s">
        <v>949</v>
      </c>
      <c r="D408" s="8">
        <v>1</v>
      </c>
      <c r="E408" s="5">
        <v>46000</v>
      </c>
      <c r="F408" s="5">
        <v>46000</v>
      </c>
      <c r="G408" s="8" t="s">
        <v>930</v>
      </c>
      <c r="H408" s="8" t="s">
        <v>410</v>
      </c>
      <c r="I408" s="8" t="s">
        <v>411</v>
      </c>
      <c r="J408" s="4"/>
      <c r="K408" s="64">
        <v>405</v>
      </c>
      <c r="L408" s="18" t="s">
        <v>1008</v>
      </c>
      <c r="M408" s="19" t="s">
        <v>1000</v>
      </c>
      <c r="N408" s="18" t="s">
        <v>308</v>
      </c>
      <c r="O408" s="18">
        <v>1</v>
      </c>
      <c r="P408" s="18" t="s">
        <v>933</v>
      </c>
      <c r="Q408" s="18" t="s">
        <v>951</v>
      </c>
      <c r="R408" s="18" t="s">
        <v>308</v>
      </c>
      <c r="S408" s="18"/>
      <c r="T408" s="18" t="str">
        <f t="shared" si="12"/>
        <v>Historical</v>
      </c>
      <c r="U408" s="18" t="str">
        <f t="shared" si="13"/>
        <v/>
      </c>
    </row>
    <row r="409" spans="1:21">
      <c r="A409" s="10">
        <v>46056</v>
      </c>
      <c r="B409" s="4" t="s">
        <v>128</v>
      </c>
      <c r="C409" s="4" t="s">
        <v>949</v>
      </c>
      <c r="D409" s="8">
        <v>2</v>
      </c>
      <c r="E409" s="5">
        <v>46053</v>
      </c>
      <c r="F409" s="5">
        <v>46054</v>
      </c>
      <c r="G409" s="8" t="s">
        <v>930</v>
      </c>
      <c r="H409" s="8" t="s">
        <v>419</v>
      </c>
      <c r="I409" s="8" t="s">
        <v>411</v>
      </c>
      <c r="J409" s="4"/>
      <c r="K409" s="64">
        <v>406</v>
      </c>
      <c r="L409" s="18" t="s">
        <v>1009</v>
      </c>
      <c r="M409" s="19" t="s">
        <v>1000</v>
      </c>
      <c r="N409" s="18" t="s">
        <v>308</v>
      </c>
      <c r="O409" s="18">
        <v>1</v>
      </c>
      <c r="P409" s="18" t="s">
        <v>933</v>
      </c>
      <c r="Q409" s="18" t="s">
        <v>951</v>
      </c>
      <c r="R409" s="18" t="s">
        <v>308</v>
      </c>
      <c r="S409" s="18">
        <v>1</v>
      </c>
      <c r="T409" s="18" t="str">
        <f t="shared" si="12"/>
        <v>Historical</v>
      </c>
      <c r="U409" s="18" t="str">
        <f t="shared" si="13"/>
        <v/>
      </c>
    </row>
    <row r="410" spans="1:21">
      <c r="A410" s="10">
        <v>46081</v>
      </c>
      <c r="B410" s="4" t="s">
        <v>128</v>
      </c>
      <c r="C410" s="4" t="s">
        <v>949</v>
      </c>
      <c r="D410" s="8">
        <v>3</v>
      </c>
      <c r="E410" s="5">
        <v>46080</v>
      </c>
      <c r="F410" s="5">
        <v>46083</v>
      </c>
      <c r="G410" s="8" t="s">
        <v>930</v>
      </c>
      <c r="H410" s="8" t="s">
        <v>419</v>
      </c>
      <c r="I410" s="8" t="s">
        <v>411</v>
      </c>
      <c r="J410" s="4"/>
      <c r="K410" s="64">
        <v>407</v>
      </c>
      <c r="L410" s="18" t="s">
        <v>1010</v>
      </c>
      <c r="M410" s="19" t="s">
        <v>1000</v>
      </c>
      <c r="N410" s="18" t="s">
        <v>308</v>
      </c>
      <c r="O410" s="18">
        <v>1</v>
      </c>
      <c r="P410" s="18" t="s">
        <v>933</v>
      </c>
      <c r="Q410" s="18" t="s">
        <v>951</v>
      </c>
      <c r="R410" s="18" t="s">
        <v>308</v>
      </c>
      <c r="S410" s="18">
        <v>2</v>
      </c>
      <c r="T410" s="18" t="str">
        <f t="shared" si="12"/>
        <v>Current</v>
      </c>
      <c r="U410" s="18" t="str">
        <f t="shared" si="13"/>
        <v>Robin Cooper|Exploratory Testing</v>
      </c>
    </row>
    <row r="411" spans="1:21">
      <c r="A411" s="10">
        <v>46180</v>
      </c>
      <c r="B411" s="4" t="s">
        <v>128</v>
      </c>
      <c r="C411" s="4" t="s">
        <v>1011</v>
      </c>
      <c r="D411" s="8">
        <v>1</v>
      </c>
      <c r="E411" s="5">
        <v>46177</v>
      </c>
      <c r="F411" s="5">
        <v>46177</v>
      </c>
      <c r="G411" s="8" t="s">
        <v>930</v>
      </c>
      <c r="H411" s="8" t="s">
        <v>410</v>
      </c>
      <c r="I411" s="8" t="s">
        <v>411</v>
      </c>
      <c r="J411" s="4"/>
      <c r="K411" s="64">
        <v>408</v>
      </c>
      <c r="L411" s="18" t="s">
        <v>1012</v>
      </c>
      <c r="M411" s="19" t="s">
        <v>1000</v>
      </c>
      <c r="N411" s="18" t="s">
        <v>308</v>
      </c>
      <c r="O411" s="18">
        <v>1</v>
      </c>
      <c r="P411" s="18" t="s">
        <v>933</v>
      </c>
      <c r="Q411" s="18" t="s">
        <v>1013</v>
      </c>
      <c r="R411" s="18" t="s">
        <v>311</v>
      </c>
      <c r="S411" s="18"/>
      <c r="T411" s="18" t="str">
        <f t="shared" si="12"/>
        <v>Historical</v>
      </c>
      <c r="U411" s="18" t="str">
        <f t="shared" si="13"/>
        <v/>
      </c>
    </row>
    <row r="412" spans="1:21">
      <c r="A412" s="10">
        <v>46223</v>
      </c>
      <c r="B412" s="4" t="s">
        <v>128</v>
      </c>
      <c r="C412" s="4" t="s">
        <v>1011</v>
      </c>
      <c r="D412" s="8">
        <v>2</v>
      </c>
      <c r="E412" s="5">
        <v>46220</v>
      </c>
      <c r="F412" s="5">
        <v>46222</v>
      </c>
      <c r="G412" s="8" t="s">
        <v>930</v>
      </c>
      <c r="H412" s="8" t="s">
        <v>419</v>
      </c>
      <c r="I412" s="8" t="s">
        <v>411</v>
      </c>
      <c r="J412" s="4"/>
      <c r="K412" s="64">
        <v>409</v>
      </c>
      <c r="L412" s="18" t="s">
        <v>1014</v>
      </c>
      <c r="M412" s="19" t="s">
        <v>1000</v>
      </c>
      <c r="N412" s="18" t="s">
        <v>308</v>
      </c>
      <c r="O412" s="18">
        <v>1</v>
      </c>
      <c r="P412" s="18" t="s">
        <v>933</v>
      </c>
      <c r="Q412" s="18" t="s">
        <v>1013</v>
      </c>
      <c r="R412" s="18" t="s">
        <v>311</v>
      </c>
      <c r="S412" s="18">
        <v>1</v>
      </c>
      <c r="T412" s="18" t="str">
        <f t="shared" si="12"/>
        <v>Current</v>
      </c>
      <c r="U412" s="18" t="str">
        <f t="shared" si="13"/>
        <v>Robin Cooper|Vulnerability Scanning</v>
      </c>
    </row>
    <row r="413" spans="1:21">
      <c r="A413" s="10">
        <v>45803</v>
      </c>
      <c r="B413" s="4" t="s">
        <v>128</v>
      </c>
      <c r="C413" s="4" t="s">
        <v>483</v>
      </c>
      <c r="D413" s="8">
        <v>1</v>
      </c>
      <c r="E413" s="5">
        <v>45799</v>
      </c>
      <c r="F413" s="5">
        <v>45800</v>
      </c>
      <c r="G413" s="8" t="s">
        <v>930</v>
      </c>
      <c r="H413" s="8" t="s">
        <v>410</v>
      </c>
      <c r="I413" s="8" t="s">
        <v>411</v>
      </c>
      <c r="J413" s="4"/>
      <c r="K413" s="64">
        <v>410</v>
      </c>
      <c r="L413" s="18" t="s">
        <v>1015</v>
      </c>
      <c r="M413" s="19" t="s">
        <v>1000</v>
      </c>
      <c r="N413" s="18" t="s">
        <v>308</v>
      </c>
      <c r="O413" s="18">
        <v>1</v>
      </c>
      <c r="P413" s="18" t="s">
        <v>933</v>
      </c>
      <c r="Q413" s="18" t="s">
        <v>485</v>
      </c>
      <c r="R413" s="18" t="s">
        <v>304</v>
      </c>
      <c r="S413" s="18"/>
      <c r="T413" s="18" t="str">
        <f t="shared" si="12"/>
        <v>Historical</v>
      </c>
      <c r="U413" s="18" t="str">
        <f t="shared" si="13"/>
        <v/>
      </c>
    </row>
    <row r="414" spans="1:21">
      <c r="A414" s="10">
        <v>45882</v>
      </c>
      <c r="B414" s="4" t="s">
        <v>128</v>
      </c>
      <c r="C414" s="4" t="s">
        <v>483</v>
      </c>
      <c r="D414" s="8">
        <v>2</v>
      </c>
      <c r="E414" s="5">
        <v>45877</v>
      </c>
      <c r="F414" s="5">
        <v>45879</v>
      </c>
      <c r="G414" s="8" t="s">
        <v>930</v>
      </c>
      <c r="H414" s="8" t="s">
        <v>419</v>
      </c>
      <c r="I414" s="8" t="s">
        <v>411</v>
      </c>
      <c r="J414" s="4"/>
      <c r="K414" s="64">
        <v>411</v>
      </c>
      <c r="L414" s="18" t="s">
        <v>1016</v>
      </c>
      <c r="M414" s="19" t="s">
        <v>1000</v>
      </c>
      <c r="N414" s="18" t="s">
        <v>308</v>
      </c>
      <c r="O414" s="18">
        <v>1</v>
      </c>
      <c r="P414" s="18" t="s">
        <v>933</v>
      </c>
      <c r="Q414" s="18" t="s">
        <v>485</v>
      </c>
      <c r="R414" s="18" t="s">
        <v>304</v>
      </c>
      <c r="S414" s="18">
        <v>1</v>
      </c>
      <c r="T414" s="18" t="str">
        <f t="shared" si="12"/>
        <v>Historical</v>
      </c>
      <c r="U414" s="18" t="str">
        <f t="shared" si="13"/>
        <v/>
      </c>
    </row>
    <row r="415" spans="1:21">
      <c r="A415" s="10">
        <v>45955</v>
      </c>
      <c r="B415" s="4" t="s">
        <v>128</v>
      </c>
      <c r="C415" s="4" t="s">
        <v>483</v>
      </c>
      <c r="D415" s="8">
        <v>3</v>
      </c>
      <c r="E415" s="5">
        <v>45950</v>
      </c>
      <c r="F415" s="5">
        <v>45953</v>
      </c>
      <c r="G415" s="8" t="s">
        <v>930</v>
      </c>
      <c r="H415" s="8" t="s">
        <v>419</v>
      </c>
      <c r="I415" s="8" t="s">
        <v>411</v>
      </c>
      <c r="J415" s="4"/>
      <c r="K415" s="64">
        <v>412</v>
      </c>
      <c r="L415" s="18" t="s">
        <v>1017</v>
      </c>
      <c r="M415" s="19" t="s">
        <v>1000</v>
      </c>
      <c r="N415" s="18" t="s">
        <v>308</v>
      </c>
      <c r="O415" s="18">
        <v>1</v>
      </c>
      <c r="P415" s="18" t="s">
        <v>933</v>
      </c>
      <c r="Q415" s="18" t="s">
        <v>485</v>
      </c>
      <c r="R415" s="18" t="s">
        <v>304</v>
      </c>
      <c r="S415" s="18">
        <v>2</v>
      </c>
      <c r="T415" s="18" t="str">
        <f t="shared" si="12"/>
        <v>Current</v>
      </c>
      <c r="U415" s="18" t="str">
        <f t="shared" si="13"/>
        <v>Robin Cooper|Support QA Review</v>
      </c>
    </row>
    <row r="416" spans="1:21">
      <c r="A416" s="10">
        <v>45888</v>
      </c>
      <c r="B416" s="4" t="s">
        <v>128</v>
      </c>
      <c r="C416" s="4" t="s">
        <v>830</v>
      </c>
      <c r="D416" s="8">
        <v>3</v>
      </c>
      <c r="E416" s="5">
        <v>45886</v>
      </c>
      <c r="F416" s="5">
        <v>45886</v>
      </c>
      <c r="G416" s="8" t="s">
        <v>930</v>
      </c>
      <c r="H416" s="8" t="s">
        <v>410</v>
      </c>
      <c r="I416" s="8" t="s">
        <v>411</v>
      </c>
      <c r="J416" s="4"/>
      <c r="K416" s="64">
        <v>413</v>
      </c>
      <c r="L416" s="18" t="s">
        <v>1018</v>
      </c>
      <c r="M416" s="19" t="s">
        <v>1000</v>
      </c>
      <c r="N416" s="18" t="s">
        <v>308</v>
      </c>
      <c r="O416" s="18">
        <v>1</v>
      </c>
      <c r="P416" s="18" t="s">
        <v>933</v>
      </c>
      <c r="Q416" s="18" t="s">
        <v>832</v>
      </c>
      <c r="R416" s="18" t="s">
        <v>307</v>
      </c>
      <c r="S416" s="18"/>
      <c r="T416" s="18" t="str">
        <f t="shared" si="12"/>
        <v>Current</v>
      </c>
      <c r="U416" s="18" t="str">
        <f t="shared" si="13"/>
        <v>Robin Cooper|Device Provisioning Specialist</v>
      </c>
    </row>
    <row r="417" spans="1:21">
      <c r="A417" s="10">
        <v>46034</v>
      </c>
      <c r="B417" s="4" t="s">
        <v>128</v>
      </c>
      <c r="C417" s="4" t="s">
        <v>468</v>
      </c>
      <c r="D417" s="8">
        <v>3</v>
      </c>
      <c r="E417" s="5">
        <v>46033</v>
      </c>
      <c r="F417" s="5">
        <v>46033</v>
      </c>
      <c r="G417" s="8" t="s">
        <v>930</v>
      </c>
      <c r="H417" s="8" t="s">
        <v>410</v>
      </c>
      <c r="I417" s="8" t="s">
        <v>411</v>
      </c>
      <c r="J417" s="4"/>
      <c r="K417" s="64">
        <v>414</v>
      </c>
      <c r="L417" s="18" t="s">
        <v>1019</v>
      </c>
      <c r="M417" s="19" t="s">
        <v>1000</v>
      </c>
      <c r="N417" s="18" t="s">
        <v>308</v>
      </c>
      <c r="O417" s="18">
        <v>1</v>
      </c>
      <c r="P417" s="18" t="s">
        <v>933</v>
      </c>
      <c r="Q417" s="18" t="s">
        <v>470</v>
      </c>
      <c r="R417" s="18" t="s">
        <v>213</v>
      </c>
      <c r="S417" s="18"/>
      <c r="T417" s="18" t="str">
        <f t="shared" si="12"/>
        <v>Current</v>
      </c>
      <c r="U417" s="18" t="str">
        <f t="shared" si="13"/>
        <v>Robin Cooper|Business Continuity Basics</v>
      </c>
    </row>
    <row r="418" spans="1:21">
      <c r="A418" s="10">
        <v>46120</v>
      </c>
      <c r="B418" s="4" t="s">
        <v>131</v>
      </c>
      <c r="C418" s="4" t="s">
        <v>941</v>
      </c>
      <c r="D418" s="8">
        <v>3</v>
      </c>
      <c r="E418" s="5">
        <v>46119</v>
      </c>
      <c r="F418" s="5">
        <v>46122</v>
      </c>
      <c r="G418" s="8" t="s">
        <v>930</v>
      </c>
      <c r="H418" s="8" t="s">
        <v>410</v>
      </c>
      <c r="I418" s="8" t="s">
        <v>411</v>
      </c>
      <c r="J418" s="4"/>
      <c r="K418" s="64">
        <v>415</v>
      </c>
      <c r="L418" s="18" t="s">
        <v>1020</v>
      </c>
      <c r="M418" s="19" t="s">
        <v>1021</v>
      </c>
      <c r="N418" s="18" t="s">
        <v>308</v>
      </c>
      <c r="O418" s="18">
        <v>2</v>
      </c>
      <c r="P418" s="18" t="s">
        <v>933</v>
      </c>
      <c r="Q418" s="18" t="s">
        <v>943</v>
      </c>
      <c r="R418" s="18" t="s">
        <v>308</v>
      </c>
      <c r="S418" s="18"/>
      <c r="T418" s="18" t="str">
        <f t="shared" si="12"/>
        <v>Current</v>
      </c>
      <c r="U418" s="18" t="str">
        <f t="shared" si="13"/>
        <v>Sam Murphy|Browser Compatibility Testing</v>
      </c>
    </row>
    <row r="419" spans="1:21">
      <c r="A419" s="10">
        <v>46092</v>
      </c>
      <c r="B419" s="4" t="s">
        <v>131</v>
      </c>
      <c r="C419" s="4" t="s">
        <v>944</v>
      </c>
      <c r="D419" s="8">
        <v>1</v>
      </c>
      <c r="E419" s="5">
        <v>46088</v>
      </c>
      <c r="F419" s="5">
        <v>46088</v>
      </c>
      <c r="G419" s="8" t="s">
        <v>930</v>
      </c>
      <c r="H419" s="8" t="s">
        <v>410</v>
      </c>
      <c r="I419" s="8" t="s">
        <v>411</v>
      </c>
      <c r="J419" s="4"/>
      <c r="K419" s="64">
        <v>416</v>
      </c>
      <c r="L419" s="18" t="s">
        <v>1022</v>
      </c>
      <c r="M419" s="19" t="s">
        <v>1021</v>
      </c>
      <c r="N419" s="18" t="s">
        <v>308</v>
      </c>
      <c r="O419" s="18">
        <v>2</v>
      </c>
      <c r="P419" s="18" t="s">
        <v>933</v>
      </c>
      <c r="Q419" s="18" t="s">
        <v>946</v>
      </c>
      <c r="R419" s="18" t="s">
        <v>308</v>
      </c>
      <c r="S419" s="18"/>
      <c r="T419" s="18" t="str">
        <f t="shared" si="12"/>
        <v>Current</v>
      </c>
      <c r="U419" s="18" t="str">
        <f t="shared" si="13"/>
        <v>Sam Murphy|Automation Test Execution</v>
      </c>
    </row>
    <row r="420" spans="1:21">
      <c r="A420" s="10">
        <v>45979</v>
      </c>
      <c r="B420" s="4" t="s">
        <v>131</v>
      </c>
      <c r="C420" s="4" t="s">
        <v>929</v>
      </c>
      <c r="D420" s="8">
        <v>3</v>
      </c>
      <c r="E420" s="5">
        <v>45978</v>
      </c>
      <c r="F420" s="5">
        <v>45981</v>
      </c>
      <c r="G420" s="8" t="s">
        <v>930</v>
      </c>
      <c r="H420" s="8" t="s">
        <v>410</v>
      </c>
      <c r="I420" s="8" t="s">
        <v>411</v>
      </c>
      <c r="J420" s="4"/>
      <c r="K420" s="64">
        <v>417</v>
      </c>
      <c r="L420" s="18" t="s">
        <v>1023</v>
      </c>
      <c r="M420" s="19" t="s">
        <v>1021</v>
      </c>
      <c r="N420" s="18" t="s">
        <v>308</v>
      </c>
      <c r="O420" s="18">
        <v>2</v>
      </c>
      <c r="P420" s="18" t="s">
        <v>933</v>
      </c>
      <c r="Q420" s="18" t="s">
        <v>934</v>
      </c>
      <c r="R420" s="18" t="s">
        <v>308</v>
      </c>
      <c r="S420" s="18"/>
      <c r="T420" s="18" t="str">
        <f t="shared" si="12"/>
        <v>Current</v>
      </c>
      <c r="U420" s="18" t="str">
        <f t="shared" si="13"/>
        <v>Sam Murphy|Regression Testing</v>
      </c>
    </row>
    <row r="421" spans="1:21">
      <c r="A421" s="10">
        <v>45891</v>
      </c>
      <c r="B421" s="4" t="s">
        <v>131</v>
      </c>
      <c r="C421" s="4" t="s">
        <v>949</v>
      </c>
      <c r="D421" s="8">
        <v>1</v>
      </c>
      <c r="E421" s="5">
        <v>45886</v>
      </c>
      <c r="F421" s="5">
        <v>45886</v>
      </c>
      <c r="G421" s="8" t="s">
        <v>930</v>
      </c>
      <c r="H421" s="8" t="s">
        <v>410</v>
      </c>
      <c r="I421" s="8" t="s">
        <v>411</v>
      </c>
      <c r="J421" s="4"/>
      <c r="K421" s="64">
        <v>418</v>
      </c>
      <c r="L421" s="18" t="s">
        <v>1024</v>
      </c>
      <c r="M421" s="19" t="s">
        <v>1021</v>
      </c>
      <c r="N421" s="18" t="s">
        <v>308</v>
      </c>
      <c r="O421" s="18">
        <v>2</v>
      </c>
      <c r="P421" s="18" t="s">
        <v>933</v>
      </c>
      <c r="Q421" s="18" t="s">
        <v>951</v>
      </c>
      <c r="R421" s="18" t="s">
        <v>308</v>
      </c>
      <c r="S421" s="18"/>
      <c r="T421" s="18" t="str">
        <f t="shared" si="12"/>
        <v>Historical</v>
      </c>
      <c r="U421" s="18" t="str">
        <f t="shared" si="13"/>
        <v/>
      </c>
    </row>
    <row r="422" spans="1:21">
      <c r="A422" s="10">
        <v>45915</v>
      </c>
      <c r="B422" s="4" t="s">
        <v>131</v>
      </c>
      <c r="C422" s="4" t="s">
        <v>949</v>
      </c>
      <c r="D422" s="8">
        <v>2</v>
      </c>
      <c r="E422" s="5">
        <v>45911</v>
      </c>
      <c r="F422" s="5">
        <v>45913</v>
      </c>
      <c r="G422" s="8" t="s">
        <v>930</v>
      </c>
      <c r="H422" s="8" t="s">
        <v>419</v>
      </c>
      <c r="I422" s="8" t="s">
        <v>411</v>
      </c>
      <c r="J422" s="4"/>
      <c r="K422" s="64">
        <v>419</v>
      </c>
      <c r="L422" s="18" t="s">
        <v>1025</v>
      </c>
      <c r="M422" s="19" t="s">
        <v>1021</v>
      </c>
      <c r="N422" s="18" t="s">
        <v>308</v>
      </c>
      <c r="O422" s="18">
        <v>2</v>
      </c>
      <c r="P422" s="18" t="s">
        <v>933</v>
      </c>
      <c r="Q422" s="18" t="s">
        <v>951</v>
      </c>
      <c r="R422" s="18" t="s">
        <v>308</v>
      </c>
      <c r="S422" s="18">
        <v>1</v>
      </c>
      <c r="T422" s="18" t="str">
        <f t="shared" si="12"/>
        <v>Current</v>
      </c>
      <c r="U422" s="18" t="str">
        <f t="shared" si="13"/>
        <v>Sam Murphy|Exploratory Testing</v>
      </c>
    </row>
    <row r="423" spans="1:21">
      <c r="A423" s="10">
        <v>45725</v>
      </c>
      <c r="B423" s="4" t="s">
        <v>131</v>
      </c>
      <c r="C423" s="4" t="s">
        <v>984</v>
      </c>
      <c r="D423" s="8">
        <v>3</v>
      </c>
      <c r="E423" s="5">
        <v>45724</v>
      </c>
      <c r="F423" s="5">
        <v>45727</v>
      </c>
      <c r="G423" s="8" t="s">
        <v>930</v>
      </c>
      <c r="H423" s="8" t="s">
        <v>410</v>
      </c>
      <c r="I423" s="8" t="s">
        <v>411</v>
      </c>
      <c r="J423" s="4"/>
      <c r="K423" s="64">
        <v>420</v>
      </c>
      <c r="L423" s="18" t="s">
        <v>1026</v>
      </c>
      <c r="M423" s="19" t="s">
        <v>1021</v>
      </c>
      <c r="N423" s="18" t="s">
        <v>308</v>
      </c>
      <c r="O423" s="18">
        <v>2</v>
      </c>
      <c r="P423" s="18" t="s">
        <v>933</v>
      </c>
      <c r="Q423" s="18" t="s">
        <v>986</v>
      </c>
      <c r="R423" s="18" t="s">
        <v>308</v>
      </c>
      <c r="S423" s="18"/>
      <c r="T423" s="18" t="str">
        <f t="shared" si="12"/>
        <v>Current</v>
      </c>
      <c r="U423" s="18" t="str">
        <f t="shared" si="13"/>
        <v>Sam Murphy|Test Case Design</v>
      </c>
    </row>
    <row r="424" spans="1:21">
      <c r="A424" s="10">
        <v>46083</v>
      </c>
      <c r="B424" s="4" t="s">
        <v>131</v>
      </c>
      <c r="C424" s="4" t="s">
        <v>1027</v>
      </c>
      <c r="D424" s="8">
        <v>1</v>
      </c>
      <c r="E424" s="5">
        <v>46081</v>
      </c>
      <c r="F424" s="5">
        <v>46082</v>
      </c>
      <c r="G424" s="8" t="s">
        <v>930</v>
      </c>
      <c r="H424" s="8" t="s">
        <v>410</v>
      </c>
      <c r="I424" s="8" t="s">
        <v>411</v>
      </c>
      <c r="J424" s="4"/>
      <c r="K424" s="64">
        <v>421</v>
      </c>
      <c r="L424" s="18" t="s">
        <v>1028</v>
      </c>
      <c r="M424" s="19" t="s">
        <v>1021</v>
      </c>
      <c r="N424" s="18" t="s">
        <v>308</v>
      </c>
      <c r="O424" s="18">
        <v>2</v>
      </c>
      <c r="P424" s="18" t="s">
        <v>933</v>
      </c>
      <c r="Q424" s="18" t="s">
        <v>1029</v>
      </c>
      <c r="R424" s="18" t="s">
        <v>309</v>
      </c>
      <c r="S424" s="18"/>
      <c r="T424" s="18" t="str">
        <f t="shared" si="12"/>
        <v>Current</v>
      </c>
      <c r="U424" s="18" t="str">
        <f t="shared" si="13"/>
        <v>Sam Murphy|Secrets Management</v>
      </c>
    </row>
    <row r="425" spans="1:21">
      <c r="A425" s="10">
        <v>46096</v>
      </c>
      <c r="B425" s="4" t="s">
        <v>131</v>
      </c>
      <c r="C425" s="4" t="s">
        <v>432</v>
      </c>
      <c r="D425" s="8">
        <v>3</v>
      </c>
      <c r="E425" s="5">
        <v>46093</v>
      </c>
      <c r="F425" s="5">
        <v>46096</v>
      </c>
      <c r="G425" s="8" t="s">
        <v>930</v>
      </c>
      <c r="H425" s="8" t="s">
        <v>410</v>
      </c>
      <c r="I425" s="8" t="s">
        <v>411</v>
      </c>
      <c r="J425" s="4"/>
      <c r="K425" s="64">
        <v>422</v>
      </c>
      <c r="L425" s="18" t="s">
        <v>1030</v>
      </c>
      <c r="M425" s="19" t="s">
        <v>1021</v>
      </c>
      <c r="N425" s="18" t="s">
        <v>308</v>
      </c>
      <c r="O425" s="18">
        <v>2</v>
      </c>
      <c r="P425" s="18" t="s">
        <v>933</v>
      </c>
      <c r="Q425" s="18" t="s">
        <v>434</v>
      </c>
      <c r="R425" s="18" t="s">
        <v>304</v>
      </c>
      <c r="S425" s="18"/>
      <c r="T425" s="18" t="str">
        <f t="shared" si="12"/>
        <v>Current</v>
      </c>
      <c r="U425" s="18" t="str">
        <f t="shared" si="13"/>
        <v>Sam Murphy|Customer Configuration Support</v>
      </c>
    </row>
    <row r="426" spans="1:21">
      <c r="A426" s="10">
        <v>46053</v>
      </c>
      <c r="B426" s="4" t="s">
        <v>131</v>
      </c>
      <c r="C426" s="4" t="s">
        <v>1031</v>
      </c>
      <c r="D426" s="8">
        <v>3</v>
      </c>
      <c r="E426" s="5">
        <v>46049</v>
      </c>
      <c r="F426" s="5">
        <v>46049</v>
      </c>
      <c r="G426" s="8" t="s">
        <v>930</v>
      </c>
      <c r="H426" s="8" t="s">
        <v>410</v>
      </c>
      <c r="I426" s="8" t="s">
        <v>411</v>
      </c>
      <c r="J426" s="4"/>
      <c r="K426" s="64">
        <v>423</v>
      </c>
      <c r="L426" s="18" t="s">
        <v>1032</v>
      </c>
      <c r="M426" s="19" t="s">
        <v>1021</v>
      </c>
      <c r="N426" s="18" t="s">
        <v>308</v>
      </c>
      <c r="O426" s="18">
        <v>2</v>
      </c>
      <c r="P426" s="18" t="s">
        <v>933</v>
      </c>
      <c r="Q426" s="18" t="s">
        <v>1033</v>
      </c>
      <c r="R426" s="18" t="s">
        <v>311</v>
      </c>
      <c r="S426" s="18"/>
      <c r="T426" s="18" t="str">
        <f t="shared" si="12"/>
        <v>Current</v>
      </c>
      <c r="U426" s="18" t="str">
        <f t="shared" si="13"/>
        <v>Sam Murphy|Cloud Security Monitoring</v>
      </c>
    </row>
    <row r="427" spans="1:21">
      <c r="A427" s="10">
        <v>46217</v>
      </c>
      <c r="B427" s="4" t="s">
        <v>131</v>
      </c>
      <c r="C427" s="4" t="s">
        <v>468</v>
      </c>
      <c r="D427" s="8">
        <v>3</v>
      </c>
      <c r="E427" s="5">
        <v>46215</v>
      </c>
      <c r="F427" s="5">
        <v>46217</v>
      </c>
      <c r="G427" s="8" t="s">
        <v>930</v>
      </c>
      <c r="H427" s="8" t="s">
        <v>410</v>
      </c>
      <c r="I427" s="8" t="s">
        <v>411</v>
      </c>
      <c r="J427" s="4"/>
      <c r="K427" s="64">
        <v>424</v>
      </c>
      <c r="L427" s="18" t="s">
        <v>1034</v>
      </c>
      <c r="M427" s="19" t="s">
        <v>1021</v>
      </c>
      <c r="N427" s="18" t="s">
        <v>308</v>
      </c>
      <c r="O427" s="18">
        <v>2</v>
      </c>
      <c r="P427" s="18" t="s">
        <v>933</v>
      </c>
      <c r="Q427" s="18" t="s">
        <v>470</v>
      </c>
      <c r="R427" s="18" t="s">
        <v>213</v>
      </c>
      <c r="S427" s="18"/>
      <c r="T427" s="18" t="str">
        <f t="shared" si="12"/>
        <v>Current</v>
      </c>
      <c r="U427" s="18" t="str">
        <f t="shared" si="13"/>
        <v>Sam Murphy|Business Continuity Basics</v>
      </c>
    </row>
    <row r="428" spans="1:21">
      <c r="A428" s="10">
        <v>46142</v>
      </c>
      <c r="B428" s="4" t="s">
        <v>134</v>
      </c>
      <c r="C428" s="4" t="s">
        <v>929</v>
      </c>
      <c r="D428" s="8">
        <v>3</v>
      </c>
      <c r="E428" s="5">
        <v>46137</v>
      </c>
      <c r="F428" s="5">
        <v>46140</v>
      </c>
      <c r="G428" s="8" t="s">
        <v>930</v>
      </c>
      <c r="H428" s="8" t="s">
        <v>410</v>
      </c>
      <c r="I428" s="8" t="s">
        <v>411</v>
      </c>
      <c r="J428" s="4"/>
      <c r="K428" s="64">
        <v>425</v>
      </c>
      <c r="L428" s="18" t="s">
        <v>1035</v>
      </c>
      <c r="M428" s="19" t="s">
        <v>1036</v>
      </c>
      <c r="N428" s="18" t="s">
        <v>308</v>
      </c>
      <c r="O428" s="18">
        <v>3</v>
      </c>
      <c r="P428" s="18" t="s">
        <v>933</v>
      </c>
      <c r="Q428" s="18" t="s">
        <v>934</v>
      </c>
      <c r="R428" s="18" t="s">
        <v>308</v>
      </c>
      <c r="S428" s="18"/>
      <c r="T428" s="18" t="str">
        <f t="shared" si="12"/>
        <v>Current</v>
      </c>
      <c r="U428" s="18" t="str">
        <f t="shared" si="13"/>
        <v>Bailey Hughes|Regression Testing</v>
      </c>
    </row>
    <row r="429" spans="1:21">
      <c r="A429" s="10">
        <v>45920</v>
      </c>
      <c r="B429" s="4" t="s">
        <v>134</v>
      </c>
      <c r="C429" s="4" t="s">
        <v>941</v>
      </c>
      <c r="D429" s="8">
        <v>3</v>
      </c>
      <c r="E429" s="5">
        <v>45916</v>
      </c>
      <c r="F429" s="5">
        <v>45918</v>
      </c>
      <c r="G429" s="8" t="s">
        <v>930</v>
      </c>
      <c r="H429" s="8" t="s">
        <v>410</v>
      </c>
      <c r="I429" s="8" t="s">
        <v>411</v>
      </c>
      <c r="J429" s="4"/>
      <c r="K429" s="64">
        <v>426</v>
      </c>
      <c r="L429" s="18" t="s">
        <v>1037</v>
      </c>
      <c r="M429" s="19" t="s">
        <v>1036</v>
      </c>
      <c r="N429" s="18" t="s">
        <v>308</v>
      </c>
      <c r="O429" s="18">
        <v>3</v>
      </c>
      <c r="P429" s="18" t="s">
        <v>933</v>
      </c>
      <c r="Q429" s="18" t="s">
        <v>943</v>
      </c>
      <c r="R429" s="18" t="s">
        <v>308</v>
      </c>
      <c r="S429" s="18"/>
      <c r="T429" s="18" t="str">
        <f t="shared" si="12"/>
        <v>Current</v>
      </c>
      <c r="U429" s="18" t="str">
        <f t="shared" si="13"/>
        <v>Bailey Hughes|Browser Compatibility Testing</v>
      </c>
    </row>
    <row r="430" spans="1:21">
      <c r="A430" s="10">
        <v>45857</v>
      </c>
      <c r="B430" s="4" t="s">
        <v>134</v>
      </c>
      <c r="C430" s="4" t="s">
        <v>937</v>
      </c>
      <c r="D430" s="8">
        <v>1</v>
      </c>
      <c r="E430" s="5">
        <v>45856</v>
      </c>
      <c r="F430" s="5">
        <v>45856</v>
      </c>
      <c r="G430" s="8" t="s">
        <v>930</v>
      </c>
      <c r="H430" s="8" t="s">
        <v>410</v>
      </c>
      <c r="I430" s="8" t="s">
        <v>411</v>
      </c>
      <c r="J430" s="4"/>
      <c r="K430" s="64">
        <v>427</v>
      </c>
      <c r="L430" s="18" t="s">
        <v>1038</v>
      </c>
      <c r="M430" s="19" t="s">
        <v>1036</v>
      </c>
      <c r="N430" s="18" t="s">
        <v>308</v>
      </c>
      <c r="O430" s="18">
        <v>3</v>
      </c>
      <c r="P430" s="18" t="s">
        <v>933</v>
      </c>
      <c r="Q430" s="18" t="s">
        <v>939</v>
      </c>
      <c r="R430" s="18" t="s">
        <v>308</v>
      </c>
      <c r="S430" s="18"/>
      <c r="T430" s="18" t="str">
        <f t="shared" si="12"/>
        <v>Current</v>
      </c>
      <c r="U430" s="18" t="str">
        <f t="shared" si="13"/>
        <v>Bailey Hughes|Defect Documentation</v>
      </c>
    </row>
    <row r="431" spans="1:21">
      <c r="A431" s="10">
        <v>45681</v>
      </c>
      <c r="B431" s="4" t="s">
        <v>134</v>
      </c>
      <c r="C431" s="4" t="s">
        <v>949</v>
      </c>
      <c r="D431" s="8">
        <v>1</v>
      </c>
      <c r="E431" s="5">
        <v>45679</v>
      </c>
      <c r="F431" s="5">
        <v>45680</v>
      </c>
      <c r="G431" s="8" t="s">
        <v>930</v>
      </c>
      <c r="H431" s="8" t="s">
        <v>410</v>
      </c>
      <c r="I431" s="8" t="s">
        <v>411</v>
      </c>
      <c r="J431" s="4"/>
      <c r="K431" s="64">
        <v>428</v>
      </c>
      <c r="L431" s="18" t="s">
        <v>1039</v>
      </c>
      <c r="M431" s="19" t="s">
        <v>1036</v>
      </c>
      <c r="N431" s="18" t="s">
        <v>308</v>
      </c>
      <c r="O431" s="18">
        <v>3</v>
      </c>
      <c r="P431" s="18" t="s">
        <v>933</v>
      </c>
      <c r="Q431" s="18" t="s">
        <v>951</v>
      </c>
      <c r="R431" s="18" t="s">
        <v>308</v>
      </c>
      <c r="S431" s="18"/>
      <c r="T431" s="18" t="str">
        <f t="shared" si="12"/>
        <v>Historical</v>
      </c>
      <c r="U431" s="18" t="str">
        <f t="shared" si="13"/>
        <v/>
      </c>
    </row>
    <row r="432" spans="1:21">
      <c r="A432" s="10">
        <v>45708</v>
      </c>
      <c r="B432" s="4" t="s">
        <v>134</v>
      </c>
      <c r="C432" s="4" t="s">
        <v>949</v>
      </c>
      <c r="D432" s="8">
        <v>2</v>
      </c>
      <c r="E432" s="5">
        <v>45707</v>
      </c>
      <c r="F432" s="5">
        <v>45707</v>
      </c>
      <c r="G432" s="8" t="s">
        <v>930</v>
      </c>
      <c r="H432" s="8" t="s">
        <v>419</v>
      </c>
      <c r="I432" s="8" t="s">
        <v>411</v>
      </c>
      <c r="J432" s="4"/>
      <c r="K432" s="64">
        <v>429</v>
      </c>
      <c r="L432" s="18" t="s">
        <v>1040</v>
      </c>
      <c r="M432" s="19" t="s">
        <v>1036</v>
      </c>
      <c r="N432" s="18" t="s">
        <v>308</v>
      </c>
      <c r="O432" s="18">
        <v>3</v>
      </c>
      <c r="P432" s="18" t="s">
        <v>933</v>
      </c>
      <c r="Q432" s="18" t="s">
        <v>951</v>
      </c>
      <c r="R432" s="18" t="s">
        <v>308</v>
      </c>
      <c r="S432" s="18">
        <v>1</v>
      </c>
      <c r="T432" s="18" t="str">
        <f t="shared" si="12"/>
        <v>Historical</v>
      </c>
      <c r="U432" s="18" t="str">
        <f t="shared" si="13"/>
        <v/>
      </c>
    </row>
    <row r="433" spans="1:21">
      <c r="A433" s="10">
        <v>45789</v>
      </c>
      <c r="B433" s="4" t="s">
        <v>134</v>
      </c>
      <c r="C433" s="4" t="s">
        <v>949</v>
      </c>
      <c r="D433" s="8">
        <v>3</v>
      </c>
      <c r="E433" s="5">
        <v>45784</v>
      </c>
      <c r="F433" s="5">
        <v>45784</v>
      </c>
      <c r="G433" s="8" t="s">
        <v>930</v>
      </c>
      <c r="H433" s="8" t="s">
        <v>419</v>
      </c>
      <c r="I433" s="8" t="s">
        <v>411</v>
      </c>
      <c r="J433" s="4"/>
      <c r="K433" s="64">
        <v>430</v>
      </c>
      <c r="L433" s="18" t="s">
        <v>1041</v>
      </c>
      <c r="M433" s="19" t="s">
        <v>1036</v>
      </c>
      <c r="N433" s="18" t="s">
        <v>308</v>
      </c>
      <c r="O433" s="18">
        <v>3</v>
      </c>
      <c r="P433" s="18" t="s">
        <v>933</v>
      </c>
      <c r="Q433" s="18" t="s">
        <v>951</v>
      </c>
      <c r="R433" s="18" t="s">
        <v>308</v>
      </c>
      <c r="S433" s="18">
        <v>2</v>
      </c>
      <c r="T433" s="18" t="str">
        <f t="shared" si="12"/>
        <v>Current</v>
      </c>
      <c r="U433" s="18" t="str">
        <f t="shared" si="13"/>
        <v>Bailey Hughes|Exploratory Testing</v>
      </c>
    </row>
    <row r="434" spans="1:21">
      <c r="A434" s="10">
        <v>46114</v>
      </c>
      <c r="B434" s="4" t="s">
        <v>134</v>
      </c>
      <c r="C434" s="4" t="s">
        <v>984</v>
      </c>
      <c r="D434" s="8">
        <v>1</v>
      </c>
      <c r="E434" s="5">
        <v>46112</v>
      </c>
      <c r="F434" s="5">
        <v>46113</v>
      </c>
      <c r="G434" s="8" t="s">
        <v>930</v>
      </c>
      <c r="H434" s="8" t="s">
        <v>410</v>
      </c>
      <c r="I434" s="8" t="s">
        <v>411</v>
      </c>
      <c r="J434" s="4"/>
      <c r="K434" s="64">
        <v>431</v>
      </c>
      <c r="L434" s="18" t="s">
        <v>1042</v>
      </c>
      <c r="M434" s="19" t="s">
        <v>1036</v>
      </c>
      <c r="N434" s="18" t="s">
        <v>308</v>
      </c>
      <c r="O434" s="18">
        <v>3</v>
      </c>
      <c r="P434" s="18" t="s">
        <v>933</v>
      </c>
      <c r="Q434" s="18" t="s">
        <v>986</v>
      </c>
      <c r="R434" s="18" t="s">
        <v>308</v>
      </c>
      <c r="S434" s="18"/>
      <c r="T434" s="18" t="str">
        <f t="shared" si="12"/>
        <v>Historical</v>
      </c>
      <c r="U434" s="18" t="str">
        <f t="shared" si="13"/>
        <v/>
      </c>
    </row>
    <row r="435" spans="1:21">
      <c r="A435" s="10">
        <v>46229</v>
      </c>
      <c r="B435" s="4" t="s">
        <v>134</v>
      </c>
      <c r="C435" s="4" t="s">
        <v>984</v>
      </c>
      <c r="D435" s="8">
        <v>2</v>
      </c>
      <c r="E435" s="5">
        <v>46228</v>
      </c>
      <c r="F435" s="5">
        <v>46229</v>
      </c>
      <c r="G435" s="8" t="s">
        <v>930</v>
      </c>
      <c r="H435" s="8" t="s">
        <v>419</v>
      </c>
      <c r="I435" s="8" t="s">
        <v>411</v>
      </c>
      <c r="J435" s="4"/>
      <c r="K435" s="64">
        <v>432</v>
      </c>
      <c r="L435" s="18" t="s">
        <v>1043</v>
      </c>
      <c r="M435" s="19" t="s">
        <v>1036</v>
      </c>
      <c r="N435" s="18" t="s">
        <v>308</v>
      </c>
      <c r="O435" s="18">
        <v>3</v>
      </c>
      <c r="P435" s="18" t="s">
        <v>933</v>
      </c>
      <c r="Q435" s="18" t="s">
        <v>986</v>
      </c>
      <c r="R435" s="18" t="s">
        <v>308</v>
      </c>
      <c r="S435" s="18">
        <v>1</v>
      </c>
      <c r="T435" s="18" t="str">
        <f t="shared" si="12"/>
        <v>Current</v>
      </c>
      <c r="U435" s="18" t="str">
        <f t="shared" si="13"/>
        <v>Bailey Hughes|Test Case Design</v>
      </c>
    </row>
    <row r="436" spans="1:21">
      <c r="A436" s="10">
        <v>45994</v>
      </c>
      <c r="B436" s="4" t="s">
        <v>134</v>
      </c>
      <c r="C436" s="4" t="s">
        <v>531</v>
      </c>
      <c r="D436" s="8">
        <v>1</v>
      </c>
      <c r="E436" s="5">
        <v>45989</v>
      </c>
      <c r="F436" s="5">
        <v>45991</v>
      </c>
      <c r="G436" s="8" t="s">
        <v>930</v>
      </c>
      <c r="H436" s="8" t="s">
        <v>410</v>
      </c>
      <c r="I436" s="8" t="s">
        <v>411</v>
      </c>
      <c r="J436" s="4"/>
      <c r="K436" s="64">
        <v>433</v>
      </c>
      <c r="L436" s="18" t="s">
        <v>1044</v>
      </c>
      <c r="M436" s="19" t="s">
        <v>1036</v>
      </c>
      <c r="N436" s="18" t="s">
        <v>308</v>
      </c>
      <c r="O436" s="18">
        <v>3</v>
      </c>
      <c r="P436" s="18" t="s">
        <v>933</v>
      </c>
      <c r="Q436" s="18" t="s">
        <v>533</v>
      </c>
      <c r="R436" s="18" t="s">
        <v>213</v>
      </c>
      <c r="S436" s="18"/>
      <c r="T436" s="18" t="str">
        <f t="shared" si="12"/>
        <v>Historical</v>
      </c>
      <c r="U436" s="18" t="str">
        <f t="shared" si="13"/>
        <v/>
      </c>
    </row>
    <row r="437" spans="1:21">
      <c r="A437" s="10">
        <v>46042</v>
      </c>
      <c r="B437" s="4" t="s">
        <v>134</v>
      </c>
      <c r="C437" s="4" t="s">
        <v>531</v>
      </c>
      <c r="D437" s="8">
        <v>2</v>
      </c>
      <c r="E437" s="5">
        <v>46039</v>
      </c>
      <c r="F437" s="5">
        <v>46040</v>
      </c>
      <c r="G437" s="8" t="s">
        <v>930</v>
      </c>
      <c r="H437" s="8" t="s">
        <v>419</v>
      </c>
      <c r="I437" s="8" t="s">
        <v>411</v>
      </c>
      <c r="J437" s="4"/>
      <c r="K437" s="64">
        <v>434</v>
      </c>
      <c r="L437" s="18" t="s">
        <v>1045</v>
      </c>
      <c r="M437" s="19" t="s">
        <v>1036</v>
      </c>
      <c r="N437" s="18" t="s">
        <v>308</v>
      </c>
      <c r="O437" s="18">
        <v>3</v>
      </c>
      <c r="P437" s="18" t="s">
        <v>933</v>
      </c>
      <c r="Q437" s="18" t="s">
        <v>533</v>
      </c>
      <c r="R437" s="18" t="s">
        <v>213</v>
      </c>
      <c r="S437" s="18">
        <v>1</v>
      </c>
      <c r="T437" s="18" t="str">
        <f t="shared" si="12"/>
        <v>Historical</v>
      </c>
      <c r="U437" s="18" t="str">
        <f t="shared" si="13"/>
        <v/>
      </c>
    </row>
    <row r="438" spans="1:21">
      <c r="A438" s="10">
        <v>46148</v>
      </c>
      <c r="B438" s="4" t="s">
        <v>134</v>
      </c>
      <c r="C438" s="4" t="s">
        <v>531</v>
      </c>
      <c r="D438" s="8">
        <v>3</v>
      </c>
      <c r="E438" s="5">
        <v>46143</v>
      </c>
      <c r="F438" s="5">
        <v>46144</v>
      </c>
      <c r="G438" s="8" t="s">
        <v>930</v>
      </c>
      <c r="H438" s="8" t="s">
        <v>419</v>
      </c>
      <c r="I438" s="8" t="s">
        <v>411</v>
      </c>
      <c r="J438" s="4"/>
      <c r="K438" s="64">
        <v>435</v>
      </c>
      <c r="L438" s="18" t="s">
        <v>1046</v>
      </c>
      <c r="M438" s="19" t="s">
        <v>1036</v>
      </c>
      <c r="N438" s="18" t="s">
        <v>308</v>
      </c>
      <c r="O438" s="18">
        <v>3</v>
      </c>
      <c r="P438" s="18" t="s">
        <v>933</v>
      </c>
      <c r="Q438" s="18" t="s">
        <v>533</v>
      </c>
      <c r="R438" s="18" t="s">
        <v>213</v>
      </c>
      <c r="S438" s="18">
        <v>2</v>
      </c>
      <c r="T438" s="18" t="str">
        <f t="shared" si="12"/>
        <v>Current</v>
      </c>
      <c r="U438" s="18" t="str">
        <f t="shared" si="13"/>
        <v>Bailey Hughes|Security Awareness</v>
      </c>
    </row>
    <row r="439" spans="1:21">
      <c r="A439" s="10">
        <v>45993</v>
      </c>
      <c r="B439" s="4" t="s">
        <v>137</v>
      </c>
      <c r="C439" s="4" t="s">
        <v>1027</v>
      </c>
      <c r="D439" s="8">
        <v>3</v>
      </c>
      <c r="E439" s="5">
        <v>45989</v>
      </c>
      <c r="F439" s="5">
        <v>45992</v>
      </c>
      <c r="G439" s="8" t="s">
        <v>1047</v>
      </c>
      <c r="H439" s="8" t="s">
        <v>410</v>
      </c>
      <c r="I439" s="8" t="s">
        <v>411</v>
      </c>
      <c r="J439" s="4"/>
      <c r="K439" s="64">
        <v>436</v>
      </c>
      <c r="L439" s="18" t="s">
        <v>1048</v>
      </c>
      <c r="M439" s="19" t="s">
        <v>1049</v>
      </c>
      <c r="N439" s="18" t="s">
        <v>309</v>
      </c>
      <c r="O439" s="18">
        <v>1</v>
      </c>
      <c r="P439" s="18" t="s">
        <v>1050</v>
      </c>
      <c r="Q439" s="18" t="s">
        <v>1029</v>
      </c>
      <c r="R439" s="18" t="s">
        <v>309</v>
      </c>
      <c r="S439" s="18"/>
      <c r="T439" s="18" t="str">
        <f t="shared" si="12"/>
        <v>Current</v>
      </c>
      <c r="U439" s="18" t="str">
        <f t="shared" si="13"/>
        <v>Corey Jenkins|Secrets Management</v>
      </c>
    </row>
    <row r="440" spans="1:21">
      <c r="A440" s="10">
        <v>46050</v>
      </c>
      <c r="B440" s="4" t="s">
        <v>137</v>
      </c>
      <c r="C440" s="4" t="s">
        <v>527</v>
      </c>
      <c r="D440" s="8">
        <v>1</v>
      </c>
      <c r="E440" s="5">
        <v>46048</v>
      </c>
      <c r="F440" s="5">
        <v>46051</v>
      </c>
      <c r="G440" s="8" t="s">
        <v>1047</v>
      </c>
      <c r="H440" s="8" t="s">
        <v>410</v>
      </c>
      <c r="I440" s="8" t="s">
        <v>411</v>
      </c>
      <c r="J440" s="4"/>
      <c r="K440" s="64">
        <v>437</v>
      </c>
      <c r="L440" s="18" t="s">
        <v>1051</v>
      </c>
      <c r="M440" s="19" t="s">
        <v>1049</v>
      </c>
      <c r="N440" s="18" t="s">
        <v>309</v>
      </c>
      <c r="O440" s="18">
        <v>1</v>
      </c>
      <c r="P440" s="18" t="s">
        <v>1050</v>
      </c>
      <c r="Q440" s="18" t="s">
        <v>529</v>
      </c>
      <c r="R440" s="18" t="s">
        <v>309</v>
      </c>
      <c r="S440" s="18"/>
      <c r="T440" s="18" t="str">
        <f t="shared" si="12"/>
        <v>Current</v>
      </c>
      <c r="U440" s="18" t="str">
        <f t="shared" si="13"/>
        <v>Corey Jenkins|Load Balancing</v>
      </c>
    </row>
    <row r="441" spans="1:21">
      <c r="A441" s="10">
        <v>45814</v>
      </c>
      <c r="B441" s="4" t="s">
        <v>137</v>
      </c>
      <c r="C441" s="4" t="s">
        <v>1052</v>
      </c>
      <c r="D441" s="8">
        <v>1</v>
      </c>
      <c r="E441" s="5">
        <v>45810</v>
      </c>
      <c r="F441" s="5">
        <v>45810</v>
      </c>
      <c r="G441" s="8" t="s">
        <v>1047</v>
      </c>
      <c r="H441" s="8" t="s">
        <v>410</v>
      </c>
      <c r="I441" s="8" t="s">
        <v>411</v>
      </c>
      <c r="J441" s="4"/>
      <c r="K441" s="64">
        <v>438</v>
      </c>
      <c r="L441" s="18" t="s">
        <v>1053</v>
      </c>
      <c r="M441" s="19" t="s">
        <v>1049</v>
      </c>
      <c r="N441" s="18" t="s">
        <v>309</v>
      </c>
      <c r="O441" s="18">
        <v>1</v>
      </c>
      <c r="P441" s="18" t="s">
        <v>1050</v>
      </c>
      <c r="Q441" s="18" t="s">
        <v>1054</v>
      </c>
      <c r="R441" s="18" t="s">
        <v>309</v>
      </c>
      <c r="S441" s="18"/>
      <c r="T441" s="18" t="str">
        <f t="shared" si="12"/>
        <v>Historical</v>
      </c>
      <c r="U441" s="18" t="str">
        <f t="shared" si="13"/>
        <v/>
      </c>
    </row>
    <row r="442" spans="1:21">
      <c r="A442" s="10">
        <v>45905</v>
      </c>
      <c r="B442" s="4" t="s">
        <v>137</v>
      </c>
      <c r="C442" s="4" t="s">
        <v>1052</v>
      </c>
      <c r="D442" s="8">
        <v>2</v>
      </c>
      <c r="E442" s="5">
        <v>45901</v>
      </c>
      <c r="F442" s="5">
        <v>45904</v>
      </c>
      <c r="G442" s="8" t="s">
        <v>1047</v>
      </c>
      <c r="H442" s="8" t="s">
        <v>419</v>
      </c>
      <c r="I442" s="8" t="s">
        <v>411</v>
      </c>
      <c r="J442" s="4"/>
      <c r="K442" s="64">
        <v>439</v>
      </c>
      <c r="L442" s="18" t="s">
        <v>1055</v>
      </c>
      <c r="M442" s="19" t="s">
        <v>1049</v>
      </c>
      <c r="N442" s="18" t="s">
        <v>309</v>
      </c>
      <c r="O442" s="18">
        <v>1</v>
      </c>
      <c r="P442" s="18" t="s">
        <v>1050</v>
      </c>
      <c r="Q442" s="18" t="s">
        <v>1054</v>
      </c>
      <c r="R442" s="18" t="s">
        <v>309</v>
      </c>
      <c r="S442" s="18">
        <v>1</v>
      </c>
      <c r="T442" s="18" t="str">
        <f t="shared" si="12"/>
        <v>Current</v>
      </c>
      <c r="U442" s="18" t="str">
        <f t="shared" si="13"/>
        <v>Corey Jenkins|Incident Response</v>
      </c>
    </row>
    <row r="443" spans="1:21">
      <c r="A443" s="10">
        <v>45914</v>
      </c>
      <c r="B443" s="4" t="s">
        <v>137</v>
      </c>
      <c r="C443" s="4" t="s">
        <v>992</v>
      </c>
      <c r="D443" s="8">
        <v>1</v>
      </c>
      <c r="E443" s="5">
        <v>45911</v>
      </c>
      <c r="F443" s="5">
        <v>45912</v>
      </c>
      <c r="G443" s="8" t="s">
        <v>1047</v>
      </c>
      <c r="H443" s="8" t="s">
        <v>410</v>
      </c>
      <c r="I443" s="8" t="s">
        <v>411</v>
      </c>
      <c r="J443" s="4"/>
      <c r="K443" s="64">
        <v>440</v>
      </c>
      <c r="L443" s="18" t="s">
        <v>1056</v>
      </c>
      <c r="M443" s="19" t="s">
        <v>1049</v>
      </c>
      <c r="N443" s="18" t="s">
        <v>309</v>
      </c>
      <c r="O443" s="18">
        <v>1</v>
      </c>
      <c r="P443" s="18" t="s">
        <v>1050</v>
      </c>
      <c r="Q443" s="18" t="s">
        <v>994</v>
      </c>
      <c r="R443" s="18" t="s">
        <v>309</v>
      </c>
      <c r="S443" s="18"/>
      <c r="T443" s="18" t="str">
        <f t="shared" si="12"/>
        <v>Historical</v>
      </c>
      <c r="U443" s="18" t="str">
        <f t="shared" si="13"/>
        <v/>
      </c>
    </row>
    <row r="444" spans="1:21">
      <c r="A444" s="10">
        <v>45974</v>
      </c>
      <c r="B444" s="4" t="s">
        <v>137</v>
      </c>
      <c r="C444" s="4" t="s">
        <v>992</v>
      </c>
      <c r="D444" s="8">
        <v>2</v>
      </c>
      <c r="E444" s="5">
        <v>45973</v>
      </c>
      <c r="F444" s="5">
        <v>45976</v>
      </c>
      <c r="G444" s="8" t="s">
        <v>1047</v>
      </c>
      <c r="H444" s="8" t="s">
        <v>419</v>
      </c>
      <c r="I444" s="8" t="s">
        <v>411</v>
      </c>
      <c r="J444" s="4"/>
      <c r="K444" s="64">
        <v>441</v>
      </c>
      <c r="L444" s="18" t="s">
        <v>1057</v>
      </c>
      <c r="M444" s="19" t="s">
        <v>1049</v>
      </c>
      <c r="N444" s="18" t="s">
        <v>309</v>
      </c>
      <c r="O444" s="18">
        <v>1</v>
      </c>
      <c r="P444" s="18" t="s">
        <v>1050</v>
      </c>
      <c r="Q444" s="18" t="s">
        <v>994</v>
      </c>
      <c r="R444" s="18" t="s">
        <v>309</v>
      </c>
      <c r="S444" s="18">
        <v>1</v>
      </c>
      <c r="T444" s="18" t="str">
        <f t="shared" si="12"/>
        <v>Historical</v>
      </c>
      <c r="U444" s="18" t="str">
        <f t="shared" si="13"/>
        <v/>
      </c>
    </row>
    <row r="445" spans="1:21">
      <c r="A445" s="10">
        <v>46041</v>
      </c>
      <c r="B445" s="4" t="s">
        <v>137</v>
      </c>
      <c r="C445" s="4" t="s">
        <v>992</v>
      </c>
      <c r="D445" s="8">
        <v>3</v>
      </c>
      <c r="E445" s="5">
        <v>46040</v>
      </c>
      <c r="F445" s="5">
        <v>46041</v>
      </c>
      <c r="G445" s="8" t="s">
        <v>1047</v>
      </c>
      <c r="H445" s="8" t="s">
        <v>419</v>
      </c>
      <c r="I445" s="8" t="s">
        <v>411</v>
      </c>
      <c r="J445" s="4"/>
      <c r="K445" s="64">
        <v>442</v>
      </c>
      <c r="L445" s="18" t="s">
        <v>1058</v>
      </c>
      <c r="M445" s="19" t="s">
        <v>1049</v>
      </c>
      <c r="N445" s="18" t="s">
        <v>309</v>
      </c>
      <c r="O445" s="18">
        <v>1</v>
      </c>
      <c r="P445" s="18" t="s">
        <v>1050</v>
      </c>
      <c r="Q445" s="18" t="s">
        <v>994</v>
      </c>
      <c r="R445" s="18" t="s">
        <v>309</v>
      </c>
      <c r="S445" s="18">
        <v>2</v>
      </c>
      <c r="T445" s="18" t="str">
        <f t="shared" si="12"/>
        <v>Current</v>
      </c>
      <c r="U445" s="18" t="str">
        <f t="shared" si="13"/>
        <v>Corey Jenkins|Reliability Testing</v>
      </c>
    </row>
    <row r="446" spans="1:21">
      <c r="A446" s="10">
        <v>46054</v>
      </c>
      <c r="B446" s="4" t="s">
        <v>137</v>
      </c>
      <c r="C446" s="4" t="s">
        <v>1059</v>
      </c>
      <c r="D446" s="8">
        <v>1</v>
      </c>
      <c r="E446" s="5">
        <v>46049</v>
      </c>
      <c r="F446" s="5">
        <v>46049</v>
      </c>
      <c r="G446" s="8" t="s">
        <v>1047</v>
      </c>
      <c r="H446" s="8" t="s">
        <v>410</v>
      </c>
      <c r="I446" s="8" t="s">
        <v>411</v>
      </c>
      <c r="J446" s="4"/>
      <c r="K446" s="64">
        <v>443</v>
      </c>
      <c r="L446" s="18" t="s">
        <v>1060</v>
      </c>
      <c r="M446" s="19" t="s">
        <v>1049</v>
      </c>
      <c r="N446" s="18" t="s">
        <v>309</v>
      </c>
      <c r="O446" s="18">
        <v>1</v>
      </c>
      <c r="P446" s="18" t="s">
        <v>1050</v>
      </c>
      <c r="Q446" s="18" t="s">
        <v>1061</v>
      </c>
      <c r="R446" s="18" t="s">
        <v>309</v>
      </c>
      <c r="S446" s="18"/>
      <c r="T446" s="18" t="str">
        <f t="shared" si="12"/>
        <v>Current</v>
      </c>
      <c r="U446" s="18" t="str">
        <f t="shared" si="13"/>
        <v>Corey Jenkins|Service Dependency Mapping</v>
      </c>
    </row>
    <row r="447" spans="1:21">
      <c r="A447" s="10">
        <v>45889</v>
      </c>
      <c r="B447" s="4" t="s">
        <v>137</v>
      </c>
      <c r="C447" s="4" t="s">
        <v>759</v>
      </c>
      <c r="D447" s="8">
        <v>1</v>
      </c>
      <c r="E447" s="5">
        <v>45885</v>
      </c>
      <c r="F447" s="5">
        <v>45886</v>
      </c>
      <c r="G447" s="8" t="s">
        <v>1047</v>
      </c>
      <c r="H447" s="8" t="s">
        <v>410</v>
      </c>
      <c r="I447" s="8" t="s">
        <v>411</v>
      </c>
      <c r="J447" s="4"/>
      <c r="K447" s="64">
        <v>444</v>
      </c>
      <c r="L447" s="18" t="s">
        <v>1062</v>
      </c>
      <c r="M447" s="19" t="s">
        <v>1049</v>
      </c>
      <c r="N447" s="18" t="s">
        <v>309</v>
      </c>
      <c r="O447" s="18">
        <v>1</v>
      </c>
      <c r="P447" s="18" t="s">
        <v>1050</v>
      </c>
      <c r="Q447" s="18" t="s">
        <v>761</v>
      </c>
      <c r="R447" s="18" t="s">
        <v>309</v>
      </c>
      <c r="S447" s="18"/>
      <c r="T447" s="18" t="str">
        <f t="shared" si="12"/>
        <v>Historical</v>
      </c>
      <c r="U447" s="18" t="str">
        <f t="shared" si="13"/>
        <v/>
      </c>
    </row>
    <row r="448" spans="1:21">
      <c r="A448" s="10">
        <v>45950</v>
      </c>
      <c r="B448" s="4" t="s">
        <v>137</v>
      </c>
      <c r="C448" s="4" t="s">
        <v>759</v>
      </c>
      <c r="D448" s="8">
        <v>2</v>
      </c>
      <c r="E448" s="5">
        <v>45947</v>
      </c>
      <c r="F448" s="5">
        <v>45947</v>
      </c>
      <c r="G448" s="8" t="s">
        <v>1047</v>
      </c>
      <c r="H448" s="8" t="s">
        <v>419</v>
      </c>
      <c r="I448" s="8" t="s">
        <v>411</v>
      </c>
      <c r="J448" s="4"/>
      <c r="K448" s="64">
        <v>445</v>
      </c>
      <c r="L448" s="18" t="s">
        <v>1063</v>
      </c>
      <c r="M448" s="19" t="s">
        <v>1049</v>
      </c>
      <c r="N448" s="18" t="s">
        <v>309</v>
      </c>
      <c r="O448" s="18">
        <v>1</v>
      </c>
      <c r="P448" s="18" t="s">
        <v>1050</v>
      </c>
      <c r="Q448" s="18" t="s">
        <v>761</v>
      </c>
      <c r="R448" s="18" t="s">
        <v>309</v>
      </c>
      <c r="S448" s="18">
        <v>1</v>
      </c>
      <c r="T448" s="18" t="str">
        <f t="shared" si="12"/>
        <v>Historical</v>
      </c>
      <c r="U448" s="18" t="str">
        <f t="shared" si="13"/>
        <v/>
      </c>
    </row>
    <row r="449" spans="1:21">
      <c r="A449" s="10">
        <v>45996</v>
      </c>
      <c r="B449" s="4" t="s">
        <v>137</v>
      </c>
      <c r="C449" s="4" t="s">
        <v>759</v>
      </c>
      <c r="D449" s="8">
        <v>3</v>
      </c>
      <c r="E449" s="5">
        <v>45994</v>
      </c>
      <c r="F449" s="5">
        <v>45994</v>
      </c>
      <c r="G449" s="8" t="s">
        <v>1047</v>
      </c>
      <c r="H449" s="8" t="s">
        <v>419</v>
      </c>
      <c r="I449" s="8" t="s">
        <v>411</v>
      </c>
      <c r="J449" s="4"/>
      <c r="K449" s="64">
        <v>446</v>
      </c>
      <c r="L449" s="18" t="s">
        <v>1064</v>
      </c>
      <c r="M449" s="19" t="s">
        <v>1049</v>
      </c>
      <c r="N449" s="18" t="s">
        <v>309</v>
      </c>
      <c r="O449" s="18">
        <v>1</v>
      </c>
      <c r="P449" s="18" t="s">
        <v>1050</v>
      </c>
      <c r="Q449" s="18" t="s">
        <v>761</v>
      </c>
      <c r="R449" s="18" t="s">
        <v>309</v>
      </c>
      <c r="S449" s="18">
        <v>2</v>
      </c>
      <c r="T449" s="18" t="str">
        <f t="shared" si="12"/>
        <v>Current</v>
      </c>
      <c r="U449" s="18" t="str">
        <f t="shared" si="13"/>
        <v>Corey Jenkins|SLO &amp; SLI Monitoring</v>
      </c>
    </row>
    <row r="450" spans="1:21">
      <c r="A450" s="10">
        <v>45916</v>
      </c>
      <c r="B450" s="4" t="s">
        <v>137</v>
      </c>
      <c r="C450" s="4" t="s">
        <v>1065</v>
      </c>
      <c r="D450" s="8">
        <v>3</v>
      </c>
      <c r="E450" s="5">
        <v>45911</v>
      </c>
      <c r="F450" s="5">
        <v>45912</v>
      </c>
      <c r="G450" s="8" t="s">
        <v>1047</v>
      </c>
      <c r="H450" s="8" t="s">
        <v>410</v>
      </c>
      <c r="I450" s="8" t="s">
        <v>411</v>
      </c>
      <c r="J450" s="4"/>
      <c r="K450" s="64">
        <v>447</v>
      </c>
      <c r="L450" s="18" t="s">
        <v>1066</v>
      </c>
      <c r="M450" s="19" t="s">
        <v>1049</v>
      </c>
      <c r="N450" s="18" t="s">
        <v>309</v>
      </c>
      <c r="O450" s="18">
        <v>1</v>
      </c>
      <c r="P450" s="18" t="s">
        <v>1050</v>
      </c>
      <c r="Q450" s="18" t="s">
        <v>1067</v>
      </c>
      <c r="R450" s="18" t="s">
        <v>309</v>
      </c>
      <c r="S450" s="18"/>
      <c r="T450" s="18" t="str">
        <f t="shared" si="12"/>
        <v>Current</v>
      </c>
      <c r="U450" s="18" t="str">
        <f t="shared" si="13"/>
        <v>Corey Jenkins|AWS Core Services</v>
      </c>
    </row>
    <row r="451" spans="1:21">
      <c r="A451" s="10">
        <v>45995</v>
      </c>
      <c r="B451" s="4" t="s">
        <v>137</v>
      </c>
      <c r="C451" s="4" t="s">
        <v>1068</v>
      </c>
      <c r="D451" s="8">
        <v>1</v>
      </c>
      <c r="E451" s="5">
        <v>45992</v>
      </c>
      <c r="F451" s="5">
        <v>45995</v>
      </c>
      <c r="G451" s="8" t="s">
        <v>1047</v>
      </c>
      <c r="H451" s="8" t="s">
        <v>410</v>
      </c>
      <c r="I451" s="8" t="s">
        <v>411</v>
      </c>
      <c r="J451" s="4"/>
      <c r="K451" s="64">
        <v>448</v>
      </c>
      <c r="L451" s="18" t="s">
        <v>1069</v>
      </c>
      <c r="M451" s="19" t="s">
        <v>1049</v>
      </c>
      <c r="N451" s="18" t="s">
        <v>309</v>
      </c>
      <c r="O451" s="18">
        <v>1</v>
      </c>
      <c r="P451" s="18" t="s">
        <v>1050</v>
      </c>
      <c r="Q451" s="18" t="s">
        <v>1070</v>
      </c>
      <c r="R451" s="18" t="s">
        <v>309</v>
      </c>
      <c r="S451" s="18"/>
      <c r="T451" s="18" t="str">
        <f t="shared" si="12"/>
        <v>Historical</v>
      </c>
      <c r="U451" s="18" t="str">
        <f t="shared" si="13"/>
        <v/>
      </c>
    </row>
    <row r="452" spans="1:21">
      <c r="A452" s="10">
        <v>46076</v>
      </c>
      <c r="B452" s="4" t="s">
        <v>137</v>
      </c>
      <c r="C452" s="4" t="s">
        <v>1068</v>
      </c>
      <c r="D452" s="8">
        <v>2</v>
      </c>
      <c r="E452" s="5">
        <v>46071</v>
      </c>
      <c r="F452" s="5">
        <v>46073</v>
      </c>
      <c r="G452" s="8" t="s">
        <v>1047</v>
      </c>
      <c r="H452" s="8" t="s">
        <v>419</v>
      </c>
      <c r="I452" s="8" t="s">
        <v>411</v>
      </c>
      <c r="J452" s="4"/>
      <c r="K452" s="64">
        <v>449</v>
      </c>
      <c r="L452" s="18" t="s">
        <v>1071</v>
      </c>
      <c r="M452" s="19" t="s">
        <v>1049</v>
      </c>
      <c r="N452" s="18" t="s">
        <v>309</v>
      </c>
      <c r="O452" s="18">
        <v>1</v>
      </c>
      <c r="P452" s="18" t="s">
        <v>1050</v>
      </c>
      <c r="Q452" s="18" t="s">
        <v>1070</v>
      </c>
      <c r="R452" s="18" t="s">
        <v>309</v>
      </c>
      <c r="S452" s="18">
        <v>1</v>
      </c>
      <c r="T452" s="18" t="str">
        <f t="shared" ref="T452:T515" si="14">IF(B452="","",IF(I452="Yes","Voided",IF(COUNTIFS($B$4:$B$803,B452,$C$4:$C$803,C452,$I$4:$I$803,"&lt;&gt;Yes",$K$4:$K$803,"&gt;"&amp;K452)=0,"Current","Historical")))</f>
        <v>Current</v>
      </c>
      <c r="U452" s="18" t="str">
        <f t="shared" ref="U452:U515" si="15">IF(T452="Current",B452&amp;"|"&amp;C452,"")</f>
        <v>Corey Jenkins|Cloud Cost Monitoring</v>
      </c>
    </row>
    <row r="453" spans="1:21">
      <c r="A453" s="10">
        <v>46176</v>
      </c>
      <c r="B453" s="4" t="s">
        <v>137</v>
      </c>
      <c r="C453" s="4" t="s">
        <v>840</v>
      </c>
      <c r="D453" s="8">
        <v>1</v>
      </c>
      <c r="E453" s="5">
        <v>46172</v>
      </c>
      <c r="F453" s="5">
        <v>46172</v>
      </c>
      <c r="G453" s="8" t="s">
        <v>1047</v>
      </c>
      <c r="H453" s="8" t="s">
        <v>410</v>
      </c>
      <c r="I453" s="8" t="s">
        <v>411</v>
      </c>
      <c r="J453" s="4"/>
      <c r="K453" s="64">
        <v>450</v>
      </c>
      <c r="L453" s="18" t="s">
        <v>1072</v>
      </c>
      <c r="M453" s="19" t="s">
        <v>1049</v>
      </c>
      <c r="N453" s="18" t="s">
        <v>309</v>
      </c>
      <c r="O453" s="18">
        <v>1</v>
      </c>
      <c r="P453" s="18" t="s">
        <v>1050</v>
      </c>
      <c r="Q453" s="18" t="s">
        <v>824</v>
      </c>
      <c r="R453" s="18" t="s">
        <v>307</v>
      </c>
      <c r="S453" s="18"/>
      <c r="T453" s="18" t="str">
        <f t="shared" si="14"/>
        <v>Historical</v>
      </c>
      <c r="U453" s="18" t="str">
        <f t="shared" si="15"/>
        <v/>
      </c>
    </row>
    <row r="454" spans="1:21">
      <c r="A454" s="10">
        <v>46237</v>
      </c>
      <c r="B454" s="4" t="s">
        <v>137</v>
      </c>
      <c r="C454" s="4" t="s">
        <v>840</v>
      </c>
      <c r="D454" s="8">
        <v>2</v>
      </c>
      <c r="E454" s="5">
        <v>46234</v>
      </c>
      <c r="F454" s="5">
        <v>46235</v>
      </c>
      <c r="G454" s="8" t="s">
        <v>1047</v>
      </c>
      <c r="H454" s="8" t="s">
        <v>419</v>
      </c>
      <c r="I454" s="8" t="s">
        <v>411</v>
      </c>
      <c r="J454" s="4"/>
      <c r="K454" s="64">
        <v>451</v>
      </c>
      <c r="L454" s="18" t="s">
        <v>1073</v>
      </c>
      <c r="M454" s="19" t="s">
        <v>1049</v>
      </c>
      <c r="N454" s="18" t="s">
        <v>309</v>
      </c>
      <c r="O454" s="18">
        <v>1</v>
      </c>
      <c r="P454" s="18" t="s">
        <v>1050</v>
      </c>
      <c r="Q454" s="18" t="s">
        <v>824</v>
      </c>
      <c r="R454" s="18" t="s">
        <v>307</v>
      </c>
      <c r="S454" s="18">
        <v>1</v>
      </c>
      <c r="T454" s="18" t="str">
        <f t="shared" si="14"/>
        <v>Current</v>
      </c>
      <c r="U454" s="18" t="str">
        <f t="shared" si="15"/>
        <v>Corey Jenkins|Mobile Device Management</v>
      </c>
    </row>
    <row r="455" spans="1:21">
      <c r="A455" s="10">
        <v>45918</v>
      </c>
      <c r="B455" s="4" t="s">
        <v>142</v>
      </c>
      <c r="C455" s="4" t="s">
        <v>882</v>
      </c>
      <c r="D455" s="8">
        <v>2</v>
      </c>
      <c r="E455" s="5">
        <v>45914</v>
      </c>
      <c r="F455" s="5">
        <v>45916</v>
      </c>
      <c r="G455" s="8" t="s">
        <v>1047</v>
      </c>
      <c r="H455" s="8" t="s">
        <v>410</v>
      </c>
      <c r="I455" s="8" t="s">
        <v>411</v>
      </c>
      <c r="J455" s="4"/>
      <c r="K455" s="64">
        <v>452</v>
      </c>
      <c r="L455" s="18" t="s">
        <v>1074</v>
      </c>
      <c r="M455" s="19" t="s">
        <v>1075</v>
      </c>
      <c r="N455" s="18" t="s">
        <v>309</v>
      </c>
      <c r="O455" s="18">
        <v>2</v>
      </c>
      <c r="P455" s="18" t="s">
        <v>1050</v>
      </c>
      <c r="Q455" s="18" t="s">
        <v>884</v>
      </c>
      <c r="R455" s="18" t="s">
        <v>309</v>
      </c>
      <c r="S455" s="18"/>
      <c r="T455" s="18" t="str">
        <f t="shared" si="14"/>
        <v>Current</v>
      </c>
      <c r="U455" s="18" t="str">
        <f t="shared" si="15"/>
        <v>Micah Foster|Observability Dashboards</v>
      </c>
    </row>
    <row r="456" spans="1:21">
      <c r="A456" s="10">
        <v>46169</v>
      </c>
      <c r="B456" s="4" t="s">
        <v>142</v>
      </c>
      <c r="C456" s="4" t="s">
        <v>1076</v>
      </c>
      <c r="D456" s="8">
        <v>2</v>
      </c>
      <c r="E456" s="5">
        <v>46165</v>
      </c>
      <c r="F456" s="5">
        <v>46166</v>
      </c>
      <c r="G456" s="8" t="s">
        <v>1047</v>
      </c>
      <c r="H456" s="8" t="s">
        <v>410</v>
      </c>
      <c r="I456" s="8" t="s">
        <v>411</v>
      </c>
      <c r="J456" s="4"/>
      <c r="K456" s="64">
        <v>453</v>
      </c>
      <c r="L456" s="18" t="s">
        <v>1077</v>
      </c>
      <c r="M456" s="19" t="s">
        <v>1075</v>
      </c>
      <c r="N456" s="18" t="s">
        <v>309</v>
      </c>
      <c r="O456" s="18">
        <v>2</v>
      </c>
      <c r="P456" s="18" t="s">
        <v>1050</v>
      </c>
      <c r="Q456" s="18" t="s">
        <v>1078</v>
      </c>
      <c r="R456" s="18" t="s">
        <v>309</v>
      </c>
      <c r="S456" s="18"/>
      <c r="T456" s="18" t="str">
        <f t="shared" si="14"/>
        <v>Current</v>
      </c>
      <c r="U456" s="18" t="str">
        <f t="shared" si="15"/>
        <v>Micah Foster|Capacity Planning</v>
      </c>
    </row>
    <row r="457" spans="1:21">
      <c r="A457" s="10">
        <v>45811</v>
      </c>
      <c r="B457" s="4" t="s">
        <v>142</v>
      </c>
      <c r="C457" s="4" t="s">
        <v>1052</v>
      </c>
      <c r="D457" s="8">
        <v>1</v>
      </c>
      <c r="E457" s="5">
        <v>45806</v>
      </c>
      <c r="F457" s="5">
        <v>45809</v>
      </c>
      <c r="G457" s="8" t="s">
        <v>1047</v>
      </c>
      <c r="H457" s="8" t="s">
        <v>410</v>
      </c>
      <c r="I457" s="8" t="s">
        <v>411</v>
      </c>
      <c r="J457" s="4"/>
      <c r="K457" s="64">
        <v>454</v>
      </c>
      <c r="L457" s="18" t="s">
        <v>1079</v>
      </c>
      <c r="M457" s="19" t="s">
        <v>1075</v>
      </c>
      <c r="N457" s="18" t="s">
        <v>309</v>
      </c>
      <c r="O457" s="18">
        <v>2</v>
      </c>
      <c r="P457" s="18" t="s">
        <v>1050</v>
      </c>
      <c r="Q457" s="18" t="s">
        <v>1054</v>
      </c>
      <c r="R457" s="18" t="s">
        <v>309</v>
      </c>
      <c r="S457" s="18"/>
      <c r="T457" s="18" t="str">
        <f t="shared" si="14"/>
        <v>Historical</v>
      </c>
      <c r="U457" s="18" t="str">
        <f t="shared" si="15"/>
        <v/>
      </c>
    </row>
    <row r="458" spans="1:21">
      <c r="A458" s="10">
        <v>45854</v>
      </c>
      <c r="B458" s="4" t="s">
        <v>142</v>
      </c>
      <c r="C458" s="4" t="s">
        <v>1052</v>
      </c>
      <c r="D458" s="8">
        <v>2</v>
      </c>
      <c r="E458" s="5">
        <v>45849</v>
      </c>
      <c r="F458" s="5">
        <v>45849</v>
      </c>
      <c r="G458" s="8" t="s">
        <v>1047</v>
      </c>
      <c r="H458" s="8" t="s">
        <v>419</v>
      </c>
      <c r="I458" s="8" t="s">
        <v>411</v>
      </c>
      <c r="J458" s="4"/>
      <c r="K458" s="64">
        <v>455</v>
      </c>
      <c r="L458" s="18" t="s">
        <v>1080</v>
      </c>
      <c r="M458" s="19" t="s">
        <v>1075</v>
      </c>
      <c r="N458" s="18" t="s">
        <v>309</v>
      </c>
      <c r="O458" s="18">
        <v>2</v>
      </c>
      <c r="P458" s="18" t="s">
        <v>1050</v>
      </c>
      <c r="Q458" s="18" t="s">
        <v>1054</v>
      </c>
      <c r="R458" s="18" t="s">
        <v>309</v>
      </c>
      <c r="S458" s="18">
        <v>1</v>
      </c>
      <c r="T458" s="18" t="str">
        <f t="shared" si="14"/>
        <v>Historical</v>
      </c>
      <c r="U458" s="18" t="str">
        <f t="shared" si="15"/>
        <v/>
      </c>
    </row>
    <row r="459" spans="1:21">
      <c r="A459" s="10">
        <v>45937</v>
      </c>
      <c r="B459" s="4" t="s">
        <v>142</v>
      </c>
      <c r="C459" s="4" t="s">
        <v>1052</v>
      </c>
      <c r="D459" s="8">
        <v>3</v>
      </c>
      <c r="E459" s="5">
        <v>45936</v>
      </c>
      <c r="F459" s="5">
        <v>45936</v>
      </c>
      <c r="G459" s="8" t="s">
        <v>1047</v>
      </c>
      <c r="H459" s="8" t="s">
        <v>419</v>
      </c>
      <c r="I459" s="8" t="s">
        <v>411</v>
      </c>
      <c r="J459" s="4"/>
      <c r="K459" s="64">
        <v>456</v>
      </c>
      <c r="L459" s="18" t="s">
        <v>1081</v>
      </c>
      <c r="M459" s="19" t="s">
        <v>1075</v>
      </c>
      <c r="N459" s="18" t="s">
        <v>309</v>
      </c>
      <c r="O459" s="18">
        <v>2</v>
      </c>
      <c r="P459" s="18" t="s">
        <v>1050</v>
      </c>
      <c r="Q459" s="18" t="s">
        <v>1054</v>
      </c>
      <c r="R459" s="18" t="s">
        <v>309</v>
      </c>
      <c r="S459" s="18">
        <v>2</v>
      </c>
      <c r="T459" s="18" t="str">
        <f t="shared" si="14"/>
        <v>Current</v>
      </c>
      <c r="U459" s="18" t="str">
        <f t="shared" si="15"/>
        <v>Micah Foster|Incident Response</v>
      </c>
    </row>
    <row r="460" spans="1:21">
      <c r="A460" s="10">
        <v>45673</v>
      </c>
      <c r="B460" s="4" t="s">
        <v>142</v>
      </c>
      <c r="C460" s="4" t="s">
        <v>1027</v>
      </c>
      <c r="D460" s="8">
        <v>3</v>
      </c>
      <c r="E460" s="5">
        <v>45669</v>
      </c>
      <c r="F460" s="5">
        <v>45670</v>
      </c>
      <c r="G460" s="8" t="s">
        <v>1047</v>
      </c>
      <c r="H460" s="8" t="s">
        <v>410</v>
      </c>
      <c r="I460" s="8" t="s">
        <v>411</v>
      </c>
      <c r="J460" s="4"/>
      <c r="K460" s="64">
        <v>457</v>
      </c>
      <c r="L460" s="18" t="s">
        <v>1082</v>
      </c>
      <c r="M460" s="19" t="s">
        <v>1075</v>
      </c>
      <c r="N460" s="18" t="s">
        <v>309</v>
      </c>
      <c r="O460" s="18">
        <v>2</v>
      </c>
      <c r="P460" s="18" t="s">
        <v>1050</v>
      </c>
      <c r="Q460" s="18" t="s">
        <v>1029</v>
      </c>
      <c r="R460" s="18" t="s">
        <v>309</v>
      </c>
      <c r="S460" s="18"/>
      <c r="T460" s="18" t="str">
        <f t="shared" si="14"/>
        <v>Current</v>
      </c>
      <c r="U460" s="18" t="str">
        <f t="shared" si="15"/>
        <v>Micah Foster|Secrets Management</v>
      </c>
    </row>
    <row r="461" spans="1:21">
      <c r="A461" s="10">
        <v>45818</v>
      </c>
      <c r="B461" s="4" t="s">
        <v>142</v>
      </c>
      <c r="C461" s="4" t="s">
        <v>1083</v>
      </c>
      <c r="D461" s="8">
        <v>1</v>
      </c>
      <c r="E461" s="5">
        <v>45817</v>
      </c>
      <c r="F461" s="5">
        <v>45818</v>
      </c>
      <c r="G461" s="8" t="s">
        <v>1047</v>
      </c>
      <c r="H461" s="8" t="s">
        <v>410</v>
      </c>
      <c r="I461" s="8" t="s">
        <v>411</v>
      </c>
      <c r="J461" s="4"/>
      <c r="K461" s="64">
        <v>458</v>
      </c>
      <c r="L461" s="18" t="s">
        <v>1084</v>
      </c>
      <c r="M461" s="19" t="s">
        <v>1075</v>
      </c>
      <c r="N461" s="18" t="s">
        <v>309</v>
      </c>
      <c r="O461" s="18">
        <v>2</v>
      </c>
      <c r="P461" s="18" t="s">
        <v>1050</v>
      </c>
      <c r="Q461" s="18" t="s">
        <v>1085</v>
      </c>
      <c r="R461" s="18" t="s">
        <v>309</v>
      </c>
      <c r="S461" s="18"/>
      <c r="T461" s="18" t="str">
        <f t="shared" si="14"/>
        <v>Historical</v>
      </c>
      <c r="U461" s="18" t="str">
        <f t="shared" si="15"/>
        <v/>
      </c>
    </row>
    <row r="462" spans="1:21">
      <c r="A462" s="10">
        <v>45905</v>
      </c>
      <c r="B462" s="4" t="s">
        <v>142</v>
      </c>
      <c r="C462" s="4" t="s">
        <v>1083</v>
      </c>
      <c r="D462" s="8">
        <v>2</v>
      </c>
      <c r="E462" s="5">
        <v>45901</v>
      </c>
      <c r="F462" s="5">
        <v>45903</v>
      </c>
      <c r="G462" s="8" t="s">
        <v>1047</v>
      </c>
      <c r="H462" s="8" t="s">
        <v>419</v>
      </c>
      <c r="I462" s="8" t="s">
        <v>411</v>
      </c>
      <c r="J462" s="4"/>
      <c r="K462" s="64">
        <v>459</v>
      </c>
      <c r="L462" s="18" t="s">
        <v>1086</v>
      </c>
      <c r="M462" s="19" t="s">
        <v>1075</v>
      </c>
      <c r="N462" s="18" t="s">
        <v>309</v>
      </c>
      <c r="O462" s="18">
        <v>2</v>
      </c>
      <c r="P462" s="18" t="s">
        <v>1050</v>
      </c>
      <c r="Q462" s="18" t="s">
        <v>1085</v>
      </c>
      <c r="R462" s="18" t="s">
        <v>309</v>
      </c>
      <c r="S462" s="18">
        <v>1</v>
      </c>
      <c r="T462" s="18" t="str">
        <f t="shared" si="14"/>
        <v>Historical</v>
      </c>
      <c r="U462" s="18" t="str">
        <f t="shared" si="15"/>
        <v/>
      </c>
    </row>
    <row r="463" spans="1:21">
      <c r="A463" s="10">
        <v>45933</v>
      </c>
      <c r="B463" s="4" t="s">
        <v>142</v>
      </c>
      <c r="C463" s="4" t="s">
        <v>1083</v>
      </c>
      <c r="D463" s="8">
        <v>3</v>
      </c>
      <c r="E463" s="5">
        <v>45928</v>
      </c>
      <c r="F463" s="5">
        <v>45931</v>
      </c>
      <c r="G463" s="8" t="s">
        <v>1047</v>
      </c>
      <c r="H463" s="8" t="s">
        <v>419</v>
      </c>
      <c r="I463" s="8" t="s">
        <v>411</v>
      </c>
      <c r="J463" s="4"/>
      <c r="K463" s="64">
        <v>460</v>
      </c>
      <c r="L463" s="18" t="s">
        <v>1087</v>
      </c>
      <c r="M463" s="19" t="s">
        <v>1075</v>
      </c>
      <c r="N463" s="18" t="s">
        <v>309</v>
      </c>
      <c r="O463" s="18">
        <v>2</v>
      </c>
      <c r="P463" s="18" t="s">
        <v>1050</v>
      </c>
      <c r="Q463" s="18" t="s">
        <v>1085</v>
      </c>
      <c r="R463" s="18" t="s">
        <v>309</v>
      </c>
      <c r="S463" s="18">
        <v>2</v>
      </c>
      <c r="T463" s="18" t="str">
        <f t="shared" si="14"/>
        <v>Current</v>
      </c>
      <c r="U463" s="18" t="str">
        <f t="shared" si="15"/>
        <v>Micah Foster|Azure Core Services</v>
      </c>
    </row>
    <row r="464" spans="1:21">
      <c r="A464" s="10">
        <v>46212</v>
      </c>
      <c r="B464" s="4" t="s">
        <v>142</v>
      </c>
      <c r="C464" s="4" t="s">
        <v>759</v>
      </c>
      <c r="D464" s="8">
        <v>1</v>
      </c>
      <c r="E464" s="5">
        <v>46207</v>
      </c>
      <c r="F464" s="5">
        <v>46210</v>
      </c>
      <c r="G464" s="8" t="s">
        <v>1047</v>
      </c>
      <c r="H464" s="8" t="s">
        <v>410</v>
      </c>
      <c r="I464" s="8" t="s">
        <v>411</v>
      </c>
      <c r="J464" s="4"/>
      <c r="K464" s="64">
        <v>461</v>
      </c>
      <c r="L464" s="18" t="s">
        <v>1088</v>
      </c>
      <c r="M464" s="19" t="s">
        <v>1075</v>
      </c>
      <c r="N464" s="18" t="s">
        <v>309</v>
      </c>
      <c r="O464" s="18">
        <v>2</v>
      </c>
      <c r="P464" s="18" t="s">
        <v>1050</v>
      </c>
      <c r="Q464" s="18" t="s">
        <v>761</v>
      </c>
      <c r="R464" s="18" t="s">
        <v>309</v>
      </c>
      <c r="S464" s="18"/>
      <c r="T464" s="18" t="str">
        <f t="shared" si="14"/>
        <v>Historical</v>
      </c>
      <c r="U464" s="18" t="str">
        <f t="shared" si="15"/>
        <v/>
      </c>
    </row>
    <row r="465" spans="1:21">
      <c r="A465" s="10">
        <v>46229</v>
      </c>
      <c r="B465" s="4" t="s">
        <v>142</v>
      </c>
      <c r="C465" s="4" t="s">
        <v>759</v>
      </c>
      <c r="D465" s="8">
        <v>2</v>
      </c>
      <c r="E465" s="5">
        <v>46228</v>
      </c>
      <c r="F465" s="5">
        <v>46230</v>
      </c>
      <c r="G465" s="8" t="s">
        <v>1047</v>
      </c>
      <c r="H465" s="8" t="s">
        <v>419</v>
      </c>
      <c r="I465" s="8" t="s">
        <v>411</v>
      </c>
      <c r="J465" s="4"/>
      <c r="K465" s="64">
        <v>462</v>
      </c>
      <c r="L465" s="18" t="s">
        <v>1089</v>
      </c>
      <c r="M465" s="19" t="s">
        <v>1075</v>
      </c>
      <c r="N465" s="18" t="s">
        <v>309</v>
      </c>
      <c r="O465" s="18">
        <v>2</v>
      </c>
      <c r="P465" s="18" t="s">
        <v>1050</v>
      </c>
      <c r="Q465" s="18" t="s">
        <v>761</v>
      </c>
      <c r="R465" s="18" t="s">
        <v>309</v>
      </c>
      <c r="S465" s="18">
        <v>1</v>
      </c>
      <c r="T465" s="18" t="str">
        <f t="shared" si="14"/>
        <v>Historical</v>
      </c>
      <c r="U465" s="18" t="str">
        <f t="shared" si="15"/>
        <v/>
      </c>
    </row>
    <row r="466" spans="1:21">
      <c r="A466" s="10">
        <v>46241</v>
      </c>
      <c r="B466" s="4" t="s">
        <v>142</v>
      </c>
      <c r="C466" s="4" t="s">
        <v>759</v>
      </c>
      <c r="D466" s="8">
        <v>3</v>
      </c>
      <c r="E466" s="5">
        <v>46240</v>
      </c>
      <c r="F466" s="5">
        <v>46243</v>
      </c>
      <c r="G466" s="8" t="s">
        <v>1047</v>
      </c>
      <c r="H466" s="8" t="s">
        <v>419</v>
      </c>
      <c r="I466" s="8" t="s">
        <v>411</v>
      </c>
      <c r="J466" s="4"/>
      <c r="K466" s="64">
        <v>463</v>
      </c>
      <c r="L466" s="18" t="s">
        <v>1090</v>
      </c>
      <c r="M466" s="19" t="s">
        <v>1075</v>
      </c>
      <c r="N466" s="18" t="s">
        <v>309</v>
      </c>
      <c r="O466" s="18">
        <v>2</v>
      </c>
      <c r="P466" s="18" t="s">
        <v>1050</v>
      </c>
      <c r="Q466" s="18" t="s">
        <v>761</v>
      </c>
      <c r="R466" s="18" t="s">
        <v>309</v>
      </c>
      <c r="S466" s="18">
        <v>2</v>
      </c>
      <c r="T466" s="18" t="str">
        <f t="shared" si="14"/>
        <v>Current</v>
      </c>
      <c r="U466" s="18" t="str">
        <f t="shared" si="15"/>
        <v>Micah Foster|SLO &amp; SLI Monitoring</v>
      </c>
    </row>
    <row r="467" spans="1:21">
      <c r="A467" s="10">
        <v>45773</v>
      </c>
      <c r="B467" s="4" t="s">
        <v>142</v>
      </c>
      <c r="C467" s="4" t="s">
        <v>1065</v>
      </c>
      <c r="D467" s="8">
        <v>3</v>
      </c>
      <c r="E467" s="5">
        <v>45772</v>
      </c>
      <c r="F467" s="5">
        <v>45773</v>
      </c>
      <c r="G467" s="8" t="s">
        <v>1047</v>
      </c>
      <c r="H467" s="8" t="s">
        <v>410</v>
      </c>
      <c r="I467" s="8" t="s">
        <v>411</v>
      </c>
      <c r="J467" s="4"/>
      <c r="K467" s="64">
        <v>464</v>
      </c>
      <c r="L467" s="18" t="s">
        <v>1091</v>
      </c>
      <c r="M467" s="19" t="s">
        <v>1075</v>
      </c>
      <c r="N467" s="18" t="s">
        <v>309</v>
      </c>
      <c r="O467" s="18">
        <v>2</v>
      </c>
      <c r="P467" s="18" t="s">
        <v>1050</v>
      </c>
      <c r="Q467" s="18" t="s">
        <v>1067</v>
      </c>
      <c r="R467" s="18" t="s">
        <v>309</v>
      </c>
      <c r="S467" s="18"/>
      <c r="T467" s="18" t="str">
        <f t="shared" si="14"/>
        <v>Current</v>
      </c>
      <c r="U467" s="18" t="str">
        <f t="shared" si="15"/>
        <v>Micah Foster|AWS Core Services</v>
      </c>
    </row>
    <row r="468" spans="1:21">
      <c r="A468" s="10">
        <v>45924</v>
      </c>
      <c r="B468" s="4" t="s">
        <v>142</v>
      </c>
      <c r="C468" s="4" t="s">
        <v>465</v>
      </c>
      <c r="D468" s="8">
        <v>2</v>
      </c>
      <c r="E468" s="5">
        <v>45921</v>
      </c>
      <c r="F468" s="5">
        <v>45923</v>
      </c>
      <c r="G468" s="8" t="s">
        <v>1047</v>
      </c>
      <c r="H468" s="8" t="s">
        <v>410</v>
      </c>
      <c r="I468" s="8" t="s">
        <v>411</v>
      </c>
      <c r="J468" s="4"/>
      <c r="K468" s="64">
        <v>465</v>
      </c>
      <c r="L468" s="18" t="s">
        <v>1092</v>
      </c>
      <c r="M468" s="19" t="s">
        <v>1075</v>
      </c>
      <c r="N468" s="18" t="s">
        <v>309</v>
      </c>
      <c r="O468" s="18">
        <v>2</v>
      </c>
      <c r="P468" s="18" t="s">
        <v>1050</v>
      </c>
      <c r="Q468" s="18" t="s">
        <v>467</v>
      </c>
      <c r="R468" s="18" t="s">
        <v>311</v>
      </c>
      <c r="S468" s="18"/>
      <c r="T468" s="18" t="str">
        <f t="shared" si="14"/>
        <v>Current</v>
      </c>
      <c r="U468" s="18" t="str">
        <f t="shared" si="15"/>
        <v>Micah Foster|Malware Triage</v>
      </c>
    </row>
    <row r="469" spans="1:21">
      <c r="A469" s="10">
        <v>46082</v>
      </c>
      <c r="B469" s="4" t="s">
        <v>142</v>
      </c>
      <c r="C469" s="4" t="s">
        <v>1093</v>
      </c>
      <c r="D469" s="8">
        <v>1</v>
      </c>
      <c r="E469" s="5">
        <v>46078</v>
      </c>
      <c r="F469" s="5">
        <v>46079</v>
      </c>
      <c r="G469" s="8" t="s">
        <v>1047</v>
      </c>
      <c r="H469" s="8" t="s">
        <v>410</v>
      </c>
      <c r="I469" s="8" t="s">
        <v>411</v>
      </c>
      <c r="J469" s="4"/>
      <c r="K469" s="64">
        <v>466</v>
      </c>
      <c r="L469" s="18" t="s">
        <v>1094</v>
      </c>
      <c r="M469" s="19" t="s">
        <v>1075</v>
      </c>
      <c r="N469" s="18" t="s">
        <v>309</v>
      </c>
      <c r="O469" s="18">
        <v>2</v>
      </c>
      <c r="P469" s="18" t="s">
        <v>1050</v>
      </c>
      <c r="Q469" s="18" t="s">
        <v>1095</v>
      </c>
      <c r="R469" s="18" t="s">
        <v>310</v>
      </c>
      <c r="S469" s="18"/>
      <c r="T469" s="18" t="str">
        <f t="shared" si="14"/>
        <v>Historical</v>
      </c>
      <c r="U469" s="18" t="str">
        <f t="shared" si="15"/>
        <v/>
      </c>
    </row>
    <row r="470" spans="1:21">
      <c r="A470" s="10">
        <v>46189</v>
      </c>
      <c r="B470" s="4" t="s">
        <v>142</v>
      </c>
      <c r="C470" s="4" t="s">
        <v>1093</v>
      </c>
      <c r="D470" s="8">
        <v>2</v>
      </c>
      <c r="E470" s="5">
        <v>46187</v>
      </c>
      <c r="F470" s="5">
        <v>46189</v>
      </c>
      <c r="G470" s="8" t="s">
        <v>1047</v>
      </c>
      <c r="H470" s="8" t="s">
        <v>419</v>
      </c>
      <c r="I470" s="8" t="s">
        <v>411</v>
      </c>
      <c r="J470" s="4"/>
      <c r="K470" s="64">
        <v>467</v>
      </c>
      <c r="L470" s="18" t="s">
        <v>1096</v>
      </c>
      <c r="M470" s="19" t="s">
        <v>1075</v>
      </c>
      <c r="N470" s="18" t="s">
        <v>309</v>
      </c>
      <c r="O470" s="18">
        <v>2</v>
      </c>
      <c r="P470" s="18" t="s">
        <v>1050</v>
      </c>
      <c r="Q470" s="18" t="s">
        <v>1095</v>
      </c>
      <c r="R470" s="18" t="s">
        <v>310</v>
      </c>
      <c r="S470" s="18">
        <v>1</v>
      </c>
      <c r="T470" s="18" t="str">
        <f t="shared" si="14"/>
        <v>Historical</v>
      </c>
      <c r="U470" s="18" t="str">
        <f t="shared" si="15"/>
        <v/>
      </c>
    </row>
    <row r="471" spans="1:21">
      <c r="A471" s="10">
        <v>46224</v>
      </c>
      <c r="B471" s="4" t="s">
        <v>142</v>
      </c>
      <c r="C471" s="4" t="s">
        <v>1093</v>
      </c>
      <c r="D471" s="8">
        <v>3</v>
      </c>
      <c r="E471" s="5">
        <v>46223</v>
      </c>
      <c r="F471" s="5">
        <v>46223</v>
      </c>
      <c r="G471" s="8" t="s">
        <v>1047</v>
      </c>
      <c r="H471" s="8" t="s">
        <v>419</v>
      </c>
      <c r="I471" s="8" t="s">
        <v>411</v>
      </c>
      <c r="J471" s="4"/>
      <c r="K471" s="64">
        <v>468</v>
      </c>
      <c r="L471" s="18" t="s">
        <v>1097</v>
      </c>
      <c r="M471" s="19" t="s">
        <v>1075</v>
      </c>
      <c r="N471" s="18" t="s">
        <v>309</v>
      </c>
      <c r="O471" s="18">
        <v>2</v>
      </c>
      <c r="P471" s="18" t="s">
        <v>1050</v>
      </c>
      <c r="Q471" s="18" t="s">
        <v>1095</v>
      </c>
      <c r="R471" s="18" t="s">
        <v>310</v>
      </c>
      <c r="S471" s="18">
        <v>2</v>
      </c>
      <c r="T471" s="18" t="str">
        <f t="shared" si="14"/>
        <v>Current</v>
      </c>
      <c r="U471" s="18" t="str">
        <f t="shared" si="15"/>
        <v>Micah Foster|SQL Fundamentals</v>
      </c>
    </row>
    <row r="472" spans="1:21">
      <c r="A472" s="10">
        <v>46055</v>
      </c>
      <c r="B472" s="4" t="s">
        <v>142</v>
      </c>
      <c r="C472" s="4" t="s">
        <v>725</v>
      </c>
      <c r="D472" s="8">
        <v>1</v>
      </c>
      <c r="E472" s="5">
        <v>46051</v>
      </c>
      <c r="F472" s="5">
        <v>46054</v>
      </c>
      <c r="G472" s="8" t="s">
        <v>1047</v>
      </c>
      <c r="H472" s="8" t="s">
        <v>410</v>
      </c>
      <c r="I472" s="8" t="s">
        <v>411</v>
      </c>
      <c r="J472" s="4"/>
      <c r="K472" s="64">
        <v>469</v>
      </c>
      <c r="L472" s="18" t="s">
        <v>1098</v>
      </c>
      <c r="M472" s="19" t="s">
        <v>1075</v>
      </c>
      <c r="N472" s="18" t="s">
        <v>309</v>
      </c>
      <c r="O472" s="18">
        <v>2</v>
      </c>
      <c r="P472" s="18" t="s">
        <v>1050</v>
      </c>
      <c r="Q472" s="18" t="s">
        <v>727</v>
      </c>
      <c r="R472" s="18" t="s">
        <v>306</v>
      </c>
      <c r="S472" s="18"/>
      <c r="T472" s="18" t="str">
        <f t="shared" si="14"/>
        <v>Current</v>
      </c>
      <c r="U472" s="18" t="str">
        <f t="shared" si="15"/>
        <v>Micah Foster|Release Branching</v>
      </c>
    </row>
    <row r="473" spans="1:21">
      <c r="A473" s="10">
        <v>45674</v>
      </c>
      <c r="B473" s="4" t="s">
        <v>142</v>
      </c>
      <c r="C473" s="4" t="s">
        <v>438</v>
      </c>
      <c r="D473" s="8">
        <v>1</v>
      </c>
      <c r="E473" s="5">
        <v>45672</v>
      </c>
      <c r="F473" s="5">
        <v>45672</v>
      </c>
      <c r="G473" s="8" t="s">
        <v>1047</v>
      </c>
      <c r="H473" s="8" t="s">
        <v>410</v>
      </c>
      <c r="I473" s="8" t="s">
        <v>411</v>
      </c>
      <c r="J473" s="4"/>
      <c r="K473" s="64">
        <v>470</v>
      </c>
      <c r="L473" s="18" t="s">
        <v>1099</v>
      </c>
      <c r="M473" s="19" t="s">
        <v>1075</v>
      </c>
      <c r="N473" s="18" t="s">
        <v>309</v>
      </c>
      <c r="O473" s="18">
        <v>2</v>
      </c>
      <c r="P473" s="18" t="s">
        <v>1050</v>
      </c>
      <c r="Q473" s="18" t="s">
        <v>440</v>
      </c>
      <c r="R473" s="18" t="s">
        <v>213</v>
      </c>
      <c r="S473" s="18"/>
      <c r="T473" s="18" t="str">
        <f t="shared" si="14"/>
        <v>Current</v>
      </c>
      <c r="U473" s="18" t="str">
        <f t="shared" si="15"/>
        <v>Micah Foster|Data Privacy &amp; Acceptable Use</v>
      </c>
    </row>
    <row r="474" spans="1:21">
      <c r="A474" s="10">
        <v>46224</v>
      </c>
      <c r="B474" s="4" t="s">
        <v>145</v>
      </c>
      <c r="C474" s="4" t="s">
        <v>1076</v>
      </c>
      <c r="D474" s="8">
        <v>1</v>
      </c>
      <c r="E474" s="5">
        <v>46219</v>
      </c>
      <c r="F474" s="5">
        <v>46219</v>
      </c>
      <c r="G474" s="8" t="s">
        <v>1047</v>
      </c>
      <c r="H474" s="8" t="s">
        <v>410</v>
      </c>
      <c r="I474" s="8" t="s">
        <v>411</v>
      </c>
      <c r="J474" s="4"/>
      <c r="K474" s="64">
        <v>471</v>
      </c>
      <c r="L474" s="18" t="s">
        <v>1100</v>
      </c>
      <c r="M474" s="19" t="s">
        <v>1101</v>
      </c>
      <c r="N474" s="18" t="s">
        <v>309</v>
      </c>
      <c r="O474" s="18">
        <v>3</v>
      </c>
      <c r="P474" s="18" t="s">
        <v>1050</v>
      </c>
      <c r="Q474" s="18" t="s">
        <v>1078</v>
      </c>
      <c r="R474" s="18" t="s">
        <v>309</v>
      </c>
      <c r="S474" s="18"/>
      <c r="T474" s="18" t="str">
        <f t="shared" si="14"/>
        <v>Historical</v>
      </c>
      <c r="U474" s="18" t="str">
        <f t="shared" si="15"/>
        <v/>
      </c>
    </row>
    <row r="475" spans="1:21">
      <c r="A475" s="10">
        <v>46223</v>
      </c>
      <c r="B475" s="4" t="s">
        <v>145</v>
      </c>
      <c r="C475" s="4" t="s">
        <v>1076</v>
      </c>
      <c r="D475" s="8">
        <v>2</v>
      </c>
      <c r="E475" s="5">
        <v>46220</v>
      </c>
      <c r="F475" s="5">
        <v>46220</v>
      </c>
      <c r="G475" s="8" t="s">
        <v>1047</v>
      </c>
      <c r="H475" s="8" t="s">
        <v>419</v>
      </c>
      <c r="I475" s="8" t="s">
        <v>411</v>
      </c>
      <c r="J475" s="4"/>
      <c r="K475" s="64">
        <v>472</v>
      </c>
      <c r="L475" s="18" t="s">
        <v>1102</v>
      </c>
      <c r="M475" s="19" t="s">
        <v>1101</v>
      </c>
      <c r="N475" s="18" t="s">
        <v>309</v>
      </c>
      <c r="O475" s="18">
        <v>3</v>
      </c>
      <c r="P475" s="18" t="s">
        <v>1050</v>
      </c>
      <c r="Q475" s="18" t="s">
        <v>1078</v>
      </c>
      <c r="R475" s="18" t="s">
        <v>309</v>
      </c>
      <c r="S475" s="18">
        <v>1</v>
      </c>
      <c r="T475" s="18" t="str">
        <f t="shared" si="14"/>
        <v>Historical</v>
      </c>
      <c r="U475" s="18" t="str">
        <f t="shared" si="15"/>
        <v/>
      </c>
    </row>
    <row r="476" spans="1:21">
      <c r="A476" s="10">
        <v>46233</v>
      </c>
      <c r="B476" s="4" t="s">
        <v>145</v>
      </c>
      <c r="C476" s="4" t="s">
        <v>1076</v>
      </c>
      <c r="D476" s="8">
        <v>3</v>
      </c>
      <c r="E476" s="5">
        <v>46231</v>
      </c>
      <c r="F476" s="5">
        <v>46234</v>
      </c>
      <c r="G476" s="8" t="s">
        <v>1047</v>
      </c>
      <c r="H476" s="8" t="s">
        <v>419</v>
      </c>
      <c r="I476" s="8" t="s">
        <v>411</v>
      </c>
      <c r="J476" s="4"/>
      <c r="K476" s="64">
        <v>473</v>
      </c>
      <c r="L476" s="18" t="s">
        <v>1103</v>
      </c>
      <c r="M476" s="19" t="s">
        <v>1101</v>
      </c>
      <c r="N476" s="18" t="s">
        <v>309</v>
      </c>
      <c r="O476" s="18">
        <v>3</v>
      </c>
      <c r="P476" s="18" t="s">
        <v>1050</v>
      </c>
      <c r="Q476" s="18" t="s">
        <v>1078</v>
      </c>
      <c r="R476" s="18" t="s">
        <v>309</v>
      </c>
      <c r="S476" s="18">
        <v>2</v>
      </c>
      <c r="T476" s="18" t="str">
        <f t="shared" si="14"/>
        <v>Current</v>
      </c>
      <c r="U476" s="18" t="str">
        <f t="shared" si="15"/>
        <v>Elliot Wright|Capacity Planning</v>
      </c>
    </row>
    <row r="477" spans="1:21">
      <c r="A477" s="10">
        <v>45914</v>
      </c>
      <c r="B477" s="4" t="s">
        <v>145</v>
      </c>
      <c r="C477" s="4" t="s">
        <v>882</v>
      </c>
      <c r="D477" s="8">
        <v>1</v>
      </c>
      <c r="E477" s="5">
        <v>45909</v>
      </c>
      <c r="F477" s="5">
        <v>45912</v>
      </c>
      <c r="G477" s="8" t="s">
        <v>1047</v>
      </c>
      <c r="H477" s="8" t="s">
        <v>410</v>
      </c>
      <c r="I477" s="8" t="s">
        <v>411</v>
      </c>
      <c r="J477" s="4"/>
      <c r="K477" s="64">
        <v>474</v>
      </c>
      <c r="L477" s="18" t="s">
        <v>1104</v>
      </c>
      <c r="M477" s="19" t="s">
        <v>1101</v>
      </c>
      <c r="N477" s="18" t="s">
        <v>309</v>
      </c>
      <c r="O477" s="18">
        <v>3</v>
      </c>
      <c r="P477" s="18" t="s">
        <v>1050</v>
      </c>
      <c r="Q477" s="18" t="s">
        <v>884</v>
      </c>
      <c r="R477" s="18" t="s">
        <v>309</v>
      </c>
      <c r="S477" s="18"/>
      <c r="T477" s="18" t="str">
        <f t="shared" si="14"/>
        <v>Historical</v>
      </c>
      <c r="U477" s="18" t="str">
        <f t="shared" si="15"/>
        <v/>
      </c>
    </row>
    <row r="478" spans="1:21">
      <c r="A478" s="10">
        <v>46020</v>
      </c>
      <c r="B478" s="4" t="s">
        <v>145</v>
      </c>
      <c r="C478" s="4" t="s">
        <v>882</v>
      </c>
      <c r="D478" s="8">
        <v>2</v>
      </c>
      <c r="E478" s="5">
        <v>46015</v>
      </c>
      <c r="F478" s="5">
        <v>46017</v>
      </c>
      <c r="G478" s="8" t="s">
        <v>1047</v>
      </c>
      <c r="H478" s="8" t="s">
        <v>419</v>
      </c>
      <c r="I478" s="8" t="s">
        <v>411</v>
      </c>
      <c r="J478" s="4"/>
      <c r="K478" s="64">
        <v>475</v>
      </c>
      <c r="L478" s="18" t="s">
        <v>1105</v>
      </c>
      <c r="M478" s="19" t="s">
        <v>1101</v>
      </c>
      <c r="N478" s="18" t="s">
        <v>309</v>
      </c>
      <c r="O478" s="18">
        <v>3</v>
      </c>
      <c r="P478" s="18" t="s">
        <v>1050</v>
      </c>
      <c r="Q478" s="18" t="s">
        <v>884</v>
      </c>
      <c r="R478" s="18" t="s">
        <v>309</v>
      </c>
      <c r="S478" s="18">
        <v>1</v>
      </c>
      <c r="T478" s="18" t="str">
        <f t="shared" si="14"/>
        <v>Historical</v>
      </c>
      <c r="U478" s="18" t="str">
        <f t="shared" si="15"/>
        <v/>
      </c>
    </row>
    <row r="479" spans="1:21">
      <c r="A479" s="10">
        <v>46086</v>
      </c>
      <c r="B479" s="4" t="s">
        <v>145</v>
      </c>
      <c r="C479" s="4" t="s">
        <v>882</v>
      </c>
      <c r="D479" s="8">
        <v>3</v>
      </c>
      <c r="E479" s="5">
        <v>46084</v>
      </c>
      <c r="F479" s="5">
        <v>46084</v>
      </c>
      <c r="G479" s="8" t="s">
        <v>1047</v>
      </c>
      <c r="H479" s="8" t="s">
        <v>419</v>
      </c>
      <c r="I479" s="8" t="s">
        <v>411</v>
      </c>
      <c r="J479" s="4"/>
      <c r="K479" s="64">
        <v>476</v>
      </c>
      <c r="L479" s="18" t="s">
        <v>1106</v>
      </c>
      <c r="M479" s="19" t="s">
        <v>1101</v>
      </c>
      <c r="N479" s="18" t="s">
        <v>309</v>
      </c>
      <c r="O479" s="18">
        <v>3</v>
      </c>
      <c r="P479" s="18" t="s">
        <v>1050</v>
      </c>
      <c r="Q479" s="18" t="s">
        <v>884</v>
      </c>
      <c r="R479" s="18" t="s">
        <v>309</v>
      </c>
      <c r="S479" s="18">
        <v>2</v>
      </c>
      <c r="T479" s="18" t="str">
        <f t="shared" si="14"/>
        <v>Current</v>
      </c>
      <c r="U479" s="18" t="str">
        <f t="shared" si="15"/>
        <v>Elliot Wright|Observability Dashboards</v>
      </c>
    </row>
    <row r="480" spans="1:21">
      <c r="A480" s="10">
        <v>45718</v>
      </c>
      <c r="B480" s="4" t="s">
        <v>145</v>
      </c>
      <c r="C480" s="4" t="s">
        <v>1027</v>
      </c>
      <c r="D480" s="8">
        <v>3</v>
      </c>
      <c r="E480" s="5">
        <v>45717</v>
      </c>
      <c r="F480" s="5">
        <v>45720</v>
      </c>
      <c r="G480" s="8" t="s">
        <v>1047</v>
      </c>
      <c r="H480" s="8" t="s">
        <v>410</v>
      </c>
      <c r="I480" s="8" t="s">
        <v>411</v>
      </c>
      <c r="J480" s="4"/>
      <c r="K480" s="64">
        <v>477</v>
      </c>
      <c r="L480" s="18" t="s">
        <v>1107</v>
      </c>
      <c r="M480" s="19" t="s">
        <v>1101</v>
      </c>
      <c r="N480" s="18" t="s">
        <v>309</v>
      </c>
      <c r="O480" s="18">
        <v>3</v>
      </c>
      <c r="P480" s="18" t="s">
        <v>1050</v>
      </c>
      <c r="Q480" s="18" t="s">
        <v>1029</v>
      </c>
      <c r="R480" s="18" t="s">
        <v>309</v>
      </c>
      <c r="S480" s="18"/>
      <c r="T480" s="18" t="str">
        <f t="shared" si="14"/>
        <v>Current</v>
      </c>
      <c r="U480" s="18" t="str">
        <f t="shared" si="15"/>
        <v>Elliot Wright|Secrets Management</v>
      </c>
    </row>
    <row r="481" spans="1:21">
      <c r="A481" s="10">
        <v>46072</v>
      </c>
      <c r="B481" s="4" t="s">
        <v>145</v>
      </c>
      <c r="C481" s="4" t="s">
        <v>1059</v>
      </c>
      <c r="D481" s="8">
        <v>1</v>
      </c>
      <c r="E481" s="5">
        <v>46069</v>
      </c>
      <c r="F481" s="5">
        <v>46069</v>
      </c>
      <c r="G481" s="8" t="s">
        <v>1047</v>
      </c>
      <c r="H481" s="8" t="s">
        <v>410</v>
      </c>
      <c r="I481" s="8" t="s">
        <v>411</v>
      </c>
      <c r="J481" s="4"/>
      <c r="K481" s="64">
        <v>478</v>
      </c>
      <c r="L481" s="18" t="s">
        <v>1108</v>
      </c>
      <c r="M481" s="19" t="s">
        <v>1101</v>
      </c>
      <c r="N481" s="18" t="s">
        <v>309</v>
      </c>
      <c r="O481" s="18">
        <v>3</v>
      </c>
      <c r="P481" s="18" t="s">
        <v>1050</v>
      </c>
      <c r="Q481" s="18" t="s">
        <v>1061</v>
      </c>
      <c r="R481" s="18" t="s">
        <v>309</v>
      </c>
      <c r="S481" s="18"/>
      <c r="T481" s="18" t="str">
        <f t="shared" si="14"/>
        <v>Historical</v>
      </c>
      <c r="U481" s="18" t="str">
        <f t="shared" si="15"/>
        <v/>
      </c>
    </row>
    <row r="482" spans="1:21">
      <c r="A482" s="10">
        <v>46173</v>
      </c>
      <c r="B482" s="4" t="s">
        <v>145</v>
      </c>
      <c r="C482" s="4" t="s">
        <v>1059</v>
      </c>
      <c r="D482" s="8">
        <v>2</v>
      </c>
      <c r="E482" s="5">
        <v>46170</v>
      </c>
      <c r="F482" s="5">
        <v>46173</v>
      </c>
      <c r="G482" s="8" t="s">
        <v>1047</v>
      </c>
      <c r="H482" s="8" t="s">
        <v>419</v>
      </c>
      <c r="I482" s="8" t="s">
        <v>411</v>
      </c>
      <c r="J482" s="4"/>
      <c r="K482" s="64">
        <v>479</v>
      </c>
      <c r="L482" s="18" t="s">
        <v>1109</v>
      </c>
      <c r="M482" s="19" t="s">
        <v>1101</v>
      </c>
      <c r="N482" s="18" t="s">
        <v>309</v>
      </c>
      <c r="O482" s="18">
        <v>3</v>
      </c>
      <c r="P482" s="18" t="s">
        <v>1050</v>
      </c>
      <c r="Q482" s="18" t="s">
        <v>1061</v>
      </c>
      <c r="R482" s="18" t="s">
        <v>309</v>
      </c>
      <c r="S482" s="18">
        <v>1</v>
      </c>
      <c r="T482" s="18" t="str">
        <f t="shared" si="14"/>
        <v>Current</v>
      </c>
      <c r="U482" s="18" t="str">
        <f t="shared" si="15"/>
        <v>Elliot Wright|Service Dependency Mapping</v>
      </c>
    </row>
    <row r="483" spans="1:21">
      <c r="A483" s="10">
        <v>46051</v>
      </c>
      <c r="B483" s="4" t="s">
        <v>145</v>
      </c>
      <c r="C483" s="4" t="s">
        <v>551</v>
      </c>
      <c r="D483" s="8">
        <v>1</v>
      </c>
      <c r="E483" s="5">
        <v>46047</v>
      </c>
      <c r="F483" s="5">
        <v>46048</v>
      </c>
      <c r="G483" s="8" t="s">
        <v>1047</v>
      </c>
      <c r="H483" s="8" t="s">
        <v>410</v>
      </c>
      <c r="I483" s="8" t="s">
        <v>411</v>
      </c>
      <c r="J483" s="4"/>
      <c r="K483" s="64">
        <v>480</v>
      </c>
      <c r="L483" s="18" t="s">
        <v>1110</v>
      </c>
      <c r="M483" s="19" t="s">
        <v>1101</v>
      </c>
      <c r="N483" s="18" t="s">
        <v>309</v>
      </c>
      <c r="O483" s="18">
        <v>3</v>
      </c>
      <c r="P483" s="18" t="s">
        <v>1050</v>
      </c>
      <c r="Q483" s="18" t="s">
        <v>553</v>
      </c>
      <c r="R483" s="18" t="s">
        <v>309</v>
      </c>
      <c r="S483" s="18"/>
      <c r="T483" s="18" t="str">
        <f t="shared" si="14"/>
        <v>Historical</v>
      </c>
      <c r="U483" s="18" t="str">
        <f t="shared" si="15"/>
        <v/>
      </c>
    </row>
    <row r="484" spans="1:21">
      <c r="A484" s="10">
        <v>46159</v>
      </c>
      <c r="B484" s="4" t="s">
        <v>145</v>
      </c>
      <c r="C484" s="4" t="s">
        <v>551</v>
      </c>
      <c r="D484" s="8">
        <v>2</v>
      </c>
      <c r="E484" s="5">
        <v>46154</v>
      </c>
      <c r="F484" s="5">
        <v>46157</v>
      </c>
      <c r="G484" s="8" t="s">
        <v>1047</v>
      </c>
      <c r="H484" s="8" t="s">
        <v>419</v>
      </c>
      <c r="I484" s="8" t="s">
        <v>411</v>
      </c>
      <c r="J484" s="4"/>
      <c r="K484" s="64">
        <v>481</v>
      </c>
      <c r="L484" s="18" t="s">
        <v>1111</v>
      </c>
      <c r="M484" s="19" t="s">
        <v>1101</v>
      </c>
      <c r="N484" s="18" t="s">
        <v>309</v>
      </c>
      <c r="O484" s="18">
        <v>3</v>
      </c>
      <c r="P484" s="18" t="s">
        <v>1050</v>
      </c>
      <c r="Q484" s="18" t="s">
        <v>553</v>
      </c>
      <c r="R484" s="18" t="s">
        <v>309</v>
      </c>
      <c r="S484" s="18">
        <v>1</v>
      </c>
      <c r="T484" s="18" t="str">
        <f t="shared" si="14"/>
        <v>Historical</v>
      </c>
      <c r="U484" s="18" t="str">
        <f t="shared" si="15"/>
        <v/>
      </c>
    </row>
    <row r="485" spans="1:21">
      <c r="A485" s="10">
        <v>46189</v>
      </c>
      <c r="B485" s="4" t="s">
        <v>145</v>
      </c>
      <c r="C485" s="4" t="s">
        <v>551</v>
      </c>
      <c r="D485" s="8">
        <v>3</v>
      </c>
      <c r="E485" s="5">
        <v>46184</v>
      </c>
      <c r="F485" s="5">
        <v>46186</v>
      </c>
      <c r="G485" s="8" t="s">
        <v>1047</v>
      </c>
      <c r="H485" s="8" t="s">
        <v>419</v>
      </c>
      <c r="I485" s="8" t="s">
        <v>411</v>
      </c>
      <c r="J485" s="4"/>
      <c r="K485" s="64">
        <v>482</v>
      </c>
      <c r="L485" s="18" t="s">
        <v>1112</v>
      </c>
      <c r="M485" s="19" t="s">
        <v>1101</v>
      </c>
      <c r="N485" s="18" t="s">
        <v>309</v>
      </c>
      <c r="O485" s="18">
        <v>3</v>
      </c>
      <c r="P485" s="18" t="s">
        <v>1050</v>
      </c>
      <c r="Q485" s="18" t="s">
        <v>553</v>
      </c>
      <c r="R485" s="18" t="s">
        <v>309</v>
      </c>
      <c r="S485" s="18">
        <v>2</v>
      </c>
      <c r="T485" s="18" t="str">
        <f t="shared" si="14"/>
        <v>Current</v>
      </c>
      <c r="U485" s="18" t="str">
        <f t="shared" si="15"/>
        <v>Elliot Wright|On-Call Handoff</v>
      </c>
    </row>
    <row r="486" spans="1:21">
      <c r="A486" s="10">
        <v>45750</v>
      </c>
      <c r="B486" s="4" t="s">
        <v>145</v>
      </c>
      <c r="C486" s="4" t="s">
        <v>527</v>
      </c>
      <c r="D486" s="8">
        <v>3</v>
      </c>
      <c r="E486" s="5">
        <v>45747</v>
      </c>
      <c r="F486" s="5">
        <v>45748</v>
      </c>
      <c r="G486" s="8" t="s">
        <v>1047</v>
      </c>
      <c r="H486" s="8" t="s">
        <v>410</v>
      </c>
      <c r="I486" s="8" t="s">
        <v>411</v>
      </c>
      <c r="J486" s="4"/>
      <c r="K486" s="64">
        <v>483</v>
      </c>
      <c r="L486" s="18" t="s">
        <v>1113</v>
      </c>
      <c r="M486" s="19" t="s">
        <v>1101</v>
      </c>
      <c r="N486" s="18" t="s">
        <v>309</v>
      </c>
      <c r="O486" s="18">
        <v>3</v>
      </c>
      <c r="P486" s="18" t="s">
        <v>1050</v>
      </c>
      <c r="Q486" s="18" t="s">
        <v>529</v>
      </c>
      <c r="R486" s="18" t="s">
        <v>309</v>
      </c>
      <c r="S486" s="18"/>
      <c r="T486" s="18" t="str">
        <f t="shared" si="14"/>
        <v>Current</v>
      </c>
      <c r="U486" s="18" t="str">
        <f t="shared" si="15"/>
        <v>Elliot Wright|Load Balancing</v>
      </c>
    </row>
    <row r="487" spans="1:21">
      <c r="A487" s="10">
        <v>45824</v>
      </c>
      <c r="B487" s="4" t="s">
        <v>145</v>
      </c>
      <c r="C487" s="4" t="s">
        <v>1052</v>
      </c>
      <c r="D487" s="8">
        <v>2</v>
      </c>
      <c r="E487" s="5">
        <v>45820</v>
      </c>
      <c r="F487" s="5">
        <v>45822</v>
      </c>
      <c r="G487" s="8" t="s">
        <v>1047</v>
      </c>
      <c r="H487" s="8" t="s">
        <v>410</v>
      </c>
      <c r="I487" s="8" t="s">
        <v>411</v>
      </c>
      <c r="J487" s="4"/>
      <c r="K487" s="64">
        <v>484</v>
      </c>
      <c r="L487" s="18" t="s">
        <v>1114</v>
      </c>
      <c r="M487" s="19" t="s">
        <v>1101</v>
      </c>
      <c r="N487" s="18" t="s">
        <v>309</v>
      </c>
      <c r="O487" s="18">
        <v>3</v>
      </c>
      <c r="P487" s="18" t="s">
        <v>1050</v>
      </c>
      <c r="Q487" s="18" t="s">
        <v>1054</v>
      </c>
      <c r="R487" s="18" t="s">
        <v>309</v>
      </c>
      <c r="S487" s="18"/>
      <c r="T487" s="18" t="str">
        <f t="shared" si="14"/>
        <v>Current</v>
      </c>
      <c r="U487" s="18" t="str">
        <f t="shared" si="15"/>
        <v>Elliot Wright|Incident Response</v>
      </c>
    </row>
    <row r="488" spans="1:21">
      <c r="A488" s="10">
        <v>45982</v>
      </c>
      <c r="B488" s="4" t="s">
        <v>145</v>
      </c>
      <c r="C488" s="4" t="s">
        <v>1083</v>
      </c>
      <c r="D488" s="8">
        <v>1</v>
      </c>
      <c r="E488" s="5">
        <v>45978</v>
      </c>
      <c r="F488" s="5">
        <v>45980</v>
      </c>
      <c r="G488" s="8" t="s">
        <v>1047</v>
      </c>
      <c r="H488" s="8" t="s">
        <v>410</v>
      </c>
      <c r="I488" s="8" t="s">
        <v>411</v>
      </c>
      <c r="J488" s="4"/>
      <c r="K488" s="64">
        <v>485</v>
      </c>
      <c r="L488" s="18" t="s">
        <v>1115</v>
      </c>
      <c r="M488" s="19" t="s">
        <v>1101</v>
      </c>
      <c r="N488" s="18" t="s">
        <v>309</v>
      </c>
      <c r="O488" s="18">
        <v>3</v>
      </c>
      <c r="P488" s="18" t="s">
        <v>1050</v>
      </c>
      <c r="Q488" s="18" t="s">
        <v>1085</v>
      </c>
      <c r="R488" s="18" t="s">
        <v>309</v>
      </c>
      <c r="S488" s="18"/>
      <c r="T488" s="18" t="str">
        <f t="shared" si="14"/>
        <v>Historical</v>
      </c>
      <c r="U488" s="18" t="str">
        <f t="shared" si="15"/>
        <v/>
      </c>
    </row>
    <row r="489" spans="1:21">
      <c r="A489" s="10">
        <v>46098</v>
      </c>
      <c r="B489" s="4" t="s">
        <v>145</v>
      </c>
      <c r="C489" s="4" t="s">
        <v>1083</v>
      </c>
      <c r="D489" s="8">
        <v>2</v>
      </c>
      <c r="E489" s="5">
        <v>46095</v>
      </c>
      <c r="F489" s="5">
        <v>46095</v>
      </c>
      <c r="G489" s="8" t="s">
        <v>1047</v>
      </c>
      <c r="H489" s="8" t="s">
        <v>419</v>
      </c>
      <c r="I489" s="8" t="s">
        <v>411</v>
      </c>
      <c r="J489" s="4"/>
      <c r="K489" s="64">
        <v>486</v>
      </c>
      <c r="L489" s="18" t="s">
        <v>1116</v>
      </c>
      <c r="M489" s="19" t="s">
        <v>1101</v>
      </c>
      <c r="N489" s="18" t="s">
        <v>309</v>
      </c>
      <c r="O489" s="18">
        <v>3</v>
      </c>
      <c r="P489" s="18" t="s">
        <v>1050</v>
      </c>
      <c r="Q489" s="18" t="s">
        <v>1085</v>
      </c>
      <c r="R489" s="18" t="s">
        <v>309</v>
      </c>
      <c r="S489" s="18">
        <v>1</v>
      </c>
      <c r="T489" s="18" t="str">
        <f t="shared" si="14"/>
        <v>Current</v>
      </c>
      <c r="U489" s="18" t="str">
        <f t="shared" si="15"/>
        <v>Elliot Wright|Azure Core Services</v>
      </c>
    </row>
    <row r="490" spans="1:21">
      <c r="A490" s="10">
        <v>45858</v>
      </c>
      <c r="B490" s="4" t="s">
        <v>145</v>
      </c>
      <c r="C490" s="4" t="s">
        <v>1117</v>
      </c>
      <c r="D490" s="8">
        <v>1</v>
      </c>
      <c r="E490" s="5">
        <v>45854</v>
      </c>
      <c r="F490" s="5">
        <v>45857</v>
      </c>
      <c r="G490" s="8" t="s">
        <v>1047</v>
      </c>
      <c r="H490" s="8" t="s">
        <v>410</v>
      </c>
      <c r="I490" s="8" t="s">
        <v>411</v>
      </c>
      <c r="J490" s="4"/>
      <c r="K490" s="64">
        <v>487</v>
      </c>
      <c r="L490" s="18" t="s">
        <v>1118</v>
      </c>
      <c r="M490" s="19" t="s">
        <v>1101</v>
      </c>
      <c r="N490" s="18" t="s">
        <v>309</v>
      </c>
      <c r="O490" s="18">
        <v>3</v>
      </c>
      <c r="P490" s="18" t="s">
        <v>1050</v>
      </c>
      <c r="Q490" s="18" t="s">
        <v>1119</v>
      </c>
      <c r="R490" s="18" t="s">
        <v>311</v>
      </c>
      <c r="S490" s="18"/>
      <c r="T490" s="18" t="str">
        <f t="shared" si="14"/>
        <v>Current</v>
      </c>
      <c r="U490" s="18" t="str">
        <f t="shared" si="15"/>
        <v>Elliot Wright|Incident Containment</v>
      </c>
    </row>
    <row r="491" spans="1:21">
      <c r="A491" s="10">
        <v>45769</v>
      </c>
      <c r="B491" s="4" t="s">
        <v>145</v>
      </c>
      <c r="C491" s="4" t="s">
        <v>1120</v>
      </c>
      <c r="D491" s="8">
        <v>3</v>
      </c>
      <c r="E491" s="5">
        <v>45768</v>
      </c>
      <c r="F491" s="5">
        <v>45768</v>
      </c>
      <c r="G491" s="8" t="s">
        <v>1047</v>
      </c>
      <c r="H491" s="8" t="s">
        <v>410</v>
      </c>
      <c r="I491" s="8" t="s">
        <v>411</v>
      </c>
      <c r="J491" s="4"/>
      <c r="K491" s="64">
        <v>488</v>
      </c>
      <c r="L491" s="18" t="s">
        <v>1121</v>
      </c>
      <c r="M491" s="19" t="s">
        <v>1101</v>
      </c>
      <c r="N491" s="18" t="s">
        <v>309</v>
      </c>
      <c r="O491" s="18">
        <v>3</v>
      </c>
      <c r="P491" s="18" t="s">
        <v>1050</v>
      </c>
      <c r="Q491" s="18" t="s">
        <v>1122</v>
      </c>
      <c r="R491" s="18" t="s">
        <v>310</v>
      </c>
      <c r="S491" s="18"/>
      <c r="T491" s="18" t="str">
        <f t="shared" si="14"/>
        <v>Current</v>
      </c>
      <c r="U491" s="18" t="str">
        <f t="shared" si="15"/>
        <v>Elliot Wright|Defect Triage Analyst</v>
      </c>
    </row>
    <row r="492" spans="1:21">
      <c r="A492" s="10">
        <v>45999</v>
      </c>
      <c r="B492" s="4" t="s">
        <v>145</v>
      </c>
      <c r="C492" s="4" t="s">
        <v>696</v>
      </c>
      <c r="D492" s="8">
        <v>1</v>
      </c>
      <c r="E492" s="5">
        <v>45995</v>
      </c>
      <c r="F492" s="5">
        <v>45995</v>
      </c>
      <c r="G492" s="8" t="s">
        <v>1047</v>
      </c>
      <c r="H492" s="8" t="s">
        <v>410</v>
      </c>
      <c r="I492" s="8" t="s">
        <v>411</v>
      </c>
      <c r="J492" s="4"/>
      <c r="K492" s="64">
        <v>489</v>
      </c>
      <c r="L492" s="18" t="s">
        <v>1123</v>
      </c>
      <c r="M492" s="19" t="s">
        <v>1101</v>
      </c>
      <c r="N492" s="18" t="s">
        <v>309</v>
      </c>
      <c r="O492" s="18">
        <v>3</v>
      </c>
      <c r="P492" s="18" t="s">
        <v>1050</v>
      </c>
      <c r="Q492" s="18" t="s">
        <v>698</v>
      </c>
      <c r="R492" s="18" t="s">
        <v>306</v>
      </c>
      <c r="S492" s="18"/>
      <c r="T492" s="18" t="str">
        <f t="shared" si="14"/>
        <v>Historical</v>
      </c>
      <c r="U492" s="18" t="str">
        <f t="shared" si="15"/>
        <v/>
      </c>
    </row>
    <row r="493" spans="1:21">
      <c r="A493" s="10">
        <v>46056</v>
      </c>
      <c r="B493" s="4" t="s">
        <v>145</v>
      </c>
      <c r="C493" s="4" t="s">
        <v>696</v>
      </c>
      <c r="D493" s="8">
        <v>2</v>
      </c>
      <c r="E493" s="5">
        <v>46052</v>
      </c>
      <c r="F493" s="5">
        <v>46055</v>
      </c>
      <c r="G493" s="8" t="s">
        <v>1047</v>
      </c>
      <c r="H493" s="8" t="s">
        <v>419</v>
      </c>
      <c r="I493" s="8" t="s">
        <v>411</v>
      </c>
      <c r="J493" s="4"/>
      <c r="K493" s="64">
        <v>490</v>
      </c>
      <c r="L493" s="18" t="s">
        <v>1124</v>
      </c>
      <c r="M493" s="19" t="s">
        <v>1101</v>
      </c>
      <c r="N493" s="18" t="s">
        <v>309</v>
      </c>
      <c r="O493" s="18">
        <v>3</v>
      </c>
      <c r="P493" s="18" t="s">
        <v>1050</v>
      </c>
      <c r="Q493" s="18" t="s">
        <v>698</v>
      </c>
      <c r="R493" s="18" t="s">
        <v>306</v>
      </c>
      <c r="S493" s="18">
        <v>1</v>
      </c>
      <c r="T493" s="18" t="str">
        <f t="shared" si="14"/>
        <v>Current</v>
      </c>
      <c r="U493" s="18" t="str">
        <f t="shared" si="15"/>
        <v>Elliot Wright|Integration Testing</v>
      </c>
    </row>
    <row r="494" spans="1:21">
      <c r="A494" s="10">
        <v>45916</v>
      </c>
      <c r="B494" s="4" t="s">
        <v>145</v>
      </c>
      <c r="C494" s="4" t="s">
        <v>531</v>
      </c>
      <c r="D494" s="8">
        <v>3</v>
      </c>
      <c r="E494" s="5">
        <v>45911</v>
      </c>
      <c r="F494" s="5">
        <v>45912</v>
      </c>
      <c r="G494" s="8" t="s">
        <v>1047</v>
      </c>
      <c r="H494" s="8" t="s">
        <v>410</v>
      </c>
      <c r="I494" s="8" t="s">
        <v>411</v>
      </c>
      <c r="J494" s="4"/>
      <c r="K494" s="64">
        <v>491</v>
      </c>
      <c r="L494" s="18" t="s">
        <v>1125</v>
      </c>
      <c r="M494" s="19" t="s">
        <v>1101</v>
      </c>
      <c r="N494" s="18" t="s">
        <v>309</v>
      </c>
      <c r="O494" s="18">
        <v>3</v>
      </c>
      <c r="P494" s="18" t="s">
        <v>1050</v>
      </c>
      <c r="Q494" s="18" t="s">
        <v>533</v>
      </c>
      <c r="R494" s="18" t="s">
        <v>213</v>
      </c>
      <c r="S494" s="18"/>
      <c r="T494" s="18" t="str">
        <f t="shared" si="14"/>
        <v>Current</v>
      </c>
      <c r="U494" s="18" t="str">
        <f t="shared" si="15"/>
        <v>Elliot Wright|Security Awareness</v>
      </c>
    </row>
    <row r="495" spans="1:21">
      <c r="A495" s="10">
        <v>46175</v>
      </c>
      <c r="B495" s="4" t="s">
        <v>148</v>
      </c>
      <c r="C495" s="4" t="s">
        <v>568</v>
      </c>
      <c r="D495" s="8">
        <v>2</v>
      </c>
      <c r="E495" s="5">
        <v>46170</v>
      </c>
      <c r="F495" s="5">
        <v>46171</v>
      </c>
      <c r="G495" s="8" t="s">
        <v>1047</v>
      </c>
      <c r="H495" s="8" t="s">
        <v>410</v>
      </c>
      <c r="I495" s="8" t="s">
        <v>411</v>
      </c>
      <c r="J495" s="4"/>
      <c r="K495" s="64">
        <v>492</v>
      </c>
      <c r="L495" s="18" t="s">
        <v>1126</v>
      </c>
      <c r="M495" s="19" t="s">
        <v>1127</v>
      </c>
      <c r="N495" s="18" t="s">
        <v>309</v>
      </c>
      <c r="O495" s="18">
        <v>1</v>
      </c>
      <c r="P495" s="18" t="s">
        <v>1050</v>
      </c>
      <c r="Q495" s="18" t="s">
        <v>570</v>
      </c>
      <c r="R495" s="18" t="s">
        <v>309</v>
      </c>
      <c r="S495" s="18"/>
      <c r="T495" s="18" t="str">
        <f t="shared" si="14"/>
        <v>Current</v>
      </c>
      <c r="U495" s="18" t="str">
        <f t="shared" si="15"/>
        <v>Sage Cook|Kubernetes Operations</v>
      </c>
    </row>
    <row r="496" spans="1:21">
      <c r="A496" s="10">
        <v>45673</v>
      </c>
      <c r="B496" s="4" t="s">
        <v>148</v>
      </c>
      <c r="C496" s="4" t="s">
        <v>1128</v>
      </c>
      <c r="D496" s="8">
        <v>1</v>
      </c>
      <c r="E496" s="5">
        <v>45669</v>
      </c>
      <c r="F496" s="5">
        <v>45671</v>
      </c>
      <c r="G496" s="8" t="s">
        <v>1047</v>
      </c>
      <c r="H496" s="8" t="s">
        <v>410</v>
      </c>
      <c r="I496" s="8" t="s">
        <v>411</v>
      </c>
      <c r="J496" s="4"/>
      <c r="K496" s="64">
        <v>493</v>
      </c>
      <c r="L496" s="18" t="s">
        <v>1129</v>
      </c>
      <c r="M496" s="19" t="s">
        <v>1127</v>
      </c>
      <c r="N496" s="18" t="s">
        <v>309</v>
      </c>
      <c r="O496" s="18">
        <v>1</v>
      </c>
      <c r="P496" s="18" t="s">
        <v>1050</v>
      </c>
      <c r="Q496" s="18" t="s">
        <v>1130</v>
      </c>
      <c r="R496" s="18" t="s">
        <v>309</v>
      </c>
      <c r="S496" s="18"/>
      <c r="T496" s="18" t="str">
        <f t="shared" si="14"/>
        <v>Historical</v>
      </c>
      <c r="U496" s="18" t="str">
        <f t="shared" si="15"/>
        <v/>
      </c>
    </row>
    <row r="497" spans="1:21">
      <c r="A497" s="10">
        <v>45772</v>
      </c>
      <c r="B497" s="4" t="s">
        <v>148</v>
      </c>
      <c r="C497" s="4" t="s">
        <v>1128</v>
      </c>
      <c r="D497" s="8">
        <v>2</v>
      </c>
      <c r="E497" s="5">
        <v>45768</v>
      </c>
      <c r="F497" s="5">
        <v>45770</v>
      </c>
      <c r="G497" s="8" t="s">
        <v>1047</v>
      </c>
      <c r="H497" s="8" t="s">
        <v>419</v>
      </c>
      <c r="I497" s="8" t="s">
        <v>411</v>
      </c>
      <c r="J497" s="4"/>
      <c r="K497" s="64">
        <v>494</v>
      </c>
      <c r="L497" s="18" t="s">
        <v>1131</v>
      </c>
      <c r="M497" s="19" t="s">
        <v>1127</v>
      </c>
      <c r="N497" s="18" t="s">
        <v>309</v>
      </c>
      <c r="O497" s="18">
        <v>1</v>
      </c>
      <c r="P497" s="18" t="s">
        <v>1050</v>
      </c>
      <c r="Q497" s="18" t="s">
        <v>1130</v>
      </c>
      <c r="R497" s="18" t="s">
        <v>309</v>
      </c>
      <c r="S497" s="18">
        <v>1</v>
      </c>
      <c r="T497" s="18" t="str">
        <f t="shared" si="14"/>
        <v>Historical</v>
      </c>
      <c r="U497" s="18" t="str">
        <f t="shared" si="15"/>
        <v/>
      </c>
    </row>
    <row r="498" spans="1:21">
      <c r="A498" s="10">
        <v>45847</v>
      </c>
      <c r="B498" s="4" t="s">
        <v>148</v>
      </c>
      <c r="C498" s="4" t="s">
        <v>1128</v>
      </c>
      <c r="D498" s="8">
        <v>3</v>
      </c>
      <c r="E498" s="5">
        <v>45844</v>
      </c>
      <c r="F498" s="5">
        <v>45847</v>
      </c>
      <c r="G498" s="8" t="s">
        <v>1047</v>
      </c>
      <c r="H498" s="8" t="s">
        <v>419</v>
      </c>
      <c r="I498" s="8" t="s">
        <v>411</v>
      </c>
      <c r="J498" s="4"/>
      <c r="K498" s="64">
        <v>495</v>
      </c>
      <c r="L498" s="18" t="s">
        <v>1132</v>
      </c>
      <c r="M498" s="19" t="s">
        <v>1127</v>
      </c>
      <c r="N498" s="18" t="s">
        <v>309</v>
      </c>
      <c r="O498" s="18">
        <v>1</v>
      </c>
      <c r="P498" s="18" t="s">
        <v>1050</v>
      </c>
      <c r="Q498" s="18" t="s">
        <v>1130</v>
      </c>
      <c r="R498" s="18" t="s">
        <v>309</v>
      </c>
      <c r="S498" s="18">
        <v>2</v>
      </c>
      <c r="T498" s="18" t="str">
        <f t="shared" si="14"/>
        <v>Current</v>
      </c>
      <c r="U498" s="18" t="str">
        <f t="shared" si="15"/>
        <v>Sage Cook|Container Runtime Operations</v>
      </c>
    </row>
    <row r="499" spans="1:21">
      <c r="A499" s="10">
        <v>45805</v>
      </c>
      <c r="B499" s="4" t="s">
        <v>148</v>
      </c>
      <c r="C499" s="4" t="s">
        <v>992</v>
      </c>
      <c r="D499" s="8">
        <v>3</v>
      </c>
      <c r="E499" s="5">
        <v>45802</v>
      </c>
      <c r="F499" s="5">
        <v>45804</v>
      </c>
      <c r="G499" s="8" t="s">
        <v>1047</v>
      </c>
      <c r="H499" s="8" t="s">
        <v>410</v>
      </c>
      <c r="I499" s="8" t="s">
        <v>411</v>
      </c>
      <c r="J499" s="4"/>
      <c r="K499" s="64">
        <v>496</v>
      </c>
      <c r="L499" s="18" t="s">
        <v>1133</v>
      </c>
      <c r="M499" s="19" t="s">
        <v>1127</v>
      </c>
      <c r="N499" s="18" t="s">
        <v>309</v>
      </c>
      <c r="O499" s="18">
        <v>1</v>
      </c>
      <c r="P499" s="18" t="s">
        <v>1050</v>
      </c>
      <c r="Q499" s="18" t="s">
        <v>994</v>
      </c>
      <c r="R499" s="18" t="s">
        <v>309</v>
      </c>
      <c r="S499" s="18"/>
      <c r="T499" s="18" t="str">
        <f t="shared" si="14"/>
        <v>Current</v>
      </c>
      <c r="U499" s="18" t="str">
        <f t="shared" si="15"/>
        <v>Sage Cook|Reliability Testing</v>
      </c>
    </row>
    <row r="500" spans="1:21">
      <c r="A500" s="10">
        <v>46156</v>
      </c>
      <c r="B500" s="4" t="s">
        <v>148</v>
      </c>
      <c r="C500" s="4" t="s">
        <v>1134</v>
      </c>
      <c r="D500" s="8">
        <v>3</v>
      </c>
      <c r="E500" s="5">
        <v>46153</v>
      </c>
      <c r="F500" s="5">
        <v>46154</v>
      </c>
      <c r="G500" s="8" t="s">
        <v>1047</v>
      </c>
      <c r="H500" s="8" t="s">
        <v>410</v>
      </c>
      <c r="I500" s="8" t="s">
        <v>411</v>
      </c>
      <c r="J500" s="4"/>
      <c r="K500" s="64">
        <v>497</v>
      </c>
      <c r="L500" s="18" t="s">
        <v>1135</v>
      </c>
      <c r="M500" s="19" t="s">
        <v>1127</v>
      </c>
      <c r="N500" s="18" t="s">
        <v>309</v>
      </c>
      <c r="O500" s="18">
        <v>1</v>
      </c>
      <c r="P500" s="18" t="s">
        <v>1050</v>
      </c>
      <c r="Q500" s="18" t="s">
        <v>1136</v>
      </c>
      <c r="R500" s="18" t="s">
        <v>309</v>
      </c>
      <c r="S500" s="18"/>
      <c r="T500" s="18" t="str">
        <f t="shared" si="14"/>
        <v>Current</v>
      </c>
      <c r="U500" s="18" t="str">
        <f t="shared" si="15"/>
        <v>Sage Cook|Postmortem Facilitation</v>
      </c>
    </row>
    <row r="501" spans="1:21">
      <c r="A501" s="10">
        <v>45965</v>
      </c>
      <c r="B501" s="4" t="s">
        <v>148</v>
      </c>
      <c r="C501" s="4" t="s">
        <v>1076</v>
      </c>
      <c r="D501" s="8">
        <v>3</v>
      </c>
      <c r="E501" s="5">
        <v>45961</v>
      </c>
      <c r="F501" s="5">
        <v>45962</v>
      </c>
      <c r="G501" s="8" t="s">
        <v>1047</v>
      </c>
      <c r="H501" s="8" t="s">
        <v>410</v>
      </c>
      <c r="I501" s="8" t="s">
        <v>411</v>
      </c>
      <c r="J501" s="4"/>
      <c r="K501" s="64">
        <v>498</v>
      </c>
      <c r="L501" s="18" t="s">
        <v>1137</v>
      </c>
      <c r="M501" s="19" t="s">
        <v>1127</v>
      </c>
      <c r="N501" s="18" t="s">
        <v>309</v>
      </c>
      <c r="O501" s="18">
        <v>1</v>
      </c>
      <c r="P501" s="18" t="s">
        <v>1050</v>
      </c>
      <c r="Q501" s="18" t="s">
        <v>1078</v>
      </c>
      <c r="R501" s="18" t="s">
        <v>309</v>
      </c>
      <c r="S501" s="18"/>
      <c r="T501" s="18" t="str">
        <f t="shared" si="14"/>
        <v>Current</v>
      </c>
      <c r="U501" s="18" t="str">
        <f t="shared" si="15"/>
        <v>Sage Cook|Capacity Planning</v>
      </c>
    </row>
    <row r="502" spans="1:21">
      <c r="A502" s="10">
        <v>46068</v>
      </c>
      <c r="B502" s="4" t="s">
        <v>148</v>
      </c>
      <c r="C502" s="4" t="s">
        <v>777</v>
      </c>
      <c r="D502" s="8">
        <v>1</v>
      </c>
      <c r="E502" s="5">
        <v>46065</v>
      </c>
      <c r="F502" s="5">
        <v>46065</v>
      </c>
      <c r="G502" s="8" t="s">
        <v>1047</v>
      </c>
      <c r="H502" s="8" t="s">
        <v>410</v>
      </c>
      <c r="I502" s="8" t="s">
        <v>411</v>
      </c>
      <c r="J502" s="4"/>
      <c r="K502" s="64">
        <v>499</v>
      </c>
      <c r="L502" s="18" t="s">
        <v>1138</v>
      </c>
      <c r="M502" s="19" t="s">
        <v>1127</v>
      </c>
      <c r="N502" s="18" t="s">
        <v>309</v>
      </c>
      <c r="O502" s="18">
        <v>1</v>
      </c>
      <c r="P502" s="18" t="s">
        <v>1050</v>
      </c>
      <c r="Q502" s="18" t="s">
        <v>779</v>
      </c>
      <c r="R502" s="18" t="s">
        <v>309</v>
      </c>
      <c r="S502" s="18"/>
      <c r="T502" s="18" t="str">
        <f t="shared" si="14"/>
        <v>Historical</v>
      </c>
      <c r="U502" s="18" t="str">
        <f t="shared" si="15"/>
        <v/>
      </c>
    </row>
    <row r="503" spans="1:21">
      <c r="A503" s="10">
        <v>46159</v>
      </c>
      <c r="B503" s="4" t="s">
        <v>148</v>
      </c>
      <c r="C503" s="4" t="s">
        <v>777</v>
      </c>
      <c r="D503" s="8">
        <v>2</v>
      </c>
      <c r="E503" s="5">
        <v>46157</v>
      </c>
      <c r="F503" s="5">
        <v>46158</v>
      </c>
      <c r="G503" s="8" t="s">
        <v>1047</v>
      </c>
      <c r="H503" s="8" t="s">
        <v>419</v>
      </c>
      <c r="I503" s="8" t="s">
        <v>411</v>
      </c>
      <c r="J503" s="4"/>
      <c r="K503" s="64">
        <v>500</v>
      </c>
      <c r="L503" s="18" t="s">
        <v>1139</v>
      </c>
      <c r="M503" s="19" t="s">
        <v>1127</v>
      </c>
      <c r="N503" s="18" t="s">
        <v>309</v>
      </c>
      <c r="O503" s="18">
        <v>1</v>
      </c>
      <c r="P503" s="18" t="s">
        <v>1050</v>
      </c>
      <c r="Q503" s="18" t="s">
        <v>779</v>
      </c>
      <c r="R503" s="18" t="s">
        <v>309</v>
      </c>
      <c r="S503" s="18">
        <v>1</v>
      </c>
      <c r="T503" s="18" t="str">
        <f t="shared" si="14"/>
        <v>Current</v>
      </c>
      <c r="U503" s="18" t="str">
        <f t="shared" si="15"/>
        <v>Sage Cook|Disaster Recovery</v>
      </c>
    </row>
    <row r="504" spans="1:21">
      <c r="A504" s="10">
        <v>46137</v>
      </c>
      <c r="B504" s="4" t="s">
        <v>148</v>
      </c>
      <c r="C504" s="4" t="s">
        <v>1065</v>
      </c>
      <c r="D504" s="8">
        <v>3</v>
      </c>
      <c r="E504" s="5">
        <v>46135</v>
      </c>
      <c r="F504" s="5">
        <v>46138</v>
      </c>
      <c r="G504" s="8" t="s">
        <v>1047</v>
      </c>
      <c r="H504" s="8" t="s">
        <v>410</v>
      </c>
      <c r="I504" s="8" t="s">
        <v>411</v>
      </c>
      <c r="J504" s="4"/>
      <c r="K504" s="64">
        <v>501</v>
      </c>
      <c r="L504" s="18" t="s">
        <v>1140</v>
      </c>
      <c r="M504" s="19" t="s">
        <v>1127</v>
      </c>
      <c r="N504" s="18" t="s">
        <v>309</v>
      </c>
      <c r="O504" s="18">
        <v>1</v>
      </c>
      <c r="P504" s="18" t="s">
        <v>1050</v>
      </c>
      <c r="Q504" s="18" t="s">
        <v>1067</v>
      </c>
      <c r="R504" s="18" t="s">
        <v>309</v>
      </c>
      <c r="S504" s="18"/>
      <c r="T504" s="18" t="str">
        <f t="shared" si="14"/>
        <v>Current</v>
      </c>
      <c r="U504" s="18" t="str">
        <f t="shared" si="15"/>
        <v>Sage Cook|AWS Core Services</v>
      </c>
    </row>
    <row r="505" spans="1:21">
      <c r="A505" s="10">
        <v>45737</v>
      </c>
      <c r="B505" s="4" t="s">
        <v>148</v>
      </c>
      <c r="C505" s="4" t="s">
        <v>551</v>
      </c>
      <c r="D505" s="8">
        <v>3</v>
      </c>
      <c r="E505" s="5">
        <v>45733</v>
      </c>
      <c r="F505" s="5">
        <v>45736</v>
      </c>
      <c r="G505" s="8" t="s">
        <v>1047</v>
      </c>
      <c r="H505" s="8" t="s">
        <v>410</v>
      </c>
      <c r="I505" s="8" t="s">
        <v>411</v>
      </c>
      <c r="J505" s="4"/>
      <c r="K505" s="64">
        <v>502</v>
      </c>
      <c r="L505" s="18" t="s">
        <v>1141</v>
      </c>
      <c r="M505" s="19" t="s">
        <v>1127</v>
      </c>
      <c r="N505" s="18" t="s">
        <v>309</v>
      </c>
      <c r="O505" s="18">
        <v>1</v>
      </c>
      <c r="P505" s="18" t="s">
        <v>1050</v>
      </c>
      <c r="Q505" s="18" t="s">
        <v>553</v>
      </c>
      <c r="R505" s="18" t="s">
        <v>309</v>
      </c>
      <c r="S505" s="18"/>
      <c r="T505" s="18" t="str">
        <f t="shared" si="14"/>
        <v>Current</v>
      </c>
      <c r="U505" s="18" t="str">
        <f t="shared" si="15"/>
        <v>Sage Cook|On-Call Handoff</v>
      </c>
    </row>
    <row r="506" spans="1:21">
      <c r="A506" s="10">
        <v>45975</v>
      </c>
      <c r="B506" s="4" t="s">
        <v>148</v>
      </c>
      <c r="C506" s="4" t="s">
        <v>1093</v>
      </c>
      <c r="D506" s="8">
        <v>1</v>
      </c>
      <c r="E506" s="5">
        <v>45973</v>
      </c>
      <c r="F506" s="5">
        <v>45975</v>
      </c>
      <c r="G506" s="8" t="s">
        <v>1047</v>
      </c>
      <c r="H506" s="8" t="s">
        <v>410</v>
      </c>
      <c r="I506" s="8" t="s">
        <v>411</v>
      </c>
      <c r="J506" s="4"/>
      <c r="K506" s="64">
        <v>503</v>
      </c>
      <c r="L506" s="18" t="s">
        <v>1142</v>
      </c>
      <c r="M506" s="19" t="s">
        <v>1127</v>
      </c>
      <c r="N506" s="18" t="s">
        <v>309</v>
      </c>
      <c r="O506" s="18">
        <v>1</v>
      </c>
      <c r="P506" s="18" t="s">
        <v>1050</v>
      </c>
      <c r="Q506" s="18" t="s">
        <v>1095</v>
      </c>
      <c r="R506" s="18" t="s">
        <v>310</v>
      </c>
      <c r="S506" s="18"/>
      <c r="T506" s="18" t="str">
        <f t="shared" si="14"/>
        <v>Current</v>
      </c>
      <c r="U506" s="18" t="str">
        <f t="shared" si="15"/>
        <v>Sage Cook|SQL Fundamentals</v>
      </c>
    </row>
    <row r="507" spans="1:21">
      <c r="A507" s="10">
        <v>46050</v>
      </c>
      <c r="B507" s="4" t="s">
        <v>148</v>
      </c>
      <c r="C507" s="4" t="s">
        <v>692</v>
      </c>
      <c r="D507" s="8">
        <v>3</v>
      </c>
      <c r="E507" s="5">
        <v>46049</v>
      </c>
      <c r="F507" s="5">
        <v>46052</v>
      </c>
      <c r="G507" s="8" t="s">
        <v>1047</v>
      </c>
      <c r="H507" s="8" t="s">
        <v>410</v>
      </c>
      <c r="I507" s="8" t="s">
        <v>411</v>
      </c>
      <c r="J507" s="4"/>
      <c r="K507" s="64">
        <v>504</v>
      </c>
      <c r="L507" s="18" t="s">
        <v>1143</v>
      </c>
      <c r="M507" s="19" t="s">
        <v>1127</v>
      </c>
      <c r="N507" s="18" t="s">
        <v>309</v>
      </c>
      <c r="O507" s="18">
        <v>1</v>
      </c>
      <c r="P507" s="18" t="s">
        <v>1050</v>
      </c>
      <c r="Q507" s="18" t="s">
        <v>694</v>
      </c>
      <c r="R507" s="18" t="s">
        <v>306</v>
      </c>
      <c r="S507" s="18"/>
      <c r="T507" s="18" t="str">
        <f t="shared" si="14"/>
        <v>Current</v>
      </c>
      <c r="U507" s="18" t="str">
        <f t="shared" si="15"/>
        <v>Sage Cook|Secure Coding Basics</v>
      </c>
    </row>
    <row r="508" spans="1:21">
      <c r="A508" s="10">
        <v>46078</v>
      </c>
      <c r="B508" s="4" t="s">
        <v>148</v>
      </c>
      <c r="C508" s="4" t="s">
        <v>531</v>
      </c>
      <c r="D508" s="8">
        <v>1</v>
      </c>
      <c r="E508" s="5">
        <v>46073</v>
      </c>
      <c r="F508" s="5">
        <v>46076</v>
      </c>
      <c r="G508" s="8" t="s">
        <v>1047</v>
      </c>
      <c r="H508" s="8" t="s">
        <v>410</v>
      </c>
      <c r="I508" s="8" t="s">
        <v>411</v>
      </c>
      <c r="J508" s="4"/>
      <c r="K508" s="64">
        <v>505</v>
      </c>
      <c r="L508" s="18" t="s">
        <v>1144</v>
      </c>
      <c r="M508" s="19" t="s">
        <v>1127</v>
      </c>
      <c r="N508" s="18" t="s">
        <v>309</v>
      </c>
      <c r="O508" s="18">
        <v>1</v>
      </c>
      <c r="P508" s="18" t="s">
        <v>1050</v>
      </c>
      <c r="Q508" s="18" t="s">
        <v>533</v>
      </c>
      <c r="R508" s="18" t="s">
        <v>213</v>
      </c>
      <c r="S508" s="18"/>
      <c r="T508" s="18" t="str">
        <f t="shared" si="14"/>
        <v>Historical</v>
      </c>
      <c r="U508" s="18" t="str">
        <f t="shared" si="15"/>
        <v/>
      </c>
    </row>
    <row r="509" spans="1:21">
      <c r="A509" s="10">
        <v>46163</v>
      </c>
      <c r="B509" s="4" t="s">
        <v>148</v>
      </c>
      <c r="C509" s="4" t="s">
        <v>531</v>
      </c>
      <c r="D509" s="8">
        <v>2</v>
      </c>
      <c r="E509" s="5">
        <v>46162</v>
      </c>
      <c r="F509" s="5">
        <v>46164</v>
      </c>
      <c r="G509" s="8" t="s">
        <v>1047</v>
      </c>
      <c r="H509" s="8" t="s">
        <v>419</v>
      </c>
      <c r="I509" s="8" t="s">
        <v>411</v>
      </c>
      <c r="J509" s="4"/>
      <c r="K509" s="64">
        <v>506</v>
      </c>
      <c r="L509" s="18" t="s">
        <v>1145</v>
      </c>
      <c r="M509" s="19" t="s">
        <v>1127</v>
      </c>
      <c r="N509" s="18" t="s">
        <v>309</v>
      </c>
      <c r="O509" s="18">
        <v>1</v>
      </c>
      <c r="P509" s="18" t="s">
        <v>1050</v>
      </c>
      <c r="Q509" s="18" t="s">
        <v>533</v>
      </c>
      <c r="R509" s="18" t="s">
        <v>213</v>
      </c>
      <c r="S509" s="18">
        <v>1</v>
      </c>
      <c r="T509" s="18" t="str">
        <f t="shared" si="14"/>
        <v>Historical</v>
      </c>
      <c r="U509" s="18" t="str">
        <f t="shared" si="15"/>
        <v/>
      </c>
    </row>
    <row r="510" spans="1:21">
      <c r="A510" s="10">
        <v>46226</v>
      </c>
      <c r="B510" s="4" t="s">
        <v>148</v>
      </c>
      <c r="C510" s="4" t="s">
        <v>531</v>
      </c>
      <c r="D510" s="8">
        <v>3</v>
      </c>
      <c r="E510" s="5">
        <v>46221</v>
      </c>
      <c r="F510" s="5">
        <v>46221</v>
      </c>
      <c r="G510" s="8" t="s">
        <v>1047</v>
      </c>
      <c r="H510" s="8" t="s">
        <v>419</v>
      </c>
      <c r="I510" s="8" t="s">
        <v>411</v>
      </c>
      <c r="J510" s="4"/>
      <c r="K510" s="64">
        <v>507</v>
      </c>
      <c r="L510" s="18" t="s">
        <v>1146</v>
      </c>
      <c r="M510" s="19" t="s">
        <v>1127</v>
      </c>
      <c r="N510" s="18" t="s">
        <v>309</v>
      </c>
      <c r="O510" s="18">
        <v>1</v>
      </c>
      <c r="P510" s="18" t="s">
        <v>1050</v>
      </c>
      <c r="Q510" s="18" t="s">
        <v>533</v>
      </c>
      <c r="R510" s="18" t="s">
        <v>213</v>
      </c>
      <c r="S510" s="18">
        <v>2</v>
      </c>
      <c r="T510" s="18" t="str">
        <f t="shared" si="14"/>
        <v>Current</v>
      </c>
      <c r="U510" s="18" t="str">
        <f t="shared" si="15"/>
        <v>Sage Cook|Security Awareness</v>
      </c>
    </row>
    <row r="511" spans="1:21">
      <c r="A511" s="10">
        <v>45929</v>
      </c>
      <c r="B511" s="4" t="s">
        <v>151</v>
      </c>
      <c r="C511" s="4" t="s">
        <v>777</v>
      </c>
      <c r="D511" s="8">
        <v>1</v>
      </c>
      <c r="E511" s="5">
        <v>45927</v>
      </c>
      <c r="F511" s="5">
        <v>45928</v>
      </c>
      <c r="G511" s="8" t="s">
        <v>1047</v>
      </c>
      <c r="H511" s="8" t="s">
        <v>410</v>
      </c>
      <c r="I511" s="8" t="s">
        <v>411</v>
      </c>
      <c r="J511" s="4"/>
      <c r="K511" s="64">
        <v>508</v>
      </c>
      <c r="L511" s="18" t="s">
        <v>1147</v>
      </c>
      <c r="M511" s="19" t="s">
        <v>1148</v>
      </c>
      <c r="N511" s="18" t="s">
        <v>309</v>
      </c>
      <c r="O511" s="18">
        <v>2</v>
      </c>
      <c r="P511" s="18" t="s">
        <v>1050</v>
      </c>
      <c r="Q511" s="18" t="s">
        <v>779</v>
      </c>
      <c r="R511" s="18" t="s">
        <v>309</v>
      </c>
      <c r="S511" s="18"/>
      <c r="T511" s="18" t="str">
        <f t="shared" si="14"/>
        <v>Historical</v>
      </c>
      <c r="U511" s="18" t="str">
        <f t="shared" si="15"/>
        <v/>
      </c>
    </row>
    <row r="512" spans="1:21">
      <c r="A512" s="10">
        <v>46007</v>
      </c>
      <c r="B512" s="4" t="s">
        <v>151</v>
      </c>
      <c r="C512" s="4" t="s">
        <v>777</v>
      </c>
      <c r="D512" s="8">
        <v>2</v>
      </c>
      <c r="E512" s="5">
        <v>46004</v>
      </c>
      <c r="F512" s="5">
        <v>46007</v>
      </c>
      <c r="G512" s="8" t="s">
        <v>1047</v>
      </c>
      <c r="H512" s="8" t="s">
        <v>419</v>
      </c>
      <c r="I512" s="8" t="s">
        <v>411</v>
      </c>
      <c r="J512" s="4"/>
      <c r="K512" s="64">
        <v>509</v>
      </c>
      <c r="L512" s="18" t="s">
        <v>1149</v>
      </c>
      <c r="M512" s="19" t="s">
        <v>1148</v>
      </c>
      <c r="N512" s="18" t="s">
        <v>309</v>
      </c>
      <c r="O512" s="18">
        <v>2</v>
      </c>
      <c r="P512" s="18" t="s">
        <v>1050</v>
      </c>
      <c r="Q512" s="18" t="s">
        <v>779</v>
      </c>
      <c r="R512" s="18" t="s">
        <v>309</v>
      </c>
      <c r="S512" s="18">
        <v>1</v>
      </c>
      <c r="T512" s="18" t="str">
        <f t="shared" si="14"/>
        <v>Current</v>
      </c>
      <c r="U512" s="18" t="str">
        <f t="shared" si="15"/>
        <v>Toby Patterson|Disaster Recovery</v>
      </c>
    </row>
    <row r="513" spans="1:21">
      <c r="A513" s="10">
        <v>46177</v>
      </c>
      <c r="B513" s="4" t="s">
        <v>151</v>
      </c>
      <c r="C513" s="4" t="s">
        <v>759</v>
      </c>
      <c r="D513" s="8">
        <v>3</v>
      </c>
      <c r="E513" s="5">
        <v>46175</v>
      </c>
      <c r="F513" s="5">
        <v>46177</v>
      </c>
      <c r="G513" s="8" t="s">
        <v>1047</v>
      </c>
      <c r="H513" s="8" t="s">
        <v>410</v>
      </c>
      <c r="I513" s="8" t="s">
        <v>411</v>
      </c>
      <c r="J513" s="4"/>
      <c r="K513" s="64">
        <v>510</v>
      </c>
      <c r="L513" s="18" t="s">
        <v>1150</v>
      </c>
      <c r="M513" s="19" t="s">
        <v>1148</v>
      </c>
      <c r="N513" s="18" t="s">
        <v>309</v>
      </c>
      <c r="O513" s="18">
        <v>2</v>
      </c>
      <c r="P513" s="18" t="s">
        <v>1050</v>
      </c>
      <c r="Q513" s="18" t="s">
        <v>761</v>
      </c>
      <c r="R513" s="18" t="s">
        <v>309</v>
      </c>
      <c r="S513" s="18"/>
      <c r="T513" s="18" t="str">
        <f t="shared" si="14"/>
        <v>Current</v>
      </c>
      <c r="U513" s="18" t="str">
        <f t="shared" si="15"/>
        <v>Toby Patterson|SLO &amp; SLI Monitoring</v>
      </c>
    </row>
    <row r="514" spans="1:21">
      <c r="A514" s="10">
        <v>45969</v>
      </c>
      <c r="B514" s="4" t="s">
        <v>151</v>
      </c>
      <c r="C514" s="4" t="s">
        <v>1065</v>
      </c>
      <c r="D514" s="8">
        <v>1</v>
      </c>
      <c r="E514" s="5">
        <v>45965</v>
      </c>
      <c r="F514" s="5">
        <v>45965</v>
      </c>
      <c r="G514" s="8" t="s">
        <v>1047</v>
      </c>
      <c r="H514" s="8" t="s">
        <v>410</v>
      </c>
      <c r="I514" s="8" t="s">
        <v>411</v>
      </c>
      <c r="J514" s="4"/>
      <c r="K514" s="64">
        <v>511</v>
      </c>
      <c r="L514" s="18" t="s">
        <v>1151</v>
      </c>
      <c r="M514" s="19" t="s">
        <v>1148</v>
      </c>
      <c r="N514" s="18" t="s">
        <v>309</v>
      </c>
      <c r="O514" s="18">
        <v>2</v>
      </c>
      <c r="P514" s="18" t="s">
        <v>1050</v>
      </c>
      <c r="Q514" s="18" t="s">
        <v>1067</v>
      </c>
      <c r="R514" s="18" t="s">
        <v>309</v>
      </c>
      <c r="S514" s="18"/>
      <c r="T514" s="18" t="str">
        <f t="shared" si="14"/>
        <v>Historical</v>
      </c>
      <c r="U514" s="18" t="str">
        <f t="shared" si="15"/>
        <v/>
      </c>
    </row>
    <row r="515" spans="1:21">
      <c r="A515" s="10">
        <v>46001</v>
      </c>
      <c r="B515" s="4" t="s">
        <v>151</v>
      </c>
      <c r="C515" s="4" t="s">
        <v>1065</v>
      </c>
      <c r="D515" s="8">
        <v>2</v>
      </c>
      <c r="E515" s="5">
        <v>45999</v>
      </c>
      <c r="F515" s="5">
        <v>46001</v>
      </c>
      <c r="G515" s="8" t="s">
        <v>1047</v>
      </c>
      <c r="H515" s="8" t="s">
        <v>419</v>
      </c>
      <c r="I515" s="8" t="s">
        <v>411</v>
      </c>
      <c r="J515" s="4"/>
      <c r="K515" s="64">
        <v>512</v>
      </c>
      <c r="L515" s="18" t="s">
        <v>1152</v>
      </c>
      <c r="M515" s="19" t="s">
        <v>1148</v>
      </c>
      <c r="N515" s="18" t="s">
        <v>309</v>
      </c>
      <c r="O515" s="18">
        <v>2</v>
      </c>
      <c r="P515" s="18" t="s">
        <v>1050</v>
      </c>
      <c r="Q515" s="18" t="s">
        <v>1067</v>
      </c>
      <c r="R515" s="18" t="s">
        <v>309</v>
      </c>
      <c r="S515" s="18">
        <v>1</v>
      </c>
      <c r="T515" s="18" t="str">
        <f t="shared" si="14"/>
        <v>Historical</v>
      </c>
      <c r="U515" s="18" t="str">
        <f t="shared" si="15"/>
        <v/>
      </c>
    </row>
    <row r="516" spans="1:21">
      <c r="A516" s="10">
        <v>46061</v>
      </c>
      <c r="B516" s="4" t="s">
        <v>151</v>
      </c>
      <c r="C516" s="4" t="s">
        <v>1065</v>
      </c>
      <c r="D516" s="8">
        <v>3</v>
      </c>
      <c r="E516" s="5">
        <v>46058</v>
      </c>
      <c r="F516" s="5">
        <v>46061</v>
      </c>
      <c r="G516" s="8" t="s">
        <v>1047</v>
      </c>
      <c r="H516" s="8" t="s">
        <v>419</v>
      </c>
      <c r="I516" s="8" t="s">
        <v>411</v>
      </c>
      <c r="J516" s="4"/>
      <c r="K516" s="64">
        <v>513</v>
      </c>
      <c r="L516" s="18" t="s">
        <v>1153</v>
      </c>
      <c r="M516" s="19" t="s">
        <v>1148</v>
      </c>
      <c r="N516" s="18" t="s">
        <v>309</v>
      </c>
      <c r="O516" s="18">
        <v>2</v>
      </c>
      <c r="P516" s="18" t="s">
        <v>1050</v>
      </c>
      <c r="Q516" s="18" t="s">
        <v>1067</v>
      </c>
      <c r="R516" s="18" t="s">
        <v>309</v>
      </c>
      <c r="S516" s="18">
        <v>2</v>
      </c>
      <c r="T516" s="18" t="str">
        <f t="shared" ref="T516:T579" si="16">IF(B516="","",IF(I516="Yes","Voided",IF(COUNTIFS($B$4:$B$803,B516,$C$4:$C$803,C516,$I$4:$I$803,"&lt;&gt;Yes",$K$4:$K$803,"&gt;"&amp;K516)=0,"Current","Historical")))</f>
        <v>Current</v>
      </c>
      <c r="U516" s="18" t="str">
        <f t="shared" ref="U516:U579" si="17">IF(T516="Current",B516&amp;"|"&amp;C516,"")</f>
        <v>Toby Patterson|AWS Core Services</v>
      </c>
    </row>
    <row r="517" spans="1:21">
      <c r="A517" s="10">
        <v>46023</v>
      </c>
      <c r="B517" s="4" t="s">
        <v>151</v>
      </c>
      <c r="C517" s="4" t="s">
        <v>882</v>
      </c>
      <c r="D517" s="8">
        <v>3</v>
      </c>
      <c r="E517" s="5">
        <v>46019</v>
      </c>
      <c r="F517" s="5">
        <v>46019</v>
      </c>
      <c r="G517" s="8" t="s">
        <v>1047</v>
      </c>
      <c r="H517" s="8" t="s">
        <v>410</v>
      </c>
      <c r="I517" s="8" t="s">
        <v>411</v>
      </c>
      <c r="J517" s="4"/>
      <c r="K517" s="64">
        <v>514</v>
      </c>
      <c r="L517" s="18" t="s">
        <v>1154</v>
      </c>
      <c r="M517" s="19" t="s">
        <v>1148</v>
      </c>
      <c r="N517" s="18" t="s">
        <v>309</v>
      </c>
      <c r="O517" s="18">
        <v>2</v>
      </c>
      <c r="P517" s="18" t="s">
        <v>1050</v>
      </c>
      <c r="Q517" s="18" t="s">
        <v>884</v>
      </c>
      <c r="R517" s="18" t="s">
        <v>309</v>
      </c>
      <c r="S517" s="18"/>
      <c r="T517" s="18" t="str">
        <f t="shared" si="16"/>
        <v>Current</v>
      </c>
      <c r="U517" s="18" t="str">
        <f t="shared" si="17"/>
        <v>Toby Patterson|Observability Dashboards</v>
      </c>
    </row>
    <row r="518" spans="1:21">
      <c r="A518" s="10">
        <v>45990</v>
      </c>
      <c r="B518" s="4" t="s">
        <v>151</v>
      </c>
      <c r="C518" s="4" t="s">
        <v>1027</v>
      </c>
      <c r="D518" s="8">
        <v>2</v>
      </c>
      <c r="E518" s="5">
        <v>45989</v>
      </c>
      <c r="F518" s="5">
        <v>45991</v>
      </c>
      <c r="G518" s="8" t="s">
        <v>1047</v>
      </c>
      <c r="H518" s="8" t="s">
        <v>410</v>
      </c>
      <c r="I518" s="8" t="s">
        <v>411</v>
      </c>
      <c r="J518" s="4"/>
      <c r="K518" s="64">
        <v>515</v>
      </c>
      <c r="L518" s="18" t="s">
        <v>1155</v>
      </c>
      <c r="M518" s="19" t="s">
        <v>1148</v>
      </c>
      <c r="N518" s="18" t="s">
        <v>309</v>
      </c>
      <c r="O518" s="18">
        <v>2</v>
      </c>
      <c r="P518" s="18" t="s">
        <v>1050</v>
      </c>
      <c r="Q518" s="18" t="s">
        <v>1029</v>
      </c>
      <c r="R518" s="18" t="s">
        <v>309</v>
      </c>
      <c r="S518" s="18"/>
      <c r="T518" s="18" t="str">
        <f t="shared" si="16"/>
        <v>Current</v>
      </c>
      <c r="U518" s="18" t="str">
        <f t="shared" si="17"/>
        <v>Toby Patterson|Secrets Management</v>
      </c>
    </row>
    <row r="519" spans="1:21">
      <c r="A519" s="10">
        <v>45781</v>
      </c>
      <c r="B519" s="4" t="s">
        <v>151</v>
      </c>
      <c r="C519" s="4" t="s">
        <v>1156</v>
      </c>
      <c r="D519" s="8">
        <v>1</v>
      </c>
      <c r="E519" s="5">
        <v>45780</v>
      </c>
      <c r="F519" s="5">
        <v>45782</v>
      </c>
      <c r="G519" s="8" t="s">
        <v>1047</v>
      </c>
      <c r="H519" s="8" t="s">
        <v>410</v>
      </c>
      <c r="I519" s="8" t="s">
        <v>411</v>
      </c>
      <c r="J519" s="4"/>
      <c r="K519" s="64">
        <v>516</v>
      </c>
      <c r="L519" s="18" t="s">
        <v>1157</v>
      </c>
      <c r="M519" s="19" t="s">
        <v>1148</v>
      </c>
      <c r="N519" s="18" t="s">
        <v>309</v>
      </c>
      <c r="O519" s="18">
        <v>2</v>
      </c>
      <c r="P519" s="18" t="s">
        <v>1050</v>
      </c>
      <c r="Q519" s="18" t="s">
        <v>1158</v>
      </c>
      <c r="R519" s="18" t="s">
        <v>311</v>
      </c>
      <c r="S519" s="18"/>
      <c r="T519" s="18" t="str">
        <f t="shared" si="16"/>
        <v>Current</v>
      </c>
      <c r="U519" s="18" t="str">
        <f t="shared" si="17"/>
        <v>Toby Patterson|Security Control Testing</v>
      </c>
    </row>
    <row r="520" spans="1:21">
      <c r="A520" s="10">
        <v>45833</v>
      </c>
      <c r="B520" s="4" t="s">
        <v>151</v>
      </c>
      <c r="C520" s="4" t="s">
        <v>941</v>
      </c>
      <c r="D520" s="8">
        <v>3</v>
      </c>
      <c r="E520" s="5">
        <v>45831</v>
      </c>
      <c r="F520" s="5">
        <v>45832</v>
      </c>
      <c r="G520" s="8" t="s">
        <v>1047</v>
      </c>
      <c r="H520" s="8" t="s">
        <v>410</v>
      </c>
      <c r="I520" s="8" t="s">
        <v>411</v>
      </c>
      <c r="J520" s="4"/>
      <c r="K520" s="64">
        <v>517</v>
      </c>
      <c r="L520" s="18" t="s">
        <v>1159</v>
      </c>
      <c r="M520" s="19" t="s">
        <v>1148</v>
      </c>
      <c r="N520" s="18" t="s">
        <v>309</v>
      </c>
      <c r="O520" s="18">
        <v>2</v>
      </c>
      <c r="P520" s="18" t="s">
        <v>1050</v>
      </c>
      <c r="Q520" s="18" t="s">
        <v>943</v>
      </c>
      <c r="R520" s="18" t="s">
        <v>308</v>
      </c>
      <c r="S520" s="18"/>
      <c r="T520" s="18" t="str">
        <f t="shared" si="16"/>
        <v>Current</v>
      </c>
      <c r="U520" s="18" t="str">
        <f t="shared" si="17"/>
        <v>Toby Patterson|Browser Compatibility Testing</v>
      </c>
    </row>
    <row r="521" spans="1:21">
      <c r="A521" s="10">
        <v>46103</v>
      </c>
      <c r="B521" s="4" t="s">
        <v>151</v>
      </c>
      <c r="C521" s="4" t="s">
        <v>830</v>
      </c>
      <c r="D521" s="8">
        <v>1</v>
      </c>
      <c r="E521" s="5">
        <v>46099</v>
      </c>
      <c r="F521" s="5">
        <v>46100</v>
      </c>
      <c r="G521" s="8" t="s">
        <v>1047</v>
      </c>
      <c r="H521" s="8" t="s">
        <v>410</v>
      </c>
      <c r="I521" s="8" t="s">
        <v>411</v>
      </c>
      <c r="J521" s="4"/>
      <c r="K521" s="64">
        <v>518</v>
      </c>
      <c r="L521" s="18" t="s">
        <v>1160</v>
      </c>
      <c r="M521" s="19" t="s">
        <v>1148</v>
      </c>
      <c r="N521" s="18" t="s">
        <v>309</v>
      </c>
      <c r="O521" s="18">
        <v>2</v>
      </c>
      <c r="P521" s="18" t="s">
        <v>1050</v>
      </c>
      <c r="Q521" s="18" t="s">
        <v>832</v>
      </c>
      <c r="R521" s="18" t="s">
        <v>307</v>
      </c>
      <c r="S521" s="18"/>
      <c r="T521" s="18" t="str">
        <f t="shared" si="16"/>
        <v>Historical</v>
      </c>
      <c r="U521" s="18" t="str">
        <f t="shared" si="17"/>
        <v/>
      </c>
    </row>
    <row r="522" spans="1:21">
      <c r="A522" s="10">
        <v>46172</v>
      </c>
      <c r="B522" s="4" t="s">
        <v>151</v>
      </c>
      <c r="C522" s="4" t="s">
        <v>830</v>
      </c>
      <c r="D522" s="8">
        <v>2</v>
      </c>
      <c r="E522" s="5">
        <v>46170</v>
      </c>
      <c r="F522" s="5">
        <v>46171</v>
      </c>
      <c r="G522" s="8" t="s">
        <v>1047</v>
      </c>
      <c r="H522" s="8" t="s">
        <v>419</v>
      </c>
      <c r="I522" s="8" t="s">
        <v>411</v>
      </c>
      <c r="J522" s="4"/>
      <c r="K522" s="64">
        <v>519</v>
      </c>
      <c r="L522" s="18" t="s">
        <v>1161</v>
      </c>
      <c r="M522" s="19" t="s">
        <v>1148</v>
      </c>
      <c r="N522" s="18" t="s">
        <v>309</v>
      </c>
      <c r="O522" s="18">
        <v>2</v>
      </c>
      <c r="P522" s="18" t="s">
        <v>1050</v>
      </c>
      <c r="Q522" s="18" t="s">
        <v>832</v>
      </c>
      <c r="R522" s="18" t="s">
        <v>307</v>
      </c>
      <c r="S522" s="18">
        <v>1</v>
      </c>
      <c r="T522" s="18" t="str">
        <f t="shared" si="16"/>
        <v>Historical</v>
      </c>
      <c r="U522" s="18" t="str">
        <f t="shared" si="17"/>
        <v/>
      </c>
    </row>
    <row r="523" spans="1:21">
      <c r="A523" s="10">
        <v>46232</v>
      </c>
      <c r="B523" s="4" t="s">
        <v>151</v>
      </c>
      <c r="C523" s="4" t="s">
        <v>830</v>
      </c>
      <c r="D523" s="8">
        <v>3</v>
      </c>
      <c r="E523" s="5">
        <v>46228</v>
      </c>
      <c r="F523" s="5">
        <v>46231</v>
      </c>
      <c r="G523" s="8" t="s">
        <v>1047</v>
      </c>
      <c r="H523" s="8" t="s">
        <v>419</v>
      </c>
      <c r="I523" s="8" t="s">
        <v>411</v>
      </c>
      <c r="J523" s="4"/>
      <c r="K523" s="64">
        <v>520</v>
      </c>
      <c r="L523" s="18" t="s">
        <v>1162</v>
      </c>
      <c r="M523" s="19" t="s">
        <v>1148</v>
      </c>
      <c r="N523" s="18" t="s">
        <v>309</v>
      </c>
      <c r="O523" s="18">
        <v>2</v>
      </c>
      <c r="P523" s="18" t="s">
        <v>1050</v>
      </c>
      <c r="Q523" s="18" t="s">
        <v>832</v>
      </c>
      <c r="R523" s="18" t="s">
        <v>307</v>
      </c>
      <c r="S523" s="18">
        <v>2</v>
      </c>
      <c r="T523" s="18" t="str">
        <f t="shared" si="16"/>
        <v>Current</v>
      </c>
      <c r="U523" s="18" t="str">
        <f t="shared" si="17"/>
        <v>Toby Patterson|Device Provisioning Specialist</v>
      </c>
    </row>
    <row r="524" spans="1:21">
      <c r="A524" s="10">
        <v>45772</v>
      </c>
      <c r="B524" s="4" t="s">
        <v>154</v>
      </c>
      <c r="C524" s="4" t="s">
        <v>1068</v>
      </c>
      <c r="D524" s="8">
        <v>1</v>
      </c>
      <c r="E524" s="5">
        <v>45767</v>
      </c>
      <c r="F524" s="5">
        <v>45768</v>
      </c>
      <c r="G524" s="8" t="s">
        <v>1047</v>
      </c>
      <c r="H524" s="8" t="s">
        <v>410</v>
      </c>
      <c r="I524" s="8" t="s">
        <v>411</v>
      </c>
      <c r="J524" s="4"/>
      <c r="K524" s="64">
        <v>521</v>
      </c>
      <c r="L524" s="18" t="s">
        <v>1163</v>
      </c>
      <c r="M524" s="19" t="s">
        <v>1164</v>
      </c>
      <c r="N524" s="18" t="s">
        <v>309</v>
      </c>
      <c r="O524" s="18">
        <v>3</v>
      </c>
      <c r="P524" s="18" t="s">
        <v>1050</v>
      </c>
      <c r="Q524" s="18" t="s">
        <v>1070</v>
      </c>
      <c r="R524" s="18" t="s">
        <v>309</v>
      </c>
      <c r="S524" s="18"/>
      <c r="T524" s="18" t="str">
        <f t="shared" si="16"/>
        <v>Historical</v>
      </c>
      <c r="U524" s="18" t="str">
        <f t="shared" si="17"/>
        <v/>
      </c>
    </row>
    <row r="525" spans="1:21">
      <c r="A525" s="10">
        <v>45836</v>
      </c>
      <c r="B525" s="4" t="s">
        <v>154</v>
      </c>
      <c r="C525" s="4" t="s">
        <v>1068</v>
      </c>
      <c r="D525" s="8">
        <v>2</v>
      </c>
      <c r="E525" s="5">
        <v>45833</v>
      </c>
      <c r="F525" s="5">
        <v>45834</v>
      </c>
      <c r="G525" s="8" t="s">
        <v>1047</v>
      </c>
      <c r="H525" s="8" t="s">
        <v>419</v>
      </c>
      <c r="I525" s="8" t="s">
        <v>411</v>
      </c>
      <c r="J525" s="4"/>
      <c r="K525" s="64">
        <v>522</v>
      </c>
      <c r="L525" s="18" t="s">
        <v>1165</v>
      </c>
      <c r="M525" s="19" t="s">
        <v>1164</v>
      </c>
      <c r="N525" s="18" t="s">
        <v>309</v>
      </c>
      <c r="O525" s="18">
        <v>3</v>
      </c>
      <c r="P525" s="18" t="s">
        <v>1050</v>
      </c>
      <c r="Q525" s="18" t="s">
        <v>1070</v>
      </c>
      <c r="R525" s="18" t="s">
        <v>309</v>
      </c>
      <c r="S525" s="18">
        <v>1</v>
      </c>
      <c r="T525" s="18" t="str">
        <f t="shared" si="16"/>
        <v>Historical</v>
      </c>
      <c r="U525" s="18" t="str">
        <f t="shared" si="17"/>
        <v/>
      </c>
    </row>
    <row r="526" spans="1:21">
      <c r="A526" s="10">
        <v>45912</v>
      </c>
      <c r="B526" s="4" t="s">
        <v>154</v>
      </c>
      <c r="C526" s="4" t="s">
        <v>1068</v>
      </c>
      <c r="D526" s="8">
        <v>3</v>
      </c>
      <c r="E526" s="5">
        <v>45911</v>
      </c>
      <c r="F526" s="5">
        <v>45913</v>
      </c>
      <c r="G526" s="8" t="s">
        <v>1047</v>
      </c>
      <c r="H526" s="8" t="s">
        <v>419</v>
      </c>
      <c r="I526" s="8" t="s">
        <v>411</v>
      </c>
      <c r="J526" s="4"/>
      <c r="K526" s="64">
        <v>523</v>
      </c>
      <c r="L526" s="18" t="s">
        <v>1166</v>
      </c>
      <c r="M526" s="19" t="s">
        <v>1164</v>
      </c>
      <c r="N526" s="18" t="s">
        <v>309</v>
      </c>
      <c r="O526" s="18">
        <v>3</v>
      </c>
      <c r="P526" s="18" t="s">
        <v>1050</v>
      </c>
      <c r="Q526" s="18" t="s">
        <v>1070</v>
      </c>
      <c r="R526" s="18" t="s">
        <v>309</v>
      </c>
      <c r="S526" s="18">
        <v>2</v>
      </c>
      <c r="T526" s="18" t="str">
        <f t="shared" si="16"/>
        <v>Current</v>
      </c>
      <c r="U526" s="18" t="str">
        <f t="shared" si="17"/>
        <v>Lane Coleman|Cloud Cost Monitoring</v>
      </c>
    </row>
    <row r="527" spans="1:21">
      <c r="A527" s="10">
        <v>45988</v>
      </c>
      <c r="B527" s="4" t="s">
        <v>154</v>
      </c>
      <c r="C527" s="4" t="s">
        <v>1134</v>
      </c>
      <c r="D527" s="8">
        <v>1</v>
      </c>
      <c r="E527" s="5">
        <v>45983</v>
      </c>
      <c r="F527" s="5">
        <v>45986</v>
      </c>
      <c r="G527" s="8" t="s">
        <v>1047</v>
      </c>
      <c r="H527" s="8" t="s">
        <v>410</v>
      </c>
      <c r="I527" s="8" t="s">
        <v>411</v>
      </c>
      <c r="J527" s="4"/>
      <c r="K527" s="64">
        <v>524</v>
      </c>
      <c r="L527" s="18" t="s">
        <v>1167</v>
      </c>
      <c r="M527" s="19" t="s">
        <v>1164</v>
      </c>
      <c r="N527" s="18" t="s">
        <v>309</v>
      </c>
      <c r="O527" s="18">
        <v>3</v>
      </c>
      <c r="P527" s="18" t="s">
        <v>1050</v>
      </c>
      <c r="Q527" s="18" t="s">
        <v>1136</v>
      </c>
      <c r="R527" s="18" t="s">
        <v>309</v>
      </c>
      <c r="S527" s="18"/>
      <c r="T527" s="18" t="str">
        <f t="shared" si="16"/>
        <v>Historical</v>
      </c>
      <c r="U527" s="18" t="str">
        <f t="shared" si="17"/>
        <v/>
      </c>
    </row>
    <row r="528" spans="1:21">
      <c r="A528" s="10">
        <v>46085</v>
      </c>
      <c r="B528" s="4" t="s">
        <v>154</v>
      </c>
      <c r="C528" s="4" t="s">
        <v>1134</v>
      </c>
      <c r="D528" s="8">
        <v>2</v>
      </c>
      <c r="E528" s="5">
        <v>46081</v>
      </c>
      <c r="F528" s="5">
        <v>46081</v>
      </c>
      <c r="G528" s="8" t="s">
        <v>1047</v>
      </c>
      <c r="H528" s="8" t="s">
        <v>419</v>
      </c>
      <c r="I528" s="8" t="s">
        <v>411</v>
      </c>
      <c r="J528" s="4"/>
      <c r="K528" s="64">
        <v>525</v>
      </c>
      <c r="L528" s="18" t="s">
        <v>1168</v>
      </c>
      <c r="M528" s="19" t="s">
        <v>1164</v>
      </c>
      <c r="N528" s="18" t="s">
        <v>309</v>
      </c>
      <c r="O528" s="18">
        <v>3</v>
      </c>
      <c r="P528" s="18" t="s">
        <v>1050</v>
      </c>
      <c r="Q528" s="18" t="s">
        <v>1136</v>
      </c>
      <c r="R528" s="18" t="s">
        <v>309</v>
      </c>
      <c r="S528" s="18">
        <v>1</v>
      </c>
      <c r="T528" s="18" t="str">
        <f t="shared" si="16"/>
        <v>Historical</v>
      </c>
      <c r="U528" s="18" t="str">
        <f t="shared" si="17"/>
        <v/>
      </c>
    </row>
    <row r="529" spans="1:21">
      <c r="A529" s="10">
        <v>46148</v>
      </c>
      <c r="B529" s="4" t="s">
        <v>154</v>
      </c>
      <c r="C529" s="4" t="s">
        <v>1134</v>
      </c>
      <c r="D529" s="8">
        <v>3</v>
      </c>
      <c r="E529" s="5">
        <v>46145</v>
      </c>
      <c r="F529" s="5">
        <v>46148</v>
      </c>
      <c r="G529" s="8" t="s">
        <v>1047</v>
      </c>
      <c r="H529" s="8" t="s">
        <v>419</v>
      </c>
      <c r="I529" s="8" t="s">
        <v>411</v>
      </c>
      <c r="J529" s="4"/>
      <c r="K529" s="64">
        <v>526</v>
      </c>
      <c r="L529" s="18" t="s">
        <v>1169</v>
      </c>
      <c r="M529" s="19" t="s">
        <v>1164</v>
      </c>
      <c r="N529" s="18" t="s">
        <v>309</v>
      </c>
      <c r="O529" s="18">
        <v>3</v>
      </c>
      <c r="P529" s="18" t="s">
        <v>1050</v>
      </c>
      <c r="Q529" s="18" t="s">
        <v>1136</v>
      </c>
      <c r="R529" s="18" t="s">
        <v>309</v>
      </c>
      <c r="S529" s="18">
        <v>2</v>
      </c>
      <c r="T529" s="18" t="str">
        <f t="shared" si="16"/>
        <v>Current</v>
      </c>
      <c r="U529" s="18" t="str">
        <f t="shared" si="17"/>
        <v>Lane Coleman|Postmortem Facilitation</v>
      </c>
    </row>
    <row r="530" spans="1:21">
      <c r="A530" s="10">
        <v>45972</v>
      </c>
      <c r="B530" s="4" t="s">
        <v>154</v>
      </c>
      <c r="C530" s="4" t="s">
        <v>1027</v>
      </c>
      <c r="D530" s="8">
        <v>3</v>
      </c>
      <c r="E530" s="5">
        <v>45967</v>
      </c>
      <c r="F530" s="5">
        <v>45967</v>
      </c>
      <c r="G530" s="8" t="s">
        <v>1047</v>
      </c>
      <c r="H530" s="8" t="s">
        <v>410</v>
      </c>
      <c r="I530" s="8" t="s">
        <v>411</v>
      </c>
      <c r="J530" s="4"/>
      <c r="K530" s="64">
        <v>527</v>
      </c>
      <c r="L530" s="18" t="s">
        <v>1170</v>
      </c>
      <c r="M530" s="19" t="s">
        <v>1164</v>
      </c>
      <c r="N530" s="18" t="s">
        <v>309</v>
      </c>
      <c r="O530" s="18">
        <v>3</v>
      </c>
      <c r="P530" s="18" t="s">
        <v>1050</v>
      </c>
      <c r="Q530" s="18" t="s">
        <v>1029</v>
      </c>
      <c r="R530" s="18" t="s">
        <v>309</v>
      </c>
      <c r="S530" s="18"/>
      <c r="T530" s="18" t="str">
        <f t="shared" si="16"/>
        <v>Current</v>
      </c>
      <c r="U530" s="18" t="str">
        <f t="shared" si="17"/>
        <v>Lane Coleman|Secrets Management</v>
      </c>
    </row>
    <row r="531" spans="1:21">
      <c r="A531" s="10">
        <v>45910</v>
      </c>
      <c r="B531" s="4" t="s">
        <v>154</v>
      </c>
      <c r="C531" s="4" t="s">
        <v>1059</v>
      </c>
      <c r="D531" s="8">
        <v>1</v>
      </c>
      <c r="E531" s="5">
        <v>45907</v>
      </c>
      <c r="F531" s="5">
        <v>45907</v>
      </c>
      <c r="G531" s="8" t="s">
        <v>1047</v>
      </c>
      <c r="H531" s="8" t="s">
        <v>410</v>
      </c>
      <c r="I531" s="8" t="s">
        <v>411</v>
      </c>
      <c r="J531" s="4"/>
      <c r="K531" s="64">
        <v>528</v>
      </c>
      <c r="L531" s="18" t="s">
        <v>1171</v>
      </c>
      <c r="M531" s="19" t="s">
        <v>1164</v>
      </c>
      <c r="N531" s="18" t="s">
        <v>309</v>
      </c>
      <c r="O531" s="18">
        <v>3</v>
      </c>
      <c r="P531" s="18" t="s">
        <v>1050</v>
      </c>
      <c r="Q531" s="18" t="s">
        <v>1061</v>
      </c>
      <c r="R531" s="18" t="s">
        <v>309</v>
      </c>
      <c r="S531" s="18"/>
      <c r="T531" s="18" t="str">
        <f t="shared" si="16"/>
        <v>Historical</v>
      </c>
      <c r="U531" s="18" t="str">
        <f t="shared" si="17"/>
        <v/>
      </c>
    </row>
    <row r="532" spans="1:21">
      <c r="A532" s="10">
        <v>45953</v>
      </c>
      <c r="B532" s="4" t="s">
        <v>154</v>
      </c>
      <c r="C532" s="4" t="s">
        <v>1059</v>
      </c>
      <c r="D532" s="8">
        <v>2</v>
      </c>
      <c r="E532" s="5">
        <v>45950</v>
      </c>
      <c r="F532" s="5">
        <v>45951</v>
      </c>
      <c r="G532" s="8" t="s">
        <v>1047</v>
      </c>
      <c r="H532" s="8" t="s">
        <v>419</v>
      </c>
      <c r="I532" s="8" t="s">
        <v>411</v>
      </c>
      <c r="J532" s="4"/>
      <c r="K532" s="64">
        <v>529</v>
      </c>
      <c r="L532" s="18" t="s">
        <v>1172</v>
      </c>
      <c r="M532" s="19" t="s">
        <v>1164</v>
      </c>
      <c r="N532" s="18" t="s">
        <v>309</v>
      </c>
      <c r="O532" s="18">
        <v>3</v>
      </c>
      <c r="P532" s="18" t="s">
        <v>1050</v>
      </c>
      <c r="Q532" s="18" t="s">
        <v>1061</v>
      </c>
      <c r="R532" s="18" t="s">
        <v>309</v>
      </c>
      <c r="S532" s="18">
        <v>1</v>
      </c>
      <c r="T532" s="18" t="str">
        <f t="shared" si="16"/>
        <v>Historical</v>
      </c>
      <c r="U532" s="18" t="str">
        <f t="shared" si="17"/>
        <v/>
      </c>
    </row>
    <row r="533" spans="1:21">
      <c r="A533" s="10">
        <v>46039</v>
      </c>
      <c r="B533" s="4" t="s">
        <v>154</v>
      </c>
      <c r="C533" s="4" t="s">
        <v>1059</v>
      </c>
      <c r="D533" s="8">
        <v>3</v>
      </c>
      <c r="E533" s="5">
        <v>46035</v>
      </c>
      <c r="F533" s="5">
        <v>46038</v>
      </c>
      <c r="G533" s="8" t="s">
        <v>1047</v>
      </c>
      <c r="H533" s="8" t="s">
        <v>419</v>
      </c>
      <c r="I533" s="8" t="s">
        <v>411</v>
      </c>
      <c r="J533" s="4"/>
      <c r="K533" s="64">
        <v>530</v>
      </c>
      <c r="L533" s="18" t="s">
        <v>1173</v>
      </c>
      <c r="M533" s="19" t="s">
        <v>1164</v>
      </c>
      <c r="N533" s="18" t="s">
        <v>309</v>
      </c>
      <c r="O533" s="18">
        <v>3</v>
      </c>
      <c r="P533" s="18" t="s">
        <v>1050</v>
      </c>
      <c r="Q533" s="18" t="s">
        <v>1061</v>
      </c>
      <c r="R533" s="18" t="s">
        <v>309</v>
      </c>
      <c r="S533" s="18">
        <v>2</v>
      </c>
      <c r="T533" s="18" t="str">
        <f t="shared" si="16"/>
        <v>Current</v>
      </c>
      <c r="U533" s="18" t="str">
        <f t="shared" si="17"/>
        <v>Lane Coleman|Service Dependency Mapping</v>
      </c>
    </row>
    <row r="534" spans="1:21">
      <c r="A534" s="10">
        <v>46098</v>
      </c>
      <c r="B534" s="4" t="s">
        <v>154</v>
      </c>
      <c r="C534" s="4" t="s">
        <v>1076</v>
      </c>
      <c r="D534" s="8">
        <v>3</v>
      </c>
      <c r="E534" s="5">
        <v>46096</v>
      </c>
      <c r="F534" s="5">
        <v>46099</v>
      </c>
      <c r="G534" s="8" t="s">
        <v>1047</v>
      </c>
      <c r="H534" s="8" t="s">
        <v>410</v>
      </c>
      <c r="I534" s="8" t="s">
        <v>411</v>
      </c>
      <c r="J534" s="4"/>
      <c r="K534" s="64">
        <v>531</v>
      </c>
      <c r="L534" s="18" t="s">
        <v>1174</v>
      </c>
      <c r="M534" s="19" t="s">
        <v>1164</v>
      </c>
      <c r="N534" s="18" t="s">
        <v>309</v>
      </c>
      <c r="O534" s="18">
        <v>3</v>
      </c>
      <c r="P534" s="18" t="s">
        <v>1050</v>
      </c>
      <c r="Q534" s="18" t="s">
        <v>1078</v>
      </c>
      <c r="R534" s="18" t="s">
        <v>309</v>
      </c>
      <c r="S534" s="18"/>
      <c r="T534" s="18" t="str">
        <f t="shared" si="16"/>
        <v>Current</v>
      </c>
      <c r="U534" s="18" t="str">
        <f t="shared" si="17"/>
        <v>Lane Coleman|Capacity Planning</v>
      </c>
    </row>
    <row r="535" spans="1:21">
      <c r="A535" s="10">
        <v>45845</v>
      </c>
      <c r="B535" s="4" t="s">
        <v>154</v>
      </c>
      <c r="C535" s="4" t="s">
        <v>583</v>
      </c>
      <c r="D535" s="8">
        <v>3</v>
      </c>
      <c r="E535" s="5">
        <v>45840</v>
      </c>
      <c r="F535" s="5">
        <v>45841</v>
      </c>
      <c r="G535" s="8" t="s">
        <v>1047</v>
      </c>
      <c r="H535" s="8" t="s">
        <v>410</v>
      </c>
      <c r="I535" s="8" t="s">
        <v>411</v>
      </c>
      <c r="J535" s="4"/>
      <c r="K535" s="64">
        <v>532</v>
      </c>
      <c r="L535" s="18" t="s">
        <v>1175</v>
      </c>
      <c r="M535" s="19" t="s">
        <v>1164</v>
      </c>
      <c r="N535" s="18" t="s">
        <v>309</v>
      </c>
      <c r="O535" s="18">
        <v>3</v>
      </c>
      <c r="P535" s="18" t="s">
        <v>1050</v>
      </c>
      <c r="Q535" s="18" t="s">
        <v>585</v>
      </c>
      <c r="R535" s="18" t="s">
        <v>305</v>
      </c>
      <c r="S535" s="18"/>
      <c r="T535" s="18" t="str">
        <f t="shared" si="16"/>
        <v>Current</v>
      </c>
      <c r="U535" s="18" t="str">
        <f t="shared" si="17"/>
        <v>Lane Coleman|Log Analysis</v>
      </c>
    </row>
    <row r="536" spans="1:21">
      <c r="A536" s="10">
        <v>45989</v>
      </c>
      <c r="B536" s="4" t="s">
        <v>154</v>
      </c>
      <c r="C536" s="4" t="s">
        <v>468</v>
      </c>
      <c r="D536" s="8">
        <v>1</v>
      </c>
      <c r="E536" s="5">
        <v>45985</v>
      </c>
      <c r="F536" s="5">
        <v>45985</v>
      </c>
      <c r="G536" s="8" t="s">
        <v>1047</v>
      </c>
      <c r="H536" s="8" t="s">
        <v>410</v>
      </c>
      <c r="I536" s="8" t="s">
        <v>411</v>
      </c>
      <c r="J536" s="4"/>
      <c r="K536" s="64">
        <v>533</v>
      </c>
      <c r="L536" s="18" t="s">
        <v>1176</v>
      </c>
      <c r="M536" s="19" t="s">
        <v>1164</v>
      </c>
      <c r="N536" s="18" t="s">
        <v>309</v>
      </c>
      <c r="O536" s="18">
        <v>3</v>
      </c>
      <c r="P536" s="18" t="s">
        <v>1050</v>
      </c>
      <c r="Q536" s="18" t="s">
        <v>470</v>
      </c>
      <c r="R536" s="18" t="s">
        <v>213</v>
      </c>
      <c r="S536" s="18"/>
      <c r="T536" s="18" t="str">
        <f t="shared" si="16"/>
        <v>Historical</v>
      </c>
      <c r="U536" s="18" t="str">
        <f t="shared" si="17"/>
        <v/>
      </c>
    </row>
    <row r="537" spans="1:21">
      <c r="A537" s="10">
        <v>46051</v>
      </c>
      <c r="B537" s="4" t="s">
        <v>154</v>
      </c>
      <c r="C537" s="4" t="s">
        <v>468</v>
      </c>
      <c r="D537" s="8">
        <v>2</v>
      </c>
      <c r="E537" s="5">
        <v>46050</v>
      </c>
      <c r="F537" s="5">
        <v>46053</v>
      </c>
      <c r="G537" s="8" t="s">
        <v>1047</v>
      </c>
      <c r="H537" s="8" t="s">
        <v>419</v>
      </c>
      <c r="I537" s="8" t="s">
        <v>411</v>
      </c>
      <c r="J537" s="4"/>
      <c r="K537" s="64">
        <v>534</v>
      </c>
      <c r="L537" s="18" t="s">
        <v>1177</v>
      </c>
      <c r="M537" s="19" t="s">
        <v>1164</v>
      </c>
      <c r="N537" s="18" t="s">
        <v>309</v>
      </c>
      <c r="O537" s="18">
        <v>3</v>
      </c>
      <c r="P537" s="18" t="s">
        <v>1050</v>
      </c>
      <c r="Q537" s="18" t="s">
        <v>470</v>
      </c>
      <c r="R537" s="18" t="s">
        <v>213</v>
      </c>
      <c r="S537" s="18">
        <v>1</v>
      </c>
      <c r="T537" s="18" t="str">
        <f t="shared" si="16"/>
        <v>Historical</v>
      </c>
      <c r="U537" s="18" t="str">
        <f t="shared" si="17"/>
        <v/>
      </c>
    </row>
    <row r="538" spans="1:21">
      <c r="A538" s="10">
        <v>46089</v>
      </c>
      <c r="B538" s="4" t="s">
        <v>154</v>
      </c>
      <c r="C538" s="4" t="s">
        <v>468</v>
      </c>
      <c r="D538" s="8">
        <v>3</v>
      </c>
      <c r="E538" s="5">
        <v>46087</v>
      </c>
      <c r="F538" s="5">
        <v>46090</v>
      </c>
      <c r="G538" s="8" t="s">
        <v>1047</v>
      </c>
      <c r="H538" s="8" t="s">
        <v>419</v>
      </c>
      <c r="I538" s="8" t="s">
        <v>411</v>
      </c>
      <c r="J538" s="4"/>
      <c r="K538" s="64">
        <v>535</v>
      </c>
      <c r="L538" s="18" t="s">
        <v>1178</v>
      </c>
      <c r="M538" s="19" t="s">
        <v>1164</v>
      </c>
      <c r="N538" s="18" t="s">
        <v>309</v>
      </c>
      <c r="O538" s="18">
        <v>3</v>
      </c>
      <c r="P538" s="18" t="s">
        <v>1050</v>
      </c>
      <c r="Q538" s="18" t="s">
        <v>470</v>
      </c>
      <c r="R538" s="18" t="s">
        <v>213</v>
      </c>
      <c r="S538" s="18">
        <v>2</v>
      </c>
      <c r="T538" s="18" t="str">
        <f t="shared" si="16"/>
        <v>Current</v>
      </c>
      <c r="U538" s="18" t="str">
        <f t="shared" si="17"/>
        <v>Lane Coleman|Business Continuity Basics</v>
      </c>
    </row>
    <row r="539" spans="1:21">
      <c r="A539" s="10"/>
      <c r="B539" s="4"/>
      <c r="C539" s="4"/>
      <c r="D539" s="8"/>
      <c r="E539" s="5"/>
      <c r="F539" s="5"/>
      <c r="G539" s="8"/>
      <c r="H539" s="8"/>
      <c r="I539" s="8"/>
      <c r="J539" s="4"/>
      <c r="K539" s="64"/>
      <c r="L539" s="18"/>
      <c r="M539" s="19"/>
      <c r="N539" s="18"/>
      <c r="O539" s="18"/>
      <c r="P539" s="18"/>
      <c r="Q539" s="18"/>
      <c r="R539" s="18"/>
      <c r="S539" s="18"/>
      <c r="T539" s="18" t="str">
        <f t="shared" si="16"/>
        <v/>
      </c>
      <c r="U539" s="18" t="str">
        <f t="shared" si="17"/>
        <v/>
      </c>
    </row>
    <row r="540" spans="1:21">
      <c r="A540" s="10"/>
      <c r="B540" s="4"/>
      <c r="C540" s="4"/>
      <c r="D540" s="8"/>
      <c r="E540" s="5"/>
      <c r="F540" s="5"/>
      <c r="G540" s="8"/>
      <c r="H540" s="8"/>
      <c r="I540" s="8"/>
      <c r="J540" s="4"/>
      <c r="K540" s="64"/>
      <c r="L540" s="18"/>
      <c r="M540" s="19"/>
      <c r="N540" s="18"/>
      <c r="O540" s="18"/>
      <c r="P540" s="18"/>
      <c r="Q540" s="18"/>
      <c r="R540" s="18"/>
      <c r="S540" s="18"/>
      <c r="T540" s="18" t="str">
        <f t="shared" si="16"/>
        <v/>
      </c>
      <c r="U540" s="18" t="str">
        <f t="shared" si="17"/>
        <v/>
      </c>
    </row>
    <row r="541" spans="1:21">
      <c r="A541" s="10"/>
      <c r="B541" s="4"/>
      <c r="C541" s="4"/>
      <c r="D541" s="8"/>
      <c r="E541" s="5"/>
      <c r="F541" s="5"/>
      <c r="G541" s="8"/>
      <c r="H541" s="8"/>
      <c r="I541" s="8"/>
      <c r="J541" s="4"/>
      <c r="K541" s="64"/>
      <c r="L541" s="18"/>
      <c r="M541" s="19"/>
      <c r="N541" s="18"/>
      <c r="O541" s="18"/>
      <c r="P541" s="18"/>
      <c r="Q541" s="18"/>
      <c r="R541" s="18"/>
      <c r="S541" s="18"/>
      <c r="T541" s="18" t="str">
        <f t="shared" si="16"/>
        <v/>
      </c>
      <c r="U541" s="18" t="str">
        <f t="shared" si="17"/>
        <v/>
      </c>
    </row>
    <row r="542" spans="1:21">
      <c r="A542" s="10"/>
      <c r="B542" s="4"/>
      <c r="C542" s="4"/>
      <c r="D542" s="8"/>
      <c r="E542" s="5"/>
      <c r="F542" s="5"/>
      <c r="G542" s="8"/>
      <c r="H542" s="8"/>
      <c r="I542" s="8"/>
      <c r="J542" s="4"/>
      <c r="K542" s="64"/>
      <c r="L542" s="18"/>
      <c r="M542" s="19"/>
      <c r="N542" s="18"/>
      <c r="O542" s="18"/>
      <c r="P542" s="18"/>
      <c r="Q542" s="18"/>
      <c r="R542" s="18"/>
      <c r="S542" s="18"/>
      <c r="T542" s="18" t="str">
        <f t="shared" si="16"/>
        <v/>
      </c>
      <c r="U542" s="18" t="str">
        <f t="shared" si="17"/>
        <v/>
      </c>
    </row>
    <row r="543" spans="1:21">
      <c r="A543" s="10"/>
      <c r="B543" s="4"/>
      <c r="C543" s="4"/>
      <c r="D543" s="8"/>
      <c r="E543" s="5"/>
      <c r="F543" s="5"/>
      <c r="G543" s="8"/>
      <c r="H543" s="8"/>
      <c r="I543" s="8"/>
      <c r="J543" s="4"/>
      <c r="K543" s="64"/>
      <c r="L543" s="18"/>
      <c r="M543" s="19"/>
      <c r="N543" s="18"/>
      <c r="O543" s="18"/>
      <c r="P543" s="18"/>
      <c r="Q543" s="18"/>
      <c r="R543" s="18"/>
      <c r="S543" s="18"/>
      <c r="T543" s="18" t="str">
        <f t="shared" si="16"/>
        <v/>
      </c>
      <c r="U543" s="18" t="str">
        <f t="shared" si="17"/>
        <v/>
      </c>
    </row>
    <row r="544" spans="1:21">
      <c r="A544" s="10"/>
      <c r="B544" s="4"/>
      <c r="C544" s="4"/>
      <c r="D544" s="8"/>
      <c r="E544" s="5"/>
      <c r="F544" s="5"/>
      <c r="G544" s="8"/>
      <c r="H544" s="8"/>
      <c r="I544" s="8"/>
      <c r="J544" s="4"/>
      <c r="K544" s="64"/>
      <c r="L544" s="18"/>
      <c r="M544" s="19"/>
      <c r="N544" s="18"/>
      <c r="O544" s="18"/>
      <c r="P544" s="18"/>
      <c r="Q544" s="18"/>
      <c r="R544" s="18"/>
      <c r="S544" s="18"/>
      <c r="T544" s="18" t="str">
        <f t="shared" si="16"/>
        <v/>
      </c>
      <c r="U544" s="18" t="str">
        <f t="shared" si="17"/>
        <v/>
      </c>
    </row>
    <row r="545" spans="1:21">
      <c r="A545" s="10"/>
      <c r="B545" s="4"/>
      <c r="C545" s="4"/>
      <c r="D545" s="8"/>
      <c r="E545" s="5"/>
      <c r="F545" s="5"/>
      <c r="G545" s="8"/>
      <c r="H545" s="8"/>
      <c r="I545" s="8"/>
      <c r="J545" s="4"/>
      <c r="K545" s="64"/>
      <c r="L545" s="18"/>
      <c r="M545" s="19"/>
      <c r="N545" s="18"/>
      <c r="O545" s="18"/>
      <c r="P545" s="18"/>
      <c r="Q545" s="18"/>
      <c r="R545" s="18"/>
      <c r="S545" s="18"/>
      <c r="T545" s="18" t="str">
        <f t="shared" si="16"/>
        <v/>
      </c>
      <c r="U545" s="18" t="str">
        <f t="shared" si="17"/>
        <v/>
      </c>
    </row>
    <row r="546" spans="1:21">
      <c r="A546" s="10"/>
      <c r="B546" s="4"/>
      <c r="C546" s="4"/>
      <c r="D546" s="8"/>
      <c r="E546" s="5"/>
      <c r="F546" s="5"/>
      <c r="G546" s="8"/>
      <c r="H546" s="8"/>
      <c r="I546" s="8"/>
      <c r="J546" s="4"/>
      <c r="K546" s="64"/>
      <c r="L546" s="18"/>
      <c r="M546" s="19"/>
      <c r="N546" s="18"/>
      <c r="O546" s="18"/>
      <c r="P546" s="18"/>
      <c r="Q546" s="18"/>
      <c r="R546" s="18"/>
      <c r="S546" s="18"/>
      <c r="T546" s="18" t="str">
        <f t="shared" si="16"/>
        <v/>
      </c>
      <c r="U546" s="18" t="str">
        <f t="shared" si="17"/>
        <v/>
      </c>
    </row>
    <row r="547" spans="1:21">
      <c r="A547" s="10"/>
      <c r="B547" s="4"/>
      <c r="C547" s="4"/>
      <c r="D547" s="8"/>
      <c r="E547" s="5"/>
      <c r="F547" s="5"/>
      <c r="G547" s="8"/>
      <c r="H547" s="8"/>
      <c r="I547" s="8"/>
      <c r="J547" s="4"/>
      <c r="K547" s="64"/>
      <c r="L547" s="18"/>
      <c r="M547" s="19"/>
      <c r="N547" s="18"/>
      <c r="O547" s="18"/>
      <c r="P547" s="18"/>
      <c r="Q547" s="18"/>
      <c r="R547" s="18"/>
      <c r="S547" s="18"/>
      <c r="T547" s="18" t="str">
        <f t="shared" si="16"/>
        <v/>
      </c>
      <c r="U547" s="18" t="str">
        <f t="shared" si="17"/>
        <v/>
      </c>
    </row>
    <row r="548" spans="1:21">
      <c r="A548" s="10"/>
      <c r="B548" s="4"/>
      <c r="C548" s="4"/>
      <c r="D548" s="8"/>
      <c r="E548" s="5"/>
      <c r="F548" s="5"/>
      <c r="G548" s="8"/>
      <c r="H548" s="8"/>
      <c r="I548" s="8"/>
      <c r="J548" s="4"/>
      <c r="K548" s="64"/>
      <c r="L548" s="18"/>
      <c r="M548" s="19"/>
      <c r="N548" s="18"/>
      <c r="O548" s="18"/>
      <c r="P548" s="18"/>
      <c r="Q548" s="18"/>
      <c r="R548" s="18"/>
      <c r="S548" s="18"/>
      <c r="T548" s="18" t="str">
        <f t="shared" si="16"/>
        <v/>
      </c>
      <c r="U548" s="18" t="str">
        <f t="shared" si="17"/>
        <v/>
      </c>
    </row>
    <row r="549" spans="1:21">
      <c r="A549" s="10"/>
      <c r="B549" s="4"/>
      <c r="C549" s="4"/>
      <c r="D549" s="8"/>
      <c r="E549" s="5"/>
      <c r="F549" s="5"/>
      <c r="G549" s="8"/>
      <c r="H549" s="8"/>
      <c r="I549" s="8"/>
      <c r="J549" s="4"/>
      <c r="K549" s="64"/>
      <c r="L549" s="18"/>
      <c r="M549" s="19"/>
      <c r="N549" s="18"/>
      <c r="O549" s="18"/>
      <c r="P549" s="18"/>
      <c r="Q549" s="18"/>
      <c r="R549" s="18"/>
      <c r="S549" s="18"/>
      <c r="T549" s="18" t="str">
        <f t="shared" si="16"/>
        <v/>
      </c>
      <c r="U549" s="18" t="str">
        <f t="shared" si="17"/>
        <v/>
      </c>
    </row>
    <row r="550" spans="1:21">
      <c r="A550" s="10"/>
      <c r="B550" s="4"/>
      <c r="C550" s="4"/>
      <c r="D550" s="8"/>
      <c r="E550" s="5"/>
      <c r="F550" s="5"/>
      <c r="G550" s="8"/>
      <c r="H550" s="8"/>
      <c r="I550" s="8"/>
      <c r="J550" s="4"/>
      <c r="K550" s="64"/>
      <c r="L550" s="18"/>
      <c r="M550" s="19"/>
      <c r="N550" s="18"/>
      <c r="O550" s="18"/>
      <c r="P550" s="18"/>
      <c r="Q550" s="18"/>
      <c r="R550" s="18"/>
      <c r="S550" s="18"/>
      <c r="T550" s="18" t="str">
        <f t="shared" si="16"/>
        <v/>
      </c>
      <c r="U550" s="18" t="str">
        <f t="shared" si="17"/>
        <v/>
      </c>
    </row>
    <row r="551" spans="1:21">
      <c r="A551" s="10"/>
      <c r="B551" s="4"/>
      <c r="C551" s="4"/>
      <c r="D551" s="8"/>
      <c r="E551" s="5"/>
      <c r="F551" s="5"/>
      <c r="G551" s="8"/>
      <c r="H551" s="8"/>
      <c r="I551" s="8"/>
      <c r="J551" s="4"/>
      <c r="K551" s="64"/>
      <c r="L551" s="18"/>
      <c r="M551" s="19"/>
      <c r="N551" s="18"/>
      <c r="O551" s="18"/>
      <c r="P551" s="18"/>
      <c r="Q551" s="18"/>
      <c r="R551" s="18"/>
      <c r="S551" s="18"/>
      <c r="T551" s="18" t="str">
        <f t="shared" si="16"/>
        <v/>
      </c>
      <c r="U551" s="18" t="str">
        <f t="shared" si="17"/>
        <v/>
      </c>
    </row>
    <row r="552" spans="1:21">
      <c r="A552" s="10"/>
      <c r="B552" s="4"/>
      <c r="C552" s="4"/>
      <c r="D552" s="8"/>
      <c r="E552" s="5"/>
      <c r="F552" s="5"/>
      <c r="G552" s="8"/>
      <c r="H552" s="8"/>
      <c r="I552" s="8"/>
      <c r="J552" s="4"/>
      <c r="K552" s="64"/>
      <c r="L552" s="18"/>
      <c r="M552" s="19"/>
      <c r="N552" s="18"/>
      <c r="O552" s="18"/>
      <c r="P552" s="18"/>
      <c r="Q552" s="18"/>
      <c r="R552" s="18"/>
      <c r="S552" s="18"/>
      <c r="T552" s="18" t="str">
        <f t="shared" si="16"/>
        <v/>
      </c>
      <c r="U552" s="18" t="str">
        <f t="shared" si="17"/>
        <v/>
      </c>
    </row>
    <row r="553" spans="1:21">
      <c r="A553" s="10"/>
      <c r="B553" s="4"/>
      <c r="C553" s="4"/>
      <c r="D553" s="8"/>
      <c r="E553" s="5"/>
      <c r="F553" s="5"/>
      <c r="G553" s="8"/>
      <c r="H553" s="8"/>
      <c r="I553" s="8"/>
      <c r="J553" s="4"/>
      <c r="K553" s="64"/>
      <c r="L553" s="18"/>
      <c r="M553" s="19"/>
      <c r="N553" s="18"/>
      <c r="O553" s="18"/>
      <c r="P553" s="18"/>
      <c r="Q553" s="18"/>
      <c r="R553" s="18"/>
      <c r="S553" s="18"/>
      <c r="T553" s="18" t="str">
        <f t="shared" si="16"/>
        <v/>
      </c>
      <c r="U553" s="18" t="str">
        <f t="shared" si="17"/>
        <v/>
      </c>
    </row>
    <row r="554" spans="1:21">
      <c r="A554" s="10"/>
      <c r="B554" s="4"/>
      <c r="C554" s="4"/>
      <c r="D554" s="8"/>
      <c r="E554" s="5"/>
      <c r="F554" s="5"/>
      <c r="G554" s="8"/>
      <c r="H554" s="8"/>
      <c r="I554" s="8"/>
      <c r="J554" s="4"/>
      <c r="K554" s="64"/>
      <c r="L554" s="18"/>
      <c r="M554" s="19"/>
      <c r="N554" s="18"/>
      <c r="O554" s="18"/>
      <c r="P554" s="18"/>
      <c r="Q554" s="18"/>
      <c r="R554" s="18"/>
      <c r="S554" s="18"/>
      <c r="T554" s="18" t="str">
        <f t="shared" si="16"/>
        <v/>
      </c>
      <c r="U554" s="18" t="str">
        <f t="shared" si="17"/>
        <v/>
      </c>
    </row>
    <row r="555" spans="1:21">
      <c r="A555" s="10"/>
      <c r="B555" s="4"/>
      <c r="C555" s="4"/>
      <c r="D555" s="8"/>
      <c r="E555" s="5"/>
      <c r="F555" s="5"/>
      <c r="G555" s="8"/>
      <c r="H555" s="8"/>
      <c r="I555" s="8"/>
      <c r="J555" s="4"/>
      <c r="K555" s="64"/>
      <c r="L555" s="18"/>
      <c r="M555" s="19"/>
      <c r="N555" s="18"/>
      <c r="O555" s="18"/>
      <c r="P555" s="18"/>
      <c r="Q555" s="18"/>
      <c r="R555" s="18"/>
      <c r="S555" s="18"/>
      <c r="T555" s="18" t="str">
        <f t="shared" si="16"/>
        <v/>
      </c>
      <c r="U555" s="18" t="str">
        <f t="shared" si="17"/>
        <v/>
      </c>
    </row>
    <row r="556" spans="1:21">
      <c r="A556" s="10"/>
      <c r="B556" s="4"/>
      <c r="C556" s="4"/>
      <c r="D556" s="8"/>
      <c r="E556" s="5"/>
      <c r="F556" s="5"/>
      <c r="G556" s="8"/>
      <c r="H556" s="8"/>
      <c r="I556" s="8"/>
      <c r="J556" s="4"/>
      <c r="K556" s="64"/>
      <c r="L556" s="18"/>
      <c r="M556" s="19"/>
      <c r="N556" s="18"/>
      <c r="O556" s="18"/>
      <c r="P556" s="18"/>
      <c r="Q556" s="18"/>
      <c r="R556" s="18"/>
      <c r="S556" s="18"/>
      <c r="T556" s="18" t="str">
        <f t="shared" si="16"/>
        <v/>
      </c>
      <c r="U556" s="18" t="str">
        <f t="shared" si="17"/>
        <v/>
      </c>
    </row>
    <row r="557" spans="1:21">
      <c r="A557" s="10"/>
      <c r="B557" s="4"/>
      <c r="C557" s="4"/>
      <c r="D557" s="8"/>
      <c r="E557" s="5"/>
      <c r="F557" s="5"/>
      <c r="G557" s="8"/>
      <c r="H557" s="8"/>
      <c r="I557" s="8"/>
      <c r="J557" s="4"/>
      <c r="K557" s="64"/>
      <c r="L557" s="18"/>
      <c r="M557" s="19"/>
      <c r="N557" s="18"/>
      <c r="O557" s="18"/>
      <c r="P557" s="18"/>
      <c r="Q557" s="18"/>
      <c r="R557" s="18"/>
      <c r="S557" s="18"/>
      <c r="T557" s="18" t="str">
        <f t="shared" si="16"/>
        <v/>
      </c>
      <c r="U557" s="18" t="str">
        <f t="shared" si="17"/>
        <v/>
      </c>
    </row>
    <row r="558" spans="1:21">
      <c r="A558" s="10"/>
      <c r="B558" s="4"/>
      <c r="C558" s="4"/>
      <c r="D558" s="8"/>
      <c r="E558" s="5"/>
      <c r="F558" s="5"/>
      <c r="G558" s="8"/>
      <c r="H558" s="8"/>
      <c r="I558" s="8"/>
      <c r="J558" s="4"/>
      <c r="K558" s="64"/>
      <c r="L558" s="18"/>
      <c r="M558" s="19"/>
      <c r="N558" s="18"/>
      <c r="O558" s="18"/>
      <c r="P558" s="18"/>
      <c r="Q558" s="18"/>
      <c r="R558" s="18"/>
      <c r="S558" s="18"/>
      <c r="T558" s="18" t="str">
        <f t="shared" si="16"/>
        <v/>
      </c>
      <c r="U558" s="18" t="str">
        <f t="shared" si="17"/>
        <v/>
      </c>
    </row>
    <row r="559" spans="1:21">
      <c r="A559" s="10"/>
      <c r="B559" s="4"/>
      <c r="C559" s="4"/>
      <c r="D559" s="8"/>
      <c r="E559" s="5"/>
      <c r="F559" s="5"/>
      <c r="G559" s="8"/>
      <c r="H559" s="8"/>
      <c r="I559" s="8"/>
      <c r="J559" s="4"/>
      <c r="K559" s="64"/>
      <c r="L559" s="18"/>
      <c r="M559" s="19"/>
      <c r="N559" s="18"/>
      <c r="O559" s="18"/>
      <c r="P559" s="18"/>
      <c r="Q559" s="18"/>
      <c r="R559" s="18"/>
      <c r="S559" s="18"/>
      <c r="T559" s="18" t="str">
        <f t="shared" si="16"/>
        <v/>
      </c>
      <c r="U559" s="18" t="str">
        <f t="shared" si="17"/>
        <v/>
      </c>
    </row>
    <row r="560" spans="1:21">
      <c r="A560" s="10"/>
      <c r="B560" s="4"/>
      <c r="C560" s="4"/>
      <c r="D560" s="8"/>
      <c r="E560" s="5"/>
      <c r="F560" s="5"/>
      <c r="G560" s="8"/>
      <c r="H560" s="8"/>
      <c r="I560" s="8"/>
      <c r="J560" s="4"/>
      <c r="K560" s="64"/>
      <c r="L560" s="18"/>
      <c r="M560" s="19"/>
      <c r="N560" s="18"/>
      <c r="O560" s="18"/>
      <c r="P560" s="18"/>
      <c r="Q560" s="18"/>
      <c r="R560" s="18"/>
      <c r="S560" s="18"/>
      <c r="T560" s="18" t="str">
        <f t="shared" si="16"/>
        <v/>
      </c>
      <c r="U560" s="18" t="str">
        <f t="shared" si="17"/>
        <v/>
      </c>
    </row>
    <row r="561" spans="1:21">
      <c r="A561" s="10"/>
      <c r="B561" s="4"/>
      <c r="C561" s="4"/>
      <c r="D561" s="8"/>
      <c r="E561" s="5"/>
      <c r="F561" s="5"/>
      <c r="G561" s="8"/>
      <c r="H561" s="8"/>
      <c r="I561" s="8"/>
      <c r="J561" s="4"/>
      <c r="K561" s="64"/>
      <c r="L561" s="18"/>
      <c r="M561" s="19"/>
      <c r="N561" s="18"/>
      <c r="O561" s="18"/>
      <c r="P561" s="18"/>
      <c r="Q561" s="18"/>
      <c r="R561" s="18"/>
      <c r="S561" s="18"/>
      <c r="T561" s="18" t="str">
        <f t="shared" si="16"/>
        <v/>
      </c>
      <c r="U561" s="18" t="str">
        <f t="shared" si="17"/>
        <v/>
      </c>
    </row>
    <row r="562" spans="1:21">
      <c r="A562" s="10"/>
      <c r="B562" s="4"/>
      <c r="C562" s="4"/>
      <c r="D562" s="8"/>
      <c r="E562" s="5"/>
      <c r="F562" s="5"/>
      <c r="G562" s="8"/>
      <c r="H562" s="8"/>
      <c r="I562" s="8"/>
      <c r="J562" s="4"/>
      <c r="K562" s="64"/>
      <c r="L562" s="18"/>
      <c r="M562" s="19"/>
      <c r="N562" s="18"/>
      <c r="O562" s="18"/>
      <c r="P562" s="18"/>
      <c r="Q562" s="18"/>
      <c r="R562" s="18"/>
      <c r="S562" s="18"/>
      <c r="T562" s="18" t="str">
        <f t="shared" si="16"/>
        <v/>
      </c>
      <c r="U562" s="18" t="str">
        <f t="shared" si="17"/>
        <v/>
      </c>
    </row>
    <row r="563" spans="1:21">
      <c r="A563" s="10"/>
      <c r="B563" s="4"/>
      <c r="C563" s="4"/>
      <c r="D563" s="8"/>
      <c r="E563" s="5"/>
      <c r="F563" s="5"/>
      <c r="G563" s="8"/>
      <c r="H563" s="8"/>
      <c r="I563" s="8"/>
      <c r="J563" s="4"/>
      <c r="K563" s="64"/>
      <c r="L563" s="18"/>
      <c r="M563" s="19"/>
      <c r="N563" s="18"/>
      <c r="O563" s="18"/>
      <c r="P563" s="18"/>
      <c r="Q563" s="18"/>
      <c r="R563" s="18"/>
      <c r="S563" s="18"/>
      <c r="T563" s="18" t="str">
        <f t="shared" si="16"/>
        <v/>
      </c>
      <c r="U563" s="18" t="str">
        <f t="shared" si="17"/>
        <v/>
      </c>
    </row>
    <row r="564" spans="1:21">
      <c r="A564" s="10"/>
      <c r="B564" s="4"/>
      <c r="C564" s="4"/>
      <c r="D564" s="8"/>
      <c r="E564" s="5"/>
      <c r="F564" s="5"/>
      <c r="G564" s="8"/>
      <c r="H564" s="8"/>
      <c r="I564" s="8"/>
      <c r="J564" s="4"/>
      <c r="K564" s="64"/>
      <c r="L564" s="18"/>
      <c r="M564" s="19"/>
      <c r="N564" s="18"/>
      <c r="O564" s="18"/>
      <c r="P564" s="18"/>
      <c r="Q564" s="18"/>
      <c r="R564" s="18"/>
      <c r="S564" s="18"/>
      <c r="T564" s="18" t="str">
        <f t="shared" si="16"/>
        <v/>
      </c>
      <c r="U564" s="18" t="str">
        <f t="shared" si="17"/>
        <v/>
      </c>
    </row>
    <row r="565" spans="1:21">
      <c r="A565" s="10"/>
      <c r="B565" s="4"/>
      <c r="C565" s="4"/>
      <c r="D565" s="8"/>
      <c r="E565" s="5"/>
      <c r="F565" s="5"/>
      <c r="G565" s="8"/>
      <c r="H565" s="8"/>
      <c r="I565" s="8"/>
      <c r="J565" s="4"/>
      <c r="K565" s="64"/>
      <c r="L565" s="18"/>
      <c r="M565" s="19"/>
      <c r="N565" s="18"/>
      <c r="O565" s="18"/>
      <c r="P565" s="18"/>
      <c r="Q565" s="18"/>
      <c r="R565" s="18"/>
      <c r="S565" s="18"/>
      <c r="T565" s="18" t="str">
        <f t="shared" si="16"/>
        <v/>
      </c>
      <c r="U565" s="18" t="str">
        <f t="shared" si="17"/>
        <v/>
      </c>
    </row>
    <row r="566" spans="1:21">
      <c r="A566" s="10"/>
      <c r="B566" s="4"/>
      <c r="C566" s="4"/>
      <c r="D566" s="8"/>
      <c r="E566" s="5"/>
      <c r="F566" s="5"/>
      <c r="G566" s="8"/>
      <c r="H566" s="8"/>
      <c r="I566" s="8"/>
      <c r="J566" s="4"/>
      <c r="K566" s="64"/>
      <c r="L566" s="18"/>
      <c r="M566" s="19"/>
      <c r="N566" s="18"/>
      <c r="O566" s="18"/>
      <c r="P566" s="18"/>
      <c r="Q566" s="18"/>
      <c r="R566" s="18"/>
      <c r="S566" s="18"/>
      <c r="T566" s="18" t="str">
        <f t="shared" si="16"/>
        <v/>
      </c>
      <c r="U566" s="18" t="str">
        <f t="shared" si="17"/>
        <v/>
      </c>
    </row>
    <row r="567" spans="1:21">
      <c r="A567" s="10"/>
      <c r="B567" s="4"/>
      <c r="C567" s="4"/>
      <c r="D567" s="8"/>
      <c r="E567" s="5"/>
      <c r="F567" s="5"/>
      <c r="G567" s="8"/>
      <c r="H567" s="8"/>
      <c r="I567" s="8"/>
      <c r="J567" s="4"/>
      <c r="K567" s="64"/>
      <c r="L567" s="18"/>
      <c r="M567" s="19"/>
      <c r="N567" s="18"/>
      <c r="O567" s="18"/>
      <c r="P567" s="18"/>
      <c r="Q567" s="18"/>
      <c r="R567" s="18"/>
      <c r="S567" s="18"/>
      <c r="T567" s="18" t="str">
        <f t="shared" si="16"/>
        <v/>
      </c>
      <c r="U567" s="18" t="str">
        <f t="shared" si="17"/>
        <v/>
      </c>
    </row>
    <row r="568" spans="1:21">
      <c r="A568" s="10"/>
      <c r="B568" s="4"/>
      <c r="C568" s="4"/>
      <c r="D568" s="8"/>
      <c r="E568" s="5"/>
      <c r="F568" s="5"/>
      <c r="G568" s="8"/>
      <c r="H568" s="8"/>
      <c r="I568" s="8"/>
      <c r="J568" s="4"/>
      <c r="K568" s="64"/>
      <c r="L568" s="18"/>
      <c r="M568" s="19"/>
      <c r="N568" s="18"/>
      <c r="O568" s="18"/>
      <c r="P568" s="18"/>
      <c r="Q568" s="18"/>
      <c r="R568" s="18"/>
      <c r="S568" s="18"/>
      <c r="T568" s="18" t="str">
        <f t="shared" si="16"/>
        <v/>
      </c>
      <c r="U568" s="18" t="str">
        <f t="shared" si="17"/>
        <v/>
      </c>
    </row>
    <row r="569" spans="1:21">
      <c r="A569" s="10"/>
      <c r="B569" s="4"/>
      <c r="C569" s="4"/>
      <c r="D569" s="8"/>
      <c r="E569" s="5"/>
      <c r="F569" s="5"/>
      <c r="G569" s="8"/>
      <c r="H569" s="8"/>
      <c r="I569" s="8"/>
      <c r="J569" s="4"/>
      <c r="K569" s="64"/>
      <c r="L569" s="18"/>
      <c r="M569" s="19"/>
      <c r="N569" s="18"/>
      <c r="O569" s="18"/>
      <c r="P569" s="18"/>
      <c r="Q569" s="18"/>
      <c r="R569" s="18"/>
      <c r="S569" s="18"/>
      <c r="T569" s="18" t="str">
        <f t="shared" si="16"/>
        <v/>
      </c>
      <c r="U569" s="18" t="str">
        <f t="shared" si="17"/>
        <v/>
      </c>
    </row>
    <row r="570" spans="1:21">
      <c r="A570" s="10"/>
      <c r="B570" s="4"/>
      <c r="C570" s="4"/>
      <c r="D570" s="8"/>
      <c r="E570" s="5"/>
      <c r="F570" s="5"/>
      <c r="G570" s="8"/>
      <c r="H570" s="8"/>
      <c r="I570" s="8"/>
      <c r="J570" s="4"/>
      <c r="K570" s="64"/>
      <c r="L570" s="18"/>
      <c r="M570" s="19"/>
      <c r="N570" s="18"/>
      <c r="O570" s="18"/>
      <c r="P570" s="18"/>
      <c r="Q570" s="18"/>
      <c r="R570" s="18"/>
      <c r="S570" s="18"/>
      <c r="T570" s="18" t="str">
        <f t="shared" si="16"/>
        <v/>
      </c>
      <c r="U570" s="18" t="str">
        <f t="shared" si="17"/>
        <v/>
      </c>
    </row>
    <row r="571" spans="1:21">
      <c r="A571" s="10"/>
      <c r="B571" s="4"/>
      <c r="C571" s="4"/>
      <c r="D571" s="8"/>
      <c r="E571" s="5"/>
      <c r="F571" s="5"/>
      <c r="G571" s="8"/>
      <c r="H571" s="8"/>
      <c r="I571" s="8"/>
      <c r="J571" s="4"/>
      <c r="K571" s="64"/>
      <c r="L571" s="18"/>
      <c r="M571" s="19"/>
      <c r="N571" s="18"/>
      <c r="O571" s="18"/>
      <c r="P571" s="18"/>
      <c r="Q571" s="18"/>
      <c r="R571" s="18"/>
      <c r="S571" s="18"/>
      <c r="T571" s="18" t="str">
        <f t="shared" si="16"/>
        <v/>
      </c>
      <c r="U571" s="18" t="str">
        <f t="shared" si="17"/>
        <v/>
      </c>
    </row>
    <row r="572" spans="1:21">
      <c r="A572" s="10"/>
      <c r="B572" s="4"/>
      <c r="C572" s="4"/>
      <c r="D572" s="8"/>
      <c r="E572" s="5"/>
      <c r="F572" s="5"/>
      <c r="G572" s="8"/>
      <c r="H572" s="8"/>
      <c r="I572" s="8"/>
      <c r="J572" s="4"/>
      <c r="K572" s="64"/>
      <c r="L572" s="18"/>
      <c r="M572" s="19"/>
      <c r="N572" s="18"/>
      <c r="O572" s="18"/>
      <c r="P572" s="18"/>
      <c r="Q572" s="18"/>
      <c r="R572" s="18"/>
      <c r="S572" s="18"/>
      <c r="T572" s="18" t="str">
        <f t="shared" si="16"/>
        <v/>
      </c>
      <c r="U572" s="18" t="str">
        <f t="shared" si="17"/>
        <v/>
      </c>
    </row>
    <row r="573" spans="1:21">
      <c r="A573" s="10"/>
      <c r="B573" s="4"/>
      <c r="C573" s="4"/>
      <c r="D573" s="8"/>
      <c r="E573" s="5"/>
      <c r="F573" s="5"/>
      <c r="G573" s="8"/>
      <c r="H573" s="8"/>
      <c r="I573" s="8"/>
      <c r="J573" s="4"/>
      <c r="K573" s="64"/>
      <c r="L573" s="18"/>
      <c r="M573" s="19"/>
      <c r="N573" s="18"/>
      <c r="O573" s="18"/>
      <c r="P573" s="18"/>
      <c r="Q573" s="18"/>
      <c r="R573" s="18"/>
      <c r="S573" s="18"/>
      <c r="T573" s="18" t="str">
        <f t="shared" si="16"/>
        <v/>
      </c>
      <c r="U573" s="18" t="str">
        <f t="shared" si="17"/>
        <v/>
      </c>
    </row>
    <row r="574" spans="1:21">
      <c r="A574" s="10"/>
      <c r="B574" s="4"/>
      <c r="C574" s="4"/>
      <c r="D574" s="8"/>
      <c r="E574" s="5"/>
      <c r="F574" s="5"/>
      <c r="G574" s="8"/>
      <c r="H574" s="8"/>
      <c r="I574" s="8"/>
      <c r="J574" s="4"/>
      <c r="K574" s="64"/>
      <c r="L574" s="18"/>
      <c r="M574" s="19"/>
      <c r="N574" s="18"/>
      <c r="O574" s="18"/>
      <c r="P574" s="18"/>
      <c r="Q574" s="18"/>
      <c r="R574" s="18"/>
      <c r="S574" s="18"/>
      <c r="T574" s="18" t="str">
        <f t="shared" si="16"/>
        <v/>
      </c>
      <c r="U574" s="18" t="str">
        <f t="shared" si="17"/>
        <v/>
      </c>
    </row>
    <row r="575" spans="1:21">
      <c r="A575" s="10"/>
      <c r="B575" s="4"/>
      <c r="C575" s="4"/>
      <c r="D575" s="8"/>
      <c r="E575" s="5"/>
      <c r="F575" s="5"/>
      <c r="G575" s="8"/>
      <c r="H575" s="8"/>
      <c r="I575" s="8"/>
      <c r="J575" s="4"/>
      <c r="K575" s="64"/>
      <c r="L575" s="18"/>
      <c r="M575" s="19"/>
      <c r="N575" s="18"/>
      <c r="O575" s="18"/>
      <c r="P575" s="18"/>
      <c r="Q575" s="18"/>
      <c r="R575" s="18"/>
      <c r="S575" s="18"/>
      <c r="T575" s="18" t="str">
        <f t="shared" si="16"/>
        <v/>
      </c>
      <c r="U575" s="18" t="str">
        <f t="shared" si="17"/>
        <v/>
      </c>
    </row>
    <row r="576" spans="1:21">
      <c r="A576" s="10"/>
      <c r="B576" s="4"/>
      <c r="C576" s="4"/>
      <c r="D576" s="8"/>
      <c r="E576" s="5"/>
      <c r="F576" s="5"/>
      <c r="G576" s="8"/>
      <c r="H576" s="8"/>
      <c r="I576" s="8"/>
      <c r="J576" s="4"/>
      <c r="K576" s="64"/>
      <c r="L576" s="18"/>
      <c r="M576" s="19"/>
      <c r="N576" s="18"/>
      <c r="O576" s="18"/>
      <c r="P576" s="18"/>
      <c r="Q576" s="18"/>
      <c r="R576" s="18"/>
      <c r="S576" s="18"/>
      <c r="T576" s="18" t="str">
        <f t="shared" si="16"/>
        <v/>
      </c>
      <c r="U576" s="18" t="str">
        <f t="shared" si="17"/>
        <v/>
      </c>
    </row>
    <row r="577" spans="1:21">
      <c r="A577" s="10"/>
      <c r="B577" s="4"/>
      <c r="C577" s="4"/>
      <c r="D577" s="8"/>
      <c r="E577" s="5"/>
      <c r="F577" s="5"/>
      <c r="G577" s="8"/>
      <c r="H577" s="8"/>
      <c r="I577" s="8"/>
      <c r="J577" s="4"/>
      <c r="K577" s="64"/>
      <c r="L577" s="18"/>
      <c r="M577" s="19"/>
      <c r="N577" s="18"/>
      <c r="O577" s="18"/>
      <c r="P577" s="18"/>
      <c r="Q577" s="18"/>
      <c r="R577" s="18"/>
      <c r="S577" s="18"/>
      <c r="T577" s="18" t="str">
        <f t="shared" si="16"/>
        <v/>
      </c>
      <c r="U577" s="18" t="str">
        <f t="shared" si="17"/>
        <v/>
      </c>
    </row>
    <row r="578" spans="1:21">
      <c r="A578" s="10"/>
      <c r="B578" s="4"/>
      <c r="C578" s="4"/>
      <c r="D578" s="8"/>
      <c r="E578" s="5"/>
      <c r="F578" s="5"/>
      <c r="G578" s="8"/>
      <c r="H578" s="8"/>
      <c r="I578" s="8"/>
      <c r="J578" s="4"/>
      <c r="K578" s="64"/>
      <c r="L578" s="18"/>
      <c r="M578" s="19"/>
      <c r="N578" s="18"/>
      <c r="O578" s="18"/>
      <c r="P578" s="18"/>
      <c r="Q578" s="18"/>
      <c r="R578" s="18"/>
      <c r="S578" s="18"/>
      <c r="T578" s="18" t="str">
        <f t="shared" si="16"/>
        <v/>
      </c>
      <c r="U578" s="18" t="str">
        <f t="shared" si="17"/>
        <v/>
      </c>
    </row>
    <row r="579" spans="1:21">
      <c r="A579" s="10"/>
      <c r="B579" s="4"/>
      <c r="C579" s="4"/>
      <c r="D579" s="8"/>
      <c r="E579" s="5"/>
      <c r="F579" s="5"/>
      <c r="G579" s="8"/>
      <c r="H579" s="8"/>
      <c r="I579" s="8"/>
      <c r="J579" s="4"/>
      <c r="K579" s="64"/>
      <c r="L579" s="18"/>
      <c r="M579" s="19"/>
      <c r="N579" s="18"/>
      <c r="O579" s="18"/>
      <c r="P579" s="18"/>
      <c r="Q579" s="18"/>
      <c r="R579" s="18"/>
      <c r="S579" s="18"/>
      <c r="T579" s="18" t="str">
        <f t="shared" si="16"/>
        <v/>
      </c>
      <c r="U579" s="18" t="str">
        <f t="shared" si="17"/>
        <v/>
      </c>
    </row>
    <row r="580" spans="1:21">
      <c r="A580" s="10"/>
      <c r="B580" s="4"/>
      <c r="C580" s="4"/>
      <c r="D580" s="8"/>
      <c r="E580" s="5"/>
      <c r="F580" s="5"/>
      <c r="G580" s="8"/>
      <c r="H580" s="8"/>
      <c r="I580" s="8"/>
      <c r="J580" s="4"/>
      <c r="K580" s="64"/>
      <c r="L580" s="18"/>
      <c r="M580" s="19"/>
      <c r="N580" s="18"/>
      <c r="O580" s="18"/>
      <c r="P580" s="18"/>
      <c r="Q580" s="18"/>
      <c r="R580" s="18"/>
      <c r="S580" s="18"/>
      <c r="T580" s="18" t="str">
        <f t="shared" ref="T580:T643" si="18">IF(B580="","",IF(I580="Yes","Voided",IF(COUNTIFS($B$4:$B$803,B580,$C$4:$C$803,C580,$I$4:$I$803,"&lt;&gt;Yes",$K$4:$K$803,"&gt;"&amp;K580)=0,"Current","Historical")))</f>
        <v/>
      </c>
      <c r="U580" s="18" t="str">
        <f t="shared" ref="U580:U643" si="19">IF(T580="Current",B580&amp;"|"&amp;C580,"")</f>
        <v/>
      </c>
    </row>
    <row r="581" spans="1:21">
      <c r="A581" s="10"/>
      <c r="B581" s="4"/>
      <c r="C581" s="4"/>
      <c r="D581" s="8"/>
      <c r="E581" s="5"/>
      <c r="F581" s="5"/>
      <c r="G581" s="8"/>
      <c r="H581" s="8"/>
      <c r="I581" s="8"/>
      <c r="J581" s="4"/>
      <c r="K581" s="64"/>
      <c r="L581" s="18"/>
      <c r="M581" s="19"/>
      <c r="N581" s="18"/>
      <c r="O581" s="18"/>
      <c r="P581" s="18"/>
      <c r="Q581" s="18"/>
      <c r="R581" s="18"/>
      <c r="S581" s="18"/>
      <c r="T581" s="18" t="str">
        <f t="shared" si="18"/>
        <v/>
      </c>
      <c r="U581" s="18" t="str">
        <f t="shared" si="19"/>
        <v/>
      </c>
    </row>
    <row r="582" spans="1:21">
      <c r="A582" s="10"/>
      <c r="B582" s="4"/>
      <c r="C582" s="4"/>
      <c r="D582" s="8"/>
      <c r="E582" s="5"/>
      <c r="F582" s="5"/>
      <c r="G582" s="8"/>
      <c r="H582" s="8"/>
      <c r="I582" s="8"/>
      <c r="J582" s="4"/>
      <c r="K582" s="64"/>
      <c r="L582" s="18"/>
      <c r="M582" s="19"/>
      <c r="N582" s="18"/>
      <c r="O582" s="18"/>
      <c r="P582" s="18"/>
      <c r="Q582" s="18"/>
      <c r="R582" s="18"/>
      <c r="S582" s="18"/>
      <c r="T582" s="18" t="str">
        <f t="shared" si="18"/>
        <v/>
      </c>
      <c r="U582" s="18" t="str">
        <f t="shared" si="19"/>
        <v/>
      </c>
    </row>
    <row r="583" spans="1:21">
      <c r="A583" s="10"/>
      <c r="B583" s="4"/>
      <c r="C583" s="4"/>
      <c r="D583" s="8"/>
      <c r="E583" s="5"/>
      <c r="F583" s="5"/>
      <c r="G583" s="8"/>
      <c r="H583" s="8"/>
      <c r="I583" s="8"/>
      <c r="J583" s="4"/>
      <c r="K583" s="64"/>
      <c r="L583" s="18"/>
      <c r="M583" s="19"/>
      <c r="N583" s="18"/>
      <c r="O583" s="18"/>
      <c r="P583" s="18"/>
      <c r="Q583" s="18"/>
      <c r="R583" s="18"/>
      <c r="S583" s="18"/>
      <c r="T583" s="18" t="str">
        <f t="shared" si="18"/>
        <v/>
      </c>
      <c r="U583" s="18" t="str">
        <f t="shared" si="19"/>
        <v/>
      </c>
    </row>
    <row r="584" spans="1:21">
      <c r="A584" s="10"/>
      <c r="B584" s="4"/>
      <c r="C584" s="4"/>
      <c r="D584" s="8"/>
      <c r="E584" s="5"/>
      <c r="F584" s="5"/>
      <c r="G584" s="8"/>
      <c r="H584" s="8"/>
      <c r="I584" s="8"/>
      <c r="J584" s="4"/>
      <c r="K584" s="64"/>
      <c r="L584" s="18"/>
      <c r="M584" s="19"/>
      <c r="N584" s="18"/>
      <c r="O584" s="18"/>
      <c r="P584" s="18"/>
      <c r="Q584" s="18"/>
      <c r="R584" s="18"/>
      <c r="S584" s="18"/>
      <c r="T584" s="18" t="str">
        <f t="shared" si="18"/>
        <v/>
      </c>
      <c r="U584" s="18" t="str">
        <f t="shared" si="19"/>
        <v/>
      </c>
    </row>
    <row r="585" spans="1:21">
      <c r="A585" s="10"/>
      <c r="B585" s="4"/>
      <c r="C585" s="4"/>
      <c r="D585" s="8"/>
      <c r="E585" s="5"/>
      <c r="F585" s="5"/>
      <c r="G585" s="8"/>
      <c r="H585" s="8"/>
      <c r="I585" s="8"/>
      <c r="J585" s="4"/>
      <c r="K585" s="64"/>
      <c r="L585" s="18"/>
      <c r="M585" s="19"/>
      <c r="N585" s="18"/>
      <c r="O585" s="18"/>
      <c r="P585" s="18"/>
      <c r="Q585" s="18"/>
      <c r="R585" s="18"/>
      <c r="S585" s="18"/>
      <c r="T585" s="18" t="str">
        <f t="shared" si="18"/>
        <v/>
      </c>
      <c r="U585" s="18" t="str">
        <f t="shared" si="19"/>
        <v/>
      </c>
    </row>
    <row r="586" spans="1:21">
      <c r="A586" s="10"/>
      <c r="B586" s="4"/>
      <c r="C586" s="4"/>
      <c r="D586" s="8"/>
      <c r="E586" s="5"/>
      <c r="F586" s="5"/>
      <c r="G586" s="8"/>
      <c r="H586" s="8"/>
      <c r="I586" s="8"/>
      <c r="J586" s="4"/>
      <c r="K586" s="64"/>
      <c r="L586" s="18"/>
      <c r="M586" s="19"/>
      <c r="N586" s="18"/>
      <c r="O586" s="18"/>
      <c r="P586" s="18"/>
      <c r="Q586" s="18"/>
      <c r="R586" s="18"/>
      <c r="S586" s="18"/>
      <c r="T586" s="18" t="str">
        <f t="shared" si="18"/>
        <v/>
      </c>
      <c r="U586" s="18" t="str">
        <f t="shared" si="19"/>
        <v/>
      </c>
    </row>
    <row r="587" spans="1:21">
      <c r="A587" s="10"/>
      <c r="B587" s="4"/>
      <c r="C587" s="4"/>
      <c r="D587" s="8"/>
      <c r="E587" s="5"/>
      <c r="F587" s="5"/>
      <c r="G587" s="8"/>
      <c r="H587" s="8"/>
      <c r="I587" s="8"/>
      <c r="J587" s="4"/>
      <c r="K587" s="64"/>
      <c r="L587" s="18"/>
      <c r="M587" s="19"/>
      <c r="N587" s="18"/>
      <c r="O587" s="18"/>
      <c r="P587" s="18"/>
      <c r="Q587" s="18"/>
      <c r="R587" s="18"/>
      <c r="S587" s="18"/>
      <c r="T587" s="18" t="str">
        <f t="shared" si="18"/>
        <v/>
      </c>
      <c r="U587" s="18" t="str">
        <f t="shared" si="19"/>
        <v/>
      </c>
    </row>
    <row r="588" spans="1:21">
      <c r="A588" s="10"/>
      <c r="B588" s="4"/>
      <c r="C588" s="4"/>
      <c r="D588" s="8"/>
      <c r="E588" s="5"/>
      <c r="F588" s="5"/>
      <c r="G588" s="8"/>
      <c r="H588" s="8"/>
      <c r="I588" s="8"/>
      <c r="J588" s="4"/>
      <c r="K588" s="64"/>
      <c r="L588" s="18"/>
      <c r="M588" s="19"/>
      <c r="N588" s="18"/>
      <c r="O588" s="18"/>
      <c r="P588" s="18"/>
      <c r="Q588" s="18"/>
      <c r="R588" s="18"/>
      <c r="S588" s="18"/>
      <c r="T588" s="18" t="str">
        <f t="shared" si="18"/>
        <v/>
      </c>
      <c r="U588" s="18" t="str">
        <f t="shared" si="19"/>
        <v/>
      </c>
    </row>
    <row r="589" spans="1:21">
      <c r="A589" s="10"/>
      <c r="B589" s="4"/>
      <c r="C589" s="4"/>
      <c r="D589" s="8"/>
      <c r="E589" s="5"/>
      <c r="F589" s="5"/>
      <c r="G589" s="8"/>
      <c r="H589" s="8"/>
      <c r="I589" s="8"/>
      <c r="J589" s="4"/>
      <c r="K589" s="64"/>
      <c r="L589" s="18"/>
      <c r="M589" s="19"/>
      <c r="N589" s="18"/>
      <c r="O589" s="18"/>
      <c r="P589" s="18"/>
      <c r="Q589" s="18"/>
      <c r="R589" s="18"/>
      <c r="S589" s="18"/>
      <c r="T589" s="18" t="str">
        <f t="shared" si="18"/>
        <v/>
      </c>
      <c r="U589" s="18" t="str">
        <f t="shared" si="19"/>
        <v/>
      </c>
    </row>
    <row r="590" spans="1:21">
      <c r="A590" s="10"/>
      <c r="B590" s="4"/>
      <c r="C590" s="4"/>
      <c r="D590" s="8"/>
      <c r="E590" s="5"/>
      <c r="F590" s="5"/>
      <c r="G590" s="8"/>
      <c r="H590" s="8"/>
      <c r="I590" s="8"/>
      <c r="J590" s="4"/>
      <c r="K590" s="64"/>
      <c r="L590" s="18"/>
      <c r="M590" s="19"/>
      <c r="N590" s="18"/>
      <c r="O590" s="18"/>
      <c r="P590" s="18"/>
      <c r="Q590" s="18"/>
      <c r="R590" s="18"/>
      <c r="S590" s="18"/>
      <c r="T590" s="18" t="str">
        <f t="shared" si="18"/>
        <v/>
      </c>
      <c r="U590" s="18" t="str">
        <f t="shared" si="19"/>
        <v/>
      </c>
    </row>
    <row r="591" spans="1:21">
      <c r="A591" s="10"/>
      <c r="B591" s="4"/>
      <c r="C591" s="4"/>
      <c r="D591" s="8"/>
      <c r="E591" s="5"/>
      <c r="F591" s="5"/>
      <c r="G591" s="8"/>
      <c r="H591" s="8"/>
      <c r="I591" s="8"/>
      <c r="J591" s="4"/>
      <c r="K591" s="64"/>
      <c r="L591" s="18"/>
      <c r="M591" s="19"/>
      <c r="N591" s="18"/>
      <c r="O591" s="18"/>
      <c r="P591" s="18"/>
      <c r="Q591" s="18"/>
      <c r="R591" s="18"/>
      <c r="S591" s="18"/>
      <c r="T591" s="18" t="str">
        <f t="shared" si="18"/>
        <v/>
      </c>
      <c r="U591" s="18" t="str">
        <f t="shared" si="19"/>
        <v/>
      </c>
    </row>
    <row r="592" spans="1:21">
      <c r="A592" s="10"/>
      <c r="B592" s="4"/>
      <c r="C592" s="4"/>
      <c r="D592" s="8"/>
      <c r="E592" s="5"/>
      <c r="F592" s="5"/>
      <c r="G592" s="8"/>
      <c r="H592" s="8"/>
      <c r="I592" s="8"/>
      <c r="J592" s="4"/>
      <c r="K592" s="64"/>
      <c r="L592" s="18"/>
      <c r="M592" s="19"/>
      <c r="N592" s="18"/>
      <c r="O592" s="18"/>
      <c r="P592" s="18"/>
      <c r="Q592" s="18"/>
      <c r="R592" s="18"/>
      <c r="S592" s="18"/>
      <c r="T592" s="18" t="str">
        <f t="shared" si="18"/>
        <v/>
      </c>
      <c r="U592" s="18" t="str">
        <f t="shared" si="19"/>
        <v/>
      </c>
    </row>
    <row r="593" spans="1:21">
      <c r="A593" s="10"/>
      <c r="B593" s="4"/>
      <c r="C593" s="4"/>
      <c r="D593" s="8"/>
      <c r="E593" s="5"/>
      <c r="F593" s="5"/>
      <c r="G593" s="8"/>
      <c r="H593" s="8"/>
      <c r="I593" s="8"/>
      <c r="J593" s="4"/>
      <c r="K593" s="64"/>
      <c r="L593" s="18"/>
      <c r="M593" s="19"/>
      <c r="N593" s="18"/>
      <c r="O593" s="18"/>
      <c r="P593" s="18"/>
      <c r="Q593" s="18"/>
      <c r="R593" s="18"/>
      <c r="S593" s="18"/>
      <c r="T593" s="18" t="str">
        <f t="shared" si="18"/>
        <v/>
      </c>
      <c r="U593" s="18" t="str">
        <f t="shared" si="19"/>
        <v/>
      </c>
    </row>
    <row r="594" spans="1:21">
      <c r="A594" s="10"/>
      <c r="B594" s="4"/>
      <c r="C594" s="4"/>
      <c r="D594" s="8"/>
      <c r="E594" s="5"/>
      <c r="F594" s="5"/>
      <c r="G594" s="8"/>
      <c r="H594" s="8"/>
      <c r="I594" s="8"/>
      <c r="J594" s="4"/>
      <c r="K594" s="64"/>
      <c r="L594" s="18"/>
      <c r="M594" s="19"/>
      <c r="N594" s="18"/>
      <c r="O594" s="18"/>
      <c r="P594" s="18"/>
      <c r="Q594" s="18"/>
      <c r="R594" s="18"/>
      <c r="S594" s="18"/>
      <c r="T594" s="18" t="str">
        <f t="shared" si="18"/>
        <v/>
      </c>
      <c r="U594" s="18" t="str">
        <f t="shared" si="19"/>
        <v/>
      </c>
    </row>
    <row r="595" spans="1:21">
      <c r="A595" s="10"/>
      <c r="B595" s="4"/>
      <c r="C595" s="4"/>
      <c r="D595" s="8"/>
      <c r="E595" s="5"/>
      <c r="F595" s="5"/>
      <c r="G595" s="8"/>
      <c r="H595" s="8"/>
      <c r="I595" s="8"/>
      <c r="J595" s="4"/>
      <c r="K595" s="64"/>
      <c r="L595" s="18"/>
      <c r="M595" s="19"/>
      <c r="N595" s="18"/>
      <c r="O595" s="18"/>
      <c r="P595" s="18"/>
      <c r="Q595" s="18"/>
      <c r="R595" s="18"/>
      <c r="S595" s="18"/>
      <c r="T595" s="18" t="str">
        <f t="shared" si="18"/>
        <v/>
      </c>
      <c r="U595" s="18" t="str">
        <f t="shared" si="19"/>
        <v/>
      </c>
    </row>
    <row r="596" spans="1:21">
      <c r="A596" s="10"/>
      <c r="B596" s="4"/>
      <c r="C596" s="4"/>
      <c r="D596" s="8"/>
      <c r="E596" s="5"/>
      <c r="F596" s="5"/>
      <c r="G596" s="8"/>
      <c r="H596" s="8"/>
      <c r="I596" s="8"/>
      <c r="J596" s="4"/>
      <c r="K596" s="64"/>
      <c r="L596" s="18"/>
      <c r="M596" s="19"/>
      <c r="N596" s="18"/>
      <c r="O596" s="18"/>
      <c r="P596" s="18"/>
      <c r="Q596" s="18"/>
      <c r="R596" s="18"/>
      <c r="S596" s="18"/>
      <c r="T596" s="18" t="str">
        <f t="shared" si="18"/>
        <v/>
      </c>
      <c r="U596" s="18" t="str">
        <f t="shared" si="19"/>
        <v/>
      </c>
    </row>
    <row r="597" spans="1:21">
      <c r="A597" s="10"/>
      <c r="B597" s="4"/>
      <c r="C597" s="4"/>
      <c r="D597" s="8"/>
      <c r="E597" s="5"/>
      <c r="F597" s="5"/>
      <c r="G597" s="8"/>
      <c r="H597" s="8"/>
      <c r="I597" s="8"/>
      <c r="J597" s="4"/>
      <c r="K597" s="64"/>
      <c r="L597" s="18"/>
      <c r="M597" s="19"/>
      <c r="N597" s="18"/>
      <c r="O597" s="18"/>
      <c r="P597" s="18"/>
      <c r="Q597" s="18"/>
      <c r="R597" s="18"/>
      <c r="S597" s="18"/>
      <c r="T597" s="18" t="str">
        <f t="shared" si="18"/>
        <v/>
      </c>
      <c r="U597" s="18" t="str">
        <f t="shared" si="19"/>
        <v/>
      </c>
    </row>
    <row r="598" spans="1:21">
      <c r="A598" s="10"/>
      <c r="B598" s="4"/>
      <c r="C598" s="4"/>
      <c r="D598" s="8"/>
      <c r="E598" s="5"/>
      <c r="F598" s="5"/>
      <c r="G598" s="8"/>
      <c r="H598" s="8"/>
      <c r="I598" s="8"/>
      <c r="J598" s="4"/>
      <c r="K598" s="64"/>
      <c r="L598" s="18"/>
      <c r="M598" s="19"/>
      <c r="N598" s="18"/>
      <c r="O598" s="18"/>
      <c r="P598" s="18"/>
      <c r="Q598" s="18"/>
      <c r="R598" s="18"/>
      <c r="S598" s="18"/>
      <c r="T598" s="18" t="str">
        <f t="shared" si="18"/>
        <v/>
      </c>
      <c r="U598" s="18" t="str">
        <f t="shared" si="19"/>
        <v/>
      </c>
    </row>
    <row r="599" spans="1:21">
      <c r="A599" s="10"/>
      <c r="B599" s="4"/>
      <c r="C599" s="4"/>
      <c r="D599" s="8"/>
      <c r="E599" s="5"/>
      <c r="F599" s="5"/>
      <c r="G599" s="8"/>
      <c r="H599" s="8"/>
      <c r="I599" s="8"/>
      <c r="J599" s="4"/>
      <c r="K599" s="64"/>
      <c r="L599" s="18"/>
      <c r="M599" s="19"/>
      <c r="N599" s="18"/>
      <c r="O599" s="18"/>
      <c r="P599" s="18"/>
      <c r="Q599" s="18"/>
      <c r="R599" s="18"/>
      <c r="S599" s="18"/>
      <c r="T599" s="18" t="str">
        <f t="shared" si="18"/>
        <v/>
      </c>
      <c r="U599" s="18" t="str">
        <f t="shared" si="19"/>
        <v/>
      </c>
    </row>
    <row r="600" spans="1:21">
      <c r="A600" s="10"/>
      <c r="B600" s="4"/>
      <c r="C600" s="4"/>
      <c r="D600" s="8"/>
      <c r="E600" s="5"/>
      <c r="F600" s="5"/>
      <c r="G600" s="8"/>
      <c r="H600" s="8"/>
      <c r="I600" s="8"/>
      <c r="J600" s="4"/>
      <c r="K600" s="64"/>
      <c r="L600" s="18"/>
      <c r="M600" s="19"/>
      <c r="N600" s="18"/>
      <c r="O600" s="18"/>
      <c r="P600" s="18"/>
      <c r="Q600" s="18"/>
      <c r="R600" s="18"/>
      <c r="S600" s="18"/>
      <c r="T600" s="18" t="str">
        <f t="shared" si="18"/>
        <v/>
      </c>
      <c r="U600" s="18" t="str">
        <f t="shared" si="19"/>
        <v/>
      </c>
    </row>
    <row r="601" spans="1:21">
      <c r="A601" s="10"/>
      <c r="B601" s="4"/>
      <c r="C601" s="4"/>
      <c r="D601" s="8"/>
      <c r="E601" s="5"/>
      <c r="F601" s="5"/>
      <c r="G601" s="8"/>
      <c r="H601" s="8"/>
      <c r="I601" s="8"/>
      <c r="J601" s="4"/>
      <c r="K601" s="64"/>
      <c r="L601" s="18"/>
      <c r="M601" s="19"/>
      <c r="N601" s="18"/>
      <c r="O601" s="18"/>
      <c r="P601" s="18"/>
      <c r="Q601" s="18"/>
      <c r="R601" s="18"/>
      <c r="S601" s="18"/>
      <c r="T601" s="18" t="str">
        <f t="shared" si="18"/>
        <v/>
      </c>
      <c r="U601" s="18" t="str">
        <f t="shared" si="19"/>
        <v/>
      </c>
    </row>
    <row r="602" spans="1:21">
      <c r="A602" s="10"/>
      <c r="B602" s="4"/>
      <c r="C602" s="4"/>
      <c r="D602" s="8"/>
      <c r="E602" s="5"/>
      <c r="F602" s="5"/>
      <c r="G602" s="8"/>
      <c r="H602" s="8"/>
      <c r="I602" s="8"/>
      <c r="J602" s="4"/>
      <c r="K602" s="64"/>
      <c r="L602" s="18"/>
      <c r="M602" s="19"/>
      <c r="N602" s="18"/>
      <c r="O602" s="18"/>
      <c r="P602" s="18"/>
      <c r="Q602" s="18"/>
      <c r="R602" s="18"/>
      <c r="S602" s="18"/>
      <c r="T602" s="18" t="str">
        <f t="shared" si="18"/>
        <v/>
      </c>
      <c r="U602" s="18" t="str">
        <f t="shared" si="19"/>
        <v/>
      </c>
    </row>
    <row r="603" spans="1:21">
      <c r="A603" s="10"/>
      <c r="B603" s="4"/>
      <c r="C603" s="4"/>
      <c r="D603" s="8"/>
      <c r="E603" s="5"/>
      <c r="F603" s="5"/>
      <c r="G603" s="8"/>
      <c r="H603" s="8"/>
      <c r="I603" s="8"/>
      <c r="J603" s="4"/>
      <c r="K603" s="64"/>
      <c r="L603" s="18"/>
      <c r="M603" s="19"/>
      <c r="N603" s="18"/>
      <c r="O603" s="18"/>
      <c r="P603" s="18"/>
      <c r="Q603" s="18"/>
      <c r="R603" s="18"/>
      <c r="S603" s="18"/>
      <c r="T603" s="18" t="str">
        <f t="shared" si="18"/>
        <v/>
      </c>
      <c r="U603" s="18" t="str">
        <f t="shared" si="19"/>
        <v/>
      </c>
    </row>
    <row r="604" spans="1:21">
      <c r="A604" s="10"/>
      <c r="B604" s="4"/>
      <c r="C604" s="4"/>
      <c r="D604" s="8"/>
      <c r="E604" s="5"/>
      <c r="F604" s="5"/>
      <c r="G604" s="8"/>
      <c r="H604" s="8"/>
      <c r="I604" s="8"/>
      <c r="J604" s="4"/>
      <c r="K604" s="64"/>
      <c r="L604" s="18"/>
      <c r="M604" s="19"/>
      <c r="N604" s="18"/>
      <c r="O604" s="18"/>
      <c r="P604" s="18"/>
      <c r="Q604" s="18"/>
      <c r="R604" s="18"/>
      <c r="S604" s="18"/>
      <c r="T604" s="18" t="str">
        <f t="shared" si="18"/>
        <v/>
      </c>
      <c r="U604" s="18" t="str">
        <f t="shared" si="19"/>
        <v/>
      </c>
    </row>
    <row r="605" spans="1:21">
      <c r="A605" s="10"/>
      <c r="B605" s="4"/>
      <c r="C605" s="4"/>
      <c r="D605" s="8"/>
      <c r="E605" s="5"/>
      <c r="F605" s="5"/>
      <c r="G605" s="8"/>
      <c r="H605" s="8"/>
      <c r="I605" s="8"/>
      <c r="J605" s="4"/>
      <c r="K605" s="64"/>
      <c r="L605" s="18"/>
      <c r="M605" s="19"/>
      <c r="N605" s="18"/>
      <c r="O605" s="18"/>
      <c r="P605" s="18"/>
      <c r="Q605" s="18"/>
      <c r="R605" s="18"/>
      <c r="S605" s="18"/>
      <c r="T605" s="18" t="str">
        <f t="shared" si="18"/>
        <v/>
      </c>
      <c r="U605" s="18" t="str">
        <f t="shared" si="19"/>
        <v/>
      </c>
    </row>
    <row r="606" spans="1:21">
      <c r="A606" s="10"/>
      <c r="B606" s="4"/>
      <c r="C606" s="4"/>
      <c r="D606" s="8"/>
      <c r="E606" s="5"/>
      <c r="F606" s="5"/>
      <c r="G606" s="8"/>
      <c r="H606" s="8"/>
      <c r="I606" s="8"/>
      <c r="J606" s="4"/>
      <c r="K606" s="64"/>
      <c r="L606" s="18"/>
      <c r="M606" s="19"/>
      <c r="N606" s="18"/>
      <c r="O606" s="18"/>
      <c r="P606" s="18"/>
      <c r="Q606" s="18"/>
      <c r="R606" s="18"/>
      <c r="S606" s="18"/>
      <c r="T606" s="18" t="str">
        <f t="shared" si="18"/>
        <v/>
      </c>
      <c r="U606" s="18" t="str">
        <f t="shared" si="19"/>
        <v/>
      </c>
    </row>
    <row r="607" spans="1:21">
      <c r="A607" s="10"/>
      <c r="B607" s="4"/>
      <c r="C607" s="4"/>
      <c r="D607" s="8"/>
      <c r="E607" s="5"/>
      <c r="F607" s="5"/>
      <c r="G607" s="8"/>
      <c r="H607" s="8"/>
      <c r="I607" s="8"/>
      <c r="J607" s="4"/>
      <c r="K607" s="64"/>
      <c r="L607" s="18"/>
      <c r="M607" s="19"/>
      <c r="N607" s="18"/>
      <c r="O607" s="18"/>
      <c r="P607" s="18"/>
      <c r="Q607" s="18"/>
      <c r="R607" s="18"/>
      <c r="S607" s="18"/>
      <c r="T607" s="18" t="str">
        <f t="shared" si="18"/>
        <v/>
      </c>
      <c r="U607" s="18" t="str">
        <f t="shared" si="19"/>
        <v/>
      </c>
    </row>
    <row r="608" spans="1:21">
      <c r="A608" s="10"/>
      <c r="B608" s="4"/>
      <c r="C608" s="4"/>
      <c r="D608" s="8"/>
      <c r="E608" s="5"/>
      <c r="F608" s="5"/>
      <c r="G608" s="8"/>
      <c r="H608" s="8"/>
      <c r="I608" s="8"/>
      <c r="J608" s="4"/>
      <c r="K608" s="64"/>
      <c r="L608" s="18"/>
      <c r="M608" s="19"/>
      <c r="N608" s="18"/>
      <c r="O608" s="18"/>
      <c r="P608" s="18"/>
      <c r="Q608" s="18"/>
      <c r="R608" s="18"/>
      <c r="S608" s="18"/>
      <c r="T608" s="18" t="str">
        <f t="shared" si="18"/>
        <v/>
      </c>
      <c r="U608" s="18" t="str">
        <f t="shared" si="19"/>
        <v/>
      </c>
    </row>
    <row r="609" spans="1:21">
      <c r="A609" s="10"/>
      <c r="B609" s="4"/>
      <c r="C609" s="4"/>
      <c r="D609" s="8"/>
      <c r="E609" s="5"/>
      <c r="F609" s="5"/>
      <c r="G609" s="8"/>
      <c r="H609" s="8"/>
      <c r="I609" s="8"/>
      <c r="J609" s="4"/>
      <c r="K609" s="64"/>
      <c r="L609" s="18"/>
      <c r="M609" s="19"/>
      <c r="N609" s="18"/>
      <c r="O609" s="18"/>
      <c r="P609" s="18"/>
      <c r="Q609" s="18"/>
      <c r="R609" s="18"/>
      <c r="S609" s="18"/>
      <c r="T609" s="18" t="str">
        <f t="shared" si="18"/>
        <v/>
      </c>
      <c r="U609" s="18" t="str">
        <f t="shared" si="19"/>
        <v/>
      </c>
    </row>
    <row r="610" spans="1:21">
      <c r="A610" s="10"/>
      <c r="B610" s="4"/>
      <c r="C610" s="4"/>
      <c r="D610" s="8"/>
      <c r="E610" s="5"/>
      <c r="F610" s="5"/>
      <c r="G610" s="8"/>
      <c r="H610" s="8"/>
      <c r="I610" s="8"/>
      <c r="J610" s="4"/>
      <c r="K610" s="64"/>
      <c r="L610" s="18"/>
      <c r="M610" s="19"/>
      <c r="N610" s="18"/>
      <c r="O610" s="18"/>
      <c r="P610" s="18"/>
      <c r="Q610" s="18"/>
      <c r="R610" s="18"/>
      <c r="S610" s="18"/>
      <c r="T610" s="18" t="str">
        <f t="shared" si="18"/>
        <v/>
      </c>
      <c r="U610" s="18" t="str">
        <f t="shared" si="19"/>
        <v/>
      </c>
    </row>
    <row r="611" spans="1:21">
      <c r="A611" s="10"/>
      <c r="B611" s="4"/>
      <c r="C611" s="4"/>
      <c r="D611" s="8"/>
      <c r="E611" s="5"/>
      <c r="F611" s="5"/>
      <c r="G611" s="8"/>
      <c r="H611" s="8"/>
      <c r="I611" s="8"/>
      <c r="J611" s="4"/>
      <c r="K611" s="64"/>
      <c r="L611" s="18"/>
      <c r="M611" s="19"/>
      <c r="N611" s="18"/>
      <c r="O611" s="18"/>
      <c r="P611" s="18"/>
      <c r="Q611" s="18"/>
      <c r="R611" s="18"/>
      <c r="S611" s="18"/>
      <c r="T611" s="18" t="str">
        <f t="shared" si="18"/>
        <v/>
      </c>
      <c r="U611" s="18" t="str">
        <f t="shared" si="19"/>
        <v/>
      </c>
    </row>
    <row r="612" spans="1:21">
      <c r="A612" s="10"/>
      <c r="B612" s="4"/>
      <c r="C612" s="4"/>
      <c r="D612" s="8"/>
      <c r="E612" s="5"/>
      <c r="F612" s="5"/>
      <c r="G612" s="8"/>
      <c r="H612" s="8"/>
      <c r="I612" s="8"/>
      <c r="J612" s="4"/>
      <c r="K612" s="64"/>
      <c r="L612" s="18"/>
      <c r="M612" s="19"/>
      <c r="N612" s="18"/>
      <c r="O612" s="18"/>
      <c r="P612" s="18"/>
      <c r="Q612" s="18"/>
      <c r="R612" s="18"/>
      <c r="S612" s="18"/>
      <c r="T612" s="18" t="str">
        <f t="shared" si="18"/>
        <v/>
      </c>
      <c r="U612" s="18" t="str">
        <f t="shared" si="19"/>
        <v/>
      </c>
    </row>
    <row r="613" spans="1:21">
      <c r="A613" s="10"/>
      <c r="B613" s="4"/>
      <c r="C613" s="4"/>
      <c r="D613" s="8"/>
      <c r="E613" s="5"/>
      <c r="F613" s="5"/>
      <c r="G613" s="8"/>
      <c r="H613" s="8"/>
      <c r="I613" s="8"/>
      <c r="J613" s="4"/>
      <c r="K613" s="64"/>
      <c r="L613" s="18"/>
      <c r="M613" s="19"/>
      <c r="N613" s="18"/>
      <c r="O613" s="18"/>
      <c r="P613" s="18"/>
      <c r="Q613" s="18"/>
      <c r="R613" s="18"/>
      <c r="S613" s="18"/>
      <c r="T613" s="18" t="str">
        <f t="shared" si="18"/>
        <v/>
      </c>
      <c r="U613" s="18" t="str">
        <f t="shared" si="19"/>
        <v/>
      </c>
    </row>
    <row r="614" spans="1:21">
      <c r="A614" s="10"/>
      <c r="B614" s="4"/>
      <c r="C614" s="4"/>
      <c r="D614" s="8"/>
      <c r="E614" s="5"/>
      <c r="F614" s="5"/>
      <c r="G614" s="8"/>
      <c r="H614" s="8"/>
      <c r="I614" s="8"/>
      <c r="J614" s="4"/>
      <c r="K614" s="64"/>
      <c r="L614" s="18"/>
      <c r="M614" s="19"/>
      <c r="N614" s="18"/>
      <c r="O614" s="18"/>
      <c r="P614" s="18"/>
      <c r="Q614" s="18"/>
      <c r="R614" s="18"/>
      <c r="S614" s="18"/>
      <c r="T614" s="18" t="str">
        <f t="shared" si="18"/>
        <v/>
      </c>
      <c r="U614" s="18" t="str">
        <f t="shared" si="19"/>
        <v/>
      </c>
    </row>
    <row r="615" spans="1:21">
      <c r="A615" s="10"/>
      <c r="B615" s="4"/>
      <c r="C615" s="4"/>
      <c r="D615" s="8"/>
      <c r="E615" s="5"/>
      <c r="F615" s="5"/>
      <c r="G615" s="8"/>
      <c r="H615" s="8"/>
      <c r="I615" s="8"/>
      <c r="J615" s="4"/>
      <c r="K615" s="64"/>
      <c r="L615" s="18"/>
      <c r="M615" s="19"/>
      <c r="N615" s="18"/>
      <c r="O615" s="18"/>
      <c r="P615" s="18"/>
      <c r="Q615" s="18"/>
      <c r="R615" s="18"/>
      <c r="S615" s="18"/>
      <c r="T615" s="18" t="str">
        <f t="shared" si="18"/>
        <v/>
      </c>
      <c r="U615" s="18" t="str">
        <f t="shared" si="19"/>
        <v/>
      </c>
    </row>
    <row r="616" spans="1:21">
      <c r="A616" s="10"/>
      <c r="B616" s="4"/>
      <c r="C616" s="4"/>
      <c r="D616" s="8"/>
      <c r="E616" s="5"/>
      <c r="F616" s="5"/>
      <c r="G616" s="8"/>
      <c r="H616" s="8"/>
      <c r="I616" s="8"/>
      <c r="J616" s="4"/>
      <c r="K616" s="64"/>
      <c r="L616" s="18"/>
      <c r="M616" s="19"/>
      <c r="N616" s="18"/>
      <c r="O616" s="18"/>
      <c r="P616" s="18"/>
      <c r="Q616" s="18"/>
      <c r="R616" s="18"/>
      <c r="S616" s="18"/>
      <c r="T616" s="18" t="str">
        <f t="shared" si="18"/>
        <v/>
      </c>
      <c r="U616" s="18" t="str">
        <f t="shared" si="19"/>
        <v/>
      </c>
    </row>
    <row r="617" spans="1:21">
      <c r="A617" s="10"/>
      <c r="B617" s="4"/>
      <c r="C617" s="4"/>
      <c r="D617" s="8"/>
      <c r="E617" s="5"/>
      <c r="F617" s="5"/>
      <c r="G617" s="8"/>
      <c r="H617" s="8"/>
      <c r="I617" s="8"/>
      <c r="J617" s="4"/>
      <c r="K617" s="64"/>
      <c r="L617" s="18"/>
      <c r="M617" s="19"/>
      <c r="N617" s="18"/>
      <c r="O617" s="18"/>
      <c r="P617" s="18"/>
      <c r="Q617" s="18"/>
      <c r="R617" s="18"/>
      <c r="S617" s="18"/>
      <c r="T617" s="18" t="str">
        <f t="shared" si="18"/>
        <v/>
      </c>
      <c r="U617" s="18" t="str">
        <f t="shared" si="19"/>
        <v/>
      </c>
    </row>
    <row r="618" spans="1:21">
      <c r="A618" s="10"/>
      <c r="B618" s="4"/>
      <c r="C618" s="4"/>
      <c r="D618" s="8"/>
      <c r="E618" s="5"/>
      <c r="F618" s="5"/>
      <c r="G618" s="8"/>
      <c r="H618" s="8"/>
      <c r="I618" s="8"/>
      <c r="J618" s="4"/>
      <c r="K618" s="64"/>
      <c r="L618" s="18"/>
      <c r="M618" s="19"/>
      <c r="N618" s="18"/>
      <c r="O618" s="18"/>
      <c r="P618" s="18"/>
      <c r="Q618" s="18"/>
      <c r="R618" s="18"/>
      <c r="S618" s="18"/>
      <c r="T618" s="18" t="str">
        <f t="shared" si="18"/>
        <v/>
      </c>
      <c r="U618" s="18" t="str">
        <f t="shared" si="19"/>
        <v/>
      </c>
    </row>
    <row r="619" spans="1:21">
      <c r="A619" s="10"/>
      <c r="B619" s="4"/>
      <c r="C619" s="4"/>
      <c r="D619" s="8"/>
      <c r="E619" s="5"/>
      <c r="F619" s="5"/>
      <c r="G619" s="8"/>
      <c r="H619" s="8"/>
      <c r="I619" s="8"/>
      <c r="J619" s="4"/>
      <c r="K619" s="64"/>
      <c r="L619" s="18"/>
      <c r="M619" s="19"/>
      <c r="N619" s="18"/>
      <c r="O619" s="18"/>
      <c r="P619" s="18"/>
      <c r="Q619" s="18"/>
      <c r="R619" s="18"/>
      <c r="S619" s="18"/>
      <c r="T619" s="18" t="str">
        <f t="shared" si="18"/>
        <v/>
      </c>
      <c r="U619" s="18" t="str">
        <f t="shared" si="19"/>
        <v/>
      </c>
    </row>
    <row r="620" spans="1:21">
      <c r="A620" s="10"/>
      <c r="B620" s="4"/>
      <c r="C620" s="4"/>
      <c r="D620" s="8"/>
      <c r="E620" s="5"/>
      <c r="F620" s="5"/>
      <c r="G620" s="8"/>
      <c r="H620" s="8"/>
      <c r="I620" s="8"/>
      <c r="J620" s="4"/>
      <c r="K620" s="64"/>
      <c r="L620" s="18"/>
      <c r="M620" s="19"/>
      <c r="N620" s="18"/>
      <c r="O620" s="18"/>
      <c r="P620" s="18"/>
      <c r="Q620" s="18"/>
      <c r="R620" s="18"/>
      <c r="S620" s="18"/>
      <c r="T620" s="18" t="str">
        <f t="shared" si="18"/>
        <v/>
      </c>
      <c r="U620" s="18" t="str">
        <f t="shared" si="19"/>
        <v/>
      </c>
    </row>
    <row r="621" spans="1:21">
      <c r="A621" s="10"/>
      <c r="B621" s="4"/>
      <c r="C621" s="4"/>
      <c r="D621" s="8"/>
      <c r="E621" s="5"/>
      <c r="F621" s="5"/>
      <c r="G621" s="8"/>
      <c r="H621" s="8"/>
      <c r="I621" s="8"/>
      <c r="J621" s="4"/>
      <c r="K621" s="64"/>
      <c r="L621" s="18"/>
      <c r="M621" s="19"/>
      <c r="N621" s="18"/>
      <c r="O621" s="18"/>
      <c r="P621" s="18"/>
      <c r="Q621" s="18"/>
      <c r="R621" s="18"/>
      <c r="S621" s="18"/>
      <c r="T621" s="18" t="str">
        <f t="shared" si="18"/>
        <v/>
      </c>
      <c r="U621" s="18" t="str">
        <f t="shared" si="19"/>
        <v/>
      </c>
    </row>
    <row r="622" spans="1:21">
      <c r="A622" s="10"/>
      <c r="B622" s="4"/>
      <c r="C622" s="4"/>
      <c r="D622" s="8"/>
      <c r="E622" s="5"/>
      <c r="F622" s="5"/>
      <c r="G622" s="8"/>
      <c r="H622" s="8"/>
      <c r="I622" s="8"/>
      <c r="J622" s="4"/>
      <c r="K622" s="64"/>
      <c r="L622" s="18"/>
      <c r="M622" s="19"/>
      <c r="N622" s="18"/>
      <c r="O622" s="18"/>
      <c r="P622" s="18"/>
      <c r="Q622" s="18"/>
      <c r="R622" s="18"/>
      <c r="S622" s="18"/>
      <c r="T622" s="18" t="str">
        <f t="shared" si="18"/>
        <v/>
      </c>
      <c r="U622" s="18" t="str">
        <f t="shared" si="19"/>
        <v/>
      </c>
    </row>
    <row r="623" spans="1:21">
      <c r="A623" s="10"/>
      <c r="B623" s="4"/>
      <c r="C623" s="4"/>
      <c r="D623" s="8"/>
      <c r="E623" s="5"/>
      <c r="F623" s="5"/>
      <c r="G623" s="8"/>
      <c r="H623" s="8"/>
      <c r="I623" s="8"/>
      <c r="J623" s="4"/>
      <c r="K623" s="64"/>
      <c r="L623" s="18"/>
      <c r="M623" s="19"/>
      <c r="N623" s="18"/>
      <c r="O623" s="18"/>
      <c r="P623" s="18"/>
      <c r="Q623" s="18"/>
      <c r="R623" s="18"/>
      <c r="S623" s="18"/>
      <c r="T623" s="18" t="str">
        <f t="shared" si="18"/>
        <v/>
      </c>
      <c r="U623" s="18" t="str">
        <f t="shared" si="19"/>
        <v/>
      </c>
    </row>
    <row r="624" spans="1:21">
      <c r="A624" s="10"/>
      <c r="B624" s="4"/>
      <c r="C624" s="4"/>
      <c r="D624" s="8"/>
      <c r="E624" s="5"/>
      <c r="F624" s="5"/>
      <c r="G624" s="8"/>
      <c r="H624" s="8"/>
      <c r="I624" s="8"/>
      <c r="J624" s="4"/>
      <c r="K624" s="64"/>
      <c r="L624" s="18"/>
      <c r="M624" s="19"/>
      <c r="N624" s="18"/>
      <c r="O624" s="18"/>
      <c r="P624" s="18"/>
      <c r="Q624" s="18"/>
      <c r="R624" s="18"/>
      <c r="S624" s="18"/>
      <c r="T624" s="18" t="str">
        <f t="shared" si="18"/>
        <v/>
      </c>
      <c r="U624" s="18" t="str">
        <f t="shared" si="19"/>
        <v/>
      </c>
    </row>
    <row r="625" spans="1:21">
      <c r="A625" s="10"/>
      <c r="B625" s="4"/>
      <c r="C625" s="4"/>
      <c r="D625" s="8"/>
      <c r="E625" s="5"/>
      <c r="F625" s="5"/>
      <c r="G625" s="8"/>
      <c r="H625" s="8"/>
      <c r="I625" s="8"/>
      <c r="J625" s="4"/>
      <c r="K625" s="64"/>
      <c r="L625" s="18"/>
      <c r="M625" s="19"/>
      <c r="N625" s="18"/>
      <c r="O625" s="18"/>
      <c r="P625" s="18"/>
      <c r="Q625" s="18"/>
      <c r="R625" s="18"/>
      <c r="S625" s="18"/>
      <c r="T625" s="18" t="str">
        <f t="shared" si="18"/>
        <v/>
      </c>
      <c r="U625" s="18" t="str">
        <f t="shared" si="19"/>
        <v/>
      </c>
    </row>
    <row r="626" spans="1:21">
      <c r="A626" s="10"/>
      <c r="B626" s="4"/>
      <c r="C626" s="4"/>
      <c r="D626" s="8"/>
      <c r="E626" s="5"/>
      <c r="F626" s="5"/>
      <c r="G626" s="8"/>
      <c r="H626" s="8"/>
      <c r="I626" s="8"/>
      <c r="J626" s="4"/>
      <c r="K626" s="64"/>
      <c r="L626" s="18"/>
      <c r="M626" s="19"/>
      <c r="N626" s="18"/>
      <c r="O626" s="18"/>
      <c r="P626" s="18"/>
      <c r="Q626" s="18"/>
      <c r="R626" s="18"/>
      <c r="S626" s="18"/>
      <c r="T626" s="18" t="str">
        <f t="shared" si="18"/>
        <v/>
      </c>
      <c r="U626" s="18" t="str">
        <f t="shared" si="19"/>
        <v/>
      </c>
    </row>
    <row r="627" spans="1:21">
      <c r="A627" s="10"/>
      <c r="B627" s="4"/>
      <c r="C627" s="4"/>
      <c r="D627" s="8"/>
      <c r="E627" s="5"/>
      <c r="F627" s="5"/>
      <c r="G627" s="8"/>
      <c r="H627" s="8"/>
      <c r="I627" s="8"/>
      <c r="J627" s="4"/>
      <c r="K627" s="64"/>
      <c r="L627" s="18"/>
      <c r="M627" s="19"/>
      <c r="N627" s="18"/>
      <c r="O627" s="18"/>
      <c r="P627" s="18"/>
      <c r="Q627" s="18"/>
      <c r="R627" s="18"/>
      <c r="S627" s="18"/>
      <c r="T627" s="18" t="str">
        <f t="shared" si="18"/>
        <v/>
      </c>
      <c r="U627" s="18" t="str">
        <f t="shared" si="19"/>
        <v/>
      </c>
    </row>
    <row r="628" spans="1:21">
      <c r="A628" s="10"/>
      <c r="B628" s="4"/>
      <c r="C628" s="4"/>
      <c r="D628" s="8"/>
      <c r="E628" s="5"/>
      <c r="F628" s="5"/>
      <c r="G628" s="8"/>
      <c r="H628" s="8"/>
      <c r="I628" s="8"/>
      <c r="J628" s="4"/>
      <c r="K628" s="64"/>
      <c r="L628" s="18"/>
      <c r="M628" s="19"/>
      <c r="N628" s="18"/>
      <c r="O628" s="18"/>
      <c r="P628" s="18"/>
      <c r="Q628" s="18"/>
      <c r="R628" s="18"/>
      <c r="S628" s="18"/>
      <c r="T628" s="18" t="str">
        <f t="shared" si="18"/>
        <v/>
      </c>
      <c r="U628" s="18" t="str">
        <f t="shared" si="19"/>
        <v/>
      </c>
    </row>
    <row r="629" spans="1:21">
      <c r="A629" s="10"/>
      <c r="B629" s="4"/>
      <c r="C629" s="4"/>
      <c r="D629" s="8"/>
      <c r="E629" s="5"/>
      <c r="F629" s="5"/>
      <c r="G629" s="8"/>
      <c r="H629" s="8"/>
      <c r="I629" s="8"/>
      <c r="J629" s="4"/>
      <c r="K629" s="64"/>
      <c r="L629" s="18"/>
      <c r="M629" s="19"/>
      <c r="N629" s="18"/>
      <c r="O629" s="18"/>
      <c r="P629" s="18"/>
      <c r="Q629" s="18"/>
      <c r="R629" s="18"/>
      <c r="S629" s="18"/>
      <c r="T629" s="18" t="str">
        <f t="shared" si="18"/>
        <v/>
      </c>
      <c r="U629" s="18" t="str">
        <f t="shared" si="19"/>
        <v/>
      </c>
    </row>
    <row r="630" spans="1:21">
      <c r="A630" s="10"/>
      <c r="B630" s="4"/>
      <c r="C630" s="4"/>
      <c r="D630" s="8"/>
      <c r="E630" s="5"/>
      <c r="F630" s="5"/>
      <c r="G630" s="8"/>
      <c r="H630" s="8"/>
      <c r="I630" s="8"/>
      <c r="J630" s="4"/>
      <c r="K630" s="64"/>
      <c r="L630" s="18"/>
      <c r="M630" s="19"/>
      <c r="N630" s="18"/>
      <c r="O630" s="18"/>
      <c r="P630" s="18"/>
      <c r="Q630" s="18"/>
      <c r="R630" s="18"/>
      <c r="S630" s="18"/>
      <c r="T630" s="18" t="str">
        <f t="shared" si="18"/>
        <v/>
      </c>
      <c r="U630" s="18" t="str">
        <f t="shared" si="19"/>
        <v/>
      </c>
    </row>
    <row r="631" spans="1:21">
      <c r="A631" s="10"/>
      <c r="B631" s="4"/>
      <c r="C631" s="4"/>
      <c r="D631" s="8"/>
      <c r="E631" s="5"/>
      <c r="F631" s="5"/>
      <c r="G631" s="8"/>
      <c r="H631" s="8"/>
      <c r="I631" s="8"/>
      <c r="J631" s="4"/>
      <c r="K631" s="64"/>
      <c r="L631" s="18"/>
      <c r="M631" s="19"/>
      <c r="N631" s="18"/>
      <c r="O631" s="18"/>
      <c r="P631" s="18"/>
      <c r="Q631" s="18"/>
      <c r="R631" s="18"/>
      <c r="S631" s="18"/>
      <c r="T631" s="18" t="str">
        <f t="shared" si="18"/>
        <v/>
      </c>
      <c r="U631" s="18" t="str">
        <f t="shared" si="19"/>
        <v/>
      </c>
    </row>
    <row r="632" spans="1:21">
      <c r="A632" s="10"/>
      <c r="B632" s="4"/>
      <c r="C632" s="4"/>
      <c r="D632" s="8"/>
      <c r="E632" s="5"/>
      <c r="F632" s="5"/>
      <c r="G632" s="8"/>
      <c r="H632" s="8"/>
      <c r="I632" s="8"/>
      <c r="J632" s="4"/>
      <c r="K632" s="64"/>
      <c r="L632" s="18"/>
      <c r="M632" s="19"/>
      <c r="N632" s="18"/>
      <c r="O632" s="18"/>
      <c r="P632" s="18"/>
      <c r="Q632" s="18"/>
      <c r="R632" s="18"/>
      <c r="S632" s="18"/>
      <c r="T632" s="18" t="str">
        <f t="shared" si="18"/>
        <v/>
      </c>
      <c r="U632" s="18" t="str">
        <f t="shared" si="19"/>
        <v/>
      </c>
    </row>
    <row r="633" spans="1:21">
      <c r="A633" s="10"/>
      <c r="B633" s="4"/>
      <c r="C633" s="4"/>
      <c r="D633" s="8"/>
      <c r="E633" s="5"/>
      <c r="F633" s="5"/>
      <c r="G633" s="8"/>
      <c r="H633" s="8"/>
      <c r="I633" s="8"/>
      <c r="J633" s="4"/>
      <c r="K633" s="64"/>
      <c r="L633" s="18"/>
      <c r="M633" s="19"/>
      <c r="N633" s="18"/>
      <c r="O633" s="18"/>
      <c r="P633" s="18"/>
      <c r="Q633" s="18"/>
      <c r="R633" s="18"/>
      <c r="S633" s="18"/>
      <c r="T633" s="18" t="str">
        <f t="shared" si="18"/>
        <v/>
      </c>
      <c r="U633" s="18" t="str">
        <f t="shared" si="19"/>
        <v/>
      </c>
    </row>
    <row r="634" spans="1:21">
      <c r="A634" s="10"/>
      <c r="B634" s="4"/>
      <c r="C634" s="4"/>
      <c r="D634" s="8"/>
      <c r="E634" s="5"/>
      <c r="F634" s="5"/>
      <c r="G634" s="8"/>
      <c r="H634" s="8"/>
      <c r="I634" s="8"/>
      <c r="J634" s="4"/>
      <c r="K634" s="64"/>
      <c r="L634" s="18"/>
      <c r="M634" s="19"/>
      <c r="N634" s="18"/>
      <c r="O634" s="18"/>
      <c r="P634" s="18"/>
      <c r="Q634" s="18"/>
      <c r="R634" s="18"/>
      <c r="S634" s="18"/>
      <c r="T634" s="18" t="str">
        <f t="shared" si="18"/>
        <v/>
      </c>
      <c r="U634" s="18" t="str">
        <f t="shared" si="19"/>
        <v/>
      </c>
    </row>
    <row r="635" spans="1:21">
      <c r="A635" s="10"/>
      <c r="B635" s="4"/>
      <c r="C635" s="4"/>
      <c r="D635" s="8"/>
      <c r="E635" s="5"/>
      <c r="F635" s="5"/>
      <c r="G635" s="8"/>
      <c r="H635" s="8"/>
      <c r="I635" s="8"/>
      <c r="J635" s="4"/>
      <c r="K635" s="64"/>
      <c r="L635" s="18"/>
      <c r="M635" s="19"/>
      <c r="N635" s="18"/>
      <c r="O635" s="18"/>
      <c r="P635" s="18"/>
      <c r="Q635" s="18"/>
      <c r="R635" s="18"/>
      <c r="S635" s="18"/>
      <c r="T635" s="18" t="str">
        <f t="shared" si="18"/>
        <v/>
      </c>
      <c r="U635" s="18" t="str">
        <f t="shared" si="19"/>
        <v/>
      </c>
    </row>
    <row r="636" spans="1:21">
      <c r="A636" s="10"/>
      <c r="B636" s="4"/>
      <c r="C636" s="4"/>
      <c r="D636" s="8"/>
      <c r="E636" s="5"/>
      <c r="F636" s="5"/>
      <c r="G636" s="8"/>
      <c r="H636" s="8"/>
      <c r="I636" s="8"/>
      <c r="J636" s="4"/>
      <c r="K636" s="64"/>
      <c r="L636" s="18"/>
      <c r="M636" s="19"/>
      <c r="N636" s="18"/>
      <c r="O636" s="18"/>
      <c r="P636" s="18"/>
      <c r="Q636" s="18"/>
      <c r="R636" s="18"/>
      <c r="S636" s="18"/>
      <c r="T636" s="18" t="str">
        <f t="shared" si="18"/>
        <v/>
      </c>
      <c r="U636" s="18" t="str">
        <f t="shared" si="19"/>
        <v/>
      </c>
    </row>
    <row r="637" spans="1:21">
      <c r="A637" s="10"/>
      <c r="B637" s="4"/>
      <c r="C637" s="4"/>
      <c r="D637" s="8"/>
      <c r="E637" s="5"/>
      <c r="F637" s="5"/>
      <c r="G637" s="8"/>
      <c r="H637" s="8"/>
      <c r="I637" s="8"/>
      <c r="J637" s="4"/>
      <c r="K637" s="64"/>
      <c r="L637" s="18"/>
      <c r="M637" s="19"/>
      <c r="N637" s="18"/>
      <c r="O637" s="18"/>
      <c r="P637" s="18"/>
      <c r="Q637" s="18"/>
      <c r="R637" s="18"/>
      <c r="S637" s="18"/>
      <c r="T637" s="18" t="str">
        <f t="shared" si="18"/>
        <v/>
      </c>
      <c r="U637" s="18" t="str">
        <f t="shared" si="19"/>
        <v/>
      </c>
    </row>
    <row r="638" spans="1:21">
      <c r="A638" s="10"/>
      <c r="B638" s="4"/>
      <c r="C638" s="4"/>
      <c r="D638" s="8"/>
      <c r="E638" s="5"/>
      <c r="F638" s="5"/>
      <c r="G638" s="8"/>
      <c r="H638" s="8"/>
      <c r="I638" s="8"/>
      <c r="J638" s="4"/>
      <c r="K638" s="64"/>
      <c r="L638" s="18"/>
      <c r="M638" s="19"/>
      <c r="N638" s="18"/>
      <c r="O638" s="18"/>
      <c r="P638" s="18"/>
      <c r="Q638" s="18"/>
      <c r="R638" s="18"/>
      <c r="S638" s="18"/>
      <c r="T638" s="18" t="str">
        <f t="shared" si="18"/>
        <v/>
      </c>
      <c r="U638" s="18" t="str">
        <f t="shared" si="19"/>
        <v/>
      </c>
    </row>
    <row r="639" spans="1:21">
      <c r="A639" s="10"/>
      <c r="B639" s="4"/>
      <c r="C639" s="4"/>
      <c r="D639" s="8"/>
      <c r="E639" s="5"/>
      <c r="F639" s="5"/>
      <c r="G639" s="8"/>
      <c r="H639" s="8"/>
      <c r="I639" s="8"/>
      <c r="J639" s="4"/>
      <c r="K639" s="64"/>
      <c r="L639" s="18"/>
      <c r="M639" s="19"/>
      <c r="N639" s="18"/>
      <c r="O639" s="18"/>
      <c r="P639" s="18"/>
      <c r="Q639" s="18"/>
      <c r="R639" s="18"/>
      <c r="S639" s="18"/>
      <c r="T639" s="18" t="str">
        <f t="shared" si="18"/>
        <v/>
      </c>
      <c r="U639" s="18" t="str">
        <f t="shared" si="19"/>
        <v/>
      </c>
    </row>
    <row r="640" spans="1:21">
      <c r="A640" s="10"/>
      <c r="B640" s="4"/>
      <c r="C640" s="4"/>
      <c r="D640" s="8"/>
      <c r="E640" s="5"/>
      <c r="F640" s="5"/>
      <c r="G640" s="8"/>
      <c r="H640" s="8"/>
      <c r="I640" s="8"/>
      <c r="J640" s="4"/>
      <c r="K640" s="64"/>
      <c r="L640" s="18"/>
      <c r="M640" s="19"/>
      <c r="N640" s="18"/>
      <c r="O640" s="18"/>
      <c r="P640" s="18"/>
      <c r="Q640" s="18"/>
      <c r="R640" s="18"/>
      <c r="S640" s="18"/>
      <c r="T640" s="18" t="str">
        <f t="shared" si="18"/>
        <v/>
      </c>
      <c r="U640" s="18" t="str">
        <f t="shared" si="19"/>
        <v/>
      </c>
    </row>
    <row r="641" spans="1:21">
      <c r="A641" s="10"/>
      <c r="B641" s="4"/>
      <c r="C641" s="4"/>
      <c r="D641" s="8"/>
      <c r="E641" s="5"/>
      <c r="F641" s="5"/>
      <c r="G641" s="8"/>
      <c r="H641" s="8"/>
      <c r="I641" s="8"/>
      <c r="J641" s="4"/>
      <c r="K641" s="64"/>
      <c r="L641" s="18"/>
      <c r="M641" s="19"/>
      <c r="N641" s="18"/>
      <c r="O641" s="18"/>
      <c r="P641" s="18"/>
      <c r="Q641" s="18"/>
      <c r="R641" s="18"/>
      <c r="S641" s="18"/>
      <c r="T641" s="18" t="str">
        <f t="shared" si="18"/>
        <v/>
      </c>
      <c r="U641" s="18" t="str">
        <f t="shared" si="19"/>
        <v/>
      </c>
    </row>
    <row r="642" spans="1:21">
      <c r="A642" s="10"/>
      <c r="B642" s="4"/>
      <c r="C642" s="4"/>
      <c r="D642" s="8"/>
      <c r="E642" s="5"/>
      <c r="F642" s="5"/>
      <c r="G642" s="8"/>
      <c r="H642" s="8"/>
      <c r="I642" s="8"/>
      <c r="J642" s="4"/>
      <c r="K642" s="64"/>
      <c r="L642" s="18"/>
      <c r="M642" s="19"/>
      <c r="N642" s="18"/>
      <c r="O642" s="18"/>
      <c r="P642" s="18"/>
      <c r="Q642" s="18"/>
      <c r="R642" s="18"/>
      <c r="S642" s="18"/>
      <c r="T642" s="18" t="str">
        <f t="shared" si="18"/>
        <v/>
      </c>
      <c r="U642" s="18" t="str">
        <f t="shared" si="19"/>
        <v/>
      </c>
    </row>
    <row r="643" spans="1:21">
      <c r="A643" s="10"/>
      <c r="B643" s="4"/>
      <c r="C643" s="4"/>
      <c r="D643" s="8"/>
      <c r="E643" s="5"/>
      <c r="F643" s="5"/>
      <c r="G643" s="8"/>
      <c r="H643" s="8"/>
      <c r="I643" s="8"/>
      <c r="J643" s="4"/>
      <c r="K643" s="64"/>
      <c r="L643" s="18"/>
      <c r="M643" s="19"/>
      <c r="N643" s="18"/>
      <c r="O643" s="18"/>
      <c r="P643" s="18"/>
      <c r="Q643" s="18"/>
      <c r="R643" s="18"/>
      <c r="S643" s="18"/>
      <c r="T643" s="18" t="str">
        <f t="shared" si="18"/>
        <v/>
      </c>
      <c r="U643" s="18" t="str">
        <f t="shared" si="19"/>
        <v/>
      </c>
    </row>
    <row r="644" spans="1:21">
      <c r="A644" s="10"/>
      <c r="B644" s="4"/>
      <c r="C644" s="4"/>
      <c r="D644" s="8"/>
      <c r="E644" s="5"/>
      <c r="F644" s="5"/>
      <c r="G644" s="8"/>
      <c r="H644" s="8"/>
      <c r="I644" s="8"/>
      <c r="J644" s="4"/>
      <c r="K644" s="64"/>
      <c r="L644" s="18"/>
      <c r="M644" s="19"/>
      <c r="N644" s="18"/>
      <c r="O644" s="18"/>
      <c r="P644" s="18"/>
      <c r="Q644" s="18"/>
      <c r="R644" s="18"/>
      <c r="S644" s="18"/>
      <c r="T644" s="18" t="str">
        <f t="shared" ref="T644:T707" si="20">IF(B644="","",IF(I644="Yes","Voided",IF(COUNTIFS($B$4:$B$803,B644,$C$4:$C$803,C644,$I$4:$I$803,"&lt;&gt;Yes",$K$4:$K$803,"&gt;"&amp;K644)=0,"Current","Historical")))</f>
        <v/>
      </c>
      <c r="U644" s="18" t="str">
        <f t="shared" ref="U644:U707" si="21">IF(T644="Current",B644&amp;"|"&amp;C644,"")</f>
        <v/>
      </c>
    </row>
    <row r="645" spans="1:21">
      <c r="A645" s="10"/>
      <c r="B645" s="4"/>
      <c r="C645" s="4"/>
      <c r="D645" s="8"/>
      <c r="E645" s="5"/>
      <c r="F645" s="5"/>
      <c r="G645" s="8"/>
      <c r="H645" s="8"/>
      <c r="I645" s="8"/>
      <c r="J645" s="4"/>
      <c r="K645" s="64"/>
      <c r="L645" s="18"/>
      <c r="M645" s="19"/>
      <c r="N645" s="18"/>
      <c r="O645" s="18"/>
      <c r="P645" s="18"/>
      <c r="Q645" s="18"/>
      <c r="R645" s="18"/>
      <c r="S645" s="18"/>
      <c r="T645" s="18" t="str">
        <f t="shared" si="20"/>
        <v/>
      </c>
      <c r="U645" s="18" t="str">
        <f t="shared" si="21"/>
        <v/>
      </c>
    </row>
    <row r="646" spans="1:21">
      <c r="A646" s="10"/>
      <c r="B646" s="4"/>
      <c r="C646" s="4"/>
      <c r="D646" s="8"/>
      <c r="E646" s="5"/>
      <c r="F646" s="5"/>
      <c r="G646" s="8"/>
      <c r="H646" s="8"/>
      <c r="I646" s="8"/>
      <c r="J646" s="4"/>
      <c r="K646" s="64"/>
      <c r="L646" s="18"/>
      <c r="M646" s="19"/>
      <c r="N646" s="18"/>
      <c r="O646" s="18"/>
      <c r="P646" s="18"/>
      <c r="Q646" s="18"/>
      <c r="R646" s="18"/>
      <c r="S646" s="18"/>
      <c r="T646" s="18" t="str">
        <f t="shared" si="20"/>
        <v/>
      </c>
      <c r="U646" s="18" t="str">
        <f t="shared" si="21"/>
        <v/>
      </c>
    </row>
    <row r="647" spans="1:21">
      <c r="A647" s="10"/>
      <c r="B647" s="4"/>
      <c r="C647" s="4"/>
      <c r="D647" s="8"/>
      <c r="E647" s="5"/>
      <c r="F647" s="5"/>
      <c r="G647" s="8"/>
      <c r="H647" s="8"/>
      <c r="I647" s="8"/>
      <c r="J647" s="4"/>
      <c r="K647" s="64"/>
      <c r="L647" s="18"/>
      <c r="M647" s="19"/>
      <c r="N647" s="18"/>
      <c r="O647" s="18"/>
      <c r="P647" s="18"/>
      <c r="Q647" s="18"/>
      <c r="R647" s="18"/>
      <c r="S647" s="18"/>
      <c r="T647" s="18" t="str">
        <f t="shared" si="20"/>
        <v/>
      </c>
      <c r="U647" s="18" t="str">
        <f t="shared" si="21"/>
        <v/>
      </c>
    </row>
    <row r="648" spans="1:21">
      <c r="A648" s="10"/>
      <c r="B648" s="4"/>
      <c r="C648" s="4"/>
      <c r="D648" s="8"/>
      <c r="E648" s="5"/>
      <c r="F648" s="5"/>
      <c r="G648" s="8"/>
      <c r="H648" s="8"/>
      <c r="I648" s="8"/>
      <c r="J648" s="4"/>
      <c r="K648" s="64"/>
      <c r="L648" s="18"/>
      <c r="M648" s="19"/>
      <c r="N648" s="18"/>
      <c r="O648" s="18"/>
      <c r="P648" s="18"/>
      <c r="Q648" s="18"/>
      <c r="R648" s="18"/>
      <c r="S648" s="18"/>
      <c r="T648" s="18" t="str">
        <f t="shared" si="20"/>
        <v/>
      </c>
      <c r="U648" s="18" t="str">
        <f t="shared" si="21"/>
        <v/>
      </c>
    </row>
    <row r="649" spans="1:21">
      <c r="A649" s="10"/>
      <c r="B649" s="4"/>
      <c r="C649" s="4"/>
      <c r="D649" s="8"/>
      <c r="E649" s="5"/>
      <c r="F649" s="5"/>
      <c r="G649" s="8"/>
      <c r="H649" s="8"/>
      <c r="I649" s="8"/>
      <c r="J649" s="4"/>
      <c r="K649" s="64"/>
      <c r="L649" s="18"/>
      <c r="M649" s="19"/>
      <c r="N649" s="18"/>
      <c r="O649" s="18"/>
      <c r="P649" s="18"/>
      <c r="Q649" s="18"/>
      <c r="R649" s="18"/>
      <c r="S649" s="18"/>
      <c r="T649" s="18" t="str">
        <f t="shared" si="20"/>
        <v/>
      </c>
      <c r="U649" s="18" t="str">
        <f t="shared" si="21"/>
        <v/>
      </c>
    </row>
    <row r="650" spans="1:21">
      <c r="A650" s="10"/>
      <c r="B650" s="4"/>
      <c r="C650" s="4"/>
      <c r="D650" s="8"/>
      <c r="E650" s="5"/>
      <c r="F650" s="5"/>
      <c r="G650" s="8"/>
      <c r="H650" s="8"/>
      <c r="I650" s="8"/>
      <c r="J650" s="4"/>
      <c r="K650" s="64"/>
      <c r="L650" s="18"/>
      <c r="M650" s="19"/>
      <c r="N650" s="18"/>
      <c r="O650" s="18"/>
      <c r="P650" s="18"/>
      <c r="Q650" s="18"/>
      <c r="R650" s="18"/>
      <c r="S650" s="18"/>
      <c r="T650" s="18" t="str">
        <f t="shared" si="20"/>
        <v/>
      </c>
      <c r="U650" s="18" t="str">
        <f t="shared" si="21"/>
        <v/>
      </c>
    </row>
    <row r="651" spans="1:21">
      <c r="A651" s="10"/>
      <c r="B651" s="4"/>
      <c r="C651" s="4"/>
      <c r="D651" s="8"/>
      <c r="E651" s="5"/>
      <c r="F651" s="5"/>
      <c r="G651" s="8"/>
      <c r="H651" s="8"/>
      <c r="I651" s="8"/>
      <c r="J651" s="4"/>
      <c r="K651" s="64"/>
      <c r="L651" s="18"/>
      <c r="M651" s="19"/>
      <c r="N651" s="18"/>
      <c r="O651" s="18"/>
      <c r="P651" s="18"/>
      <c r="Q651" s="18"/>
      <c r="R651" s="18"/>
      <c r="S651" s="18"/>
      <c r="T651" s="18" t="str">
        <f t="shared" si="20"/>
        <v/>
      </c>
      <c r="U651" s="18" t="str">
        <f t="shared" si="21"/>
        <v/>
      </c>
    </row>
    <row r="652" spans="1:21">
      <c r="A652" s="10"/>
      <c r="B652" s="4"/>
      <c r="C652" s="4"/>
      <c r="D652" s="8"/>
      <c r="E652" s="5"/>
      <c r="F652" s="5"/>
      <c r="G652" s="8"/>
      <c r="H652" s="8"/>
      <c r="I652" s="8"/>
      <c r="J652" s="4"/>
      <c r="K652" s="64"/>
      <c r="L652" s="18"/>
      <c r="M652" s="19"/>
      <c r="N652" s="18"/>
      <c r="O652" s="18"/>
      <c r="P652" s="18"/>
      <c r="Q652" s="18"/>
      <c r="R652" s="18"/>
      <c r="S652" s="18"/>
      <c r="T652" s="18" t="str">
        <f t="shared" si="20"/>
        <v/>
      </c>
      <c r="U652" s="18" t="str">
        <f t="shared" si="21"/>
        <v/>
      </c>
    </row>
    <row r="653" spans="1:21">
      <c r="A653" s="10"/>
      <c r="B653" s="4"/>
      <c r="C653" s="4"/>
      <c r="D653" s="8"/>
      <c r="E653" s="5"/>
      <c r="F653" s="5"/>
      <c r="G653" s="8"/>
      <c r="H653" s="8"/>
      <c r="I653" s="8"/>
      <c r="J653" s="4"/>
      <c r="K653" s="64"/>
      <c r="L653" s="18"/>
      <c r="M653" s="19"/>
      <c r="N653" s="18"/>
      <c r="O653" s="18"/>
      <c r="P653" s="18"/>
      <c r="Q653" s="18"/>
      <c r="R653" s="18"/>
      <c r="S653" s="18"/>
      <c r="T653" s="18" t="str">
        <f t="shared" si="20"/>
        <v/>
      </c>
      <c r="U653" s="18" t="str">
        <f t="shared" si="21"/>
        <v/>
      </c>
    </row>
    <row r="654" spans="1:21">
      <c r="A654" s="10"/>
      <c r="B654" s="4"/>
      <c r="C654" s="4"/>
      <c r="D654" s="8"/>
      <c r="E654" s="5"/>
      <c r="F654" s="5"/>
      <c r="G654" s="8"/>
      <c r="H654" s="8"/>
      <c r="I654" s="8"/>
      <c r="J654" s="4"/>
      <c r="K654" s="64"/>
      <c r="L654" s="18"/>
      <c r="M654" s="19"/>
      <c r="N654" s="18"/>
      <c r="O654" s="18"/>
      <c r="P654" s="18"/>
      <c r="Q654" s="18"/>
      <c r="R654" s="18"/>
      <c r="S654" s="18"/>
      <c r="T654" s="18" t="str">
        <f t="shared" si="20"/>
        <v/>
      </c>
      <c r="U654" s="18" t="str">
        <f t="shared" si="21"/>
        <v/>
      </c>
    </row>
    <row r="655" spans="1:21">
      <c r="A655" s="10"/>
      <c r="B655" s="4"/>
      <c r="C655" s="4"/>
      <c r="D655" s="8"/>
      <c r="E655" s="5"/>
      <c r="F655" s="5"/>
      <c r="G655" s="8"/>
      <c r="H655" s="8"/>
      <c r="I655" s="8"/>
      <c r="J655" s="4"/>
      <c r="K655" s="64"/>
      <c r="L655" s="18"/>
      <c r="M655" s="19"/>
      <c r="N655" s="18"/>
      <c r="O655" s="18"/>
      <c r="P655" s="18"/>
      <c r="Q655" s="18"/>
      <c r="R655" s="18"/>
      <c r="S655" s="18"/>
      <c r="T655" s="18" t="str">
        <f t="shared" si="20"/>
        <v/>
      </c>
      <c r="U655" s="18" t="str">
        <f t="shared" si="21"/>
        <v/>
      </c>
    </row>
    <row r="656" spans="1:21">
      <c r="A656" s="10"/>
      <c r="B656" s="4"/>
      <c r="C656" s="4"/>
      <c r="D656" s="8"/>
      <c r="E656" s="5"/>
      <c r="F656" s="5"/>
      <c r="G656" s="8"/>
      <c r="H656" s="8"/>
      <c r="I656" s="8"/>
      <c r="J656" s="4"/>
      <c r="K656" s="64"/>
      <c r="L656" s="18"/>
      <c r="M656" s="19"/>
      <c r="N656" s="18"/>
      <c r="O656" s="18"/>
      <c r="P656" s="18"/>
      <c r="Q656" s="18"/>
      <c r="R656" s="18"/>
      <c r="S656" s="18"/>
      <c r="T656" s="18" t="str">
        <f t="shared" si="20"/>
        <v/>
      </c>
      <c r="U656" s="18" t="str">
        <f t="shared" si="21"/>
        <v/>
      </c>
    </row>
    <row r="657" spans="1:21">
      <c r="A657" s="10"/>
      <c r="B657" s="4"/>
      <c r="C657" s="4"/>
      <c r="D657" s="8"/>
      <c r="E657" s="5"/>
      <c r="F657" s="5"/>
      <c r="G657" s="8"/>
      <c r="H657" s="8"/>
      <c r="I657" s="8"/>
      <c r="J657" s="4"/>
      <c r="K657" s="64"/>
      <c r="L657" s="18"/>
      <c r="M657" s="19"/>
      <c r="N657" s="18"/>
      <c r="O657" s="18"/>
      <c r="P657" s="18"/>
      <c r="Q657" s="18"/>
      <c r="R657" s="18"/>
      <c r="S657" s="18"/>
      <c r="T657" s="18" t="str">
        <f t="shared" si="20"/>
        <v/>
      </c>
      <c r="U657" s="18" t="str">
        <f t="shared" si="21"/>
        <v/>
      </c>
    </row>
    <row r="658" spans="1:21">
      <c r="A658" s="10"/>
      <c r="B658" s="4"/>
      <c r="C658" s="4"/>
      <c r="D658" s="8"/>
      <c r="E658" s="5"/>
      <c r="F658" s="5"/>
      <c r="G658" s="8"/>
      <c r="H658" s="8"/>
      <c r="I658" s="8"/>
      <c r="J658" s="4"/>
      <c r="K658" s="64"/>
      <c r="L658" s="18"/>
      <c r="M658" s="19"/>
      <c r="N658" s="18"/>
      <c r="O658" s="18"/>
      <c r="P658" s="18"/>
      <c r="Q658" s="18"/>
      <c r="R658" s="18"/>
      <c r="S658" s="18"/>
      <c r="T658" s="18" t="str">
        <f t="shared" si="20"/>
        <v/>
      </c>
      <c r="U658" s="18" t="str">
        <f t="shared" si="21"/>
        <v/>
      </c>
    </row>
    <row r="659" spans="1:21">
      <c r="A659" s="10"/>
      <c r="B659" s="4"/>
      <c r="C659" s="4"/>
      <c r="D659" s="8"/>
      <c r="E659" s="5"/>
      <c r="F659" s="5"/>
      <c r="G659" s="8"/>
      <c r="H659" s="8"/>
      <c r="I659" s="8"/>
      <c r="J659" s="4"/>
      <c r="K659" s="64"/>
      <c r="L659" s="18"/>
      <c r="M659" s="19"/>
      <c r="N659" s="18"/>
      <c r="O659" s="18"/>
      <c r="P659" s="18"/>
      <c r="Q659" s="18"/>
      <c r="R659" s="18"/>
      <c r="S659" s="18"/>
      <c r="T659" s="18" t="str">
        <f t="shared" si="20"/>
        <v/>
      </c>
      <c r="U659" s="18" t="str">
        <f t="shared" si="21"/>
        <v/>
      </c>
    </row>
    <row r="660" spans="1:21">
      <c r="A660" s="10"/>
      <c r="B660" s="4"/>
      <c r="C660" s="4"/>
      <c r="D660" s="8"/>
      <c r="E660" s="5"/>
      <c r="F660" s="5"/>
      <c r="G660" s="8"/>
      <c r="H660" s="8"/>
      <c r="I660" s="8"/>
      <c r="J660" s="4"/>
      <c r="K660" s="64"/>
      <c r="L660" s="18"/>
      <c r="M660" s="19"/>
      <c r="N660" s="18"/>
      <c r="O660" s="18"/>
      <c r="P660" s="18"/>
      <c r="Q660" s="18"/>
      <c r="R660" s="18"/>
      <c r="S660" s="18"/>
      <c r="T660" s="18" t="str">
        <f t="shared" si="20"/>
        <v/>
      </c>
      <c r="U660" s="18" t="str">
        <f t="shared" si="21"/>
        <v/>
      </c>
    </row>
    <row r="661" spans="1:21">
      <c r="A661" s="10"/>
      <c r="B661" s="4"/>
      <c r="C661" s="4"/>
      <c r="D661" s="8"/>
      <c r="E661" s="5"/>
      <c r="F661" s="5"/>
      <c r="G661" s="8"/>
      <c r="H661" s="8"/>
      <c r="I661" s="8"/>
      <c r="J661" s="4"/>
      <c r="K661" s="64"/>
      <c r="L661" s="18"/>
      <c r="M661" s="19"/>
      <c r="N661" s="18"/>
      <c r="O661" s="18"/>
      <c r="P661" s="18"/>
      <c r="Q661" s="18"/>
      <c r="R661" s="18"/>
      <c r="S661" s="18"/>
      <c r="T661" s="18" t="str">
        <f t="shared" si="20"/>
        <v/>
      </c>
      <c r="U661" s="18" t="str">
        <f t="shared" si="21"/>
        <v/>
      </c>
    </row>
    <row r="662" spans="1:21">
      <c r="A662" s="10"/>
      <c r="B662" s="4"/>
      <c r="C662" s="4"/>
      <c r="D662" s="8"/>
      <c r="E662" s="5"/>
      <c r="F662" s="5"/>
      <c r="G662" s="8"/>
      <c r="H662" s="8"/>
      <c r="I662" s="8"/>
      <c r="J662" s="4"/>
      <c r="K662" s="64"/>
      <c r="L662" s="18"/>
      <c r="M662" s="19"/>
      <c r="N662" s="18"/>
      <c r="O662" s="18"/>
      <c r="P662" s="18"/>
      <c r="Q662" s="18"/>
      <c r="R662" s="18"/>
      <c r="S662" s="18"/>
      <c r="T662" s="18" t="str">
        <f t="shared" si="20"/>
        <v/>
      </c>
      <c r="U662" s="18" t="str">
        <f t="shared" si="21"/>
        <v/>
      </c>
    </row>
    <row r="663" spans="1:21">
      <c r="A663" s="10"/>
      <c r="B663" s="4"/>
      <c r="C663" s="4"/>
      <c r="D663" s="8"/>
      <c r="E663" s="5"/>
      <c r="F663" s="5"/>
      <c r="G663" s="8"/>
      <c r="H663" s="8"/>
      <c r="I663" s="8"/>
      <c r="J663" s="4"/>
      <c r="K663" s="64"/>
      <c r="L663" s="18"/>
      <c r="M663" s="19"/>
      <c r="N663" s="18"/>
      <c r="O663" s="18"/>
      <c r="P663" s="18"/>
      <c r="Q663" s="18"/>
      <c r="R663" s="18"/>
      <c r="S663" s="18"/>
      <c r="T663" s="18" t="str">
        <f t="shared" si="20"/>
        <v/>
      </c>
      <c r="U663" s="18" t="str">
        <f t="shared" si="21"/>
        <v/>
      </c>
    </row>
    <row r="664" spans="1:21">
      <c r="A664" s="10"/>
      <c r="B664" s="4"/>
      <c r="C664" s="4"/>
      <c r="D664" s="8"/>
      <c r="E664" s="5"/>
      <c r="F664" s="5"/>
      <c r="G664" s="8"/>
      <c r="H664" s="8"/>
      <c r="I664" s="8"/>
      <c r="J664" s="4"/>
      <c r="K664" s="64"/>
      <c r="L664" s="18"/>
      <c r="M664" s="19"/>
      <c r="N664" s="18"/>
      <c r="O664" s="18"/>
      <c r="P664" s="18"/>
      <c r="Q664" s="18"/>
      <c r="R664" s="18"/>
      <c r="S664" s="18"/>
      <c r="T664" s="18" t="str">
        <f t="shared" si="20"/>
        <v/>
      </c>
      <c r="U664" s="18" t="str">
        <f t="shared" si="21"/>
        <v/>
      </c>
    </row>
    <row r="665" spans="1:21">
      <c r="A665" s="10"/>
      <c r="B665" s="4"/>
      <c r="C665" s="4"/>
      <c r="D665" s="8"/>
      <c r="E665" s="5"/>
      <c r="F665" s="5"/>
      <c r="G665" s="8"/>
      <c r="H665" s="8"/>
      <c r="I665" s="8"/>
      <c r="J665" s="4"/>
      <c r="K665" s="64"/>
      <c r="L665" s="18"/>
      <c r="M665" s="19"/>
      <c r="N665" s="18"/>
      <c r="O665" s="18"/>
      <c r="P665" s="18"/>
      <c r="Q665" s="18"/>
      <c r="R665" s="18"/>
      <c r="S665" s="18"/>
      <c r="T665" s="18" t="str">
        <f t="shared" si="20"/>
        <v/>
      </c>
      <c r="U665" s="18" t="str">
        <f t="shared" si="21"/>
        <v/>
      </c>
    </row>
    <row r="666" spans="1:21">
      <c r="A666" s="10"/>
      <c r="B666" s="4"/>
      <c r="C666" s="4"/>
      <c r="D666" s="8"/>
      <c r="E666" s="5"/>
      <c r="F666" s="5"/>
      <c r="G666" s="8"/>
      <c r="H666" s="8"/>
      <c r="I666" s="8"/>
      <c r="J666" s="4"/>
      <c r="K666" s="64"/>
      <c r="L666" s="18"/>
      <c r="M666" s="19"/>
      <c r="N666" s="18"/>
      <c r="O666" s="18"/>
      <c r="P666" s="18"/>
      <c r="Q666" s="18"/>
      <c r="R666" s="18"/>
      <c r="S666" s="18"/>
      <c r="T666" s="18" t="str">
        <f t="shared" si="20"/>
        <v/>
      </c>
      <c r="U666" s="18" t="str">
        <f t="shared" si="21"/>
        <v/>
      </c>
    </row>
    <row r="667" spans="1:21">
      <c r="A667" s="10"/>
      <c r="B667" s="4"/>
      <c r="C667" s="4"/>
      <c r="D667" s="8"/>
      <c r="E667" s="5"/>
      <c r="F667" s="5"/>
      <c r="G667" s="8"/>
      <c r="H667" s="8"/>
      <c r="I667" s="8"/>
      <c r="J667" s="4"/>
      <c r="K667" s="64"/>
      <c r="L667" s="18"/>
      <c r="M667" s="19"/>
      <c r="N667" s="18"/>
      <c r="O667" s="18"/>
      <c r="P667" s="18"/>
      <c r="Q667" s="18"/>
      <c r="R667" s="18"/>
      <c r="S667" s="18"/>
      <c r="T667" s="18" t="str">
        <f t="shared" si="20"/>
        <v/>
      </c>
      <c r="U667" s="18" t="str">
        <f t="shared" si="21"/>
        <v/>
      </c>
    </row>
    <row r="668" spans="1:21">
      <c r="A668" s="10"/>
      <c r="B668" s="4"/>
      <c r="C668" s="4"/>
      <c r="D668" s="8"/>
      <c r="E668" s="5"/>
      <c r="F668" s="5"/>
      <c r="G668" s="8"/>
      <c r="H668" s="8"/>
      <c r="I668" s="8"/>
      <c r="J668" s="4"/>
      <c r="K668" s="64"/>
      <c r="L668" s="18"/>
      <c r="M668" s="19"/>
      <c r="N668" s="18"/>
      <c r="O668" s="18"/>
      <c r="P668" s="18"/>
      <c r="Q668" s="18"/>
      <c r="R668" s="18"/>
      <c r="S668" s="18"/>
      <c r="T668" s="18" t="str">
        <f t="shared" si="20"/>
        <v/>
      </c>
      <c r="U668" s="18" t="str">
        <f t="shared" si="21"/>
        <v/>
      </c>
    </row>
    <row r="669" spans="1:21">
      <c r="A669" s="10"/>
      <c r="B669" s="4"/>
      <c r="C669" s="4"/>
      <c r="D669" s="8"/>
      <c r="E669" s="5"/>
      <c r="F669" s="5"/>
      <c r="G669" s="8"/>
      <c r="H669" s="8"/>
      <c r="I669" s="8"/>
      <c r="J669" s="4"/>
      <c r="K669" s="64"/>
      <c r="L669" s="18"/>
      <c r="M669" s="19"/>
      <c r="N669" s="18"/>
      <c r="O669" s="18"/>
      <c r="P669" s="18"/>
      <c r="Q669" s="18"/>
      <c r="R669" s="18"/>
      <c r="S669" s="18"/>
      <c r="T669" s="18" t="str">
        <f t="shared" si="20"/>
        <v/>
      </c>
      <c r="U669" s="18" t="str">
        <f t="shared" si="21"/>
        <v/>
      </c>
    </row>
    <row r="670" spans="1:21">
      <c r="A670" s="10"/>
      <c r="B670" s="4"/>
      <c r="C670" s="4"/>
      <c r="D670" s="8"/>
      <c r="E670" s="5"/>
      <c r="F670" s="5"/>
      <c r="G670" s="8"/>
      <c r="H670" s="8"/>
      <c r="I670" s="8"/>
      <c r="J670" s="4"/>
      <c r="K670" s="64"/>
      <c r="L670" s="18"/>
      <c r="M670" s="19"/>
      <c r="N670" s="18"/>
      <c r="O670" s="18"/>
      <c r="P670" s="18"/>
      <c r="Q670" s="18"/>
      <c r="R670" s="18"/>
      <c r="S670" s="18"/>
      <c r="T670" s="18" t="str">
        <f t="shared" si="20"/>
        <v/>
      </c>
      <c r="U670" s="18" t="str">
        <f t="shared" si="21"/>
        <v/>
      </c>
    </row>
    <row r="671" spans="1:21">
      <c r="A671" s="10"/>
      <c r="B671" s="4"/>
      <c r="C671" s="4"/>
      <c r="D671" s="8"/>
      <c r="E671" s="5"/>
      <c r="F671" s="5"/>
      <c r="G671" s="8"/>
      <c r="H671" s="8"/>
      <c r="I671" s="8"/>
      <c r="J671" s="4"/>
      <c r="K671" s="64"/>
      <c r="L671" s="18"/>
      <c r="M671" s="19"/>
      <c r="N671" s="18"/>
      <c r="O671" s="18"/>
      <c r="P671" s="18"/>
      <c r="Q671" s="18"/>
      <c r="R671" s="18"/>
      <c r="S671" s="18"/>
      <c r="T671" s="18" t="str">
        <f t="shared" si="20"/>
        <v/>
      </c>
      <c r="U671" s="18" t="str">
        <f t="shared" si="21"/>
        <v/>
      </c>
    </row>
    <row r="672" spans="1:21">
      <c r="A672" s="10"/>
      <c r="B672" s="4"/>
      <c r="C672" s="4"/>
      <c r="D672" s="8"/>
      <c r="E672" s="5"/>
      <c r="F672" s="5"/>
      <c r="G672" s="8"/>
      <c r="H672" s="8"/>
      <c r="I672" s="8"/>
      <c r="J672" s="4"/>
      <c r="K672" s="64"/>
      <c r="L672" s="18"/>
      <c r="M672" s="19"/>
      <c r="N672" s="18"/>
      <c r="O672" s="18"/>
      <c r="P672" s="18"/>
      <c r="Q672" s="18"/>
      <c r="R672" s="18"/>
      <c r="S672" s="18"/>
      <c r="T672" s="18" t="str">
        <f t="shared" si="20"/>
        <v/>
      </c>
      <c r="U672" s="18" t="str">
        <f t="shared" si="21"/>
        <v/>
      </c>
    </row>
    <row r="673" spans="1:21">
      <c r="A673" s="10"/>
      <c r="B673" s="4"/>
      <c r="C673" s="4"/>
      <c r="D673" s="8"/>
      <c r="E673" s="5"/>
      <c r="F673" s="5"/>
      <c r="G673" s="8"/>
      <c r="H673" s="8"/>
      <c r="I673" s="8"/>
      <c r="J673" s="4"/>
      <c r="K673" s="64"/>
      <c r="L673" s="18"/>
      <c r="M673" s="19"/>
      <c r="N673" s="18"/>
      <c r="O673" s="18"/>
      <c r="P673" s="18"/>
      <c r="Q673" s="18"/>
      <c r="R673" s="18"/>
      <c r="S673" s="18"/>
      <c r="T673" s="18" t="str">
        <f t="shared" si="20"/>
        <v/>
      </c>
      <c r="U673" s="18" t="str">
        <f t="shared" si="21"/>
        <v/>
      </c>
    </row>
    <row r="674" spans="1:21">
      <c r="A674" s="10"/>
      <c r="B674" s="4"/>
      <c r="C674" s="4"/>
      <c r="D674" s="8"/>
      <c r="E674" s="5"/>
      <c r="F674" s="5"/>
      <c r="G674" s="8"/>
      <c r="H674" s="8"/>
      <c r="I674" s="8"/>
      <c r="J674" s="4"/>
      <c r="K674" s="64"/>
      <c r="L674" s="18"/>
      <c r="M674" s="19"/>
      <c r="N674" s="18"/>
      <c r="O674" s="18"/>
      <c r="P674" s="18"/>
      <c r="Q674" s="18"/>
      <c r="R674" s="18"/>
      <c r="S674" s="18"/>
      <c r="T674" s="18" t="str">
        <f t="shared" si="20"/>
        <v/>
      </c>
      <c r="U674" s="18" t="str">
        <f t="shared" si="21"/>
        <v/>
      </c>
    </row>
    <row r="675" spans="1:21">
      <c r="A675" s="10"/>
      <c r="B675" s="4"/>
      <c r="C675" s="4"/>
      <c r="D675" s="8"/>
      <c r="E675" s="5"/>
      <c r="F675" s="5"/>
      <c r="G675" s="8"/>
      <c r="H675" s="8"/>
      <c r="I675" s="8"/>
      <c r="J675" s="4"/>
      <c r="K675" s="64"/>
      <c r="L675" s="18"/>
      <c r="M675" s="19"/>
      <c r="N675" s="18"/>
      <c r="O675" s="18"/>
      <c r="P675" s="18"/>
      <c r="Q675" s="18"/>
      <c r="R675" s="18"/>
      <c r="S675" s="18"/>
      <c r="T675" s="18" t="str">
        <f t="shared" si="20"/>
        <v/>
      </c>
      <c r="U675" s="18" t="str">
        <f t="shared" si="21"/>
        <v/>
      </c>
    </row>
    <row r="676" spans="1:21">
      <c r="A676" s="10"/>
      <c r="B676" s="4"/>
      <c r="C676" s="4"/>
      <c r="D676" s="8"/>
      <c r="E676" s="5"/>
      <c r="F676" s="5"/>
      <c r="G676" s="8"/>
      <c r="H676" s="8"/>
      <c r="I676" s="8"/>
      <c r="J676" s="4"/>
      <c r="K676" s="64"/>
      <c r="L676" s="18"/>
      <c r="M676" s="19"/>
      <c r="N676" s="18"/>
      <c r="O676" s="18"/>
      <c r="P676" s="18"/>
      <c r="Q676" s="18"/>
      <c r="R676" s="18"/>
      <c r="S676" s="18"/>
      <c r="T676" s="18" t="str">
        <f t="shared" si="20"/>
        <v/>
      </c>
      <c r="U676" s="18" t="str">
        <f t="shared" si="21"/>
        <v/>
      </c>
    </row>
    <row r="677" spans="1:21">
      <c r="A677" s="10"/>
      <c r="B677" s="4"/>
      <c r="C677" s="4"/>
      <c r="D677" s="8"/>
      <c r="E677" s="5"/>
      <c r="F677" s="5"/>
      <c r="G677" s="8"/>
      <c r="H677" s="8"/>
      <c r="I677" s="8"/>
      <c r="J677" s="4"/>
      <c r="K677" s="64"/>
      <c r="L677" s="18"/>
      <c r="M677" s="19"/>
      <c r="N677" s="18"/>
      <c r="O677" s="18"/>
      <c r="P677" s="18"/>
      <c r="Q677" s="18"/>
      <c r="R677" s="18"/>
      <c r="S677" s="18"/>
      <c r="T677" s="18" t="str">
        <f t="shared" si="20"/>
        <v/>
      </c>
      <c r="U677" s="18" t="str">
        <f t="shared" si="21"/>
        <v/>
      </c>
    </row>
    <row r="678" spans="1:21">
      <c r="A678" s="10"/>
      <c r="B678" s="4"/>
      <c r="C678" s="4"/>
      <c r="D678" s="8"/>
      <c r="E678" s="5"/>
      <c r="F678" s="5"/>
      <c r="G678" s="8"/>
      <c r="H678" s="8"/>
      <c r="I678" s="8"/>
      <c r="J678" s="4"/>
      <c r="K678" s="64"/>
      <c r="L678" s="18"/>
      <c r="M678" s="19"/>
      <c r="N678" s="18"/>
      <c r="O678" s="18"/>
      <c r="P678" s="18"/>
      <c r="Q678" s="18"/>
      <c r="R678" s="18"/>
      <c r="S678" s="18"/>
      <c r="T678" s="18" t="str">
        <f t="shared" si="20"/>
        <v/>
      </c>
      <c r="U678" s="18" t="str">
        <f t="shared" si="21"/>
        <v/>
      </c>
    </row>
    <row r="679" spans="1:21">
      <c r="A679" s="10"/>
      <c r="B679" s="4"/>
      <c r="C679" s="4"/>
      <c r="D679" s="8"/>
      <c r="E679" s="5"/>
      <c r="F679" s="5"/>
      <c r="G679" s="8"/>
      <c r="H679" s="8"/>
      <c r="I679" s="8"/>
      <c r="J679" s="4"/>
      <c r="K679" s="64"/>
      <c r="L679" s="18"/>
      <c r="M679" s="19"/>
      <c r="N679" s="18"/>
      <c r="O679" s="18"/>
      <c r="P679" s="18"/>
      <c r="Q679" s="18"/>
      <c r="R679" s="18"/>
      <c r="S679" s="18"/>
      <c r="T679" s="18" t="str">
        <f t="shared" si="20"/>
        <v/>
      </c>
      <c r="U679" s="18" t="str">
        <f t="shared" si="21"/>
        <v/>
      </c>
    </row>
    <row r="680" spans="1:21">
      <c r="A680" s="10"/>
      <c r="B680" s="4"/>
      <c r="C680" s="4"/>
      <c r="D680" s="8"/>
      <c r="E680" s="5"/>
      <c r="F680" s="5"/>
      <c r="G680" s="8"/>
      <c r="H680" s="8"/>
      <c r="I680" s="8"/>
      <c r="J680" s="4"/>
      <c r="K680" s="64"/>
      <c r="L680" s="18"/>
      <c r="M680" s="19"/>
      <c r="N680" s="18"/>
      <c r="O680" s="18"/>
      <c r="P680" s="18"/>
      <c r="Q680" s="18"/>
      <c r="R680" s="18"/>
      <c r="S680" s="18"/>
      <c r="T680" s="18" t="str">
        <f t="shared" si="20"/>
        <v/>
      </c>
      <c r="U680" s="18" t="str">
        <f t="shared" si="21"/>
        <v/>
      </c>
    </row>
    <row r="681" spans="1:21">
      <c r="A681" s="10"/>
      <c r="B681" s="4"/>
      <c r="C681" s="4"/>
      <c r="D681" s="8"/>
      <c r="E681" s="5"/>
      <c r="F681" s="5"/>
      <c r="G681" s="8"/>
      <c r="H681" s="8"/>
      <c r="I681" s="8"/>
      <c r="J681" s="4"/>
      <c r="K681" s="64"/>
      <c r="L681" s="18"/>
      <c r="M681" s="19"/>
      <c r="N681" s="18"/>
      <c r="O681" s="18"/>
      <c r="P681" s="18"/>
      <c r="Q681" s="18"/>
      <c r="R681" s="18"/>
      <c r="S681" s="18"/>
      <c r="T681" s="18" t="str">
        <f t="shared" si="20"/>
        <v/>
      </c>
      <c r="U681" s="18" t="str">
        <f t="shared" si="21"/>
        <v/>
      </c>
    </row>
    <row r="682" spans="1:21">
      <c r="A682" s="10"/>
      <c r="B682" s="4"/>
      <c r="C682" s="4"/>
      <c r="D682" s="8"/>
      <c r="E682" s="5"/>
      <c r="F682" s="5"/>
      <c r="G682" s="8"/>
      <c r="H682" s="8"/>
      <c r="I682" s="8"/>
      <c r="J682" s="4"/>
      <c r="K682" s="64"/>
      <c r="L682" s="18"/>
      <c r="M682" s="19"/>
      <c r="N682" s="18"/>
      <c r="O682" s="18"/>
      <c r="P682" s="18"/>
      <c r="Q682" s="18"/>
      <c r="R682" s="18"/>
      <c r="S682" s="18"/>
      <c r="T682" s="18" t="str">
        <f t="shared" si="20"/>
        <v/>
      </c>
      <c r="U682" s="18" t="str">
        <f t="shared" si="21"/>
        <v/>
      </c>
    </row>
    <row r="683" spans="1:21">
      <c r="A683" s="10"/>
      <c r="B683" s="4"/>
      <c r="C683" s="4"/>
      <c r="D683" s="8"/>
      <c r="E683" s="5"/>
      <c r="F683" s="5"/>
      <c r="G683" s="8"/>
      <c r="H683" s="8"/>
      <c r="I683" s="8"/>
      <c r="J683" s="4"/>
      <c r="K683" s="64"/>
      <c r="L683" s="18"/>
      <c r="M683" s="19"/>
      <c r="N683" s="18"/>
      <c r="O683" s="18"/>
      <c r="P683" s="18"/>
      <c r="Q683" s="18"/>
      <c r="R683" s="18"/>
      <c r="S683" s="18"/>
      <c r="T683" s="18" t="str">
        <f t="shared" si="20"/>
        <v/>
      </c>
      <c r="U683" s="18" t="str">
        <f t="shared" si="21"/>
        <v/>
      </c>
    </row>
    <row r="684" spans="1:21">
      <c r="A684" s="10"/>
      <c r="B684" s="4"/>
      <c r="C684" s="4"/>
      <c r="D684" s="8"/>
      <c r="E684" s="5"/>
      <c r="F684" s="5"/>
      <c r="G684" s="8"/>
      <c r="H684" s="8"/>
      <c r="I684" s="8"/>
      <c r="J684" s="4"/>
      <c r="K684" s="64"/>
      <c r="L684" s="18"/>
      <c r="M684" s="19"/>
      <c r="N684" s="18"/>
      <c r="O684" s="18"/>
      <c r="P684" s="18"/>
      <c r="Q684" s="18"/>
      <c r="R684" s="18"/>
      <c r="S684" s="18"/>
      <c r="T684" s="18" t="str">
        <f t="shared" si="20"/>
        <v/>
      </c>
      <c r="U684" s="18" t="str">
        <f t="shared" si="21"/>
        <v/>
      </c>
    </row>
    <row r="685" spans="1:21">
      <c r="A685" s="10"/>
      <c r="B685" s="4"/>
      <c r="C685" s="4"/>
      <c r="D685" s="8"/>
      <c r="E685" s="5"/>
      <c r="F685" s="5"/>
      <c r="G685" s="8"/>
      <c r="H685" s="8"/>
      <c r="I685" s="8"/>
      <c r="J685" s="4"/>
      <c r="K685" s="64"/>
      <c r="L685" s="18"/>
      <c r="M685" s="19"/>
      <c r="N685" s="18"/>
      <c r="O685" s="18"/>
      <c r="P685" s="18"/>
      <c r="Q685" s="18"/>
      <c r="R685" s="18"/>
      <c r="S685" s="18"/>
      <c r="T685" s="18" t="str">
        <f t="shared" si="20"/>
        <v/>
      </c>
      <c r="U685" s="18" t="str">
        <f t="shared" si="21"/>
        <v/>
      </c>
    </row>
    <row r="686" spans="1:21">
      <c r="A686" s="10"/>
      <c r="B686" s="4"/>
      <c r="C686" s="4"/>
      <c r="D686" s="8"/>
      <c r="E686" s="5"/>
      <c r="F686" s="5"/>
      <c r="G686" s="8"/>
      <c r="H686" s="8"/>
      <c r="I686" s="8"/>
      <c r="J686" s="4"/>
      <c r="K686" s="64"/>
      <c r="L686" s="18"/>
      <c r="M686" s="19"/>
      <c r="N686" s="18"/>
      <c r="O686" s="18"/>
      <c r="P686" s="18"/>
      <c r="Q686" s="18"/>
      <c r="R686" s="18"/>
      <c r="S686" s="18"/>
      <c r="T686" s="18" t="str">
        <f t="shared" si="20"/>
        <v/>
      </c>
      <c r="U686" s="18" t="str">
        <f t="shared" si="21"/>
        <v/>
      </c>
    </row>
    <row r="687" spans="1:21">
      <c r="A687" s="10"/>
      <c r="B687" s="4"/>
      <c r="C687" s="4"/>
      <c r="D687" s="8"/>
      <c r="E687" s="5"/>
      <c r="F687" s="5"/>
      <c r="G687" s="8"/>
      <c r="H687" s="8"/>
      <c r="I687" s="8"/>
      <c r="J687" s="4"/>
      <c r="K687" s="64"/>
      <c r="L687" s="18"/>
      <c r="M687" s="19"/>
      <c r="N687" s="18"/>
      <c r="O687" s="18"/>
      <c r="P687" s="18"/>
      <c r="Q687" s="18"/>
      <c r="R687" s="18"/>
      <c r="S687" s="18"/>
      <c r="T687" s="18" t="str">
        <f t="shared" si="20"/>
        <v/>
      </c>
      <c r="U687" s="18" t="str">
        <f t="shared" si="21"/>
        <v/>
      </c>
    </row>
    <row r="688" spans="1:21">
      <c r="A688" s="10"/>
      <c r="B688" s="4"/>
      <c r="C688" s="4"/>
      <c r="D688" s="8"/>
      <c r="E688" s="5"/>
      <c r="F688" s="5"/>
      <c r="G688" s="8"/>
      <c r="H688" s="8"/>
      <c r="I688" s="8"/>
      <c r="J688" s="4"/>
      <c r="K688" s="64"/>
      <c r="L688" s="18"/>
      <c r="M688" s="19"/>
      <c r="N688" s="18"/>
      <c r="O688" s="18"/>
      <c r="P688" s="18"/>
      <c r="Q688" s="18"/>
      <c r="R688" s="18"/>
      <c r="S688" s="18"/>
      <c r="T688" s="18" t="str">
        <f t="shared" si="20"/>
        <v/>
      </c>
      <c r="U688" s="18" t="str">
        <f t="shared" si="21"/>
        <v/>
      </c>
    </row>
    <row r="689" spans="1:21">
      <c r="A689" s="10"/>
      <c r="B689" s="4"/>
      <c r="C689" s="4"/>
      <c r="D689" s="8"/>
      <c r="E689" s="5"/>
      <c r="F689" s="5"/>
      <c r="G689" s="8"/>
      <c r="H689" s="8"/>
      <c r="I689" s="8"/>
      <c r="J689" s="4"/>
      <c r="K689" s="64"/>
      <c r="L689" s="18"/>
      <c r="M689" s="19"/>
      <c r="N689" s="18"/>
      <c r="O689" s="18"/>
      <c r="P689" s="18"/>
      <c r="Q689" s="18"/>
      <c r="R689" s="18"/>
      <c r="S689" s="18"/>
      <c r="T689" s="18" t="str">
        <f t="shared" si="20"/>
        <v/>
      </c>
      <c r="U689" s="18" t="str">
        <f t="shared" si="21"/>
        <v/>
      </c>
    </row>
    <row r="690" spans="1:21">
      <c r="A690" s="10"/>
      <c r="B690" s="4"/>
      <c r="C690" s="4"/>
      <c r="D690" s="8"/>
      <c r="E690" s="5"/>
      <c r="F690" s="5"/>
      <c r="G690" s="8"/>
      <c r="H690" s="8"/>
      <c r="I690" s="8"/>
      <c r="J690" s="4"/>
      <c r="K690" s="64"/>
      <c r="L690" s="18"/>
      <c r="M690" s="19"/>
      <c r="N690" s="18"/>
      <c r="O690" s="18"/>
      <c r="P690" s="18"/>
      <c r="Q690" s="18"/>
      <c r="R690" s="18"/>
      <c r="S690" s="18"/>
      <c r="T690" s="18" t="str">
        <f t="shared" si="20"/>
        <v/>
      </c>
      <c r="U690" s="18" t="str">
        <f t="shared" si="21"/>
        <v/>
      </c>
    </row>
    <row r="691" spans="1:21">
      <c r="A691" s="10"/>
      <c r="B691" s="4"/>
      <c r="C691" s="4"/>
      <c r="D691" s="8"/>
      <c r="E691" s="5"/>
      <c r="F691" s="5"/>
      <c r="G691" s="8"/>
      <c r="H691" s="8"/>
      <c r="I691" s="8"/>
      <c r="J691" s="4"/>
      <c r="K691" s="64"/>
      <c r="L691" s="18"/>
      <c r="M691" s="19"/>
      <c r="N691" s="18"/>
      <c r="O691" s="18"/>
      <c r="P691" s="18"/>
      <c r="Q691" s="18"/>
      <c r="R691" s="18"/>
      <c r="S691" s="18"/>
      <c r="T691" s="18" t="str">
        <f t="shared" si="20"/>
        <v/>
      </c>
      <c r="U691" s="18" t="str">
        <f t="shared" si="21"/>
        <v/>
      </c>
    </row>
    <row r="692" spans="1:21">
      <c r="A692" s="10"/>
      <c r="B692" s="4"/>
      <c r="C692" s="4"/>
      <c r="D692" s="8"/>
      <c r="E692" s="5"/>
      <c r="F692" s="5"/>
      <c r="G692" s="8"/>
      <c r="H692" s="8"/>
      <c r="I692" s="8"/>
      <c r="J692" s="4"/>
      <c r="K692" s="64"/>
      <c r="L692" s="18"/>
      <c r="M692" s="19"/>
      <c r="N692" s="18"/>
      <c r="O692" s="18"/>
      <c r="P692" s="18"/>
      <c r="Q692" s="18"/>
      <c r="R692" s="18"/>
      <c r="S692" s="18"/>
      <c r="T692" s="18" t="str">
        <f t="shared" si="20"/>
        <v/>
      </c>
      <c r="U692" s="18" t="str">
        <f t="shared" si="21"/>
        <v/>
      </c>
    </row>
    <row r="693" spans="1:21">
      <c r="A693" s="10"/>
      <c r="B693" s="4"/>
      <c r="C693" s="4"/>
      <c r="D693" s="8"/>
      <c r="E693" s="5"/>
      <c r="F693" s="5"/>
      <c r="G693" s="8"/>
      <c r="H693" s="8"/>
      <c r="I693" s="8"/>
      <c r="J693" s="4"/>
      <c r="K693" s="64"/>
      <c r="L693" s="18"/>
      <c r="M693" s="19"/>
      <c r="N693" s="18"/>
      <c r="O693" s="18"/>
      <c r="P693" s="18"/>
      <c r="Q693" s="18"/>
      <c r="R693" s="18"/>
      <c r="S693" s="18"/>
      <c r="T693" s="18" t="str">
        <f t="shared" si="20"/>
        <v/>
      </c>
      <c r="U693" s="18" t="str">
        <f t="shared" si="21"/>
        <v/>
      </c>
    </row>
    <row r="694" spans="1:21">
      <c r="A694" s="10"/>
      <c r="B694" s="4"/>
      <c r="C694" s="4"/>
      <c r="D694" s="8"/>
      <c r="E694" s="5"/>
      <c r="F694" s="5"/>
      <c r="G694" s="8"/>
      <c r="H694" s="8"/>
      <c r="I694" s="8"/>
      <c r="J694" s="4"/>
      <c r="K694" s="64"/>
      <c r="L694" s="18"/>
      <c r="M694" s="19"/>
      <c r="N694" s="18"/>
      <c r="O694" s="18"/>
      <c r="P694" s="18"/>
      <c r="Q694" s="18"/>
      <c r="R694" s="18"/>
      <c r="S694" s="18"/>
      <c r="T694" s="18" t="str">
        <f t="shared" si="20"/>
        <v/>
      </c>
      <c r="U694" s="18" t="str">
        <f t="shared" si="21"/>
        <v/>
      </c>
    </row>
    <row r="695" spans="1:21">
      <c r="A695" s="10"/>
      <c r="B695" s="4"/>
      <c r="C695" s="4"/>
      <c r="D695" s="8"/>
      <c r="E695" s="5"/>
      <c r="F695" s="5"/>
      <c r="G695" s="8"/>
      <c r="H695" s="8"/>
      <c r="I695" s="8"/>
      <c r="J695" s="4"/>
      <c r="K695" s="64"/>
      <c r="L695" s="18"/>
      <c r="M695" s="19"/>
      <c r="N695" s="18"/>
      <c r="O695" s="18"/>
      <c r="P695" s="18"/>
      <c r="Q695" s="18"/>
      <c r="R695" s="18"/>
      <c r="S695" s="18"/>
      <c r="T695" s="18" t="str">
        <f t="shared" si="20"/>
        <v/>
      </c>
      <c r="U695" s="18" t="str">
        <f t="shared" si="21"/>
        <v/>
      </c>
    </row>
    <row r="696" spans="1:21">
      <c r="A696" s="10"/>
      <c r="B696" s="4"/>
      <c r="C696" s="4"/>
      <c r="D696" s="8"/>
      <c r="E696" s="5"/>
      <c r="F696" s="5"/>
      <c r="G696" s="8"/>
      <c r="H696" s="8"/>
      <c r="I696" s="8"/>
      <c r="J696" s="4"/>
      <c r="K696" s="64"/>
      <c r="L696" s="18"/>
      <c r="M696" s="19"/>
      <c r="N696" s="18"/>
      <c r="O696" s="18"/>
      <c r="P696" s="18"/>
      <c r="Q696" s="18"/>
      <c r="R696" s="18"/>
      <c r="S696" s="18"/>
      <c r="T696" s="18" t="str">
        <f t="shared" si="20"/>
        <v/>
      </c>
      <c r="U696" s="18" t="str">
        <f t="shared" si="21"/>
        <v/>
      </c>
    </row>
    <row r="697" spans="1:21">
      <c r="A697" s="10"/>
      <c r="B697" s="4"/>
      <c r="C697" s="4"/>
      <c r="D697" s="8"/>
      <c r="E697" s="5"/>
      <c r="F697" s="5"/>
      <c r="G697" s="8"/>
      <c r="H697" s="8"/>
      <c r="I697" s="8"/>
      <c r="J697" s="4"/>
      <c r="K697" s="64"/>
      <c r="L697" s="18"/>
      <c r="M697" s="19"/>
      <c r="N697" s="18"/>
      <c r="O697" s="18"/>
      <c r="P697" s="18"/>
      <c r="Q697" s="18"/>
      <c r="R697" s="18"/>
      <c r="S697" s="18"/>
      <c r="T697" s="18" t="str">
        <f t="shared" si="20"/>
        <v/>
      </c>
      <c r="U697" s="18" t="str">
        <f t="shared" si="21"/>
        <v/>
      </c>
    </row>
    <row r="698" spans="1:21">
      <c r="A698" s="10"/>
      <c r="B698" s="4"/>
      <c r="C698" s="4"/>
      <c r="D698" s="8"/>
      <c r="E698" s="5"/>
      <c r="F698" s="5"/>
      <c r="G698" s="8"/>
      <c r="H698" s="8"/>
      <c r="I698" s="8"/>
      <c r="J698" s="4"/>
      <c r="K698" s="64"/>
      <c r="L698" s="18"/>
      <c r="M698" s="19"/>
      <c r="N698" s="18"/>
      <c r="O698" s="18"/>
      <c r="P698" s="18"/>
      <c r="Q698" s="18"/>
      <c r="R698" s="18"/>
      <c r="S698" s="18"/>
      <c r="T698" s="18" t="str">
        <f t="shared" si="20"/>
        <v/>
      </c>
      <c r="U698" s="18" t="str">
        <f t="shared" si="21"/>
        <v/>
      </c>
    </row>
    <row r="699" spans="1:21">
      <c r="A699" s="10"/>
      <c r="B699" s="4"/>
      <c r="C699" s="4"/>
      <c r="D699" s="8"/>
      <c r="E699" s="5"/>
      <c r="F699" s="5"/>
      <c r="G699" s="8"/>
      <c r="H699" s="8"/>
      <c r="I699" s="8"/>
      <c r="J699" s="4"/>
      <c r="K699" s="64"/>
      <c r="L699" s="18"/>
      <c r="M699" s="19"/>
      <c r="N699" s="18"/>
      <c r="O699" s="18"/>
      <c r="P699" s="18"/>
      <c r="Q699" s="18"/>
      <c r="R699" s="18"/>
      <c r="S699" s="18"/>
      <c r="T699" s="18" t="str">
        <f t="shared" si="20"/>
        <v/>
      </c>
      <c r="U699" s="18" t="str">
        <f t="shared" si="21"/>
        <v/>
      </c>
    </row>
    <row r="700" spans="1:21">
      <c r="A700" s="10"/>
      <c r="B700" s="4"/>
      <c r="C700" s="4"/>
      <c r="D700" s="8"/>
      <c r="E700" s="5"/>
      <c r="F700" s="5"/>
      <c r="G700" s="8"/>
      <c r="H700" s="8"/>
      <c r="I700" s="8"/>
      <c r="J700" s="4"/>
      <c r="K700" s="64"/>
      <c r="L700" s="18"/>
      <c r="M700" s="19"/>
      <c r="N700" s="18"/>
      <c r="O700" s="18"/>
      <c r="P700" s="18"/>
      <c r="Q700" s="18"/>
      <c r="R700" s="18"/>
      <c r="S700" s="18"/>
      <c r="T700" s="18" t="str">
        <f t="shared" si="20"/>
        <v/>
      </c>
      <c r="U700" s="18" t="str">
        <f t="shared" si="21"/>
        <v/>
      </c>
    </row>
    <row r="701" spans="1:21">
      <c r="A701" s="10"/>
      <c r="B701" s="4"/>
      <c r="C701" s="4"/>
      <c r="D701" s="8"/>
      <c r="E701" s="5"/>
      <c r="F701" s="5"/>
      <c r="G701" s="8"/>
      <c r="H701" s="8"/>
      <c r="I701" s="8"/>
      <c r="J701" s="4"/>
      <c r="K701" s="64"/>
      <c r="L701" s="18"/>
      <c r="M701" s="19"/>
      <c r="N701" s="18"/>
      <c r="O701" s="18"/>
      <c r="P701" s="18"/>
      <c r="Q701" s="18"/>
      <c r="R701" s="18"/>
      <c r="S701" s="18"/>
      <c r="T701" s="18" t="str">
        <f t="shared" si="20"/>
        <v/>
      </c>
      <c r="U701" s="18" t="str">
        <f t="shared" si="21"/>
        <v/>
      </c>
    </row>
    <row r="702" spans="1:21">
      <c r="A702" s="10"/>
      <c r="B702" s="4"/>
      <c r="C702" s="4"/>
      <c r="D702" s="8"/>
      <c r="E702" s="5"/>
      <c r="F702" s="5"/>
      <c r="G702" s="8"/>
      <c r="H702" s="8"/>
      <c r="I702" s="8"/>
      <c r="J702" s="4"/>
      <c r="K702" s="64"/>
      <c r="L702" s="18"/>
      <c r="M702" s="19"/>
      <c r="N702" s="18"/>
      <c r="O702" s="18"/>
      <c r="P702" s="18"/>
      <c r="Q702" s="18"/>
      <c r="R702" s="18"/>
      <c r="S702" s="18"/>
      <c r="T702" s="18" t="str">
        <f t="shared" si="20"/>
        <v/>
      </c>
      <c r="U702" s="18" t="str">
        <f t="shared" si="21"/>
        <v/>
      </c>
    </row>
    <row r="703" spans="1:21">
      <c r="A703" s="10"/>
      <c r="B703" s="4"/>
      <c r="C703" s="4"/>
      <c r="D703" s="8"/>
      <c r="E703" s="5"/>
      <c r="F703" s="5"/>
      <c r="G703" s="8"/>
      <c r="H703" s="8"/>
      <c r="I703" s="8"/>
      <c r="J703" s="4"/>
      <c r="K703" s="64"/>
      <c r="L703" s="18"/>
      <c r="M703" s="19"/>
      <c r="N703" s="18"/>
      <c r="O703" s="18"/>
      <c r="P703" s="18"/>
      <c r="Q703" s="18"/>
      <c r="R703" s="18"/>
      <c r="S703" s="18"/>
      <c r="T703" s="18" t="str">
        <f t="shared" si="20"/>
        <v/>
      </c>
      <c r="U703" s="18" t="str">
        <f t="shared" si="21"/>
        <v/>
      </c>
    </row>
    <row r="704" spans="1:21">
      <c r="A704" s="10"/>
      <c r="B704" s="4"/>
      <c r="C704" s="4"/>
      <c r="D704" s="8"/>
      <c r="E704" s="5"/>
      <c r="F704" s="5"/>
      <c r="G704" s="8"/>
      <c r="H704" s="8"/>
      <c r="I704" s="8"/>
      <c r="J704" s="4"/>
      <c r="K704" s="64"/>
      <c r="L704" s="18"/>
      <c r="M704" s="19"/>
      <c r="N704" s="18"/>
      <c r="O704" s="18"/>
      <c r="P704" s="18"/>
      <c r="Q704" s="18"/>
      <c r="R704" s="18"/>
      <c r="S704" s="18"/>
      <c r="T704" s="18" t="str">
        <f t="shared" si="20"/>
        <v/>
      </c>
      <c r="U704" s="18" t="str">
        <f t="shared" si="21"/>
        <v/>
      </c>
    </row>
    <row r="705" spans="1:21">
      <c r="A705" s="10"/>
      <c r="B705" s="4"/>
      <c r="C705" s="4"/>
      <c r="D705" s="8"/>
      <c r="E705" s="5"/>
      <c r="F705" s="5"/>
      <c r="G705" s="8"/>
      <c r="H705" s="8"/>
      <c r="I705" s="8"/>
      <c r="J705" s="4"/>
      <c r="K705" s="64"/>
      <c r="L705" s="18"/>
      <c r="M705" s="19"/>
      <c r="N705" s="18"/>
      <c r="O705" s="18"/>
      <c r="P705" s="18"/>
      <c r="Q705" s="18"/>
      <c r="R705" s="18"/>
      <c r="S705" s="18"/>
      <c r="T705" s="18" t="str">
        <f t="shared" si="20"/>
        <v/>
      </c>
      <c r="U705" s="18" t="str">
        <f t="shared" si="21"/>
        <v/>
      </c>
    </row>
    <row r="706" spans="1:21">
      <c r="A706" s="10"/>
      <c r="B706" s="4"/>
      <c r="C706" s="4"/>
      <c r="D706" s="8"/>
      <c r="E706" s="5"/>
      <c r="F706" s="5"/>
      <c r="G706" s="8"/>
      <c r="H706" s="8"/>
      <c r="I706" s="8"/>
      <c r="J706" s="4"/>
      <c r="K706" s="64"/>
      <c r="L706" s="18"/>
      <c r="M706" s="19"/>
      <c r="N706" s="18"/>
      <c r="O706" s="18"/>
      <c r="P706" s="18"/>
      <c r="Q706" s="18"/>
      <c r="R706" s="18"/>
      <c r="S706" s="18"/>
      <c r="T706" s="18" t="str">
        <f t="shared" si="20"/>
        <v/>
      </c>
      <c r="U706" s="18" t="str">
        <f t="shared" si="21"/>
        <v/>
      </c>
    </row>
    <row r="707" spans="1:21">
      <c r="A707" s="10"/>
      <c r="B707" s="4"/>
      <c r="C707" s="4"/>
      <c r="D707" s="8"/>
      <c r="E707" s="5"/>
      <c r="F707" s="5"/>
      <c r="G707" s="8"/>
      <c r="H707" s="8"/>
      <c r="I707" s="8"/>
      <c r="J707" s="4"/>
      <c r="K707" s="64"/>
      <c r="L707" s="18"/>
      <c r="M707" s="19"/>
      <c r="N707" s="18"/>
      <c r="O707" s="18"/>
      <c r="P707" s="18"/>
      <c r="Q707" s="18"/>
      <c r="R707" s="18"/>
      <c r="S707" s="18"/>
      <c r="T707" s="18" t="str">
        <f t="shared" si="20"/>
        <v/>
      </c>
      <c r="U707" s="18" t="str">
        <f t="shared" si="21"/>
        <v/>
      </c>
    </row>
    <row r="708" spans="1:21">
      <c r="A708" s="10"/>
      <c r="B708" s="4"/>
      <c r="C708" s="4"/>
      <c r="D708" s="8"/>
      <c r="E708" s="5"/>
      <c r="F708" s="5"/>
      <c r="G708" s="8"/>
      <c r="H708" s="8"/>
      <c r="I708" s="8"/>
      <c r="J708" s="4"/>
      <c r="K708" s="64"/>
      <c r="L708" s="18"/>
      <c r="M708" s="19"/>
      <c r="N708" s="18"/>
      <c r="O708" s="18"/>
      <c r="P708" s="18"/>
      <c r="Q708" s="18"/>
      <c r="R708" s="18"/>
      <c r="S708" s="18"/>
      <c r="T708" s="18" t="str">
        <f t="shared" ref="T708:T771" si="22">IF(B708="","",IF(I708="Yes","Voided",IF(COUNTIFS($B$4:$B$803,B708,$C$4:$C$803,C708,$I$4:$I$803,"&lt;&gt;Yes",$K$4:$K$803,"&gt;"&amp;K708)=0,"Current","Historical")))</f>
        <v/>
      </c>
      <c r="U708" s="18" t="str">
        <f t="shared" ref="U708:U771" si="23">IF(T708="Current",B708&amp;"|"&amp;C708,"")</f>
        <v/>
      </c>
    </row>
    <row r="709" spans="1:21">
      <c r="A709" s="10"/>
      <c r="B709" s="4"/>
      <c r="C709" s="4"/>
      <c r="D709" s="8"/>
      <c r="E709" s="5"/>
      <c r="F709" s="5"/>
      <c r="G709" s="8"/>
      <c r="H709" s="8"/>
      <c r="I709" s="8"/>
      <c r="J709" s="4"/>
      <c r="K709" s="64"/>
      <c r="L709" s="18"/>
      <c r="M709" s="19"/>
      <c r="N709" s="18"/>
      <c r="O709" s="18"/>
      <c r="P709" s="18"/>
      <c r="Q709" s="18"/>
      <c r="R709" s="18"/>
      <c r="S709" s="18"/>
      <c r="T709" s="18" t="str">
        <f t="shared" si="22"/>
        <v/>
      </c>
      <c r="U709" s="18" t="str">
        <f t="shared" si="23"/>
        <v/>
      </c>
    </row>
    <row r="710" spans="1:21">
      <c r="A710" s="10"/>
      <c r="B710" s="4"/>
      <c r="C710" s="4"/>
      <c r="D710" s="8"/>
      <c r="E710" s="5"/>
      <c r="F710" s="5"/>
      <c r="G710" s="8"/>
      <c r="H710" s="8"/>
      <c r="I710" s="8"/>
      <c r="J710" s="4"/>
      <c r="K710" s="64"/>
      <c r="L710" s="18"/>
      <c r="M710" s="19"/>
      <c r="N710" s="18"/>
      <c r="O710" s="18"/>
      <c r="P710" s="18"/>
      <c r="Q710" s="18"/>
      <c r="R710" s="18"/>
      <c r="S710" s="18"/>
      <c r="T710" s="18" t="str">
        <f t="shared" si="22"/>
        <v/>
      </c>
      <c r="U710" s="18" t="str">
        <f t="shared" si="23"/>
        <v/>
      </c>
    </row>
    <row r="711" spans="1:21">
      <c r="A711" s="10"/>
      <c r="B711" s="4"/>
      <c r="C711" s="4"/>
      <c r="D711" s="8"/>
      <c r="E711" s="5"/>
      <c r="F711" s="5"/>
      <c r="G711" s="8"/>
      <c r="H711" s="8"/>
      <c r="I711" s="8"/>
      <c r="J711" s="4"/>
      <c r="K711" s="64"/>
      <c r="L711" s="18"/>
      <c r="M711" s="19"/>
      <c r="N711" s="18"/>
      <c r="O711" s="18"/>
      <c r="P711" s="18"/>
      <c r="Q711" s="18"/>
      <c r="R711" s="18"/>
      <c r="S711" s="18"/>
      <c r="T711" s="18" t="str">
        <f t="shared" si="22"/>
        <v/>
      </c>
      <c r="U711" s="18" t="str">
        <f t="shared" si="23"/>
        <v/>
      </c>
    </row>
    <row r="712" spans="1:21">
      <c r="A712" s="10"/>
      <c r="B712" s="4"/>
      <c r="C712" s="4"/>
      <c r="D712" s="8"/>
      <c r="E712" s="5"/>
      <c r="F712" s="5"/>
      <c r="G712" s="8"/>
      <c r="H712" s="8"/>
      <c r="I712" s="8"/>
      <c r="J712" s="4"/>
      <c r="K712" s="64"/>
      <c r="L712" s="18"/>
      <c r="M712" s="19"/>
      <c r="N712" s="18"/>
      <c r="O712" s="18"/>
      <c r="P712" s="18"/>
      <c r="Q712" s="18"/>
      <c r="R712" s="18"/>
      <c r="S712" s="18"/>
      <c r="T712" s="18" t="str">
        <f t="shared" si="22"/>
        <v/>
      </c>
      <c r="U712" s="18" t="str">
        <f t="shared" si="23"/>
        <v/>
      </c>
    </row>
    <row r="713" spans="1:21">
      <c r="A713" s="10"/>
      <c r="B713" s="4"/>
      <c r="C713" s="4"/>
      <c r="D713" s="8"/>
      <c r="E713" s="5"/>
      <c r="F713" s="5"/>
      <c r="G713" s="8"/>
      <c r="H713" s="8"/>
      <c r="I713" s="8"/>
      <c r="J713" s="4"/>
      <c r="K713" s="64"/>
      <c r="L713" s="18"/>
      <c r="M713" s="19"/>
      <c r="N713" s="18"/>
      <c r="O713" s="18"/>
      <c r="P713" s="18"/>
      <c r="Q713" s="18"/>
      <c r="R713" s="18"/>
      <c r="S713" s="18"/>
      <c r="T713" s="18" t="str">
        <f t="shared" si="22"/>
        <v/>
      </c>
      <c r="U713" s="18" t="str">
        <f t="shared" si="23"/>
        <v/>
      </c>
    </row>
    <row r="714" spans="1:21">
      <c r="A714" s="10"/>
      <c r="B714" s="4"/>
      <c r="C714" s="4"/>
      <c r="D714" s="8"/>
      <c r="E714" s="5"/>
      <c r="F714" s="5"/>
      <c r="G714" s="8"/>
      <c r="H714" s="8"/>
      <c r="I714" s="8"/>
      <c r="J714" s="4"/>
      <c r="K714" s="64"/>
      <c r="L714" s="18"/>
      <c r="M714" s="19"/>
      <c r="N714" s="18"/>
      <c r="O714" s="18"/>
      <c r="P714" s="18"/>
      <c r="Q714" s="18"/>
      <c r="R714" s="18"/>
      <c r="S714" s="18"/>
      <c r="T714" s="18" t="str">
        <f t="shared" si="22"/>
        <v/>
      </c>
      <c r="U714" s="18" t="str">
        <f t="shared" si="23"/>
        <v/>
      </c>
    </row>
    <row r="715" spans="1:21">
      <c r="A715" s="10"/>
      <c r="B715" s="4"/>
      <c r="C715" s="4"/>
      <c r="D715" s="8"/>
      <c r="E715" s="5"/>
      <c r="F715" s="5"/>
      <c r="G715" s="8"/>
      <c r="H715" s="8"/>
      <c r="I715" s="8"/>
      <c r="J715" s="4"/>
      <c r="K715" s="64"/>
      <c r="L715" s="18"/>
      <c r="M715" s="19"/>
      <c r="N715" s="18"/>
      <c r="O715" s="18"/>
      <c r="P715" s="18"/>
      <c r="Q715" s="18"/>
      <c r="R715" s="18"/>
      <c r="S715" s="18"/>
      <c r="T715" s="18" t="str">
        <f t="shared" si="22"/>
        <v/>
      </c>
      <c r="U715" s="18" t="str">
        <f t="shared" si="23"/>
        <v/>
      </c>
    </row>
    <row r="716" spans="1:21">
      <c r="A716" s="10"/>
      <c r="B716" s="4"/>
      <c r="C716" s="4"/>
      <c r="D716" s="8"/>
      <c r="E716" s="5"/>
      <c r="F716" s="5"/>
      <c r="G716" s="8"/>
      <c r="H716" s="8"/>
      <c r="I716" s="8"/>
      <c r="J716" s="4"/>
      <c r="K716" s="64"/>
      <c r="L716" s="18"/>
      <c r="M716" s="19"/>
      <c r="N716" s="18"/>
      <c r="O716" s="18"/>
      <c r="P716" s="18"/>
      <c r="Q716" s="18"/>
      <c r="R716" s="18"/>
      <c r="S716" s="18"/>
      <c r="T716" s="18" t="str">
        <f t="shared" si="22"/>
        <v/>
      </c>
      <c r="U716" s="18" t="str">
        <f t="shared" si="23"/>
        <v/>
      </c>
    </row>
    <row r="717" spans="1:21">
      <c r="A717" s="10"/>
      <c r="B717" s="4"/>
      <c r="C717" s="4"/>
      <c r="D717" s="8"/>
      <c r="E717" s="5"/>
      <c r="F717" s="5"/>
      <c r="G717" s="8"/>
      <c r="H717" s="8"/>
      <c r="I717" s="8"/>
      <c r="J717" s="4"/>
      <c r="K717" s="64"/>
      <c r="L717" s="18"/>
      <c r="M717" s="19"/>
      <c r="N717" s="18"/>
      <c r="O717" s="18"/>
      <c r="P717" s="18"/>
      <c r="Q717" s="18"/>
      <c r="R717" s="18"/>
      <c r="S717" s="18"/>
      <c r="T717" s="18" t="str">
        <f t="shared" si="22"/>
        <v/>
      </c>
      <c r="U717" s="18" t="str">
        <f t="shared" si="23"/>
        <v/>
      </c>
    </row>
    <row r="718" spans="1:21">
      <c r="A718" s="10"/>
      <c r="B718" s="4"/>
      <c r="C718" s="4"/>
      <c r="D718" s="8"/>
      <c r="E718" s="5"/>
      <c r="F718" s="5"/>
      <c r="G718" s="8"/>
      <c r="H718" s="8"/>
      <c r="I718" s="8"/>
      <c r="J718" s="4"/>
      <c r="K718" s="64"/>
      <c r="L718" s="18"/>
      <c r="M718" s="19"/>
      <c r="N718" s="18"/>
      <c r="O718" s="18"/>
      <c r="P718" s="18"/>
      <c r="Q718" s="18"/>
      <c r="R718" s="18"/>
      <c r="S718" s="18"/>
      <c r="T718" s="18" t="str">
        <f t="shared" si="22"/>
        <v/>
      </c>
      <c r="U718" s="18" t="str">
        <f t="shared" si="23"/>
        <v/>
      </c>
    </row>
    <row r="719" spans="1:21">
      <c r="A719" s="10"/>
      <c r="B719" s="4"/>
      <c r="C719" s="4"/>
      <c r="D719" s="8"/>
      <c r="E719" s="5"/>
      <c r="F719" s="5"/>
      <c r="G719" s="8"/>
      <c r="H719" s="8"/>
      <c r="I719" s="8"/>
      <c r="J719" s="4"/>
      <c r="K719" s="64"/>
      <c r="L719" s="18"/>
      <c r="M719" s="19"/>
      <c r="N719" s="18"/>
      <c r="O719" s="18"/>
      <c r="P719" s="18"/>
      <c r="Q719" s="18"/>
      <c r="R719" s="18"/>
      <c r="S719" s="18"/>
      <c r="T719" s="18" t="str">
        <f t="shared" si="22"/>
        <v/>
      </c>
      <c r="U719" s="18" t="str">
        <f t="shared" si="23"/>
        <v/>
      </c>
    </row>
    <row r="720" spans="1:21">
      <c r="A720" s="10"/>
      <c r="B720" s="4"/>
      <c r="C720" s="4"/>
      <c r="D720" s="8"/>
      <c r="E720" s="5"/>
      <c r="F720" s="5"/>
      <c r="G720" s="8"/>
      <c r="H720" s="8"/>
      <c r="I720" s="8"/>
      <c r="J720" s="4"/>
      <c r="K720" s="64"/>
      <c r="L720" s="18"/>
      <c r="M720" s="19"/>
      <c r="N720" s="18"/>
      <c r="O720" s="18"/>
      <c r="P720" s="18"/>
      <c r="Q720" s="18"/>
      <c r="R720" s="18"/>
      <c r="S720" s="18"/>
      <c r="T720" s="18" t="str">
        <f t="shared" si="22"/>
        <v/>
      </c>
      <c r="U720" s="18" t="str">
        <f t="shared" si="23"/>
        <v/>
      </c>
    </row>
    <row r="721" spans="1:21">
      <c r="A721" s="10"/>
      <c r="B721" s="4"/>
      <c r="C721" s="4"/>
      <c r="D721" s="8"/>
      <c r="E721" s="5"/>
      <c r="F721" s="5"/>
      <c r="G721" s="8"/>
      <c r="H721" s="8"/>
      <c r="I721" s="8"/>
      <c r="J721" s="4"/>
      <c r="K721" s="64"/>
      <c r="L721" s="18"/>
      <c r="M721" s="19"/>
      <c r="N721" s="18"/>
      <c r="O721" s="18"/>
      <c r="P721" s="18"/>
      <c r="Q721" s="18"/>
      <c r="R721" s="18"/>
      <c r="S721" s="18"/>
      <c r="T721" s="18" t="str">
        <f t="shared" si="22"/>
        <v/>
      </c>
      <c r="U721" s="18" t="str">
        <f t="shared" si="23"/>
        <v/>
      </c>
    </row>
    <row r="722" spans="1:21">
      <c r="A722" s="10"/>
      <c r="B722" s="4"/>
      <c r="C722" s="4"/>
      <c r="D722" s="8"/>
      <c r="E722" s="5"/>
      <c r="F722" s="5"/>
      <c r="G722" s="8"/>
      <c r="H722" s="8"/>
      <c r="I722" s="8"/>
      <c r="J722" s="4"/>
      <c r="K722" s="64"/>
      <c r="L722" s="18"/>
      <c r="M722" s="19"/>
      <c r="N722" s="18"/>
      <c r="O722" s="18"/>
      <c r="P722" s="18"/>
      <c r="Q722" s="18"/>
      <c r="R722" s="18"/>
      <c r="S722" s="18"/>
      <c r="T722" s="18" t="str">
        <f t="shared" si="22"/>
        <v/>
      </c>
      <c r="U722" s="18" t="str">
        <f t="shared" si="23"/>
        <v/>
      </c>
    </row>
    <row r="723" spans="1:21">
      <c r="A723" s="10"/>
      <c r="B723" s="4"/>
      <c r="C723" s="4"/>
      <c r="D723" s="8"/>
      <c r="E723" s="5"/>
      <c r="F723" s="5"/>
      <c r="G723" s="8"/>
      <c r="H723" s="8"/>
      <c r="I723" s="8"/>
      <c r="J723" s="4"/>
      <c r="K723" s="64"/>
      <c r="L723" s="18"/>
      <c r="M723" s="19"/>
      <c r="N723" s="18"/>
      <c r="O723" s="18"/>
      <c r="P723" s="18"/>
      <c r="Q723" s="18"/>
      <c r="R723" s="18"/>
      <c r="S723" s="18"/>
      <c r="T723" s="18" t="str">
        <f t="shared" si="22"/>
        <v/>
      </c>
      <c r="U723" s="18" t="str">
        <f t="shared" si="23"/>
        <v/>
      </c>
    </row>
    <row r="724" spans="1:21">
      <c r="A724" s="10"/>
      <c r="B724" s="4"/>
      <c r="C724" s="4"/>
      <c r="D724" s="8"/>
      <c r="E724" s="5"/>
      <c r="F724" s="5"/>
      <c r="G724" s="8"/>
      <c r="H724" s="8"/>
      <c r="I724" s="8"/>
      <c r="J724" s="4"/>
      <c r="K724" s="64"/>
      <c r="L724" s="18"/>
      <c r="M724" s="19"/>
      <c r="N724" s="18"/>
      <c r="O724" s="18"/>
      <c r="P724" s="18"/>
      <c r="Q724" s="18"/>
      <c r="R724" s="18"/>
      <c r="S724" s="18"/>
      <c r="T724" s="18" t="str">
        <f t="shared" si="22"/>
        <v/>
      </c>
      <c r="U724" s="18" t="str">
        <f t="shared" si="23"/>
        <v/>
      </c>
    </row>
    <row r="725" spans="1:21">
      <c r="A725" s="10"/>
      <c r="B725" s="4"/>
      <c r="C725" s="4"/>
      <c r="D725" s="8"/>
      <c r="E725" s="5"/>
      <c r="F725" s="5"/>
      <c r="G725" s="8"/>
      <c r="H725" s="8"/>
      <c r="I725" s="8"/>
      <c r="J725" s="4"/>
      <c r="K725" s="64"/>
      <c r="L725" s="18"/>
      <c r="M725" s="19"/>
      <c r="N725" s="18"/>
      <c r="O725" s="18"/>
      <c r="P725" s="18"/>
      <c r="Q725" s="18"/>
      <c r="R725" s="18"/>
      <c r="S725" s="18"/>
      <c r="T725" s="18" t="str">
        <f t="shared" si="22"/>
        <v/>
      </c>
      <c r="U725" s="18" t="str">
        <f t="shared" si="23"/>
        <v/>
      </c>
    </row>
    <row r="726" spans="1:21">
      <c r="A726" s="10"/>
      <c r="B726" s="4"/>
      <c r="C726" s="4"/>
      <c r="D726" s="8"/>
      <c r="E726" s="5"/>
      <c r="F726" s="5"/>
      <c r="G726" s="8"/>
      <c r="H726" s="8"/>
      <c r="I726" s="8"/>
      <c r="J726" s="4"/>
      <c r="K726" s="64"/>
      <c r="L726" s="18"/>
      <c r="M726" s="19"/>
      <c r="N726" s="18"/>
      <c r="O726" s="18"/>
      <c r="P726" s="18"/>
      <c r="Q726" s="18"/>
      <c r="R726" s="18"/>
      <c r="S726" s="18"/>
      <c r="T726" s="18" t="str">
        <f t="shared" si="22"/>
        <v/>
      </c>
      <c r="U726" s="18" t="str">
        <f t="shared" si="23"/>
        <v/>
      </c>
    </row>
    <row r="727" spans="1:21">
      <c r="A727" s="10"/>
      <c r="B727" s="4"/>
      <c r="C727" s="4"/>
      <c r="D727" s="8"/>
      <c r="E727" s="5"/>
      <c r="F727" s="5"/>
      <c r="G727" s="8"/>
      <c r="H727" s="8"/>
      <c r="I727" s="8"/>
      <c r="J727" s="4"/>
      <c r="K727" s="64"/>
      <c r="L727" s="18"/>
      <c r="M727" s="19"/>
      <c r="N727" s="18"/>
      <c r="O727" s="18"/>
      <c r="P727" s="18"/>
      <c r="Q727" s="18"/>
      <c r="R727" s="18"/>
      <c r="S727" s="18"/>
      <c r="T727" s="18" t="str">
        <f t="shared" si="22"/>
        <v/>
      </c>
      <c r="U727" s="18" t="str">
        <f t="shared" si="23"/>
        <v/>
      </c>
    </row>
    <row r="728" spans="1:21">
      <c r="A728" s="10"/>
      <c r="B728" s="4"/>
      <c r="C728" s="4"/>
      <c r="D728" s="8"/>
      <c r="E728" s="5"/>
      <c r="F728" s="5"/>
      <c r="G728" s="8"/>
      <c r="H728" s="8"/>
      <c r="I728" s="8"/>
      <c r="J728" s="4"/>
      <c r="K728" s="64"/>
      <c r="L728" s="18"/>
      <c r="M728" s="19"/>
      <c r="N728" s="18"/>
      <c r="O728" s="18"/>
      <c r="P728" s="18"/>
      <c r="Q728" s="18"/>
      <c r="R728" s="18"/>
      <c r="S728" s="18"/>
      <c r="T728" s="18" t="str">
        <f t="shared" si="22"/>
        <v/>
      </c>
      <c r="U728" s="18" t="str">
        <f t="shared" si="23"/>
        <v/>
      </c>
    </row>
    <row r="729" spans="1:21">
      <c r="A729" s="10"/>
      <c r="B729" s="4"/>
      <c r="C729" s="4"/>
      <c r="D729" s="8"/>
      <c r="E729" s="5"/>
      <c r="F729" s="5"/>
      <c r="G729" s="8"/>
      <c r="H729" s="8"/>
      <c r="I729" s="8"/>
      <c r="J729" s="4"/>
      <c r="K729" s="64"/>
      <c r="L729" s="18"/>
      <c r="M729" s="19"/>
      <c r="N729" s="18"/>
      <c r="O729" s="18"/>
      <c r="P729" s="18"/>
      <c r="Q729" s="18"/>
      <c r="R729" s="18"/>
      <c r="S729" s="18"/>
      <c r="T729" s="18" t="str">
        <f t="shared" si="22"/>
        <v/>
      </c>
      <c r="U729" s="18" t="str">
        <f t="shared" si="23"/>
        <v/>
      </c>
    </row>
    <row r="730" spans="1:21">
      <c r="A730" s="10"/>
      <c r="B730" s="4"/>
      <c r="C730" s="4"/>
      <c r="D730" s="8"/>
      <c r="E730" s="5"/>
      <c r="F730" s="5"/>
      <c r="G730" s="8"/>
      <c r="H730" s="8"/>
      <c r="I730" s="8"/>
      <c r="J730" s="4"/>
      <c r="K730" s="64"/>
      <c r="L730" s="18"/>
      <c r="M730" s="19"/>
      <c r="N730" s="18"/>
      <c r="O730" s="18"/>
      <c r="P730" s="18"/>
      <c r="Q730" s="18"/>
      <c r="R730" s="18"/>
      <c r="S730" s="18"/>
      <c r="T730" s="18" t="str">
        <f t="shared" si="22"/>
        <v/>
      </c>
      <c r="U730" s="18" t="str">
        <f t="shared" si="23"/>
        <v/>
      </c>
    </row>
    <row r="731" spans="1:21">
      <c r="A731" s="10"/>
      <c r="B731" s="4"/>
      <c r="C731" s="4"/>
      <c r="D731" s="8"/>
      <c r="E731" s="5"/>
      <c r="F731" s="5"/>
      <c r="G731" s="8"/>
      <c r="H731" s="8"/>
      <c r="I731" s="8"/>
      <c r="J731" s="4"/>
      <c r="K731" s="64"/>
      <c r="L731" s="18"/>
      <c r="M731" s="19"/>
      <c r="N731" s="18"/>
      <c r="O731" s="18"/>
      <c r="P731" s="18"/>
      <c r="Q731" s="18"/>
      <c r="R731" s="18"/>
      <c r="S731" s="18"/>
      <c r="T731" s="18" t="str">
        <f t="shared" si="22"/>
        <v/>
      </c>
      <c r="U731" s="18" t="str">
        <f t="shared" si="23"/>
        <v/>
      </c>
    </row>
    <row r="732" spans="1:21">
      <c r="A732" s="10"/>
      <c r="B732" s="4"/>
      <c r="C732" s="4"/>
      <c r="D732" s="8"/>
      <c r="E732" s="5"/>
      <c r="F732" s="5"/>
      <c r="G732" s="8"/>
      <c r="H732" s="8"/>
      <c r="I732" s="8"/>
      <c r="J732" s="4"/>
      <c r="K732" s="64"/>
      <c r="L732" s="18"/>
      <c r="M732" s="19"/>
      <c r="N732" s="18"/>
      <c r="O732" s="18"/>
      <c r="P732" s="18"/>
      <c r="Q732" s="18"/>
      <c r="R732" s="18"/>
      <c r="S732" s="18"/>
      <c r="T732" s="18" t="str">
        <f t="shared" si="22"/>
        <v/>
      </c>
      <c r="U732" s="18" t="str">
        <f t="shared" si="23"/>
        <v/>
      </c>
    </row>
    <row r="733" spans="1:21">
      <c r="A733" s="10"/>
      <c r="B733" s="4"/>
      <c r="C733" s="4"/>
      <c r="D733" s="8"/>
      <c r="E733" s="5"/>
      <c r="F733" s="5"/>
      <c r="G733" s="8"/>
      <c r="H733" s="8"/>
      <c r="I733" s="8"/>
      <c r="J733" s="4"/>
      <c r="K733" s="64"/>
      <c r="L733" s="18"/>
      <c r="M733" s="19"/>
      <c r="N733" s="18"/>
      <c r="O733" s="18"/>
      <c r="P733" s="18"/>
      <c r="Q733" s="18"/>
      <c r="R733" s="18"/>
      <c r="S733" s="18"/>
      <c r="T733" s="18" t="str">
        <f t="shared" si="22"/>
        <v/>
      </c>
      <c r="U733" s="18" t="str">
        <f t="shared" si="23"/>
        <v/>
      </c>
    </row>
    <row r="734" spans="1:21">
      <c r="A734" s="10"/>
      <c r="B734" s="4"/>
      <c r="C734" s="4"/>
      <c r="D734" s="8"/>
      <c r="E734" s="5"/>
      <c r="F734" s="5"/>
      <c r="G734" s="8"/>
      <c r="H734" s="8"/>
      <c r="I734" s="8"/>
      <c r="J734" s="4"/>
      <c r="K734" s="64"/>
      <c r="L734" s="18"/>
      <c r="M734" s="19"/>
      <c r="N734" s="18"/>
      <c r="O734" s="18"/>
      <c r="P734" s="18"/>
      <c r="Q734" s="18"/>
      <c r="R734" s="18"/>
      <c r="S734" s="18"/>
      <c r="T734" s="18" t="str">
        <f t="shared" si="22"/>
        <v/>
      </c>
      <c r="U734" s="18" t="str">
        <f t="shared" si="23"/>
        <v/>
      </c>
    </row>
    <row r="735" spans="1:21">
      <c r="A735" s="10"/>
      <c r="B735" s="4"/>
      <c r="C735" s="4"/>
      <c r="D735" s="8"/>
      <c r="E735" s="5"/>
      <c r="F735" s="5"/>
      <c r="G735" s="8"/>
      <c r="H735" s="8"/>
      <c r="I735" s="8"/>
      <c r="J735" s="4"/>
      <c r="K735" s="64"/>
      <c r="L735" s="18"/>
      <c r="M735" s="19"/>
      <c r="N735" s="18"/>
      <c r="O735" s="18"/>
      <c r="P735" s="18"/>
      <c r="Q735" s="18"/>
      <c r="R735" s="18"/>
      <c r="S735" s="18"/>
      <c r="T735" s="18" t="str">
        <f t="shared" si="22"/>
        <v/>
      </c>
      <c r="U735" s="18" t="str">
        <f t="shared" si="23"/>
        <v/>
      </c>
    </row>
    <row r="736" spans="1:21">
      <c r="A736" s="10"/>
      <c r="B736" s="4"/>
      <c r="C736" s="4"/>
      <c r="D736" s="8"/>
      <c r="E736" s="5"/>
      <c r="F736" s="5"/>
      <c r="G736" s="8"/>
      <c r="H736" s="8"/>
      <c r="I736" s="8"/>
      <c r="J736" s="4"/>
      <c r="K736" s="64"/>
      <c r="L736" s="18"/>
      <c r="M736" s="19"/>
      <c r="N736" s="18"/>
      <c r="O736" s="18"/>
      <c r="P736" s="18"/>
      <c r="Q736" s="18"/>
      <c r="R736" s="18"/>
      <c r="S736" s="18"/>
      <c r="T736" s="18" t="str">
        <f t="shared" si="22"/>
        <v/>
      </c>
      <c r="U736" s="18" t="str">
        <f t="shared" si="23"/>
        <v/>
      </c>
    </row>
    <row r="737" spans="1:21">
      <c r="A737" s="10"/>
      <c r="B737" s="4"/>
      <c r="C737" s="4"/>
      <c r="D737" s="8"/>
      <c r="E737" s="5"/>
      <c r="F737" s="5"/>
      <c r="G737" s="8"/>
      <c r="H737" s="8"/>
      <c r="I737" s="8"/>
      <c r="J737" s="4"/>
      <c r="K737" s="64"/>
      <c r="L737" s="18"/>
      <c r="M737" s="19"/>
      <c r="N737" s="18"/>
      <c r="O737" s="18"/>
      <c r="P737" s="18"/>
      <c r="Q737" s="18"/>
      <c r="R737" s="18"/>
      <c r="S737" s="18"/>
      <c r="T737" s="18" t="str">
        <f t="shared" si="22"/>
        <v/>
      </c>
      <c r="U737" s="18" t="str">
        <f t="shared" si="23"/>
        <v/>
      </c>
    </row>
    <row r="738" spans="1:21">
      <c r="A738" s="10"/>
      <c r="B738" s="4"/>
      <c r="C738" s="4"/>
      <c r="D738" s="8"/>
      <c r="E738" s="5"/>
      <c r="F738" s="5"/>
      <c r="G738" s="8"/>
      <c r="H738" s="8"/>
      <c r="I738" s="8"/>
      <c r="J738" s="4"/>
      <c r="K738" s="64"/>
      <c r="L738" s="18"/>
      <c r="M738" s="19"/>
      <c r="N738" s="18"/>
      <c r="O738" s="18"/>
      <c r="P738" s="18"/>
      <c r="Q738" s="18"/>
      <c r="R738" s="18"/>
      <c r="S738" s="18"/>
      <c r="T738" s="18" t="str">
        <f t="shared" si="22"/>
        <v/>
      </c>
      <c r="U738" s="18" t="str">
        <f t="shared" si="23"/>
        <v/>
      </c>
    </row>
    <row r="739" spans="1:21">
      <c r="A739" s="10"/>
      <c r="B739" s="4"/>
      <c r="C739" s="4"/>
      <c r="D739" s="8"/>
      <c r="E739" s="5"/>
      <c r="F739" s="5"/>
      <c r="G739" s="8"/>
      <c r="H739" s="8"/>
      <c r="I739" s="8"/>
      <c r="J739" s="4"/>
      <c r="K739" s="64"/>
      <c r="L739" s="18"/>
      <c r="M739" s="19"/>
      <c r="N739" s="18"/>
      <c r="O739" s="18"/>
      <c r="P739" s="18"/>
      <c r="Q739" s="18"/>
      <c r="R739" s="18"/>
      <c r="S739" s="18"/>
      <c r="T739" s="18" t="str">
        <f t="shared" si="22"/>
        <v/>
      </c>
      <c r="U739" s="18" t="str">
        <f t="shared" si="23"/>
        <v/>
      </c>
    </row>
    <row r="740" spans="1:21">
      <c r="A740" s="10"/>
      <c r="B740" s="4"/>
      <c r="C740" s="4"/>
      <c r="D740" s="8"/>
      <c r="E740" s="5"/>
      <c r="F740" s="5"/>
      <c r="G740" s="8"/>
      <c r="H740" s="8"/>
      <c r="I740" s="8"/>
      <c r="J740" s="4"/>
      <c r="K740" s="64"/>
      <c r="L740" s="18"/>
      <c r="M740" s="19"/>
      <c r="N740" s="18"/>
      <c r="O740" s="18"/>
      <c r="P740" s="18"/>
      <c r="Q740" s="18"/>
      <c r="R740" s="18"/>
      <c r="S740" s="18"/>
      <c r="T740" s="18" t="str">
        <f t="shared" si="22"/>
        <v/>
      </c>
      <c r="U740" s="18" t="str">
        <f t="shared" si="23"/>
        <v/>
      </c>
    </row>
    <row r="741" spans="1:21">
      <c r="A741" s="10"/>
      <c r="B741" s="4"/>
      <c r="C741" s="4"/>
      <c r="D741" s="8"/>
      <c r="E741" s="5"/>
      <c r="F741" s="5"/>
      <c r="G741" s="8"/>
      <c r="H741" s="8"/>
      <c r="I741" s="8"/>
      <c r="J741" s="4"/>
      <c r="K741" s="64"/>
      <c r="L741" s="18"/>
      <c r="M741" s="19"/>
      <c r="N741" s="18"/>
      <c r="O741" s="18"/>
      <c r="P741" s="18"/>
      <c r="Q741" s="18"/>
      <c r="R741" s="18"/>
      <c r="S741" s="18"/>
      <c r="T741" s="18" t="str">
        <f t="shared" si="22"/>
        <v/>
      </c>
      <c r="U741" s="18" t="str">
        <f t="shared" si="23"/>
        <v/>
      </c>
    </row>
    <row r="742" spans="1:21">
      <c r="A742" s="10"/>
      <c r="B742" s="4"/>
      <c r="C742" s="4"/>
      <c r="D742" s="8"/>
      <c r="E742" s="5"/>
      <c r="F742" s="5"/>
      <c r="G742" s="8"/>
      <c r="H742" s="8"/>
      <c r="I742" s="8"/>
      <c r="J742" s="4"/>
      <c r="K742" s="64"/>
      <c r="L742" s="18"/>
      <c r="M742" s="19"/>
      <c r="N742" s="18"/>
      <c r="O742" s="18"/>
      <c r="P742" s="18"/>
      <c r="Q742" s="18"/>
      <c r="R742" s="18"/>
      <c r="S742" s="18"/>
      <c r="T742" s="18" t="str">
        <f t="shared" si="22"/>
        <v/>
      </c>
      <c r="U742" s="18" t="str">
        <f t="shared" si="23"/>
        <v/>
      </c>
    </row>
    <row r="743" spans="1:21">
      <c r="A743" s="10"/>
      <c r="B743" s="4"/>
      <c r="C743" s="4"/>
      <c r="D743" s="8"/>
      <c r="E743" s="5"/>
      <c r="F743" s="5"/>
      <c r="G743" s="8"/>
      <c r="H743" s="8"/>
      <c r="I743" s="8"/>
      <c r="J743" s="4"/>
      <c r="K743" s="64"/>
      <c r="L743" s="18"/>
      <c r="M743" s="19"/>
      <c r="N743" s="18"/>
      <c r="O743" s="18"/>
      <c r="P743" s="18"/>
      <c r="Q743" s="18"/>
      <c r="R743" s="18"/>
      <c r="S743" s="18"/>
      <c r="T743" s="18" t="str">
        <f t="shared" si="22"/>
        <v/>
      </c>
      <c r="U743" s="18" t="str">
        <f t="shared" si="23"/>
        <v/>
      </c>
    </row>
    <row r="744" spans="1:21">
      <c r="A744" s="10"/>
      <c r="B744" s="4"/>
      <c r="C744" s="4"/>
      <c r="D744" s="8"/>
      <c r="E744" s="5"/>
      <c r="F744" s="5"/>
      <c r="G744" s="8"/>
      <c r="H744" s="8"/>
      <c r="I744" s="8"/>
      <c r="J744" s="4"/>
      <c r="K744" s="64"/>
      <c r="L744" s="18"/>
      <c r="M744" s="19"/>
      <c r="N744" s="18"/>
      <c r="O744" s="18"/>
      <c r="P744" s="18"/>
      <c r="Q744" s="18"/>
      <c r="R744" s="18"/>
      <c r="S744" s="18"/>
      <c r="T744" s="18" t="str">
        <f t="shared" si="22"/>
        <v/>
      </c>
      <c r="U744" s="18" t="str">
        <f t="shared" si="23"/>
        <v/>
      </c>
    </row>
    <row r="745" spans="1:21">
      <c r="A745" s="10"/>
      <c r="B745" s="4"/>
      <c r="C745" s="4"/>
      <c r="D745" s="8"/>
      <c r="E745" s="5"/>
      <c r="F745" s="5"/>
      <c r="G745" s="8"/>
      <c r="H745" s="8"/>
      <c r="I745" s="8"/>
      <c r="J745" s="4"/>
      <c r="K745" s="64"/>
      <c r="L745" s="18"/>
      <c r="M745" s="19"/>
      <c r="N745" s="18"/>
      <c r="O745" s="18"/>
      <c r="P745" s="18"/>
      <c r="Q745" s="18"/>
      <c r="R745" s="18"/>
      <c r="S745" s="18"/>
      <c r="T745" s="18" t="str">
        <f t="shared" si="22"/>
        <v/>
      </c>
      <c r="U745" s="18" t="str">
        <f t="shared" si="23"/>
        <v/>
      </c>
    </row>
    <row r="746" spans="1:21">
      <c r="A746" s="10"/>
      <c r="B746" s="4"/>
      <c r="C746" s="4"/>
      <c r="D746" s="8"/>
      <c r="E746" s="5"/>
      <c r="F746" s="5"/>
      <c r="G746" s="8"/>
      <c r="H746" s="8"/>
      <c r="I746" s="8"/>
      <c r="J746" s="4"/>
      <c r="K746" s="64"/>
      <c r="L746" s="18"/>
      <c r="M746" s="19"/>
      <c r="N746" s="18"/>
      <c r="O746" s="18"/>
      <c r="P746" s="18"/>
      <c r="Q746" s="18"/>
      <c r="R746" s="18"/>
      <c r="S746" s="18"/>
      <c r="T746" s="18" t="str">
        <f t="shared" si="22"/>
        <v/>
      </c>
      <c r="U746" s="18" t="str">
        <f t="shared" si="23"/>
        <v/>
      </c>
    </row>
    <row r="747" spans="1:21">
      <c r="A747" s="10"/>
      <c r="B747" s="4"/>
      <c r="C747" s="4"/>
      <c r="D747" s="8"/>
      <c r="E747" s="5"/>
      <c r="F747" s="5"/>
      <c r="G747" s="8"/>
      <c r="H747" s="8"/>
      <c r="I747" s="8"/>
      <c r="J747" s="4"/>
      <c r="K747" s="64"/>
      <c r="L747" s="18"/>
      <c r="M747" s="19"/>
      <c r="N747" s="18"/>
      <c r="O747" s="18"/>
      <c r="P747" s="18"/>
      <c r="Q747" s="18"/>
      <c r="R747" s="18"/>
      <c r="S747" s="18"/>
      <c r="T747" s="18" t="str">
        <f t="shared" si="22"/>
        <v/>
      </c>
      <c r="U747" s="18" t="str">
        <f t="shared" si="23"/>
        <v/>
      </c>
    </row>
    <row r="748" spans="1:21">
      <c r="A748" s="10"/>
      <c r="B748" s="4"/>
      <c r="C748" s="4"/>
      <c r="D748" s="8"/>
      <c r="E748" s="5"/>
      <c r="F748" s="5"/>
      <c r="G748" s="8"/>
      <c r="H748" s="8"/>
      <c r="I748" s="8"/>
      <c r="J748" s="4"/>
      <c r="K748" s="64"/>
      <c r="L748" s="18"/>
      <c r="M748" s="19"/>
      <c r="N748" s="18"/>
      <c r="O748" s="18"/>
      <c r="P748" s="18"/>
      <c r="Q748" s="18"/>
      <c r="R748" s="18"/>
      <c r="S748" s="18"/>
      <c r="T748" s="18" t="str">
        <f t="shared" si="22"/>
        <v/>
      </c>
      <c r="U748" s="18" t="str">
        <f t="shared" si="23"/>
        <v/>
      </c>
    </row>
    <row r="749" spans="1:21">
      <c r="A749" s="10"/>
      <c r="B749" s="4"/>
      <c r="C749" s="4"/>
      <c r="D749" s="8"/>
      <c r="E749" s="5"/>
      <c r="F749" s="5"/>
      <c r="G749" s="8"/>
      <c r="H749" s="8"/>
      <c r="I749" s="8"/>
      <c r="J749" s="4"/>
      <c r="K749" s="64"/>
      <c r="L749" s="18"/>
      <c r="M749" s="19"/>
      <c r="N749" s="18"/>
      <c r="O749" s="18"/>
      <c r="P749" s="18"/>
      <c r="Q749" s="18"/>
      <c r="R749" s="18"/>
      <c r="S749" s="18"/>
      <c r="T749" s="18" t="str">
        <f t="shared" si="22"/>
        <v/>
      </c>
      <c r="U749" s="18" t="str">
        <f t="shared" si="23"/>
        <v/>
      </c>
    </row>
    <row r="750" spans="1:21">
      <c r="A750" s="10"/>
      <c r="B750" s="4"/>
      <c r="C750" s="4"/>
      <c r="D750" s="8"/>
      <c r="E750" s="5"/>
      <c r="F750" s="5"/>
      <c r="G750" s="8"/>
      <c r="H750" s="8"/>
      <c r="I750" s="8"/>
      <c r="J750" s="4"/>
      <c r="K750" s="64"/>
      <c r="L750" s="18"/>
      <c r="M750" s="19"/>
      <c r="N750" s="18"/>
      <c r="O750" s="18"/>
      <c r="P750" s="18"/>
      <c r="Q750" s="18"/>
      <c r="R750" s="18"/>
      <c r="S750" s="18"/>
      <c r="T750" s="18" t="str">
        <f t="shared" si="22"/>
        <v/>
      </c>
      <c r="U750" s="18" t="str">
        <f t="shared" si="23"/>
        <v/>
      </c>
    </row>
    <row r="751" spans="1:21">
      <c r="A751" s="10"/>
      <c r="B751" s="4"/>
      <c r="C751" s="4"/>
      <c r="D751" s="8"/>
      <c r="E751" s="5"/>
      <c r="F751" s="5"/>
      <c r="G751" s="8"/>
      <c r="H751" s="8"/>
      <c r="I751" s="8"/>
      <c r="J751" s="4"/>
      <c r="K751" s="64"/>
      <c r="L751" s="18"/>
      <c r="M751" s="19"/>
      <c r="N751" s="18"/>
      <c r="O751" s="18"/>
      <c r="P751" s="18"/>
      <c r="Q751" s="18"/>
      <c r="R751" s="18"/>
      <c r="S751" s="18"/>
      <c r="T751" s="18" t="str">
        <f t="shared" si="22"/>
        <v/>
      </c>
      <c r="U751" s="18" t="str">
        <f t="shared" si="23"/>
        <v/>
      </c>
    </row>
    <row r="752" spans="1:21">
      <c r="A752" s="10"/>
      <c r="B752" s="4"/>
      <c r="C752" s="4"/>
      <c r="D752" s="8"/>
      <c r="E752" s="5"/>
      <c r="F752" s="5"/>
      <c r="G752" s="8"/>
      <c r="H752" s="8"/>
      <c r="I752" s="8"/>
      <c r="J752" s="4"/>
      <c r="K752" s="64"/>
      <c r="L752" s="18"/>
      <c r="M752" s="19"/>
      <c r="N752" s="18"/>
      <c r="O752" s="18"/>
      <c r="P752" s="18"/>
      <c r="Q752" s="18"/>
      <c r="R752" s="18"/>
      <c r="S752" s="18"/>
      <c r="T752" s="18" t="str">
        <f t="shared" si="22"/>
        <v/>
      </c>
      <c r="U752" s="18" t="str">
        <f t="shared" si="23"/>
        <v/>
      </c>
    </row>
    <row r="753" spans="1:21">
      <c r="A753" s="10"/>
      <c r="B753" s="4"/>
      <c r="C753" s="4"/>
      <c r="D753" s="8"/>
      <c r="E753" s="5"/>
      <c r="F753" s="5"/>
      <c r="G753" s="8"/>
      <c r="H753" s="8"/>
      <c r="I753" s="8"/>
      <c r="J753" s="4"/>
      <c r="K753" s="64"/>
      <c r="L753" s="18"/>
      <c r="M753" s="19"/>
      <c r="N753" s="18"/>
      <c r="O753" s="18"/>
      <c r="P753" s="18"/>
      <c r="Q753" s="18"/>
      <c r="R753" s="18"/>
      <c r="S753" s="18"/>
      <c r="T753" s="18" t="str">
        <f t="shared" si="22"/>
        <v/>
      </c>
      <c r="U753" s="18" t="str">
        <f t="shared" si="23"/>
        <v/>
      </c>
    </row>
    <row r="754" spans="1:21">
      <c r="A754" s="10"/>
      <c r="B754" s="4"/>
      <c r="C754" s="4"/>
      <c r="D754" s="8"/>
      <c r="E754" s="5"/>
      <c r="F754" s="5"/>
      <c r="G754" s="8"/>
      <c r="H754" s="8"/>
      <c r="I754" s="8"/>
      <c r="J754" s="4"/>
      <c r="K754" s="64"/>
      <c r="L754" s="18"/>
      <c r="M754" s="19"/>
      <c r="N754" s="18"/>
      <c r="O754" s="18"/>
      <c r="P754" s="18"/>
      <c r="Q754" s="18"/>
      <c r="R754" s="18"/>
      <c r="S754" s="18"/>
      <c r="T754" s="18" t="str">
        <f t="shared" si="22"/>
        <v/>
      </c>
      <c r="U754" s="18" t="str">
        <f t="shared" si="23"/>
        <v/>
      </c>
    </row>
    <row r="755" spans="1:21">
      <c r="A755" s="10"/>
      <c r="B755" s="4"/>
      <c r="C755" s="4"/>
      <c r="D755" s="8"/>
      <c r="E755" s="5"/>
      <c r="F755" s="5"/>
      <c r="G755" s="8"/>
      <c r="H755" s="8"/>
      <c r="I755" s="8"/>
      <c r="J755" s="4"/>
      <c r="K755" s="64"/>
      <c r="L755" s="18"/>
      <c r="M755" s="19"/>
      <c r="N755" s="18"/>
      <c r="O755" s="18"/>
      <c r="P755" s="18"/>
      <c r="Q755" s="18"/>
      <c r="R755" s="18"/>
      <c r="S755" s="18"/>
      <c r="T755" s="18" t="str">
        <f t="shared" si="22"/>
        <v/>
      </c>
      <c r="U755" s="18" t="str">
        <f t="shared" si="23"/>
        <v/>
      </c>
    </row>
    <row r="756" spans="1:21">
      <c r="A756" s="10"/>
      <c r="B756" s="4"/>
      <c r="C756" s="4"/>
      <c r="D756" s="8"/>
      <c r="E756" s="5"/>
      <c r="F756" s="5"/>
      <c r="G756" s="8"/>
      <c r="H756" s="8"/>
      <c r="I756" s="8"/>
      <c r="J756" s="4"/>
      <c r="K756" s="64"/>
      <c r="L756" s="18"/>
      <c r="M756" s="19"/>
      <c r="N756" s="18"/>
      <c r="O756" s="18"/>
      <c r="P756" s="18"/>
      <c r="Q756" s="18"/>
      <c r="R756" s="18"/>
      <c r="S756" s="18"/>
      <c r="T756" s="18" t="str">
        <f t="shared" si="22"/>
        <v/>
      </c>
      <c r="U756" s="18" t="str">
        <f t="shared" si="23"/>
        <v/>
      </c>
    </row>
    <row r="757" spans="1:21">
      <c r="A757" s="10"/>
      <c r="B757" s="4"/>
      <c r="C757" s="4"/>
      <c r="D757" s="8"/>
      <c r="E757" s="5"/>
      <c r="F757" s="5"/>
      <c r="G757" s="8"/>
      <c r="H757" s="8"/>
      <c r="I757" s="8"/>
      <c r="J757" s="4"/>
      <c r="K757" s="64"/>
      <c r="L757" s="18"/>
      <c r="M757" s="19"/>
      <c r="N757" s="18"/>
      <c r="O757" s="18"/>
      <c r="P757" s="18"/>
      <c r="Q757" s="18"/>
      <c r="R757" s="18"/>
      <c r="S757" s="18"/>
      <c r="T757" s="18" t="str">
        <f t="shared" si="22"/>
        <v/>
      </c>
      <c r="U757" s="18" t="str">
        <f t="shared" si="23"/>
        <v/>
      </c>
    </row>
    <row r="758" spans="1:21">
      <c r="A758" s="10"/>
      <c r="B758" s="4"/>
      <c r="C758" s="4"/>
      <c r="D758" s="8"/>
      <c r="E758" s="5"/>
      <c r="F758" s="5"/>
      <c r="G758" s="8"/>
      <c r="H758" s="8"/>
      <c r="I758" s="8"/>
      <c r="J758" s="4"/>
      <c r="K758" s="64"/>
      <c r="L758" s="18"/>
      <c r="M758" s="19"/>
      <c r="N758" s="18"/>
      <c r="O758" s="18"/>
      <c r="P758" s="18"/>
      <c r="Q758" s="18"/>
      <c r="R758" s="18"/>
      <c r="S758" s="18"/>
      <c r="T758" s="18" t="str">
        <f t="shared" si="22"/>
        <v/>
      </c>
      <c r="U758" s="18" t="str">
        <f t="shared" si="23"/>
        <v/>
      </c>
    </row>
    <row r="759" spans="1:21">
      <c r="A759" s="10"/>
      <c r="B759" s="4"/>
      <c r="C759" s="4"/>
      <c r="D759" s="8"/>
      <c r="E759" s="5"/>
      <c r="F759" s="5"/>
      <c r="G759" s="8"/>
      <c r="H759" s="8"/>
      <c r="I759" s="8"/>
      <c r="J759" s="4"/>
      <c r="K759" s="64"/>
      <c r="L759" s="18"/>
      <c r="M759" s="19"/>
      <c r="N759" s="18"/>
      <c r="O759" s="18"/>
      <c r="P759" s="18"/>
      <c r="Q759" s="18"/>
      <c r="R759" s="18"/>
      <c r="S759" s="18"/>
      <c r="T759" s="18" t="str">
        <f t="shared" si="22"/>
        <v/>
      </c>
      <c r="U759" s="18" t="str">
        <f t="shared" si="23"/>
        <v/>
      </c>
    </row>
    <row r="760" spans="1:21">
      <c r="A760" s="10"/>
      <c r="B760" s="4"/>
      <c r="C760" s="4"/>
      <c r="D760" s="8"/>
      <c r="E760" s="5"/>
      <c r="F760" s="5"/>
      <c r="G760" s="8"/>
      <c r="H760" s="8"/>
      <c r="I760" s="8"/>
      <c r="J760" s="4"/>
      <c r="K760" s="64"/>
      <c r="L760" s="18"/>
      <c r="M760" s="19"/>
      <c r="N760" s="18"/>
      <c r="O760" s="18"/>
      <c r="P760" s="18"/>
      <c r="Q760" s="18"/>
      <c r="R760" s="18"/>
      <c r="S760" s="18"/>
      <c r="T760" s="18" t="str">
        <f t="shared" si="22"/>
        <v/>
      </c>
      <c r="U760" s="18" t="str">
        <f t="shared" si="23"/>
        <v/>
      </c>
    </row>
    <row r="761" spans="1:21">
      <c r="A761" s="10"/>
      <c r="B761" s="4"/>
      <c r="C761" s="4"/>
      <c r="D761" s="8"/>
      <c r="E761" s="5"/>
      <c r="F761" s="5"/>
      <c r="G761" s="8"/>
      <c r="H761" s="8"/>
      <c r="I761" s="8"/>
      <c r="J761" s="4"/>
      <c r="K761" s="64"/>
      <c r="L761" s="18"/>
      <c r="M761" s="19"/>
      <c r="N761" s="18"/>
      <c r="O761" s="18"/>
      <c r="P761" s="18"/>
      <c r="Q761" s="18"/>
      <c r="R761" s="18"/>
      <c r="S761" s="18"/>
      <c r="T761" s="18" t="str">
        <f t="shared" si="22"/>
        <v/>
      </c>
      <c r="U761" s="18" t="str">
        <f t="shared" si="23"/>
        <v/>
      </c>
    </row>
    <row r="762" spans="1:21">
      <c r="A762" s="10"/>
      <c r="B762" s="4"/>
      <c r="C762" s="4"/>
      <c r="D762" s="8"/>
      <c r="E762" s="5"/>
      <c r="F762" s="5"/>
      <c r="G762" s="8"/>
      <c r="H762" s="8"/>
      <c r="I762" s="8"/>
      <c r="J762" s="4"/>
      <c r="K762" s="64"/>
      <c r="L762" s="18"/>
      <c r="M762" s="19"/>
      <c r="N762" s="18"/>
      <c r="O762" s="18"/>
      <c r="P762" s="18"/>
      <c r="Q762" s="18"/>
      <c r="R762" s="18"/>
      <c r="S762" s="18"/>
      <c r="T762" s="18" t="str">
        <f t="shared" si="22"/>
        <v/>
      </c>
      <c r="U762" s="18" t="str">
        <f t="shared" si="23"/>
        <v/>
      </c>
    </row>
    <row r="763" spans="1:21">
      <c r="A763" s="10"/>
      <c r="B763" s="4"/>
      <c r="C763" s="4"/>
      <c r="D763" s="8"/>
      <c r="E763" s="5"/>
      <c r="F763" s="5"/>
      <c r="G763" s="8"/>
      <c r="H763" s="8"/>
      <c r="I763" s="8"/>
      <c r="J763" s="4"/>
      <c r="K763" s="64"/>
      <c r="L763" s="18"/>
      <c r="M763" s="19"/>
      <c r="N763" s="18"/>
      <c r="O763" s="18"/>
      <c r="P763" s="18"/>
      <c r="Q763" s="18"/>
      <c r="R763" s="18"/>
      <c r="S763" s="18"/>
      <c r="T763" s="18" t="str">
        <f t="shared" si="22"/>
        <v/>
      </c>
      <c r="U763" s="18" t="str">
        <f t="shared" si="23"/>
        <v/>
      </c>
    </row>
    <row r="764" spans="1:21">
      <c r="A764" s="10"/>
      <c r="B764" s="4"/>
      <c r="C764" s="4"/>
      <c r="D764" s="8"/>
      <c r="E764" s="5"/>
      <c r="F764" s="5"/>
      <c r="G764" s="8"/>
      <c r="H764" s="8"/>
      <c r="I764" s="8"/>
      <c r="J764" s="4"/>
      <c r="K764" s="64"/>
      <c r="L764" s="18"/>
      <c r="M764" s="19"/>
      <c r="N764" s="18"/>
      <c r="O764" s="18"/>
      <c r="P764" s="18"/>
      <c r="Q764" s="18"/>
      <c r="R764" s="18"/>
      <c r="S764" s="18"/>
      <c r="T764" s="18" t="str">
        <f t="shared" si="22"/>
        <v/>
      </c>
      <c r="U764" s="18" t="str">
        <f t="shared" si="23"/>
        <v/>
      </c>
    </row>
    <row r="765" spans="1:21">
      <c r="A765" s="10"/>
      <c r="B765" s="4"/>
      <c r="C765" s="4"/>
      <c r="D765" s="8"/>
      <c r="E765" s="5"/>
      <c r="F765" s="5"/>
      <c r="G765" s="8"/>
      <c r="H765" s="8"/>
      <c r="I765" s="8"/>
      <c r="J765" s="4"/>
      <c r="K765" s="64"/>
      <c r="L765" s="18"/>
      <c r="M765" s="19"/>
      <c r="N765" s="18"/>
      <c r="O765" s="18"/>
      <c r="P765" s="18"/>
      <c r="Q765" s="18"/>
      <c r="R765" s="18"/>
      <c r="S765" s="18"/>
      <c r="T765" s="18" t="str">
        <f t="shared" si="22"/>
        <v/>
      </c>
      <c r="U765" s="18" t="str">
        <f t="shared" si="23"/>
        <v/>
      </c>
    </row>
    <row r="766" spans="1:21">
      <c r="A766" s="10"/>
      <c r="B766" s="4"/>
      <c r="C766" s="4"/>
      <c r="D766" s="8"/>
      <c r="E766" s="5"/>
      <c r="F766" s="5"/>
      <c r="G766" s="8"/>
      <c r="H766" s="8"/>
      <c r="I766" s="8"/>
      <c r="J766" s="4"/>
      <c r="K766" s="64"/>
      <c r="L766" s="18"/>
      <c r="M766" s="19"/>
      <c r="N766" s="18"/>
      <c r="O766" s="18"/>
      <c r="P766" s="18"/>
      <c r="Q766" s="18"/>
      <c r="R766" s="18"/>
      <c r="S766" s="18"/>
      <c r="T766" s="18" t="str">
        <f t="shared" si="22"/>
        <v/>
      </c>
      <c r="U766" s="18" t="str">
        <f t="shared" si="23"/>
        <v/>
      </c>
    </row>
    <row r="767" spans="1:21">
      <c r="A767" s="10"/>
      <c r="B767" s="4"/>
      <c r="C767" s="4"/>
      <c r="D767" s="8"/>
      <c r="E767" s="5"/>
      <c r="F767" s="5"/>
      <c r="G767" s="8"/>
      <c r="H767" s="8"/>
      <c r="I767" s="8"/>
      <c r="J767" s="4"/>
      <c r="K767" s="64"/>
      <c r="L767" s="18"/>
      <c r="M767" s="19"/>
      <c r="N767" s="18"/>
      <c r="O767" s="18"/>
      <c r="P767" s="18"/>
      <c r="Q767" s="18"/>
      <c r="R767" s="18"/>
      <c r="S767" s="18"/>
      <c r="T767" s="18" t="str">
        <f t="shared" si="22"/>
        <v/>
      </c>
      <c r="U767" s="18" t="str">
        <f t="shared" si="23"/>
        <v/>
      </c>
    </row>
    <row r="768" spans="1:21">
      <c r="A768" s="10"/>
      <c r="B768" s="4"/>
      <c r="C768" s="4"/>
      <c r="D768" s="8"/>
      <c r="E768" s="5"/>
      <c r="F768" s="5"/>
      <c r="G768" s="8"/>
      <c r="H768" s="8"/>
      <c r="I768" s="8"/>
      <c r="J768" s="4"/>
      <c r="K768" s="64"/>
      <c r="L768" s="18"/>
      <c r="M768" s="19"/>
      <c r="N768" s="18"/>
      <c r="O768" s="18"/>
      <c r="P768" s="18"/>
      <c r="Q768" s="18"/>
      <c r="R768" s="18"/>
      <c r="S768" s="18"/>
      <c r="T768" s="18" t="str">
        <f t="shared" si="22"/>
        <v/>
      </c>
      <c r="U768" s="18" t="str">
        <f t="shared" si="23"/>
        <v/>
      </c>
    </row>
    <row r="769" spans="1:21">
      <c r="A769" s="10"/>
      <c r="B769" s="4"/>
      <c r="C769" s="4"/>
      <c r="D769" s="8"/>
      <c r="E769" s="5"/>
      <c r="F769" s="5"/>
      <c r="G769" s="8"/>
      <c r="H769" s="8"/>
      <c r="I769" s="8"/>
      <c r="J769" s="4"/>
      <c r="K769" s="64"/>
      <c r="L769" s="18"/>
      <c r="M769" s="19"/>
      <c r="N769" s="18"/>
      <c r="O769" s="18"/>
      <c r="P769" s="18"/>
      <c r="Q769" s="18"/>
      <c r="R769" s="18"/>
      <c r="S769" s="18"/>
      <c r="T769" s="18" t="str">
        <f t="shared" si="22"/>
        <v/>
      </c>
      <c r="U769" s="18" t="str">
        <f t="shared" si="23"/>
        <v/>
      </c>
    </row>
    <row r="770" spans="1:21">
      <c r="A770" s="10"/>
      <c r="B770" s="4"/>
      <c r="C770" s="4"/>
      <c r="D770" s="8"/>
      <c r="E770" s="5"/>
      <c r="F770" s="5"/>
      <c r="G770" s="8"/>
      <c r="H770" s="8"/>
      <c r="I770" s="8"/>
      <c r="J770" s="4"/>
      <c r="K770" s="64"/>
      <c r="L770" s="18"/>
      <c r="M770" s="19"/>
      <c r="N770" s="18"/>
      <c r="O770" s="18"/>
      <c r="P770" s="18"/>
      <c r="Q770" s="18"/>
      <c r="R770" s="18"/>
      <c r="S770" s="18"/>
      <c r="T770" s="18" t="str">
        <f t="shared" si="22"/>
        <v/>
      </c>
      <c r="U770" s="18" t="str">
        <f t="shared" si="23"/>
        <v/>
      </c>
    </row>
    <row r="771" spans="1:21">
      <c r="A771" s="10"/>
      <c r="B771" s="4"/>
      <c r="C771" s="4"/>
      <c r="D771" s="8"/>
      <c r="E771" s="5"/>
      <c r="F771" s="5"/>
      <c r="G771" s="8"/>
      <c r="H771" s="8"/>
      <c r="I771" s="8"/>
      <c r="J771" s="4"/>
      <c r="K771" s="64"/>
      <c r="L771" s="18"/>
      <c r="M771" s="19"/>
      <c r="N771" s="18"/>
      <c r="O771" s="18"/>
      <c r="P771" s="18"/>
      <c r="Q771" s="18"/>
      <c r="R771" s="18"/>
      <c r="S771" s="18"/>
      <c r="T771" s="18" t="str">
        <f t="shared" si="22"/>
        <v/>
      </c>
      <c r="U771" s="18" t="str">
        <f t="shared" si="23"/>
        <v/>
      </c>
    </row>
    <row r="772" spans="1:21">
      <c r="A772" s="10"/>
      <c r="B772" s="4"/>
      <c r="C772" s="4"/>
      <c r="D772" s="8"/>
      <c r="E772" s="5"/>
      <c r="F772" s="5"/>
      <c r="G772" s="8"/>
      <c r="H772" s="8"/>
      <c r="I772" s="8"/>
      <c r="J772" s="4"/>
      <c r="K772" s="64"/>
      <c r="L772" s="18"/>
      <c r="M772" s="19"/>
      <c r="N772" s="18"/>
      <c r="O772" s="18"/>
      <c r="P772" s="18"/>
      <c r="Q772" s="18"/>
      <c r="R772" s="18"/>
      <c r="S772" s="18"/>
      <c r="T772" s="18" t="str">
        <f t="shared" ref="T772:T803" si="24">IF(B772="","",IF(I772="Yes","Voided",IF(COUNTIFS($B$4:$B$803,B772,$C$4:$C$803,C772,$I$4:$I$803,"&lt;&gt;Yes",$K$4:$K$803,"&gt;"&amp;K772)=0,"Current","Historical")))</f>
        <v/>
      </c>
      <c r="U772" s="18" t="str">
        <f t="shared" ref="U772:U835" si="25">IF(T772="Current",B772&amp;"|"&amp;C772,"")</f>
        <v/>
      </c>
    </row>
    <row r="773" spans="1:21">
      <c r="A773" s="10"/>
      <c r="B773" s="4"/>
      <c r="C773" s="4"/>
      <c r="D773" s="8"/>
      <c r="E773" s="5"/>
      <c r="F773" s="5"/>
      <c r="G773" s="8"/>
      <c r="H773" s="8"/>
      <c r="I773" s="8"/>
      <c r="J773" s="4"/>
      <c r="K773" s="64"/>
      <c r="L773" s="18"/>
      <c r="M773" s="19"/>
      <c r="N773" s="18"/>
      <c r="O773" s="18"/>
      <c r="P773" s="18"/>
      <c r="Q773" s="18"/>
      <c r="R773" s="18"/>
      <c r="S773" s="18"/>
      <c r="T773" s="18" t="str">
        <f t="shared" si="24"/>
        <v/>
      </c>
      <c r="U773" s="18" t="str">
        <f t="shared" si="25"/>
        <v/>
      </c>
    </row>
    <row r="774" spans="1:21">
      <c r="A774" s="10"/>
      <c r="B774" s="4"/>
      <c r="C774" s="4"/>
      <c r="D774" s="8"/>
      <c r="E774" s="5"/>
      <c r="F774" s="5"/>
      <c r="G774" s="8"/>
      <c r="H774" s="8"/>
      <c r="I774" s="8"/>
      <c r="J774" s="4"/>
      <c r="K774" s="64"/>
      <c r="L774" s="18"/>
      <c r="M774" s="19"/>
      <c r="N774" s="18"/>
      <c r="O774" s="18"/>
      <c r="P774" s="18"/>
      <c r="Q774" s="18"/>
      <c r="R774" s="18"/>
      <c r="S774" s="18"/>
      <c r="T774" s="18" t="str">
        <f t="shared" si="24"/>
        <v/>
      </c>
      <c r="U774" s="18" t="str">
        <f t="shared" si="25"/>
        <v/>
      </c>
    </row>
    <row r="775" spans="1:21">
      <c r="A775" s="10"/>
      <c r="B775" s="4"/>
      <c r="C775" s="4"/>
      <c r="D775" s="8"/>
      <c r="E775" s="5"/>
      <c r="F775" s="5"/>
      <c r="G775" s="8"/>
      <c r="H775" s="8"/>
      <c r="I775" s="8"/>
      <c r="J775" s="4"/>
      <c r="K775" s="64"/>
      <c r="L775" s="18"/>
      <c r="M775" s="19"/>
      <c r="N775" s="18"/>
      <c r="O775" s="18"/>
      <c r="P775" s="18"/>
      <c r="Q775" s="18"/>
      <c r="R775" s="18"/>
      <c r="S775" s="18"/>
      <c r="T775" s="18" t="str">
        <f t="shared" si="24"/>
        <v/>
      </c>
      <c r="U775" s="18" t="str">
        <f t="shared" si="25"/>
        <v/>
      </c>
    </row>
    <row r="776" spans="1:21">
      <c r="A776" s="10"/>
      <c r="B776" s="4"/>
      <c r="C776" s="4"/>
      <c r="D776" s="8"/>
      <c r="E776" s="5"/>
      <c r="F776" s="5"/>
      <c r="G776" s="8"/>
      <c r="H776" s="8"/>
      <c r="I776" s="8"/>
      <c r="J776" s="4"/>
      <c r="K776" s="64"/>
      <c r="L776" s="18"/>
      <c r="M776" s="19"/>
      <c r="N776" s="18"/>
      <c r="O776" s="18"/>
      <c r="P776" s="18"/>
      <c r="Q776" s="18"/>
      <c r="R776" s="18"/>
      <c r="S776" s="18"/>
      <c r="T776" s="18" t="str">
        <f t="shared" si="24"/>
        <v/>
      </c>
      <c r="U776" s="18" t="str">
        <f t="shared" si="25"/>
        <v/>
      </c>
    </row>
    <row r="777" spans="1:21">
      <c r="A777" s="10"/>
      <c r="B777" s="4"/>
      <c r="C777" s="4"/>
      <c r="D777" s="8"/>
      <c r="E777" s="5"/>
      <c r="F777" s="5"/>
      <c r="G777" s="8"/>
      <c r="H777" s="8"/>
      <c r="I777" s="8"/>
      <c r="J777" s="4"/>
      <c r="K777" s="64"/>
      <c r="L777" s="18"/>
      <c r="M777" s="19"/>
      <c r="N777" s="18"/>
      <c r="O777" s="18"/>
      <c r="P777" s="18"/>
      <c r="Q777" s="18"/>
      <c r="R777" s="18"/>
      <c r="S777" s="18"/>
      <c r="T777" s="18" t="str">
        <f t="shared" si="24"/>
        <v/>
      </c>
      <c r="U777" s="18" t="str">
        <f t="shared" si="25"/>
        <v/>
      </c>
    </row>
    <row r="778" spans="1:21">
      <c r="A778" s="10"/>
      <c r="B778" s="4"/>
      <c r="C778" s="4"/>
      <c r="D778" s="8"/>
      <c r="E778" s="5"/>
      <c r="F778" s="5"/>
      <c r="G778" s="8"/>
      <c r="H778" s="8"/>
      <c r="I778" s="8"/>
      <c r="J778" s="4"/>
      <c r="K778" s="64"/>
      <c r="L778" s="18"/>
      <c r="M778" s="19"/>
      <c r="N778" s="18"/>
      <c r="O778" s="18"/>
      <c r="P778" s="18"/>
      <c r="Q778" s="18"/>
      <c r="R778" s="18"/>
      <c r="S778" s="18"/>
      <c r="T778" s="18" t="str">
        <f t="shared" si="24"/>
        <v/>
      </c>
      <c r="U778" s="18" t="str">
        <f t="shared" si="25"/>
        <v/>
      </c>
    </row>
    <row r="779" spans="1:21">
      <c r="A779" s="10"/>
      <c r="B779" s="4"/>
      <c r="C779" s="4"/>
      <c r="D779" s="8"/>
      <c r="E779" s="5"/>
      <c r="F779" s="5"/>
      <c r="G779" s="8"/>
      <c r="H779" s="8"/>
      <c r="I779" s="8"/>
      <c r="J779" s="4"/>
      <c r="K779" s="64"/>
      <c r="L779" s="18"/>
      <c r="M779" s="19"/>
      <c r="N779" s="18"/>
      <c r="O779" s="18"/>
      <c r="P779" s="18"/>
      <c r="Q779" s="18"/>
      <c r="R779" s="18"/>
      <c r="S779" s="18"/>
      <c r="T779" s="18" t="str">
        <f t="shared" si="24"/>
        <v/>
      </c>
      <c r="U779" s="18" t="str">
        <f t="shared" si="25"/>
        <v/>
      </c>
    </row>
    <row r="780" spans="1:21">
      <c r="A780" s="10"/>
      <c r="B780" s="4"/>
      <c r="C780" s="4"/>
      <c r="D780" s="8"/>
      <c r="E780" s="5"/>
      <c r="F780" s="5"/>
      <c r="G780" s="8"/>
      <c r="H780" s="8"/>
      <c r="I780" s="8"/>
      <c r="J780" s="4"/>
      <c r="K780" s="64"/>
      <c r="L780" s="18"/>
      <c r="M780" s="19"/>
      <c r="N780" s="18"/>
      <c r="O780" s="18"/>
      <c r="P780" s="18"/>
      <c r="Q780" s="18"/>
      <c r="R780" s="18"/>
      <c r="S780" s="18"/>
      <c r="T780" s="18" t="str">
        <f t="shared" si="24"/>
        <v/>
      </c>
      <c r="U780" s="18" t="str">
        <f t="shared" si="25"/>
        <v/>
      </c>
    </row>
    <row r="781" spans="1:21">
      <c r="A781" s="10"/>
      <c r="B781" s="4"/>
      <c r="C781" s="4"/>
      <c r="D781" s="8"/>
      <c r="E781" s="5"/>
      <c r="F781" s="5"/>
      <c r="G781" s="8"/>
      <c r="H781" s="8"/>
      <c r="I781" s="8"/>
      <c r="J781" s="4"/>
      <c r="K781" s="64"/>
      <c r="L781" s="18"/>
      <c r="M781" s="19"/>
      <c r="N781" s="18"/>
      <c r="O781" s="18"/>
      <c r="P781" s="18"/>
      <c r="Q781" s="18"/>
      <c r="R781" s="18"/>
      <c r="S781" s="18"/>
      <c r="T781" s="18" t="str">
        <f t="shared" si="24"/>
        <v/>
      </c>
      <c r="U781" s="18" t="str">
        <f t="shared" si="25"/>
        <v/>
      </c>
    </row>
    <row r="782" spans="1:21">
      <c r="A782" s="10"/>
      <c r="B782" s="4"/>
      <c r="C782" s="4"/>
      <c r="D782" s="8"/>
      <c r="E782" s="5"/>
      <c r="F782" s="5"/>
      <c r="G782" s="8"/>
      <c r="H782" s="8"/>
      <c r="I782" s="8"/>
      <c r="J782" s="4"/>
      <c r="K782" s="64"/>
      <c r="L782" s="18"/>
      <c r="M782" s="19"/>
      <c r="N782" s="18"/>
      <c r="O782" s="18"/>
      <c r="P782" s="18"/>
      <c r="Q782" s="18"/>
      <c r="R782" s="18"/>
      <c r="S782" s="18"/>
      <c r="T782" s="18" t="str">
        <f t="shared" si="24"/>
        <v/>
      </c>
      <c r="U782" s="18" t="str">
        <f t="shared" si="25"/>
        <v/>
      </c>
    </row>
    <row r="783" spans="1:21">
      <c r="A783" s="10"/>
      <c r="B783" s="4"/>
      <c r="C783" s="4"/>
      <c r="D783" s="8"/>
      <c r="E783" s="5"/>
      <c r="F783" s="5"/>
      <c r="G783" s="8"/>
      <c r="H783" s="8"/>
      <c r="I783" s="8"/>
      <c r="J783" s="4"/>
      <c r="K783" s="64"/>
      <c r="L783" s="18"/>
      <c r="M783" s="19"/>
      <c r="N783" s="18"/>
      <c r="O783" s="18"/>
      <c r="P783" s="18"/>
      <c r="Q783" s="18"/>
      <c r="R783" s="18"/>
      <c r="S783" s="18"/>
      <c r="T783" s="18" t="str">
        <f t="shared" si="24"/>
        <v/>
      </c>
      <c r="U783" s="18" t="str">
        <f t="shared" si="25"/>
        <v/>
      </c>
    </row>
    <row r="784" spans="1:21">
      <c r="A784" s="10"/>
      <c r="B784" s="4"/>
      <c r="C784" s="4"/>
      <c r="D784" s="8"/>
      <c r="E784" s="5"/>
      <c r="F784" s="5"/>
      <c r="G784" s="8"/>
      <c r="H784" s="8"/>
      <c r="I784" s="8"/>
      <c r="J784" s="4"/>
      <c r="K784" s="64"/>
      <c r="L784" s="18"/>
      <c r="M784" s="19"/>
      <c r="N784" s="18"/>
      <c r="O784" s="18"/>
      <c r="P784" s="18"/>
      <c r="Q784" s="18"/>
      <c r="R784" s="18"/>
      <c r="S784" s="18"/>
      <c r="T784" s="18" t="str">
        <f t="shared" si="24"/>
        <v/>
      </c>
      <c r="U784" s="18" t="str">
        <f t="shared" si="25"/>
        <v/>
      </c>
    </row>
    <row r="785" spans="1:21">
      <c r="A785" s="10"/>
      <c r="B785" s="4"/>
      <c r="C785" s="4"/>
      <c r="D785" s="8"/>
      <c r="E785" s="5"/>
      <c r="F785" s="5"/>
      <c r="G785" s="8"/>
      <c r="H785" s="8"/>
      <c r="I785" s="8"/>
      <c r="J785" s="4"/>
      <c r="K785" s="64"/>
      <c r="L785" s="18"/>
      <c r="M785" s="19"/>
      <c r="N785" s="18"/>
      <c r="O785" s="18"/>
      <c r="P785" s="18"/>
      <c r="Q785" s="18"/>
      <c r="R785" s="18"/>
      <c r="S785" s="18"/>
      <c r="T785" s="18" t="str">
        <f t="shared" si="24"/>
        <v/>
      </c>
      <c r="U785" s="18" t="str">
        <f t="shared" si="25"/>
        <v/>
      </c>
    </row>
    <row r="786" spans="1:21">
      <c r="A786" s="10"/>
      <c r="B786" s="4"/>
      <c r="C786" s="4"/>
      <c r="D786" s="8"/>
      <c r="E786" s="5"/>
      <c r="F786" s="5"/>
      <c r="G786" s="8"/>
      <c r="H786" s="8"/>
      <c r="I786" s="8"/>
      <c r="J786" s="4"/>
      <c r="K786" s="64"/>
      <c r="L786" s="18"/>
      <c r="M786" s="19"/>
      <c r="N786" s="18"/>
      <c r="O786" s="18"/>
      <c r="P786" s="18"/>
      <c r="Q786" s="18"/>
      <c r="R786" s="18"/>
      <c r="S786" s="18"/>
      <c r="T786" s="18" t="str">
        <f t="shared" si="24"/>
        <v/>
      </c>
      <c r="U786" s="18" t="str">
        <f t="shared" si="25"/>
        <v/>
      </c>
    </row>
    <row r="787" spans="1:21">
      <c r="A787" s="10"/>
      <c r="B787" s="4"/>
      <c r="C787" s="4"/>
      <c r="D787" s="8"/>
      <c r="E787" s="5"/>
      <c r="F787" s="5"/>
      <c r="G787" s="8"/>
      <c r="H787" s="8"/>
      <c r="I787" s="8"/>
      <c r="J787" s="4"/>
      <c r="K787" s="64"/>
      <c r="L787" s="18"/>
      <c r="M787" s="19"/>
      <c r="N787" s="18"/>
      <c r="O787" s="18"/>
      <c r="P787" s="18"/>
      <c r="Q787" s="18"/>
      <c r="R787" s="18"/>
      <c r="S787" s="18"/>
      <c r="T787" s="18" t="str">
        <f t="shared" si="24"/>
        <v/>
      </c>
      <c r="U787" s="18" t="str">
        <f t="shared" si="25"/>
        <v/>
      </c>
    </row>
    <row r="788" spans="1:21">
      <c r="A788" s="10"/>
      <c r="B788" s="4"/>
      <c r="C788" s="4"/>
      <c r="D788" s="8"/>
      <c r="E788" s="5"/>
      <c r="F788" s="5"/>
      <c r="G788" s="8"/>
      <c r="H788" s="8"/>
      <c r="I788" s="8"/>
      <c r="J788" s="4"/>
      <c r="K788" s="64"/>
      <c r="L788" s="18"/>
      <c r="M788" s="19"/>
      <c r="N788" s="18"/>
      <c r="O788" s="18"/>
      <c r="P788" s="18"/>
      <c r="Q788" s="18"/>
      <c r="R788" s="18"/>
      <c r="S788" s="18"/>
      <c r="T788" s="18" t="str">
        <f t="shared" si="24"/>
        <v/>
      </c>
      <c r="U788" s="18" t="str">
        <f t="shared" si="25"/>
        <v/>
      </c>
    </row>
    <row r="789" spans="1:21">
      <c r="A789" s="10"/>
      <c r="B789" s="4"/>
      <c r="C789" s="4"/>
      <c r="D789" s="8"/>
      <c r="E789" s="5"/>
      <c r="F789" s="5"/>
      <c r="G789" s="8"/>
      <c r="H789" s="8"/>
      <c r="I789" s="8"/>
      <c r="J789" s="4"/>
      <c r="K789" s="64"/>
      <c r="L789" s="18"/>
      <c r="M789" s="19"/>
      <c r="N789" s="18"/>
      <c r="O789" s="18"/>
      <c r="P789" s="18"/>
      <c r="Q789" s="18"/>
      <c r="R789" s="18"/>
      <c r="S789" s="18"/>
      <c r="T789" s="18" t="str">
        <f t="shared" si="24"/>
        <v/>
      </c>
      <c r="U789" s="18" t="str">
        <f t="shared" si="25"/>
        <v/>
      </c>
    </row>
    <row r="790" spans="1:21">
      <c r="A790" s="10"/>
      <c r="B790" s="4"/>
      <c r="C790" s="4"/>
      <c r="D790" s="8"/>
      <c r="E790" s="5"/>
      <c r="F790" s="5"/>
      <c r="G790" s="8"/>
      <c r="H790" s="8"/>
      <c r="I790" s="8"/>
      <c r="J790" s="4"/>
      <c r="K790" s="64"/>
      <c r="L790" s="18"/>
      <c r="M790" s="19"/>
      <c r="N790" s="18"/>
      <c r="O790" s="18"/>
      <c r="P790" s="18"/>
      <c r="Q790" s="18"/>
      <c r="R790" s="18"/>
      <c r="S790" s="18"/>
      <c r="T790" s="18" t="str">
        <f t="shared" si="24"/>
        <v/>
      </c>
      <c r="U790" s="18" t="str">
        <f t="shared" si="25"/>
        <v/>
      </c>
    </row>
    <row r="791" spans="1:21">
      <c r="A791" s="10"/>
      <c r="B791" s="4"/>
      <c r="C791" s="4"/>
      <c r="D791" s="8"/>
      <c r="E791" s="5"/>
      <c r="F791" s="5"/>
      <c r="G791" s="8"/>
      <c r="H791" s="8"/>
      <c r="I791" s="8"/>
      <c r="J791" s="4"/>
      <c r="K791" s="64"/>
      <c r="L791" s="18"/>
      <c r="M791" s="19"/>
      <c r="N791" s="18"/>
      <c r="O791" s="18"/>
      <c r="P791" s="18"/>
      <c r="Q791" s="18"/>
      <c r="R791" s="18"/>
      <c r="S791" s="18"/>
      <c r="T791" s="18" t="str">
        <f t="shared" si="24"/>
        <v/>
      </c>
      <c r="U791" s="18" t="str">
        <f t="shared" si="25"/>
        <v/>
      </c>
    </row>
    <row r="792" spans="1:21">
      <c r="A792" s="10"/>
      <c r="B792" s="4"/>
      <c r="C792" s="4"/>
      <c r="D792" s="8"/>
      <c r="E792" s="5"/>
      <c r="F792" s="5"/>
      <c r="G792" s="8"/>
      <c r="H792" s="8"/>
      <c r="I792" s="8"/>
      <c r="J792" s="4"/>
      <c r="K792" s="64"/>
      <c r="L792" s="18"/>
      <c r="M792" s="19"/>
      <c r="N792" s="18"/>
      <c r="O792" s="18"/>
      <c r="P792" s="18"/>
      <c r="Q792" s="18"/>
      <c r="R792" s="18"/>
      <c r="S792" s="18"/>
      <c r="T792" s="18" t="str">
        <f t="shared" si="24"/>
        <v/>
      </c>
      <c r="U792" s="18" t="str">
        <f t="shared" si="25"/>
        <v/>
      </c>
    </row>
    <row r="793" spans="1:21">
      <c r="A793" s="10"/>
      <c r="B793" s="4"/>
      <c r="C793" s="4"/>
      <c r="D793" s="8"/>
      <c r="E793" s="5"/>
      <c r="F793" s="5"/>
      <c r="G793" s="8"/>
      <c r="H793" s="8"/>
      <c r="I793" s="8"/>
      <c r="J793" s="4"/>
      <c r="K793" s="64"/>
      <c r="L793" s="18"/>
      <c r="M793" s="19"/>
      <c r="N793" s="18"/>
      <c r="O793" s="18"/>
      <c r="P793" s="18"/>
      <c r="Q793" s="18"/>
      <c r="R793" s="18"/>
      <c r="S793" s="18"/>
      <c r="T793" s="18" t="str">
        <f t="shared" si="24"/>
        <v/>
      </c>
      <c r="U793" s="18" t="str">
        <f t="shared" si="25"/>
        <v/>
      </c>
    </row>
    <row r="794" spans="1:21">
      <c r="A794" s="10"/>
      <c r="B794" s="4"/>
      <c r="C794" s="4"/>
      <c r="D794" s="8"/>
      <c r="E794" s="5"/>
      <c r="F794" s="5"/>
      <c r="G794" s="8"/>
      <c r="H794" s="8"/>
      <c r="I794" s="8"/>
      <c r="J794" s="4"/>
      <c r="K794" s="64"/>
      <c r="L794" s="18"/>
      <c r="M794" s="19"/>
      <c r="N794" s="18"/>
      <c r="O794" s="18"/>
      <c r="P794" s="18"/>
      <c r="Q794" s="18"/>
      <c r="R794" s="18"/>
      <c r="S794" s="18"/>
      <c r="T794" s="18" t="str">
        <f t="shared" si="24"/>
        <v/>
      </c>
      <c r="U794" s="18" t="str">
        <f t="shared" si="25"/>
        <v/>
      </c>
    </row>
    <row r="795" spans="1:21">
      <c r="A795" s="10"/>
      <c r="B795" s="4"/>
      <c r="C795" s="4"/>
      <c r="D795" s="8"/>
      <c r="E795" s="5"/>
      <c r="F795" s="5"/>
      <c r="G795" s="8"/>
      <c r="H795" s="8"/>
      <c r="I795" s="8"/>
      <c r="J795" s="4"/>
      <c r="K795" s="64"/>
      <c r="L795" s="18"/>
      <c r="M795" s="19"/>
      <c r="N795" s="18"/>
      <c r="O795" s="18"/>
      <c r="P795" s="18"/>
      <c r="Q795" s="18"/>
      <c r="R795" s="18"/>
      <c r="S795" s="18"/>
      <c r="T795" s="18" t="str">
        <f t="shared" si="24"/>
        <v/>
      </c>
      <c r="U795" s="18" t="str">
        <f t="shared" si="25"/>
        <v/>
      </c>
    </row>
    <row r="796" spans="1:21">
      <c r="A796" s="10"/>
      <c r="B796" s="4"/>
      <c r="C796" s="4"/>
      <c r="D796" s="8"/>
      <c r="E796" s="5"/>
      <c r="F796" s="5"/>
      <c r="G796" s="8"/>
      <c r="H796" s="8"/>
      <c r="I796" s="8"/>
      <c r="J796" s="4"/>
      <c r="K796" s="64"/>
      <c r="L796" s="18"/>
      <c r="M796" s="19"/>
      <c r="N796" s="18"/>
      <c r="O796" s="18"/>
      <c r="P796" s="18"/>
      <c r="Q796" s="18"/>
      <c r="R796" s="18"/>
      <c r="S796" s="18"/>
      <c r="T796" s="18" t="str">
        <f t="shared" si="24"/>
        <v/>
      </c>
      <c r="U796" s="18" t="str">
        <f t="shared" si="25"/>
        <v/>
      </c>
    </row>
    <row r="797" spans="1:21">
      <c r="A797" s="10"/>
      <c r="B797" s="4"/>
      <c r="C797" s="4"/>
      <c r="D797" s="8"/>
      <c r="E797" s="5"/>
      <c r="F797" s="5"/>
      <c r="G797" s="8"/>
      <c r="H797" s="8"/>
      <c r="I797" s="8"/>
      <c r="J797" s="4"/>
      <c r="K797" s="64"/>
      <c r="L797" s="18"/>
      <c r="M797" s="19"/>
      <c r="N797" s="18"/>
      <c r="O797" s="18"/>
      <c r="P797" s="18"/>
      <c r="Q797" s="18"/>
      <c r="R797" s="18"/>
      <c r="S797" s="18"/>
      <c r="T797" s="18" t="str">
        <f t="shared" si="24"/>
        <v/>
      </c>
      <c r="U797" s="18" t="str">
        <f t="shared" si="25"/>
        <v/>
      </c>
    </row>
    <row r="798" spans="1:21">
      <c r="A798" s="10"/>
      <c r="B798" s="4"/>
      <c r="C798" s="4"/>
      <c r="D798" s="8"/>
      <c r="E798" s="5"/>
      <c r="F798" s="5"/>
      <c r="G798" s="8"/>
      <c r="H798" s="8"/>
      <c r="I798" s="8"/>
      <c r="J798" s="4"/>
      <c r="K798" s="64"/>
      <c r="L798" s="18"/>
      <c r="M798" s="19"/>
      <c r="N798" s="18"/>
      <c r="O798" s="18"/>
      <c r="P798" s="18"/>
      <c r="Q798" s="18"/>
      <c r="R798" s="18"/>
      <c r="S798" s="18"/>
      <c r="T798" s="18" t="str">
        <f t="shared" si="24"/>
        <v/>
      </c>
      <c r="U798" s="18" t="str">
        <f t="shared" si="25"/>
        <v/>
      </c>
    </row>
    <row r="799" spans="1:21">
      <c r="A799" s="10"/>
      <c r="B799" s="4"/>
      <c r="C799" s="4"/>
      <c r="D799" s="8"/>
      <c r="E799" s="5"/>
      <c r="F799" s="5"/>
      <c r="G799" s="8"/>
      <c r="H799" s="8"/>
      <c r="I799" s="8"/>
      <c r="J799" s="4"/>
      <c r="K799" s="64"/>
      <c r="L799" s="18"/>
      <c r="M799" s="19"/>
      <c r="N799" s="18"/>
      <c r="O799" s="18"/>
      <c r="P799" s="18"/>
      <c r="Q799" s="18"/>
      <c r="R799" s="18"/>
      <c r="S799" s="18"/>
      <c r="T799" s="18" t="str">
        <f t="shared" si="24"/>
        <v/>
      </c>
      <c r="U799" s="18" t="str">
        <f t="shared" si="25"/>
        <v/>
      </c>
    </row>
    <row r="800" spans="1:21">
      <c r="A800" s="10"/>
      <c r="B800" s="4"/>
      <c r="C800" s="4"/>
      <c r="D800" s="8"/>
      <c r="E800" s="5"/>
      <c r="F800" s="5"/>
      <c r="G800" s="8"/>
      <c r="H800" s="8"/>
      <c r="I800" s="8"/>
      <c r="J800" s="4"/>
      <c r="K800" s="64"/>
      <c r="L800" s="18"/>
      <c r="M800" s="19"/>
      <c r="N800" s="18"/>
      <c r="O800" s="18"/>
      <c r="P800" s="18"/>
      <c r="Q800" s="18"/>
      <c r="R800" s="18"/>
      <c r="S800" s="18"/>
      <c r="T800" s="18" t="str">
        <f t="shared" si="24"/>
        <v/>
      </c>
      <c r="U800" s="18" t="str">
        <f t="shared" si="25"/>
        <v/>
      </c>
    </row>
    <row r="801" spans="1:21">
      <c r="A801" s="10"/>
      <c r="B801" s="4"/>
      <c r="C801" s="4"/>
      <c r="D801" s="8"/>
      <c r="E801" s="5"/>
      <c r="F801" s="5"/>
      <c r="G801" s="8"/>
      <c r="H801" s="8"/>
      <c r="I801" s="8"/>
      <c r="J801" s="4"/>
      <c r="K801" s="64"/>
      <c r="L801" s="18"/>
      <c r="M801" s="19"/>
      <c r="N801" s="18"/>
      <c r="O801" s="18"/>
      <c r="P801" s="18"/>
      <c r="Q801" s="18"/>
      <c r="R801" s="18"/>
      <c r="S801" s="18"/>
      <c r="T801" s="18" t="str">
        <f t="shared" si="24"/>
        <v/>
      </c>
      <c r="U801" s="18" t="str">
        <f t="shared" si="25"/>
        <v/>
      </c>
    </row>
    <row r="802" spans="1:21">
      <c r="A802" s="10"/>
      <c r="B802" s="4"/>
      <c r="C802" s="4"/>
      <c r="D802" s="8"/>
      <c r="E802" s="5"/>
      <c r="F802" s="5"/>
      <c r="G802" s="8"/>
      <c r="H802" s="8"/>
      <c r="I802" s="8"/>
      <c r="J802" s="4"/>
      <c r="K802" s="64"/>
      <c r="L802" s="18"/>
      <c r="M802" s="19"/>
      <c r="N802" s="18"/>
      <c r="O802" s="18"/>
      <c r="P802" s="18"/>
      <c r="Q802" s="18"/>
      <c r="R802" s="18"/>
      <c r="S802" s="18"/>
      <c r="T802" s="18" t="str">
        <f t="shared" si="24"/>
        <v/>
      </c>
      <c r="U802" s="18" t="str">
        <f t="shared" si="25"/>
        <v/>
      </c>
    </row>
    <row r="803" spans="1:21">
      <c r="A803" s="10"/>
      <c r="B803" s="4"/>
      <c r="C803" s="4"/>
      <c r="D803" s="8"/>
      <c r="E803" s="5"/>
      <c r="F803" s="5"/>
      <c r="G803" s="8"/>
      <c r="H803" s="8"/>
      <c r="I803" s="8"/>
      <c r="J803" s="4"/>
      <c r="K803" s="64"/>
      <c r="L803" s="18"/>
      <c r="M803" s="19"/>
      <c r="N803" s="18"/>
      <c r="O803" s="18"/>
      <c r="P803" s="18"/>
      <c r="Q803" s="18"/>
      <c r="R803" s="18"/>
      <c r="S803" s="18"/>
      <c r="T803" s="18" t="str">
        <f t="shared" si="24"/>
        <v/>
      </c>
      <c r="U803" s="18" t="str">
        <f t="shared" si="25"/>
        <v/>
      </c>
    </row>
  </sheetData>
  <mergeCells count="2">
    <mergeCell ref="A1:U1"/>
    <mergeCell ref="A2:U2"/>
  </mergeCells>
  <conditionalFormatting sqref="D4:D803">
    <cfRule type="cellIs" dxfId="11" priority="1" operator="equal">
      <formula>1</formula>
    </cfRule>
    <cfRule type="cellIs" dxfId="10" priority="2" operator="equal">
      <formula>2</formula>
    </cfRule>
    <cfRule type="cellIs" dxfId="9" priority="3" operator="equal">
      <formula>3</formula>
    </cfRule>
  </conditionalFormatting>
  <conditionalFormatting sqref="T4:T803">
    <cfRule type="containsText" dxfId="8" priority="4" operator="containsText" text="Current"/>
    <cfRule type="containsText" dxfId="7" priority="5" operator="containsText" text="Voided"/>
  </conditionalFormatting>
  <dataValidations count="5">
    <dataValidation type="list" sqref="B4:B803" xr:uid="{00000000-0002-0000-0400-000000000000}">
      <formula1>EmployeeCatalog</formula1>
    </dataValidation>
    <dataValidation type="list" sqref="C4:C803" xr:uid="{00000000-0002-0000-0400-000001000000}">
      <formula1>SkillCatalog</formula1>
    </dataValidation>
    <dataValidation type="list" sqref="D4:D803" xr:uid="{00000000-0002-0000-0400-000002000000}">
      <formula1>"1,2,3"</formula1>
    </dataValidation>
    <dataValidation type="list" sqref="H4:H803" xr:uid="{00000000-0002-0000-0400-000003000000}">
      <formula1>"Initial,Upgrade,Requalification,Correction,Removal,Legacy / Initial Import"</formula1>
    </dataValidation>
    <dataValidation type="list" sqref="I4:I803" xr:uid="{00000000-0002-0000-0400-000004000000}">
      <formula1>"No,Yes"</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I205"/>
  <sheetViews>
    <sheetView showGridLines="0" workbookViewId="0">
      <pane xSplit="6" ySplit="5" topLeftCell="G6" activePane="bottomRight" state="frozen"/>
      <selection pane="topRight"/>
      <selection pane="bottomLeft"/>
      <selection pane="bottomRight" activeCell="G12" sqref="G12"/>
    </sheetView>
  </sheetViews>
  <sheetFormatPr defaultRowHeight="13.8"/>
  <cols>
    <col min="1" max="1" width="18" customWidth="1"/>
    <col min="2" max="2" width="23" customWidth="1"/>
    <col min="3" max="3" width="8" customWidth="1"/>
    <col min="4" max="4" width="13" customWidth="1"/>
    <col min="5" max="5" width="12" customWidth="1"/>
    <col min="6" max="6" width="20" customWidth="1"/>
    <col min="7" max="109" width="10" customWidth="1"/>
    <col min="110" max="113" width="12" customWidth="1"/>
  </cols>
  <sheetData>
    <row r="1" spans="1:113" ht="25.95" customHeight="1">
      <c r="A1" s="68" t="s">
        <v>1179</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row>
    <row r="2" spans="1:113" ht="24" customHeight="1">
      <c r="A2" s="20" t="s">
        <v>283</v>
      </c>
      <c r="B2" s="20" t="s">
        <v>1180</v>
      </c>
      <c r="C2" s="138" t="s">
        <v>1181</v>
      </c>
      <c r="D2" s="67"/>
      <c r="E2" s="67"/>
      <c r="F2" s="67"/>
      <c r="G2" s="67"/>
      <c r="H2" s="67"/>
      <c r="I2" s="67"/>
      <c r="J2" s="67"/>
      <c r="K2" s="67"/>
      <c r="L2" s="67"/>
    </row>
    <row r="3" spans="1:113">
      <c r="A3" s="53">
        <v>1</v>
      </c>
      <c r="B3" s="141" t="s">
        <v>217</v>
      </c>
      <c r="C3" s="67"/>
      <c r="D3" s="67"/>
    </row>
    <row r="4" spans="1:113" ht="24" customHeight="1">
      <c r="A4" s="54">
        <v>2</v>
      </c>
      <c r="B4" s="139" t="s">
        <v>219</v>
      </c>
      <c r="C4" s="140"/>
      <c r="D4" s="140"/>
      <c r="F4" s="15" t="s">
        <v>1182</v>
      </c>
      <c r="G4" s="14" t="s">
        <v>304</v>
      </c>
      <c r="H4" s="14" t="s">
        <v>304</v>
      </c>
      <c r="I4" s="14" t="s">
        <v>304</v>
      </c>
      <c r="J4" s="14" t="s">
        <v>304</v>
      </c>
      <c r="K4" s="14" t="s">
        <v>304</v>
      </c>
      <c r="L4" s="14" t="s">
        <v>304</v>
      </c>
      <c r="M4" s="14" t="s">
        <v>304</v>
      </c>
      <c r="N4" s="14" t="s">
        <v>304</v>
      </c>
      <c r="O4" s="14" t="s">
        <v>304</v>
      </c>
      <c r="P4" s="14" t="s">
        <v>304</v>
      </c>
      <c r="Q4" s="14" t="s">
        <v>304</v>
      </c>
      <c r="R4" s="14" t="s">
        <v>304</v>
      </c>
      <c r="S4" s="14" t="s">
        <v>304</v>
      </c>
      <c r="T4" s="14" t="s">
        <v>304</v>
      </c>
      <c r="U4" s="14" t="s">
        <v>304</v>
      </c>
      <c r="V4" s="14" t="s">
        <v>304</v>
      </c>
      <c r="W4" s="14" t="s">
        <v>305</v>
      </c>
      <c r="X4" s="14" t="s">
        <v>305</v>
      </c>
      <c r="Y4" s="14" t="s">
        <v>305</v>
      </c>
      <c r="Z4" s="14" t="s">
        <v>305</v>
      </c>
      <c r="AA4" s="14" t="s">
        <v>305</v>
      </c>
      <c r="AB4" s="14" t="s">
        <v>305</v>
      </c>
      <c r="AC4" s="14" t="s">
        <v>305</v>
      </c>
      <c r="AD4" s="14" t="s">
        <v>305</v>
      </c>
      <c r="AE4" s="14" t="s">
        <v>305</v>
      </c>
      <c r="AF4" s="14" t="s">
        <v>305</v>
      </c>
      <c r="AG4" s="14" t="s">
        <v>305</v>
      </c>
      <c r="AH4" s="14" t="s">
        <v>305</v>
      </c>
      <c r="AI4" s="14" t="s">
        <v>305</v>
      </c>
      <c r="AJ4" s="14" t="s">
        <v>305</v>
      </c>
      <c r="AK4" s="14" t="s">
        <v>306</v>
      </c>
      <c r="AL4" s="14" t="s">
        <v>306</v>
      </c>
      <c r="AM4" s="14" t="s">
        <v>306</v>
      </c>
      <c r="AN4" s="14" t="s">
        <v>306</v>
      </c>
      <c r="AO4" s="14" t="s">
        <v>306</v>
      </c>
      <c r="AP4" s="14" t="s">
        <v>306</v>
      </c>
      <c r="AQ4" s="14" t="s">
        <v>306</v>
      </c>
      <c r="AR4" s="14" t="s">
        <v>306</v>
      </c>
      <c r="AS4" s="14" t="s">
        <v>306</v>
      </c>
      <c r="AT4" s="14" t="s">
        <v>307</v>
      </c>
      <c r="AU4" s="14" t="s">
        <v>307</v>
      </c>
      <c r="AV4" s="14" t="s">
        <v>307</v>
      </c>
      <c r="AW4" s="14" t="s">
        <v>307</v>
      </c>
      <c r="AX4" s="14" t="s">
        <v>307</v>
      </c>
      <c r="AY4" s="14" t="s">
        <v>307</v>
      </c>
      <c r="AZ4" s="14" t="s">
        <v>307</v>
      </c>
      <c r="BA4" s="14" t="s">
        <v>307</v>
      </c>
      <c r="BB4" s="14" t="s">
        <v>308</v>
      </c>
      <c r="BC4" s="14" t="s">
        <v>308</v>
      </c>
      <c r="BD4" s="14" t="s">
        <v>308</v>
      </c>
      <c r="BE4" s="14" t="s">
        <v>308</v>
      </c>
      <c r="BF4" s="14" t="s">
        <v>213</v>
      </c>
      <c r="BG4" s="14" t="s">
        <v>308</v>
      </c>
      <c r="BH4" s="14" t="s">
        <v>308</v>
      </c>
      <c r="BI4" s="14" t="s">
        <v>309</v>
      </c>
      <c r="BJ4" s="14" t="s">
        <v>309</v>
      </c>
      <c r="BK4" s="14" t="s">
        <v>309</v>
      </c>
      <c r="BL4" s="14" t="s">
        <v>309</v>
      </c>
      <c r="BM4" s="14" t="s">
        <v>309</v>
      </c>
      <c r="BN4" s="14" t="s">
        <v>309</v>
      </c>
      <c r="BO4" s="14" t="s">
        <v>309</v>
      </c>
      <c r="BP4" s="14" t="s">
        <v>309</v>
      </c>
      <c r="BQ4" s="14" t="s">
        <v>309</v>
      </c>
      <c r="BR4" s="14" t="s">
        <v>309</v>
      </c>
      <c r="BS4" s="14" t="s">
        <v>309</v>
      </c>
      <c r="BT4" s="14" t="s">
        <v>309</v>
      </c>
      <c r="BU4" s="14" t="s">
        <v>309</v>
      </c>
      <c r="BV4" s="14" t="s">
        <v>309</v>
      </c>
      <c r="BW4" s="14" t="s">
        <v>309</v>
      </c>
      <c r="BX4" s="14" t="s">
        <v>309</v>
      </c>
      <c r="BY4" s="14" t="s">
        <v>309</v>
      </c>
      <c r="BZ4" s="14" t="s">
        <v>310</v>
      </c>
      <c r="CA4" s="14" t="s">
        <v>310</v>
      </c>
      <c r="CB4" s="14" t="s">
        <v>310</v>
      </c>
      <c r="CC4" s="14" t="s">
        <v>310</v>
      </c>
      <c r="CD4" s="14" t="s">
        <v>310</v>
      </c>
      <c r="CE4" s="14" t="s">
        <v>310</v>
      </c>
      <c r="CF4" s="14" t="s">
        <v>310</v>
      </c>
      <c r="CG4" s="14" t="s">
        <v>310</v>
      </c>
      <c r="CH4" s="14" t="s">
        <v>310</v>
      </c>
      <c r="CI4" s="14" t="s">
        <v>311</v>
      </c>
      <c r="CJ4" s="14" t="s">
        <v>311</v>
      </c>
      <c r="CK4" s="14" t="s">
        <v>311</v>
      </c>
      <c r="CL4" s="14" t="s">
        <v>311</v>
      </c>
      <c r="CM4" s="14" t="s">
        <v>311</v>
      </c>
      <c r="CN4" s="14" t="s">
        <v>311</v>
      </c>
      <c r="CO4" s="14" t="s">
        <v>311</v>
      </c>
      <c r="CP4" s="14" t="s">
        <v>311</v>
      </c>
      <c r="CQ4" s="14" t="s">
        <v>311</v>
      </c>
      <c r="CR4" s="14" t="s">
        <v>311</v>
      </c>
      <c r="CS4" s="14" t="s">
        <v>311</v>
      </c>
      <c r="CT4" s="14" t="s">
        <v>311</v>
      </c>
      <c r="CU4" s="14" t="s">
        <v>311</v>
      </c>
      <c r="CV4" s="14" t="s">
        <v>311</v>
      </c>
      <c r="CW4" s="14" t="s">
        <v>311</v>
      </c>
      <c r="CX4" s="14" t="s">
        <v>311</v>
      </c>
      <c r="CY4" s="14" t="s">
        <v>311</v>
      </c>
      <c r="CZ4" s="14" t="s">
        <v>311</v>
      </c>
      <c r="DA4" s="14" t="s">
        <v>311</v>
      </c>
      <c r="DB4" s="14" t="s">
        <v>311</v>
      </c>
      <c r="DC4" s="14" t="s">
        <v>311</v>
      </c>
      <c r="DD4" s="14" t="s">
        <v>213</v>
      </c>
      <c r="DE4" s="14" t="s">
        <v>213</v>
      </c>
    </row>
    <row r="5" spans="1:113" ht="46.05" customHeight="1">
      <c r="A5" s="20" t="s">
        <v>367</v>
      </c>
      <c r="B5" s="20" t="s">
        <v>1183</v>
      </c>
      <c r="C5" s="20" t="s">
        <v>287</v>
      </c>
      <c r="D5" s="20" t="s">
        <v>3</v>
      </c>
      <c r="E5" s="20" t="s">
        <v>1184</v>
      </c>
      <c r="F5" s="20" t="s">
        <v>181</v>
      </c>
      <c r="G5" s="20" t="s">
        <v>486</v>
      </c>
      <c r="H5" s="20" t="s">
        <v>457</v>
      </c>
      <c r="I5" s="20" t="s">
        <v>422</v>
      </c>
      <c r="J5" s="20" t="s">
        <v>460</v>
      </c>
      <c r="K5" s="20" t="s">
        <v>266</v>
      </c>
      <c r="L5" s="20" t="s">
        <v>514</v>
      </c>
      <c r="M5" s="20" t="s">
        <v>520</v>
      </c>
      <c r="N5" s="20" t="s">
        <v>454</v>
      </c>
      <c r="O5" s="20" t="s">
        <v>450</v>
      </c>
      <c r="P5" s="20" t="s">
        <v>491</v>
      </c>
      <c r="Q5" s="20" t="s">
        <v>416</v>
      </c>
      <c r="R5" s="20" t="s">
        <v>548</v>
      </c>
      <c r="S5" s="20" t="s">
        <v>427</v>
      </c>
      <c r="T5" s="20" t="s">
        <v>483</v>
      </c>
      <c r="U5" s="20" t="s">
        <v>432</v>
      </c>
      <c r="V5" s="20" t="s">
        <v>445</v>
      </c>
      <c r="W5" s="20" t="s">
        <v>641</v>
      </c>
      <c r="X5" s="20" t="s">
        <v>586</v>
      </c>
      <c r="Y5" s="20" t="s">
        <v>576</v>
      </c>
      <c r="Z5" s="20" t="s">
        <v>593</v>
      </c>
      <c r="AA5" s="20" t="s">
        <v>612</v>
      </c>
      <c r="AB5" s="20" t="s">
        <v>609</v>
      </c>
      <c r="AC5" s="20" t="s">
        <v>502</v>
      </c>
      <c r="AD5" s="20" t="s">
        <v>497</v>
      </c>
      <c r="AE5" s="20" t="s">
        <v>656</v>
      </c>
      <c r="AF5" s="20" t="s">
        <v>589</v>
      </c>
      <c r="AG5" s="20" t="s">
        <v>583</v>
      </c>
      <c r="AH5" s="20" t="s">
        <v>615</v>
      </c>
      <c r="AI5" s="20" t="s">
        <v>627</v>
      </c>
      <c r="AJ5" s="20" t="s">
        <v>620</v>
      </c>
      <c r="AK5" s="20" t="s">
        <v>701</v>
      </c>
      <c r="AL5" s="20" t="s">
        <v>822</v>
      </c>
      <c r="AM5" s="20" t="s">
        <v>706</v>
      </c>
      <c r="AN5" s="20" t="s">
        <v>711</v>
      </c>
      <c r="AO5" s="20" t="s">
        <v>696</v>
      </c>
      <c r="AP5" s="20" t="s">
        <v>597</v>
      </c>
      <c r="AQ5" s="20" t="s">
        <v>682</v>
      </c>
      <c r="AR5" s="20" t="s">
        <v>725</v>
      </c>
      <c r="AS5" s="20" t="s">
        <v>692</v>
      </c>
      <c r="AT5" s="20" t="s">
        <v>833</v>
      </c>
      <c r="AU5" s="20" t="s">
        <v>837</v>
      </c>
      <c r="AV5" s="20" t="s">
        <v>827</v>
      </c>
      <c r="AW5" s="20" t="s">
        <v>830</v>
      </c>
      <c r="AX5" s="20" t="s">
        <v>852</v>
      </c>
      <c r="AY5" s="20" t="s">
        <v>840</v>
      </c>
      <c r="AZ5" s="20" t="s">
        <v>1185</v>
      </c>
      <c r="BA5" s="20" t="s">
        <v>819</v>
      </c>
      <c r="BB5" s="20" t="s">
        <v>984</v>
      </c>
      <c r="BC5" s="20" t="s">
        <v>929</v>
      </c>
      <c r="BD5" s="20" t="s">
        <v>949</v>
      </c>
      <c r="BE5" s="20" t="s">
        <v>937</v>
      </c>
      <c r="BF5" s="20" t="s">
        <v>531</v>
      </c>
      <c r="BG5" s="20" t="s">
        <v>1186</v>
      </c>
      <c r="BH5" s="20" t="s">
        <v>944</v>
      </c>
      <c r="BI5" s="20" t="s">
        <v>1052</v>
      </c>
      <c r="BJ5" s="20" t="s">
        <v>551</v>
      </c>
      <c r="BK5" s="20" t="s">
        <v>1065</v>
      </c>
      <c r="BL5" s="20" t="s">
        <v>1083</v>
      </c>
      <c r="BM5" s="20" t="s">
        <v>1128</v>
      </c>
      <c r="BN5" s="20" t="s">
        <v>568</v>
      </c>
      <c r="BO5" s="20" t="s">
        <v>1068</v>
      </c>
      <c r="BP5" s="20" t="s">
        <v>777</v>
      </c>
      <c r="BQ5" s="20" t="s">
        <v>527</v>
      </c>
      <c r="BR5" s="20" t="s">
        <v>1027</v>
      </c>
      <c r="BS5" s="20" t="s">
        <v>882</v>
      </c>
      <c r="BT5" s="20" t="s">
        <v>759</v>
      </c>
      <c r="BU5" s="20" t="s">
        <v>435</v>
      </c>
      <c r="BV5" s="20" t="s">
        <v>1076</v>
      </c>
      <c r="BW5" s="20" t="s">
        <v>1134</v>
      </c>
      <c r="BX5" s="20" t="s">
        <v>992</v>
      </c>
      <c r="BY5" s="20" t="s">
        <v>1059</v>
      </c>
      <c r="BZ5" s="20" t="s">
        <v>1093</v>
      </c>
      <c r="CA5" s="20" t="s">
        <v>1187</v>
      </c>
      <c r="CB5" s="20" t="s">
        <v>1188</v>
      </c>
      <c r="CC5" s="20" t="s">
        <v>1189</v>
      </c>
      <c r="CD5" s="20" t="s">
        <v>1190</v>
      </c>
      <c r="CE5" s="20" t="s">
        <v>1191</v>
      </c>
      <c r="CF5" s="20" t="s">
        <v>1192</v>
      </c>
      <c r="CG5" s="20" t="s">
        <v>1120</v>
      </c>
      <c r="CH5" s="20" t="s">
        <v>1193</v>
      </c>
      <c r="CI5" s="20" t="s">
        <v>1194</v>
      </c>
      <c r="CJ5" s="20" t="s">
        <v>1195</v>
      </c>
      <c r="CK5" s="20" t="s">
        <v>1196</v>
      </c>
      <c r="CL5" s="20" t="s">
        <v>635</v>
      </c>
      <c r="CM5" s="20" t="s">
        <v>1011</v>
      </c>
      <c r="CN5" s="20" t="s">
        <v>974</v>
      </c>
      <c r="CO5" s="20" t="s">
        <v>571</v>
      </c>
      <c r="CP5" s="20" t="s">
        <v>1197</v>
      </c>
      <c r="CQ5" s="20" t="s">
        <v>864</v>
      </c>
      <c r="CR5" s="20" t="s">
        <v>1198</v>
      </c>
      <c r="CS5" s="20" t="s">
        <v>1117</v>
      </c>
      <c r="CT5" s="20" t="s">
        <v>1199</v>
      </c>
      <c r="CU5" s="20" t="s">
        <v>465</v>
      </c>
      <c r="CV5" s="20" t="s">
        <v>730</v>
      </c>
      <c r="CW5" s="20" t="s">
        <v>1031</v>
      </c>
      <c r="CX5" s="20" t="s">
        <v>1200</v>
      </c>
      <c r="CY5" s="20" t="s">
        <v>733</v>
      </c>
      <c r="CZ5" s="20" t="s">
        <v>989</v>
      </c>
      <c r="DA5" s="20" t="s">
        <v>956</v>
      </c>
      <c r="DB5" s="20" t="s">
        <v>1201</v>
      </c>
      <c r="DC5" s="20" t="s">
        <v>1156</v>
      </c>
      <c r="DD5" s="20" t="s">
        <v>438</v>
      </c>
      <c r="DE5" s="20" t="s">
        <v>468</v>
      </c>
      <c r="DF5" s="20" t="s">
        <v>1202</v>
      </c>
      <c r="DG5" s="20" t="s">
        <v>1203</v>
      </c>
      <c r="DH5" s="20" t="s">
        <v>292</v>
      </c>
      <c r="DI5" s="20" t="s">
        <v>1204</v>
      </c>
    </row>
    <row r="6" spans="1:113">
      <c r="A6" s="7" t="s">
        <v>304</v>
      </c>
      <c r="B6" s="7" t="s">
        <v>20</v>
      </c>
      <c r="C6" s="8">
        <v>1</v>
      </c>
      <c r="D6" s="9" t="s">
        <v>413</v>
      </c>
      <c r="E6" s="10">
        <v>45355</v>
      </c>
      <c r="F6" s="8" t="s">
        <v>409</v>
      </c>
      <c r="G6" s="8" t="str">
        <f>IF($B6="","",IF(COUNTIF('Competency Event Log'!$U$4:$U$803,$B6&amp;"|"&amp;G$5)=0,"",SUMIF('Competency Event Log'!$U$4:$U$803,$B6&amp;"|"&amp;G$5,'Competency Event Log'!$D$4:$D$803)))</f>
        <v/>
      </c>
      <c r="H6" s="8" t="str">
        <f>IF($B6="","",IF(COUNTIF('Competency Event Log'!$U$4:$U$803,$B6&amp;"|"&amp;H$5)=0,"",SUMIF('Competency Event Log'!$U$4:$U$803,$B6&amp;"|"&amp;H$5,'Competency Event Log'!$D$4:$D$803)))</f>
        <v/>
      </c>
      <c r="I6" s="8">
        <f>IF($B6="","",IF(COUNTIF('Competency Event Log'!$U$4:$U$803,$B6&amp;"|"&amp;I$5)=0,"",SUMIF('Competency Event Log'!$U$4:$U$803,$B6&amp;"|"&amp;I$5,'Competency Event Log'!$D$4:$D$803)))</f>
        <v>3</v>
      </c>
      <c r="J6" s="8" t="str">
        <f>IF($B6="","",IF(COUNTIF('Competency Event Log'!$U$4:$U$803,$B6&amp;"|"&amp;J$5)=0,"",SUMIF('Competency Event Log'!$U$4:$U$803,$B6&amp;"|"&amp;J$5,'Competency Event Log'!$D$4:$D$803)))</f>
        <v/>
      </c>
      <c r="K6" s="8">
        <f>IF($B6="","",IF(COUNTIF('Competency Event Log'!$U$4:$U$803,$B6&amp;"|"&amp;K$5)=0,"",SUMIF('Competency Event Log'!$U$4:$U$803,$B6&amp;"|"&amp;K$5,'Competency Event Log'!$D$4:$D$803)))</f>
        <v>3</v>
      </c>
      <c r="L6" s="8" t="str">
        <f>IF($B6="","",IF(COUNTIF('Competency Event Log'!$U$4:$U$803,$B6&amp;"|"&amp;L$5)=0,"",SUMIF('Competency Event Log'!$U$4:$U$803,$B6&amp;"|"&amp;L$5,'Competency Event Log'!$D$4:$D$803)))</f>
        <v/>
      </c>
      <c r="M6" s="8" t="str">
        <f>IF($B6="","",IF(COUNTIF('Competency Event Log'!$U$4:$U$803,$B6&amp;"|"&amp;M$5)=0,"",SUMIF('Competency Event Log'!$U$4:$U$803,$B6&amp;"|"&amp;M$5,'Competency Event Log'!$D$4:$D$803)))</f>
        <v/>
      </c>
      <c r="N6" s="8" t="str">
        <f>IF($B6="","",IF(COUNTIF('Competency Event Log'!$U$4:$U$803,$B6&amp;"|"&amp;N$5)=0,"",SUMIF('Competency Event Log'!$U$4:$U$803,$B6&amp;"|"&amp;N$5,'Competency Event Log'!$D$4:$D$803)))</f>
        <v/>
      </c>
      <c r="O6" s="8" t="str">
        <f>IF($B6="","",IF(COUNTIF('Competency Event Log'!$U$4:$U$803,$B6&amp;"|"&amp;O$5)=0,"",SUMIF('Competency Event Log'!$U$4:$U$803,$B6&amp;"|"&amp;O$5,'Competency Event Log'!$D$4:$D$803)))</f>
        <v/>
      </c>
      <c r="P6" s="8" t="str">
        <f>IF($B6="","",IF(COUNTIF('Competency Event Log'!$U$4:$U$803,$B6&amp;"|"&amp;P$5)=0,"",SUMIF('Competency Event Log'!$U$4:$U$803,$B6&amp;"|"&amp;P$5,'Competency Event Log'!$D$4:$D$803)))</f>
        <v/>
      </c>
      <c r="Q6" s="8">
        <f>IF($B6="","",IF(COUNTIF('Competency Event Log'!$U$4:$U$803,$B6&amp;"|"&amp;Q$5)=0,"",SUMIF('Competency Event Log'!$U$4:$U$803,$B6&amp;"|"&amp;Q$5,'Competency Event Log'!$D$4:$D$803)))</f>
        <v>3</v>
      </c>
      <c r="R6" s="8" t="str">
        <f>IF($B6="","",IF(COUNTIF('Competency Event Log'!$U$4:$U$803,$B6&amp;"|"&amp;R$5)=0,"",SUMIF('Competency Event Log'!$U$4:$U$803,$B6&amp;"|"&amp;R$5,'Competency Event Log'!$D$4:$D$803)))</f>
        <v/>
      </c>
      <c r="S6" s="8">
        <f>IF($B6="","",IF(COUNTIF('Competency Event Log'!$U$4:$U$803,$B6&amp;"|"&amp;S$5)=0,"",SUMIF('Competency Event Log'!$U$4:$U$803,$B6&amp;"|"&amp;S$5,'Competency Event Log'!$D$4:$D$803)))</f>
        <v>3</v>
      </c>
      <c r="T6" s="8" t="str">
        <f>IF($B6="","",IF(COUNTIF('Competency Event Log'!$U$4:$U$803,$B6&amp;"|"&amp;T$5)=0,"",SUMIF('Competency Event Log'!$U$4:$U$803,$B6&amp;"|"&amp;T$5,'Competency Event Log'!$D$4:$D$803)))</f>
        <v/>
      </c>
      <c r="U6" s="8">
        <f>IF($B6="","",IF(COUNTIF('Competency Event Log'!$U$4:$U$803,$B6&amp;"|"&amp;U$5)=0,"",SUMIF('Competency Event Log'!$U$4:$U$803,$B6&amp;"|"&amp;U$5,'Competency Event Log'!$D$4:$D$803)))</f>
        <v>3</v>
      </c>
      <c r="V6" s="8" t="str">
        <f>IF($B6="","",IF(COUNTIF('Competency Event Log'!$U$4:$U$803,$B6&amp;"|"&amp;V$5)=0,"",SUMIF('Competency Event Log'!$U$4:$U$803,$B6&amp;"|"&amp;V$5,'Competency Event Log'!$D$4:$D$803)))</f>
        <v/>
      </c>
      <c r="W6" s="8" t="str">
        <f>IF($B6="","",IF(COUNTIF('Competency Event Log'!$U$4:$U$803,$B6&amp;"|"&amp;W$5)=0,"",SUMIF('Competency Event Log'!$U$4:$U$803,$B6&amp;"|"&amp;W$5,'Competency Event Log'!$D$4:$D$803)))</f>
        <v/>
      </c>
      <c r="X6" s="8" t="str">
        <f>IF($B6="","",IF(COUNTIF('Competency Event Log'!$U$4:$U$803,$B6&amp;"|"&amp;X$5)=0,"",SUMIF('Competency Event Log'!$U$4:$U$803,$B6&amp;"|"&amp;X$5,'Competency Event Log'!$D$4:$D$803)))</f>
        <v/>
      </c>
      <c r="Y6" s="8" t="str">
        <f>IF($B6="","",IF(COUNTIF('Competency Event Log'!$U$4:$U$803,$B6&amp;"|"&amp;Y$5)=0,"",SUMIF('Competency Event Log'!$U$4:$U$803,$B6&amp;"|"&amp;Y$5,'Competency Event Log'!$D$4:$D$803)))</f>
        <v/>
      </c>
      <c r="Z6" s="8" t="str">
        <f>IF($B6="","",IF(COUNTIF('Competency Event Log'!$U$4:$U$803,$B6&amp;"|"&amp;Z$5)=0,"",SUMIF('Competency Event Log'!$U$4:$U$803,$B6&amp;"|"&amp;Z$5,'Competency Event Log'!$D$4:$D$803)))</f>
        <v/>
      </c>
      <c r="AA6" s="8" t="str">
        <f>IF($B6="","",IF(COUNTIF('Competency Event Log'!$U$4:$U$803,$B6&amp;"|"&amp;AA$5)=0,"",SUMIF('Competency Event Log'!$U$4:$U$803,$B6&amp;"|"&amp;AA$5,'Competency Event Log'!$D$4:$D$803)))</f>
        <v/>
      </c>
      <c r="AB6" s="8" t="str">
        <f>IF($B6="","",IF(COUNTIF('Competency Event Log'!$U$4:$U$803,$B6&amp;"|"&amp;AB$5)=0,"",SUMIF('Competency Event Log'!$U$4:$U$803,$B6&amp;"|"&amp;AB$5,'Competency Event Log'!$D$4:$D$803)))</f>
        <v/>
      </c>
      <c r="AC6" s="8" t="str">
        <f>IF($B6="","",IF(COUNTIF('Competency Event Log'!$U$4:$U$803,$B6&amp;"|"&amp;AC$5)=0,"",SUMIF('Competency Event Log'!$U$4:$U$803,$B6&amp;"|"&amp;AC$5,'Competency Event Log'!$D$4:$D$803)))</f>
        <v/>
      </c>
      <c r="AD6" s="8" t="str">
        <f>IF($B6="","",IF(COUNTIF('Competency Event Log'!$U$4:$U$803,$B6&amp;"|"&amp;AD$5)=0,"",SUMIF('Competency Event Log'!$U$4:$U$803,$B6&amp;"|"&amp;AD$5,'Competency Event Log'!$D$4:$D$803)))</f>
        <v/>
      </c>
      <c r="AE6" s="8" t="str">
        <f>IF($B6="","",IF(COUNTIF('Competency Event Log'!$U$4:$U$803,$B6&amp;"|"&amp;AE$5)=0,"",SUMIF('Competency Event Log'!$U$4:$U$803,$B6&amp;"|"&amp;AE$5,'Competency Event Log'!$D$4:$D$803)))</f>
        <v/>
      </c>
      <c r="AF6" s="8" t="str">
        <f>IF($B6="","",IF(COUNTIF('Competency Event Log'!$U$4:$U$803,$B6&amp;"|"&amp;AF$5)=0,"",SUMIF('Competency Event Log'!$U$4:$U$803,$B6&amp;"|"&amp;AF$5,'Competency Event Log'!$D$4:$D$803)))</f>
        <v/>
      </c>
      <c r="AG6" s="8" t="str">
        <f>IF($B6="","",IF(COUNTIF('Competency Event Log'!$U$4:$U$803,$B6&amp;"|"&amp;AG$5)=0,"",SUMIF('Competency Event Log'!$U$4:$U$803,$B6&amp;"|"&amp;AG$5,'Competency Event Log'!$D$4:$D$803)))</f>
        <v/>
      </c>
      <c r="AH6" s="8" t="str">
        <f>IF($B6="","",IF(COUNTIF('Competency Event Log'!$U$4:$U$803,$B6&amp;"|"&amp;AH$5)=0,"",SUMIF('Competency Event Log'!$U$4:$U$803,$B6&amp;"|"&amp;AH$5,'Competency Event Log'!$D$4:$D$803)))</f>
        <v/>
      </c>
      <c r="AI6" s="8" t="str">
        <f>IF($B6="","",IF(COUNTIF('Competency Event Log'!$U$4:$U$803,$B6&amp;"|"&amp;AI$5)=0,"",SUMIF('Competency Event Log'!$U$4:$U$803,$B6&amp;"|"&amp;AI$5,'Competency Event Log'!$D$4:$D$803)))</f>
        <v/>
      </c>
      <c r="AJ6" s="8" t="str">
        <f>IF($B6="","",IF(COUNTIF('Competency Event Log'!$U$4:$U$803,$B6&amp;"|"&amp;AJ$5)=0,"",SUMIF('Competency Event Log'!$U$4:$U$803,$B6&amp;"|"&amp;AJ$5,'Competency Event Log'!$D$4:$D$803)))</f>
        <v/>
      </c>
      <c r="AK6" s="8" t="str">
        <f>IF($B6="","",IF(COUNTIF('Competency Event Log'!$U$4:$U$803,$B6&amp;"|"&amp;AK$5)=0,"",SUMIF('Competency Event Log'!$U$4:$U$803,$B6&amp;"|"&amp;AK$5,'Competency Event Log'!$D$4:$D$803)))</f>
        <v/>
      </c>
      <c r="AL6" s="8" t="str">
        <f>IF($B6="","",IF(COUNTIF('Competency Event Log'!$U$4:$U$803,$B6&amp;"|"&amp;AL$5)=0,"",SUMIF('Competency Event Log'!$U$4:$U$803,$B6&amp;"|"&amp;AL$5,'Competency Event Log'!$D$4:$D$803)))</f>
        <v/>
      </c>
      <c r="AM6" s="8" t="str">
        <f>IF($B6="","",IF(COUNTIF('Competency Event Log'!$U$4:$U$803,$B6&amp;"|"&amp;AM$5)=0,"",SUMIF('Competency Event Log'!$U$4:$U$803,$B6&amp;"|"&amp;AM$5,'Competency Event Log'!$D$4:$D$803)))</f>
        <v/>
      </c>
      <c r="AN6" s="8" t="str">
        <f>IF($B6="","",IF(COUNTIF('Competency Event Log'!$U$4:$U$803,$B6&amp;"|"&amp;AN$5)=0,"",SUMIF('Competency Event Log'!$U$4:$U$803,$B6&amp;"|"&amp;AN$5,'Competency Event Log'!$D$4:$D$803)))</f>
        <v/>
      </c>
      <c r="AO6" s="8" t="str">
        <f>IF($B6="","",IF(COUNTIF('Competency Event Log'!$U$4:$U$803,$B6&amp;"|"&amp;AO$5)=0,"",SUMIF('Competency Event Log'!$U$4:$U$803,$B6&amp;"|"&amp;AO$5,'Competency Event Log'!$D$4:$D$803)))</f>
        <v/>
      </c>
      <c r="AP6" s="8" t="str">
        <f>IF($B6="","",IF(COUNTIF('Competency Event Log'!$U$4:$U$803,$B6&amp;"|"&amp;AP$5)=0,"",SUMIF('Competency Event Log'!$U$4:$U$803,$B6&amp;"|"&amp;AP$5,'Competency Event Log'!$D$4:$D$803)))</f>
        <v/>
      </c>
      <c r="AQ6" s="8" t="str">
        <f>IF($B6="","",IF(COUNTIF('Competency Event Log'!$U$4:$U$803,$B6&amp;"|"&amp;AQ$5)=0,"",SUMIF('Competency Event Log'!$U$4:$U$803,$B6&amp;"|"&amp;AQ$5,'Competency Event Log'!$D$4:$D$803)))</f>
        <v/>
      </c>
      <c r="AR6" s="8" t="str">
        <f>IF($B6="","",IF(COUNTIF('Competency Event Log'!$U$4:$U$803,$B6&amp;"|"&amp;AR$5)=0,"",SUMIF('Competency Event Log'!$U$4:$U$803,$B6&amp;"|"&amp;AR$5,'Competency Event Log'!$D$4:$D$803)))</f>
        <v/>
      </c>
      <c r="AS6" s="8" t="str">
        <f>IF($B6="","",IF(COUNTIF('Competency Event Log'!$U$4:$U$803,$B6&amp;"|"&amp;AS$5)=0,"",SUMIF('Competency Event Log'!$U$4:$U$803,$B6&amp;"|"&amp;AS$5,'Competency Event Log'!$D$4:$D$803)))</f>
        <v/>
      </c>
      <c r="AT6" s="8" t="str">
        <f>IF($B6="","",IF(COUNTIF('Competency Event Log'!$U$4:$U$803,$B6&amp;"|"&amp;AT$5)=0,"",SUMIF('Competency Event Log'!$U$4:$U$803,$B6&amp;"|"&amp;AT$5,'Competency Event Log'!$D$4:$D$803)))</f>
        <v/>
      </c>
      <c r="AU6" s="8" t="str">
        <f>IF($B6="","",IF(COUNTIF('Competency Event Log'!$U$4:$U$803,$B6&amp;"|"&amp;AU$5)=0,"",SUMIF('Competency Event Log'!$U$4:$U$803,$B6&amp;"|"&amp;AU$5,'Competency Event Log'!$D$4:$D$803)))</f>
        <v/>
      </c>
      <c r="AV6" s="8" t="str">
        <f>IF($B6="","",IF(COUNTIF('Competency Event Log'!$U$4:$U$803,$B6&amp;"|"&amp;AV$5)=0,"",SUMIF('Competency Event Log'!$U$4:$U$803,$B6&amp;"|"&amp;AV$5,'Competency Event Log'!$D$4:$D$803)))</f>
        <v/>
      </c>
      <c r="AW6" s="8" t="str">
        <f>IF($B6="","",IF(COUNTIF('Competency Event Log'!$U$4:$U$803,$B6&amp;"|"&amp;AW$5)=0,"",SUMIF('Competency Event Log'!$U$4:$U$803,$B6&amp;"|"&amp;AW$5,'Competency Event Log'!$D$4:$D$803)))</f>
        <v/>
      </c>
      <c r="AX6" s="8" t="str">
        <f>IF($B6="","",IF(COUNTIF('Competency Event Log'!$U$4:$U$803,$B6&amp;"|"&amp;AX$5)=0,"",SUMIF('Competency Event Log'!$U$4:$U$803,$B6&amp;"|"&amp;AX$5,'Competency Event Log'!$D$4:$D$803)))</f>
        <v/>
      </c>
      <c r="AY6" s="8" t="str">
        <f>IF($B6="","",IF(COUNTIF('Competency Event Log'!$U$4:$U$803,$B6&amp;"|"&amp;AY$5)=0,"",SUMIF('Competency Event Log'!$U$4:$U$803,$B6&amp;"|"&amp;AY$5,'Competency Event Log'!$D$4:$D$803)))</f>
        <v/>
      </c>
      <c r="AZ6" s="8" t="str">
        <f>IF($B6="","",IF(COUNTIF('Competency Event Log'!$U$4:$U$803,$B6&amp;"|"&amp;AZ$5)=0,"",SUMIF('Competency Event Log'!$U$4:$U$803,$B6&amp;"|"&amp;AZ$5,'Competency Event Log'!$D$4:$D$803)))</f>
        <v/>
      </c>
      <c r="BA6" s="8" t="str">
        <f>IF($B6="","",IF(COUNTIF('Competency Event Log'!$U$4:$U$803,$B6&amp;"|"&amp;BA$5)=0,"",SUMIF('Competency Event Log'!$U$4:$U$803,$B6&amp;"|"&amp;BA$5,'Competency Event Log'!$D$4:$D$803)))</f>
        <v/>
      </c>
      <c r="BB6" s="8" t="str">
        <f>IF($B6="","",IF(COUNTIF('Competency Event Log'!$U$4:$U$803,$B6&amp;"|"&amp;BB$5)=0,"",SUMIF('Competency Event Log'!$U$4:$U$803,$B6&amp;"|"&amp;BB$5,'Competency Event Log'!$D$4:$D$803)))</f>
        <v/>
      </c>
      <c r="BC6" s="8" t="str">
        <f>IF($B6="","",IF(COUNTIF('Competency Event Log'!$U$4:$U$803,$B6&amp;"|"&amp;BC$5)=0,"",SUMIF('Competency Event Log'!$U$4:$U$803,$B6&amp;"|"&amp;BC$5,'Competency Event Log'!$D$4:$D$803)))</f>
        <v/>
      </c>
      <c r="BD6" s="8" t="str">
        <f>IF($B6="","",IF(COUNTIF('Competency Event Log'!$U$4:$U$803,$B6&amp;"|"&amp;BD$5)=0,"",SUMIF('Competency Event Log'!$U$4:$U$803,$B6&amp;"|"&amp;BD$5,'Competency Event Log'!$D$4:$D$803)))</f>
        <v/>
      </c>
      <c r="BE6" s="8" t="str">
        <f>IF($B6="","",IF(COUNTIF('Competency Event Log'!$U$4:$U$803,$B6&amp;"|"&amp;BE$5)=0,"",SUMIF('Competency Event Log'!$U$4:$U$803,$B6&amp;"|"&amp;BE$5,'Competency Event Log'!$D$4:$D$803)))</f>
        <v/>
      </c>
      <c r="BF6" s="8" t="str">
        <f>IF($B6="","",IF(COUNTIF('Competency Event Log'!$U$4:$U$803,$B6&amp;"|"&amp;BF$5)=0,"",SUMIF('Competency Event Log'!$U$4:$U$803,$B6&amp;"|"&amp;BF$5,'Competency Event Log'!$D$4:$D$803)))</f>
        <v/>
      </c>
      <c r="BG6" s="8" t="str">
        <f>IF($B6="","",IF(COUNTIF('Competency Event Log'!$U$4:$U$803,$B6&amp;"|"&amp;BG$5)=0,"",SUMIF('Competency Event Log'!$U$4:$U$803,$B6&amp;"|"&amp;BG$5,'Competency Event Log'!$D$4:$D$803)))</f>
        <v/>
      </c>
      <c r="BH6" s="8" t="str">
        <f>IF($B6="","",IF(COUNTIF('Competency Event Log'!$U$4:$U$803,$B6&amp;"|"&amp;BH$5)=0,"",SUMIF('Competency Event Log'!$U$4:$U$803,$B6&amp;"|"&amp;BH$5,'Competency Event Log'!$D$4:$D$803)))</f>
        <v/>
      </c>
      <c r="BI6" s="8" t="str">
        <f>IF($B6="","",IF(COUNTIF('Competency Event Log'!$U$4:$U$803,$B6&amp;"|"&amp;BI$5)=0,"",SUMIF('Competency Event Log'!$U$4:$U$803,$B6&amp;"|"&amp;BI$5,'Competency Event Log'!$D$4:$D$803)))</f>
        <v/>
      </c>
      <c r="BJ6" s="8" t="str">
        <f>IF($B6="","",IF(COUNTIF('Competency Event Log'!$U$4:$U$803,$B6&amp;"|"&amp;BJ$5)=0,"",SUMIF('Competency Event Log'!$U$4:$U$803,$B6&amp;"|"&amp;BJ$5,'Competency Event Log'!$D$4:$D$803)))</f>
        <v/>
      </c>
      <c r="BK6" s="8" t="str">
        <f>IF($B6="","",IF(COUNTIF('Competency Event Log'!$U$4:$U$803,$B6&amp;"|"&amp;BK$5)=0,"",SUMIF('Competency Event Log'!$U$4:$U$803,$B6&amp;"|"&amp;BK$5,'Competency Event Log'!$D$4:$D$803)))</f>
        <v/>
      </c>
      <c r="BL6" s="8" t="str">
        <f>IF($B6="","",IF(COUNTIF('Competency Event Log'!$U$4:$U$803,$B6&amp;"|"&amp;BL$5)=0,"",SUMIF('Competency Event Log'!$U$4:$U$803,$B6&amp;"|"&amp;BL$5,'Competency Event Log'!$D$4:$D$803)))</f>
        <v/>
      </c>
      <c r="BM6" s="8" t="str">
        <f>IF($B6="","",IF(COUNTIF('Competency Event Log'!$U$4:$U$803,$B6&amp;"|"&amp;BM$5)=0,"",SUMIF('Competency Event Log'!$U$4:$U$803,$B6&amp;"|"&amp;BM$5,'Competency Event Log'!$D$4:$D$803)))</f>
        <v/>
      </c>
      <c r="BN6" s="8" t="str">
        <f>IF($B6="","",IF(COUNTIF('Competency Event Log'!$U$4:$U$803,$B6&amp;"|"&amp;BN$5)=0,"",SUMIF('Competency Event Log'!$U$4:$U$803,$B6&amp;"|"&amp;BN$5,'Competency Event Log'!$D$4:$D$803)))</f>
        <v/>
      </c>
      <c r="BO6" s="8" t="str">
        <f>IF($B6="","",IF(COUNTIF('Competency Event Log'!$U$4:$U$803,$B6&amp;"|"&amp;BO$5)=0,"",SUMIF('Competency Event Log'!$U$4:$U$803,$B6&amp;"|"&amp;BO$5,'Competency Event Log'!$D$4:$D$803)))</f>
        <v/>
      </c>
      <c r="BP6" s="8" t="str">
        <f>IF($B6="","",IF(COUNTIF('Competency Event Log'!$U$4:$U$803,$B6&amp;"|"&amp;BP$5)=0,"",SUMIF('Competency Event Log'!$U$4:$U$803,$B6&amp;"|"&amp;BP$5,'Competency Event Log'!$D$4:$D$803)))</f>
        <v/>
      </c>
      <c r="BQ6" s="8" t="str">
        <f>IF($B6="","",IF(COUNTIF('Competency Event Log'!$U$4:$U$803,$B6&amp;"|"&amp;BQ$5)=0,"",SUMIF('Competency Event Log'!$U$4:$U$803,$B6&amp;"|"&amp;BQ$5,'Competency Event Log'!$D$4:$D$803)))</f>
        <v/>
      </c>
      <c r="BR6" s="8" t="str">
        <f>IF($B6="","",IF(COUNTIF('Competency Event Log'!$U$4:$U$803,$B6&amp;"|"&amp;BR$5)=0,"",SUMIF('Competency Event Log'!$U$4:$U$803,$B6&amp;"|"&amp;BR$5,'Competency Event Log'!$D$4:$D$803)))</f>
        <v/>
      </c>
      <c r="BS6" s="8" t="str">
        <f>IF($B6="","",IF(COUNTIF('Competency Event Log'!$U$4:$U$803,$B6&amp;"|"&amp;BS$5)=0,"",SUMIF('Competency Event Log'!$U$4:$U$803,$B6&amp;"|"&amp;BS$5,'Competency Event Log'!$D$4:$D$803)))</f>
        <v/>
      </c>
      <c r="BT6" s="8" t="str">
        <f>IF($B6="","",IF(COUNTIF('Competency Event Log'!$U$4:$U$803,$B6&amp;"|"&amp;BT$5)=0,"",SUMIF('Competency Event Log'!$U$4:$U$803,$B6&amp;"|"&amp;BT$5,'Competency Event Log'!$D$4:$D$803)))</f>
        <v/>
      </c>
      <c r="BU6" s="8">
        <f>IF($B6="","",IF(COUNTIF('Competency Event Log'!$U$4:$U$803,$B6&amp;"|"&amp;BU$5)=0,"",SUMIF('Competency Event Log'!$U$4:$U$803,$B6&amp;"|"&amp;BU$5,'Competency Event Log'!$D$4:$D$803)))</f>
        <v>3</v>
      </c>
      <c r="BV6" s="8" t="str">
        <f>IF($B6="","",IF(COUNTIF('Competency Event Log'!$U$4:$U$803,$B6&amp;"|"&amp;BV$5)=0,"",SUMIF('Competency Event Log'!$U$4:$U$803,$B6&amp;"|"&amp;BV$5,'Competency Event Log'!$D$4:$D$803)))</f>
        <v/>
      </c>
      <c r="BW6" s="8" t="str">
        <f>IF($B6="","",IF(COUNTIF('Competency Event Log'!$U$4:$U$803,$B6&amp;"|"&amp;BW$5)=0,"",SUMIF('Competency Event Log'!$U$4:$U$803,$B6&amp;"|"&amp;BW$5,'Competency Event Log'!$D$4:$D$803)))</f>
        <v/>
      </c>
      <c r="BX6" s="8" t="str">
        <f>IF($B6="","",IF(COUNTIF('Competency Event Log'!$U$4:$U$803,$B6&amp;"|"&amp;BX$5)=0,"",SUMIF('Competency Event Log'!$U$4:$U$803,$B6&amp;"|"&amp;BX$5,'Competency Event Log'!$D$4:$D$803)))</f>
        <v/>
      </c>
      <c r="BY6" s="8" t="str">
        <f>IF($B6="","",IF(COUNTIF('Competency Event Log'!$U$4:$U$803,$B6&amp;"|"&amp;BY$5)=0,"",SUMIF('Competency Event Log'!$U$4:$U$803,$B6&amp;"|"&amp;BY$5,'Competency Event Log'!$D$4:$D$803)))</f>
        <v/>
      </c>
      <c r="BZ6" s="8" t="str">
        <f>IF($B6="","",IF(COUNTIF('Competency Event Log'!$U$4:$U$803,$B6&amp;"|"&amp;BZ$5)=0,"",SUMIF('Competency Event Log'!$U$4:$U$803,$B6&amp;"|"&amp;BZ$5,'Competency Event Log'!$D$4:$D$803)))</f>
        <v/>
      </c>
      <c r="CA6" s="8" t="str">
        <f>IF($B6="","",IF(COUNTIF('Competency Event Log'!$U$4:$U$803,$B6&amp;"|"&amp;CA$5)=0,"",SUMIF('Competency Event Log'!$U$4:$U$803,$B6&amp;"|"&amp;CA$5,'Competency Event Log'!$D$4:$D$803)))</f>
        <v/>
      </c>
      <c r="CB6" s="8" t="str">
        <f>IF($B6="","",IF(COUNTIF('Competency Event Log'!$U$4:$U$803,$B6&amp;"|"&amp;CB$5)=0,"",SUMIF('Competency Event Log'!$U$4:$U$803,$B6&amp;"|"&amp;CB$5,'Competency Event Log'!$D$4:$D$803)))</f>
        <v/>
      </c>
      <c r="CC6" s="8" t="str">
        <f>IF($B6="","",IF(COUNTIF('Competency Event Log'!$U$4:$U$803,$B6&amp;"|"&amp;CC$5)=0,"",SUMIF('Competency Event Log'!$U$4:$U$803,$B6&amp;"|"&amp;CC$5,'Competency Event Log'!$D$4:$D$803)))</f>
        <v/>
      </c>
      <c r="CD6" s="8" t="str">
        <f>IF($B6="","",IF(COUNTIF('Competency Event Log'!$U$4:$U$803,$B6&amp;"|"&amp;CD$5)=0,"",SUMIF('Competency Event Log'!$U$4:$U$803,$B6&amp;"|"&amp;CD$5,'Competency Event Log'!$D$4:$D$803)))</f>
        <v/>
      </c>
      <c r="CE6" s="8" t="str">
        <f>IF($B6="","",IF(COUNTIF('Competency Event Log'!$U$4:$U$803,$B6&amp;"|"&amp;CE$5)=0,"",SUMIF('Competency Event Log'!$U$4:$U$803,$B6&amp;"|"&amp;CE$5,'Competency Event Log'!$D$4:$D$803)))</f>
        <v/>
      </c>
      <c r="CF6" s="8" t="str">
        <f>IF($B6="","",IF(COUNTIF('Competency Event Log'!$U$4:$U$803,$B6&amp;"|"&amp;CF$5)=0,"",SUMIF('Competency Event Log'!$U$4:$U$803,$B6&amp;"|"&amp;CF$5,'Competency Event Log'!$D$4:$D$803)))</f>
        <v/>
      </c>
      <c r="CG6" s="8" t="str">
        <f>IF($B6="","",IF(COUNTIF('Competency Event Log'!$U$4:$U$803,$B6&amp;"|"&amp;CG$5)=0,"",SUMIF('Competency Event Log'!$U$4:$U$803,$B6&amp;"|"&amp;CG$5,'Competency Event Log'!$D$4:$D$803)))</f>
        <v/>
      </c>
      <c r="CH6" s="8" t="str">
        <f>IF($B6="","",IF(COUNTIF('Competency Event Log'!$U$4:$U$803,$B6&amp;"|"&amp;CH$5)=0,"",SUMIF('Competency Event Log'!$U$4:$U$803,$B6&amp;"|"&amp;CH$5,'Competency Event Log'!$D$4:$D$803)))</f>
        <v/>
      </c>
      <c r="CI6" s="8" t="str">
        <f>IF($B6="","",IF(COUNTIF('Competency Event Log'!$U$4:$U$803,$B6&amp;"|"&amp;CI$5)=0,"",SUMIF('Competency Event Log'!$U$4:$U$803,$B6&amp;"|"&amp;CI$5,'Competency Event Log'!$D$4:$D$803)))</f>
        <v/>
      </c>
      <c r="CJ6" s="8" t="str">
        <f>IF($B6="","",IF(COUNTIF('Competency Event Log'!$U$4:$U$803,$B6&amp;"|"&amp;CJ$5)=0,"",SUMIF('Competency Event Log'!$U$4:$U$803,$B6&amp;"|"&amp;CJ$5,'Competency Event Log'!$D$4:$D$803)))</f>
        <v/>
      </c>
      <c r="CK6" s="8" t="str">
        <f>IF($B6="","",IF(COUNTIF('Competency Event Log'!$U$4:$U$803,$B6&amp;"|"&amp;CK$5)=0,"",SUMIF('Competency Event Log'!$U$4:$U$803,$B6&amp;"|"&amp;CK$5,'Competency Event Log'!$D$4:$D$803)))</f>
        <v/>
      </c>
      <c r="CL6" s="8" t="str">
        <f>IF($B6="","",IF(COUNTIF('Competency Event Log'!$U$4:$U$803,$B6&amp;"|"&amp;CL$5)=0,"",SUMIF('Competency Event Log'!$U$4:$U$803,$B6&amp;"|"&amp;CL$5,'Competency Event Log'!$D$4:$D$803)))</f>
        <v/>
      </c>
      <c r="CM6" s="8" t="str">
        <f>IF($B6="","",IF(COUNTIF('Competency Event Log'!$U$4:$U$803,$B6&amp;"|"&amp;CM$5)=0,"",SUMIF('Competency Event Log'!$U$4:$U$803,$B6&amp;"|"&amp;CM$5,'Competency Event Log'!$D$4:$D$803)))</f>
        <v/>
      </c>
      <c r="CN6" s="8" t="str">
        <f>IF($B6="","",IF(COUNTIF('Competency Event Log'!$U$4:$U$803,$B6&amp;"|"&amp;CN$5)=0,"",SUMIF('Competency Event Log'!$U$4:$U$803,$B6&amp;"|"&amp;CN$5,'Competency Event Log'!$D$4:$D$803)))</f>
        <v/>
      </c>
      <c r="CO6" s="8" t="str">
        <f>IF($B6="","",IF(COUNTIF('Competency Event Log'!$U$4:$U$803,$B6&amp;"|"&amp;CO$5)=0,"",SUMIF('Competency Event Log'!$U$4:$U$803,$B6&amp;"|"&amp;CO$5,'Competency Event Log'!$D$4:$D$803)))</f>
        <v/>
      </c>
      <c r="CP6" s="8" t="str">
        <f>IF($B6="","",IF(COUNTIF('Competency Event Log'!$U$4:$U$803,$B6&amp;"|"&amp;CP$5)=0,"",SUMIF('Competency Event Log'!$U$4:$U$803,$B6&amp;"|"&amp;CP$5,'Competency Event Log'!$D$4:$D$803)))</f>
        <v/>
      </c>
      <c r="CQ6" s="8" t="str">
        <f>IF($B6="","",IF(COUNTIF('Competency Event Log'!$U$4:$U$803,$B6&amp;"|"&amp;CQ$5)=0,"",SUMIF('Competency Event Log'!$U$4:$U$803,$B6&amp;"|"&amp;CQ$5,'Competency Event Log'!$D$4:$D$803)))</f>
        <v/>
      </c>
      <c r="CR6" s="8" t="str">
        <f>IF($B6="","",IF(COUNTIF('Competency Event Log'!$U$4:$U$803,$B6&amp;"|"&amp;CR$5)=0,"",SUMIF('Competency Event Log'!$U$4:$U$803,$B6&amp;"|"&amp;CR$5,'Competency Event Log'!$D$4:$D$803)))</f>
        <v/>
      </c>
      <c r="CS6" s="8" t="str">
        <f>IF($B6="","",IF(COUNTIF('Competency Event Log'!$U$4:$U$803,$B6&amp;"|"&amp;CS$5)=0,"",SUMIF('Competency Event Log'!$U$4:$U$803,$B6&amp;"|"&amp;CS$5,'Competency Event Log'!$D$4:$D$803)))</f>
        <v/>
      </c>
      <c r="CT6" s="8" t="str">
        <f>IF($B6="","",IF(COUNTIF('Competency Event Log'!$U$4:$U$803,$B6&amp;"|"&amp;CT$5)=0,"",SUMIF('Competency Event Log'!$U$4:$U$803,$B6&amp;"|"&amp;CT$5,'Competency Event Log'!$D$4:$D$803)))</f>
        <v/>
      </c>
      <c r="CU6" s="8" t="str">
        <f>IF($B6="","",IF(COUNTIF('Competency Event Log'!$U$4:$U$803,$B6&amp;"|"&amp;CU$5)=0,"",SUMIF('Competency Event Log'!$U$4:$U$803,$B6&amp;"|"&amp;CU$5,'Competency Event Log'!$D$4:$D$803)))</f>
        <v/>
      </c>
      <c r="CV6" s="8" t="str">
        <f>IF($B6="","",IF(COUNTIF('Competency Event Log'!$U$4:$U$803,$B6&amp;"|"&amp;CV$5)=0,"",SUMIF('Competency Event Log'!$U$4:$U$803,$B6&amp;"|"&amp;CV$5,'Competency Event Log'!$D$4:$D$803)))</f>
        <v/>
      </c>
      <c r="CW6" s="8" t="str">
        <f>IF($B6="","",IF(COUNTIF('Competency Event Log'!$U$4:$U$803,$B6&amp;"|"&amp;CW$5)=0,"",SUMIF('Competency Event Log'!$U$4:$U$803,$B6&amp;"|"&amp;CW$5,'Competency Event Log'!$D$4:$D$803)))</f>
        <v/>
      </c>
      <c r="CX6" s="8" t="str">
        <f>IF($B6="","",IF(COUNTIF('Competency Event Log'!$U$4:$U$803,$B6&amp;"|"&amp;CX$5)=0,"",SUMIF('Competency Event Log'!$U$4:$U$803,$B6&amp;"|"&amp;CX$5,'Competency Event Log'!$D$4:$D$803)))</f>
        <v/>
      </c>
      <c r="CY6" s="8" t="str">
        <f>IF($B6="","",IF(COUNTIF('Competency Event Log'!$U$4:$U$803,$B6&amp;"|"&amp;CY$5)=0,"",SUMIF('Competency Event Log'!$U$4:$U$803,$B6&amp;"|"&amp;CY$5,'Competency Event Log'!$D$4:$D$803)))</f>
        <v/>
      </c>
      <c r="CZ6" s="8" t="str">
        <f>IF($B6="","",IF(COUNTIF('Competency Event Log'!$U$4:$U$803,$B6&amp;"|"&amp;CZ$5)=0,"",SUMIF('Competency Event Log'!$U$4:$U$803,$B6&amp;"|"&amp;CZ$5,'Competency Event Log'!$D$4:$D$803)))</f>
        <v/>
      </c>
      <c r="DA6" s="8" t="str">
        <f>IF($B6="","",IF(COUNTIF('Competency Event Log'!$U$4:$U$803,$B6&amp;"|"&amp;DA$5)=0,"",SUMIF('Competency Event Log'!$U$4:$U$803,$B6&amp;"|"&amp;DA$5,'Competency Event Log'!$D$4:$D$803)))</f>
        <v/>
      </c>
      <c r="DB6" s="8" t="str">
        <f>IF($B6="","",IF(COUNTIF('Competency Event Log'!$U$4:$U$803,$B6&amp;"|"&amp;DB$5)=0,"",SUMIF('Competency Event Log'!$U$4:$U$803,$B6&amp;"|"&amp;DB$5,'Competency Event Log'!$D$4:$D$803)))</f>
        <v/>
      </c>
      <c r="DC6" s="8" t="str">
        <f>IF($B6="","",IF(COUNTIF('Competency Event Log'!$U$4:$U$803,$B6&amp;"|"&amp;DC$5)=0,"",SUMIF('Competency Event Log'!$U$4:$U$803,$B6&amp;"|"&amp;DC$5,'Competency Event Log'!$D$4:$D$803)))</f>
        <v/>
      </c>
      <c r="DD6" s="8">
        <f>IF($B6="","",IF(COUNTIF('Competency Event Log'!$U$4:$U$803,$B6&amp;"|"&amp;DD$5)=0,"",SUMIF('Competency Event Log'!$U$4:$U$803,$B6&amp;"|"&amp;DD$5,'Competency Event Log'!$D$4:$D$803)))</f>
        <v>3</v>
      </c>
      <c r="DE6" s="8" t="str">
        <f>IF($B6="","",IF(COUNTIF('Competency Event Log'!$U$4:$U$803,$B6&amp;"|"&amp;DE$5)=0,"",SUMIF('Competency Event Log'!$U$4:$U$803,$B6&amp;"|"&amp;DE$5,'Competency Event Log'!$D$4:$D$803)))</f>
        <v/>
      </c>
      <c r="DF6" s="8">
        <f t="shared" ref="DF6:DF37" si="0">IF($B6="","",SUM($G6:$DE6))</f>
        <v>21</v>
      </c>
      <c r="DG6" s="8">
        <f t="shared" ref="DG6:DG37" si="1">IF($B6="","",COUNT($G6:$DE6))</f>
        <v>7</v>
      </c>
      <c r="DH6" s="8">
        <f t="shared" ref="DH6:DH37" si="2">IF($B6="","",COUNTIF($G6:$DE6,3))</f>
        <v>7</v>
      </c>
      <c r="DI6" s="11">
        <f t="shared" ref="DI6:DI37" si="3">IF($B6="","",IFERROR(SUMPRODUCT(--(($G$4:$DE$4=$A6)+($G$4:$DE$4="All Departments")&gt;0),--($G6:$DE6&lt;&gt;""))/(COUNTIF($G$4:$DE$4,$A6)+COUNTIF($G$4:$DE$4,"All Departments")),0))</f>
        <v>0.3125</v>
      </c>
    </row>
    <row r="7" spans="1:113">
      <c r="A7" s="7" t="s">
        <v>304</v>
      </c>
      <c r="B7" s="7" t="s">
        <v>33</v>
      </c>
      <c r="C7" s="8">
        <v>2</v>
      </c>
      <c r="D7" s="9" t="s">
        <v>442</v>
      </c>
      <c r="E7" s="10">
        <v>42838</v>
      </c>
      <c r="F7" s="8" t="s">
        <v>409</v>
      </c>
      <c r="G7" s="8" t="str">
        <f>IF($B7="","",IF(COUNTIF('Competency Event Log'!$U$4:$U$803,$B7&amp;"|"&amp;G$5)=0,"",SUMIF('Competency Event Log'!$U$4:$U$803,$B7&amp;"|"&amp;G$5,'Competency Event Log'!$D$4:$D$803)))</f>
        <v/>
      </c>
      <c r="H7" s="8">
        <f>IF($B7="","",IF(COUNTIF('Competency Event Log'!$U$4:$U$803,$B7&amp;"|"&amp;H$5)=0,"",SUMIF('Competency Event Log'!$U$4:$U$803,$B7&amp;"|"&amp;H$5,'Competency Event Log'!$D$4:$D$803)))</f>
        <v>3</v>
      </c>
      <c r="I7" s="8" t="str">
        <f>IF($B7="","",IF(COUNTIF('Competency Event Log'!$U$4:$U$803,$B7&amp;"|"&amp;I$5)=0,"",SUMIF('Competency Event Log'!$U$4:$U$803,$B7&amp;"|"&amp;I$5,'Competency Event Log'!$D$4:$D$803)))</f>
        <v/>
      </c>
      <c r="J7" s="8">
        <f>IF($B7="","",IF(COUNTIF('Competency Event Log'!$U$4:$U$803,$B7&amp;"|"&amp;J$5)=0,"",SUMIF('Competency Event Log'!$U$4:$U$803,$B7&amp;"|"&amp;J$5,'Competency Event Log'!$D$4:$D$803)))</f>
        <v>2</v>
      </c>
      <c r="K7" s="8" t="str">
        <f>IF($B7="","",IF(COUNTIF('Competency Event Log'!$U$4:$U$803,$B7&amp;"|"&amp;K$5)=0,"",SUMIF('Competency Event Log'!$U$4:$U$803,$B7&amp;"|"&amp;K$5,'Competency Event Log'!$D$4:$D$803)))</f>
        <v/>
      </c>
      <c r="L7" s="8" t="str">
        <f>IF($B7="","",IF(COUNTIF('Competency Event Log'!$U$4:$U$803,$B7&amp;"|"&amp;L$5)=0,"",SUMIF('Competency Event Log'!$U$4:$U$803,$B7&amp;"|"&amp;L$5,'Competency Event Log'!$D$4:$D$803)))</f>
        <v/>
      </c>
      <c r="M7" s="8" t="str">
        <f>IF($B7="","",IF(COUNTIF('Competency Event Log'!$U$4:$U$803,$B7&amp;"|"&amp;M$5)=0,"",SUMIF('Competency Event Log'!$U$4:$U$803,$B7&amp;"|"&amp;M$5,'Competency Event Log'!$D$4:$D$803)))</f>
        <v/>
      </c>
      <c r="N7" s="8">
        <f>IF($B7="","",IF(COUNTIF('Competency Event Log'!$U$4:$U$803,$B7&amp;"|"&amp;N$5)=0,"",SUMIF('Competency Event Log'!$U$4:$U$803,$B7&amp;"|"&amp;N$5,'Competency Event Log'!$D$4:$D$803)))</f>
        <v>3</v>
      </c>
      <c r="O7" s="8">
        <f>IF($B7="","",IF(COUNTIF('Competency Event Log'!$U$4:$U$803,$B7&amp;"|"&amp;O$5)=0,"",SUMIF('Competency Event Log'!$U$4:$U$803,$B7&amp;"|"&amp;O$5,'Competency Event Log'!$D$4:$D$803)))</f>
        <v>2</v>
      </c>
      <c r="P7" s="8" t="str">
        <f>IF($B7="","",IF(COUNTIF('Competency Event Log'!$U$4:$U$803,$B7&amp;"|"&amp;P$5)=0,"",SUMIF('Competency Event Log'!$U$4:$U$803,$B7&amp;"|"&amp;P$5,'Competency Event Log'!$D$4:$D$803)))</f>
        <v/>
      </c>
      <c r="Q7" s="8">
        <f>IF($B7="","",IF(COUNTIF('Competency Event Log'!$U$4:$U$803,$B7&amp;"|"&amp;Q$5)=0,"",SUMIF('Competency Event Log'!$U$4:$U$803,$B7&amp;"|"&amp;Q$5,'Competency Event Log'!$D$4:$D$803)))</f>
        <v>3</v>
      </c>
      <c r="R7" s="8" t="str">
        <f>IF($B7="","",IF(COUNTIF('Competency Event Log'!$U$4:$U$803,$B7&amp;"|"&amp;R$5)=0,"",SUMIF('Competency Event Log'!$U$4:$U$803,$B7&amp;"|"&amp;R$5,'Competency Event Log'!$D$4:$D$803)))</f>
        <v/>
      </c>
      <c r="S7" s="8" t="str">
        <f>IF($B7="","",IF(COUNTIF('Competency Event Log'!$U$4:$U$803,$B7&amp;"|"&amp;S$5)=0,"",SUMIF('Competency Event Log'!$U$4:$U$803,$B7&amp;"|"&amp;S$5,'Competency Event Log'!$D$4:$D$803)))</f>
        <v/>
      </c>
      <c r="T7" s="8" t="str">
        <f>IF($B7="","",IF(COUNTIF('Competency Event Log'!$U$4:$U$803,$B7&amp;"|"&amp;T$5)=0,"",SUMIF('Competency Event Log'!$U$4:$U$803,$B7&amp;"|"&amp;T$5,'Competency Event Log'!$D$4:$D$803)))</f>
        <v/>
      </c>
      <c r="U7" s="8">
        <f>IF($B7="","",IF(COUNTIF('Competency Event Log'!$U$4:$U$803,$B7&amp;"|"&amp;U$5)=0,"",SUMIF('Competency Event Log'!$U$4:$U$803,$B7&amp;"|"&amp;U$5,'Competency Event Log'!$D$4:$D$803)))</f>
        <v>2</v>
      </c>
      <c r="V7" s="8">
        <f>IF($B7="","",IF(COUNTIF('Competency Event Log'!$U$4:$U$803,$B7&amp;"|"&amp;V$5)=0,"",SUMIF('Competency Event Log'!$U$4:$U$803,$B7&amp;"|"&amp;V$5,'Competency Event Log'!$D$4:$D$803)))</f>
        <v>3</v>
      </c>
      <c r="W7" s="8" t="str">
        <f>IF($B7="","",IF(COUNTIF('Competency Event Log'!$U$4:$U$803,$B7&amp;"|"&amp;W$5)=0,"",SUMIF('Competency Event Log'!$U$4:$U$803,$B7&amp;"|"&amp;W$5,'Competency Event Log'!$D$4:$D$803)))</f>
        <v/>
      </c>
      <c r="X7" s="8" t="str">
        <f>IF($B7="","",IF(COUNTIF('Competency Event Log'!$U$4:$U$803,$B7&amp;"|"&amp;X$5)=0,"",SUMIF('Competency Event Log'!$U$4:$U$803,$B7&amp;"|"&amp;X$5,'Competency Event Log'!$D$4:$D$803)))</f>
        <v/>
      </c>
      <c r="Y7" s="8" t="str">
        <f>IF($B7="","",IF(COUNTIF('Competency Event Log'!$U$4:$U$803,$B7&amp;"|"&amp;Y$5)=0,"",SUMIF('Competency Event Log'!$U$4:$U$803,$B7&amp;"|"&amp;Y$5,'Competency Event Log'!$D$4:$D$803)))</f>
        <v/>
      </c>
      <c r="Z7" s="8" t="str">
        <f>IF($B7="","",IF(COUNTIF('Competency Event Log'!$U$4:$U$803,$B7&amp;"|"&amp;Z$5)=0,"",SUMIF('Competency Event Log'!$U$4:$U$803,$B7&amp;"|"&amp;Z$5,'Competency Event Log'!$D$4:$D$803)))</f>
        <v/>
      </c>
      <c r="AA7" s="8" t="str">
        <f>IF($B7="","",IF(COUNTIF('Competency Event Log'!$U$4:$U$803,$B7&amp;"|"&amp;AA$5)=0,"",SUMIF('Competency Event Log'!$U$4:$U$803,$B7&amp;"|"&amp;AA$5,'Competency Event Log'!$D$4:$D$803)))</f>
        <v/>
      </c>
      <c r="AB7" s="8" t="str">
        <f>IF($B7="","",IF(COUNTIF('Competency Event Log'!$U$4:$U$803,$B7&amp;"|"&amp;AB$5)=0,"",SUMIF('Competency Event Log'!$U$4:$U$803,$B7&amp;"|"&amp;AB$5,'Competency Event Log'!$D$4:$D$803)))</f>
        <v/>
      </c>
      <c r="AC7" s="8" t="str">
        <f>IF($B7="","",IF(COUNTIF('Competency Event Log'!$U$4:$U$803,$B7&amp;"|"&amp;AC$5)=0,"",SUMIF('Competency Event Log'!$U$4:$U$803,$B7&amp;"|"&amp;AC$5,'Competency Event Log'!$D$4:$D$803)))</f>
        <v/>
      </c>
      <c r="AD7" s="8" t="str">
        <f>IF($B7="","",IF(COUNTIF('Competency Event Log'!$U$4:$U$803,$B7&amp;"|"&amp;AD$5)=0,"",SUMIF('Competency Event Log'!$U$4:$U$803,$B7&amp;"|"&amp;AD$5,'Competency Event Log'!$D$4:$D$803)))</f>
        <v/>
      </c>
      <c r="AE7" s="8" t="str">
        <f>IF($B7="","",IF(COUNTIF('Competency Event Log'!$U$4:$U$803,$B7&amp;"|"&amp;AE$5)=0,"",SUMIF('Competency Event Log'!$U$4:$U$803,$B7&amp;"|"&amp;AE$5,'Competency Event Log'!$D$4:$D$803)))</f>
        <v/>
      </c>
      <c r="AF7" s="8" t="str">
        <f>IF($B7="","",IF(COUNTIF('Competency Event Log'!$U$4:$U$803,$B7&amp;"|"&amp;AF$5)=0,"",SUMIF('Competency Event Log'!$U$4:$U$803,$B7&amp;"|"&amp;AF$5,'Competency Event Log'!$D$4:$D$803)))</f>
        <v/>
      </c>
      <c r="AG7" s="8" t="str">
        <f>IF($B7="","",IF(COUNTIF('Competency Event Log'!$U$4:$U$803,$B7&amp;"|"&amp;AG$5)=0,"",SUMIF('Competency Event Log'!$U$4:$U$803,$B7&amp;"|"&amp;AG$5,'Competency Event Log'!$D$4:$D$803)))</f>
        <v/>
      </c>
      <c r="AH7" s="8" t="str">
        <f>IF($B7="","",IF(COUNTIF('Competency Event Log'!$U$4:$U$803,$B7&amp;"|"&amp;AH$5)=0,"",SUMIF('Competency Event Log'!$U$4:$U$803,$B7&amp;"|"&amp;AH$5,'Competency Event Log'!$D$4:$D$803)))</f>
        <v/>
      </c>
      <c r="AI7" s="8" t="str">
        <f>IF($B7="","",IF(COUNTIF('Competency Event Log'!$U$4:$U$803,$B7&amp;"|"&amp;AI$5)=0,"",SUMIF('Competency Event Log'!$U$4:$U$803,$B7&amp;"|"&amp;AI$5,'Competency Event Log'!$D$4:$D$803)))</f>
        <v/>
      </c>
      <c r="AJ7" s="8" t="str">
        <f>IF($B7="","",IF(COUNTIF('Competency Event Log'!$U$4:$U$803,$B7&amp;"|"&amp;AJ$5)=0,"",SUMIF('Competency Event Log'!$U$4:$U$803,$B7&amp;"|"&amp;AJ$5,'Competency Event Log'!$D$4:$D$803)))</f>
        <v/>
      </c>
      <c r="AK7" s="8" t="str">
        <f>IF($B7="","",IF(COUNTIF('Competency Event Log'!$U$4:$U$803,$B7&amp;"|"&amp;AK$5)=0,"",SUMIF('Competency Event Log'!$U$4:$U$803,$B7&amp;"|"&amp;AK$5,'Competency Event Log'!$D$4:$D$803)))</f>
        <v/>
      </c>
      <c r="AL7" s="8" t="str">
        <f>IF($B7="","",IF(COUNTIF('Competency Event Log'!$U$4:$U$803,$B7&amp;"|"&amp;AL$5)=0,"",SUMIF('Competency Event Log'!$U$4:$U$803,$B7&amp;"|"&amp;AL$5,'Competency Event Log'!$D$4:$D$803)))</f>
        <v/>
      </c>
      <c r="AM7" s="8" t="str">
        <f>IF($B7="","",IF(COUNTIF('Competency Event Log'!$U$4:$U$803,$B7&amp;"|"&amp;AM$5)=0,"",SUMIF('Competency Event Log'!$U$4:$U$803,$B7&amp;"|"&amp;AM$5,'Competency Event Log'!$D$4:$D$803)))</f>
        <v/>
      </c>
      <c r="AN7" s="8" t="str">
        <f>IF($B7="","",IF(COUNTIF('Competency Event Log'!$U$4:$U$803,$B7&amp;"|"&amp;AN$5)=0,"",SUMIF('Competency Event Log'!$U$4:$U$803,$B7&amp;"|"&amp;AN$5,'Competency Event Log'!$D$4:$D$803)))</f>
        <v/>
      </c>
      <c r="AO7" s="8" t="str">
        <f>IF($B7="","",IF(COUNTIF('Competency Event Log'!$U$4:$U$803,$B7&amp;"|"&amp;AO$5)=0,"",SUMIF('Competency Event Log'!$U$4:$U$803,$B7&amp;"|"&amp;AO$5,'Competency Event Log'!$D$4:$D$803)))</f>
        <v/>
      </c>
      <c r="AP7" s="8" t="str">
        <f>IF($B7="","",IF(COUNTIF('Competency Event Log'!$U$4:$U$803,$B7&amp;"|"&amp;AP$5)=0,"",SUMIF('Competency Event Log'!$U$4:$U$803,$B7&amp;"|"&amp;AP$5,'Competency Event Log'!$D$4:$D$803)))</f>
        <v/>
      </c>
      <c r="AQ7" s="8" t="str">
        <f>IF($B7="","",IF(COUNTIF('Competency Event Log'!$U$4:$U$803,$B7&amp;"|"&amp;AQ$5)=0,"",SUMIF('Competency Event Log'!$U$4:$U$803,$B7&amp;"|"&amp;AQ$5,'Competency Event Log'!$D$4:$D$803)))</f>
        <v/>
      </c>
      <c r="AR7" s="8" t="str">
        <f>IF($B7="","",IF(COUNTIF('Competency Event Log'!$U$4:$U$803,$B7&amp;"|"&amp;AR$5)=0,"",SUMIF('Competency Event Log'!$U$4:$U$803,$B7&amp;"|"&amp;AR$5,'Competency Event Log'!$D$4:$D$803)))</f>
        <v/>
      </c>
      <c r="AS7" s="8" t="str">
        <f>IF($B7="","",IF(COUNTIF('Competency Event Log'!$U$4:$U$803,$B7&amp;"|"&amp;AS$5)=0,"",SUMIF('Competency Event Log'!$U$4:$U$803,$B7&amp;"|"&amp;AS$5,'Competency Event Log'!$D$4:$D$803)))</f>
        <v/>
      </c>
      <c r="AT7" s="8" t="str">
        <f>IF($B7="","",IF(COUNTIF('Competency Event Log'!$U$4:$U$803,$B7&amp;"|"&amp;AT$5)=0,"",SUMIF('Competency Event Log'!$U$4:$U$803,$B7&amp;"|"&amp;AT$5,'Competency Event Log'!$D$4:$D$803)))</f>
        <v/>
      </c>
      <c r="AU7" s="8" t="str">
        <f>IF($B7="","",IF(COUNTIF('Competency Event Log'!$U$4:$U$803,$B7&amp;"|"&amp;AU$5)=0,"",SUMIF('Competency Event Log'!$U$4:$U$803,$B7&amp;"|"&amp;AU$5,'Competency Event Log'!$D$4:$D$803)))</f>
        <v/>
      </c>
      <c r="AV7" s="8" t="str">
        <f>IF($B7="","",IF(COUNTIF('Competency Event Log'!$U$4:$U$803,$B7&amp;"|"&amp;AV$5)=0,"",SUMIF('Competency Event Log'!$U$4:$U$803,$B7&amp;"|"&amp;AV$5,'Competency Event Log'!$D$4:$D$803)))</f>
        <v/>
      </c>
      <c r="AW7" s="8" t="str">
        <f>IF($B7="","",IF(COUNTIF('Competency Event Log'!$U$4:$U$803,$B7&amp;"|"&amp;AW$5)=0,"",SUMIF('Competency Event Log'!$U$4:$U$803,$B7&amp;"|"&amp;AW$5,'Competency Event Log'!$D$4:$D$803)))</f>
        <v/>
      </c>
      <c r="AX7" s="8" t="str">
        <f>IF($B7="","",IF(COUNTIF('Competency Event Log'!$U$4:$U$803,$B7&amp;"|"&amp;AX$5)=0,"",SUMIF('Competency Event Log'!$U$4:$U$803,$B7&amp;"|"&amp;AX$5,'Competency Event Log'!$D$4:$D$803)))</f>
        <v/>
      </c>
      <c r="AY7" s="8" t="str">
        <f>IF($B7="","",IF(COUNTIF('Competency Event Log'!$U$4:$U$803,$B7&amp;"|"&amp;AY$5)=0,"",SUMIF('Competency Event Log'!$U$4:$U$803,$B7&amp;"|"&amp;AY$5,'Competency Event Log'!$D$4:$D$803)))</f>
        <v/>
      </c>
      <c r="AZ7" s="8" t="str">
        <f>IF($B7="","",IF(COUNTIF('Competency Event Log'!$U$4:$U$803,$B7&amp;"|"&amp;AZ$5)=0,"",SUMIF('Competency Event Log'!$U$4:$U$803,$B7&amp;"|"&amp;AZ$5,'Competency Event Log'!$D$4:$D$803)))</f>
        <v/>
      </c>
      <c r="BA7" s="8" t="str">
        <f>IF($B7="","",IF(COUNTIF('Competency Event Log'!$U$4:$U$803,$B7&amp;"|"&amp;BA$5)=0,"",SUMIF('Competency Event Log'!$U$4:$U$803,$B7&amp;"|"&amp;BA$5,'Competency Event Log'!$D$4:$D$803)))</f>
        <v/>
      </c>
      <c r="BB7" s="8" t="str">
        <f>IF($B7="","",IF(COUNTIF('Competency Event Log'!$U$4:$U$803,$B7&amp;"|"&amp;BB$5)=0,"",SUMIF('Competency Event Log'!$U$4:$U$803,$B7&amp;"|"&amp;BB$5,'Competency Event Log'!$D$4:$D$803)))</f>
        <v/>
      </c>
      <c r="BC7" s="8" t="str">
        <f>IF($B7="","",IF(COUNTIF('Competency Event Log'!$U$4:$U$803,$B7&amp;"|"&amp;BC$5)=0,"",SUMIF('Competency Event Log'!$U$4:$U$803,$B7&amp;"|"&amp;BC$5,'Competency Event Log'!$D$4:$D$803)))</f>
        <v/>
      </c>
      <c r="BD7" s="8" t="str">
        <f>IF($B7="","",IF(COUNTIF('Competency Event Log'!$U$4:$U$803,$B7&amp;"|"&amp;BD$5)=0,"",SUMIF('Competency Event Log'!$U$4:$U$803,$B7&amp;"|"&amp;BD$5,'Competency Event Log'!$D$4:$D$803)))</f>
        <v/>
      </c>
      <c r="BE7" s="8" t="str">
        <f>IF($B7="","",IF(COUNTIF('Competency Event Log'!$U$4:$U$803,$B7&amp;"|"&amp;BE$5)=0,"",SUMIF('Competency Event Log'!$U$4:$U$803,$B7&amp;"|"&amp;BE$5,'Competency Event Log'!$D$4:$D$803)))</f>
        <v/>
      </c>
      <c r="BF7" s="8" t="str">
        <f>IF($B7="","",IF(COUNTIF('Competency Event Log'!$U$4:$U$803,$B7&amp;"|"&amp;BF$5)=0,"",SUMIF('Competency Event Log'!$U$4:$U$803,$B7&amp;"|"&amp;BF$5,'Competency Event Log'!$D$4:$D$803)))</f>
        <v/>
      </c>
      <c r="BG7" s="8" t="str">
        <f>IF($B7="","",IF(COUNTIF('Competency Event Log'!$U$4:$U$803,$B7&amp;"|"&amp;BG$5)=0,"",SUMIF('Competency Event Log'!$U$4:$U$803,$B7&amp;"|"&amp;BG$5,'Competency Event Log'!$D$4:$D$803)))</f>
        <v/>
      </c>
      <c r="BH7" s="8" t="str">
        <f>IF($B7="","",IF(COUNTIF('Competency Event Log'!$U$4:$U$803,$B7&amp;"|"&amp;BH$5)=0,"",SUMIF('Competency Event Log'!$U$4:$U$803,$B7&amp;"|"&amp;BH$5,'Competency Event Log'!$D$4:$D$803)))</f>
        <v/>
      </c>
      <c r="BI7" s="8" t="str">
        <f>IF($B7="","",IF(COUNTIF('Competency Event Log'!$U$4:$U$803,$B7&amp;"|"&amp;BI$5)=0,"",SUMIF('Competency Event Log'!$U$4:$U$803,$B7&amp;"|"&amp;BI$5,'Competency Event Log'!$D$4:$D$803)))</f>
        <v/>
      </c>
      <c r="BJ7" s="8" t="str">
        <f>IF($B7="","",IF(COUNTIF('Competency Event Log'!$U$4:$U$803,$B7&amp;"|"&amp;BJ$5)=0,"",SUMIF('Competency Event Log'!$U$4:$U$803,$B7&amp;"|"&amp;BJ$5,'Competency Event Log'!$D$4:$D$803)))</f>
        <v/>
      </c>
      <c r="BK7" s="8" t="str">
        <f>IF($B7="","",IF(COUNTIF('Competency Event Log'!$U$4:$U$803,$B7&amp;"|"&amp;BK$5)=0,"",SUMIF('Competency Event Log'!$U$4:$U$803,$B7&amp;"|"&amp;BK$5,'Competency Event Log'!$D$4:$D$803)))</f>
        <v/>
      </c>
      <c r="BL7" s="8" t="str">
        <f>IF($B7="","",IF(COUNTIF('Competency Event Log'!$U$4:$U$803,$B7&amp;"|"&amp;BL$5)=0,"",SUMIF('Competency Event Log'!$U$4:$U$803,$B7&amp;"|"&amp;BL$5,'Competency Event Log'!$D$4:$D$803)))</f>
        <v/>
      </c>
      <c r="BM7" s="8" t="str">
        <f>IF($B7="","",IF(COUNTIF('Competency Event Log'!$U$4:$U$803,$B7&amp;"|"&amp;BM$5)=0,"",SUMIF('Competency Event Log'!$U$4:$U$803,$B7&amp;"|"&amp;BM$5,'Competency Event Log'!$D$4:$D$803)))</f>
        <v/>
      </c>
      <c r="BN7" s="8" t="str">
        <f>IF($B7="","",IF(COUNTIF('Competency Event Log'!$U$4:$U$803,$B7&amp;"|"&amp;BN$5)=0,"",SUMIF('Competency Event Log'!$U$4:$U$803,$B7&amp;"|"&amp;BN$5,'Competency Event Log'!$D$4:$D$803)))</f>
        <v/>
      </c>
      <c r="BO7" s="8" t="str">
        <f>IF($B7="","",IF(COUNTIF('Competency Event Log'!$U$4:$U$803,$B7&amp;"|"&amp;BO$5)=0,"",SUMIF('Competency Event Log'!$U$4:$U$803,$B7&amp;"|"&amp;BO$5,'Competency Event Log'!$D$4:$D$803)))</f>
        <v/>
      </c>
      <c r="BP7" s="8" t="str">
        <f>IF($B7="","",IF(COUNTIF('Competency Event Log'!$U$4:$U$803,$B7&amp;"|"&amp;BP$5)=0,"",SUMIF('Competency Event Log'!$U$4:$U$803,$B7&amp;"|"&amp;BP$5,'Competency Event Log'!$D$4:$D$803)))</f>
        <v/>
      </c>
      <c r="BQ7" s="8" t="str">
        <f>IF($B7="","",IF(COUNTIF('Competency Event Log'!$U$4:$U$803,$B7&amp;"|"&amp;BQ$5)=0,"",SUMIF('Competency Event Log'!$U$4:$U$803,$B7&amp;"|"&amp;BQ$5,'Competency Event Log'!$D$4:$D$803)))</f>
        <v/>
      </c>
      <c r="BR7" s="8" t="str">
        <f>IF($B7="","",IF(COUNTIF('Competency Event Log'!$U$4:$U$803,$B7&amp;"|"&amp;BR$5)=0,"",SUMIF('Competency Event Log'!$U$4:$U$803,$B7&amp;"|"&amp;BR$5,'Competency Event Log'!$D$4:$D$803)))</f>
        <v/>
      </c>
      <c r="BS7" s="8" t="str">
        <f>IF($B7="","",IF(COUNTIF('Competency Event Log'!$U$4:$U$803,$B7&amp;"|"&amp;BS$5)=0,"",SUMIF('Competency Event Log'!$U$4:$U$803,$B7&amp;"|"&amp;BS$5,'Competency Event Log'!$D$4:$D$803)))</f>
        <v/>
      </c>
      <c r="BT7" s="8" t="str">
        <f>IF($B7="","",IF(COUNTIF('Competency Event Log'!$U$4:$U$803,$B7&amp;"|"&amp;BT$5)=0,"",SUMIF('Competency Event Log'!$U$4:$U$803,$B7&amp;"|"&amp;BT$5,'Competency Event Log'!$D$4:$D$803)))</f>
        <v/>
      </c>
      <c r="BU7" s="8" t="str">
        <f>IF($B7="","",IF(COUNTIF('Competency Event Log'!$U$4:$U$803,$B7&amp;"|"&amp;BU$5)=0,"",SUMIF('Competency Event Log'!$U$4:$U$803,$B7&amp;"|"&amp;BU$5,'Competency Event Log'!$D$4:$D$803)))</f>
        <v/>
      </c>
      <c r="BV7" s="8" t="str">
        <f>IF($B7="","",IF(COUNTIF('Competency Event Log'!$U$4:$U$803,$B7&amp;"|"&amp;BV$5)=0,"",SUMIF('Competency Event Log'!$U$4:$U$803,$B7&amp;"|"&amp;BV$5,'Competency Event Log'!$D$4:$D$803)))</f>
        <v/>
      </c>
      <c r="BW7" s="8" t="str">
        <f>IF($B7="","",IF(COUNTIF('Competency Event Log'!$U$4:$U$803,$B7&amp;"|"&amp;BW$5)=0,"",SUMIF('Competency Event Log'!$U$4:$U$803,$B7&amp;"|"&amp;BW$5,'Competency Event Log'!$D$4:$D$803)))</f>
        <v/>
      </c>
      <c r="BX7" s="8" t="str">
        <f>IF($B7="","",IF(COUNTIF('Competency Event Log'!$U$4:$U$803,$B7&amp;"|"&amp;BX$5)=0,"",SUMIF('Competency Event Log'!$U$4:$U$803,$B7&amp;"|"&amp;BX$5,'Competency Event Log'!$D$4:$D$803)))</f>
        <v/>
      </c>
      <c r="BY7" s="8" t="str">
        <f>IF($B7="","",IF(COUNTIF('Competency Event Log'!$U$4:$U$803,$B7&amp;"|"&amp;BY$5)=0,"",SUMIF('Competency Event Log'!$U$4:$U$803,$B7&amp;"|"&amp;BY$5,'Competency Event Log'!$D$4:$D$803)))</f>
        <v/>
      </c>
      <c r="BZ7" s="8" t="str">
        <f>IF($B7="","",IF(COUNTIF('Competency Event Log'!$U$4:$U$803,$B7&amp;"|"&amp;BZ$5)=0,"",SUMIF('Competency Event Log'!$U$4:$U$803,$B7&amp;"|"&amp;BZ$5,'Competency Event Log'!$D$4:$D$803)))</f>
        <v/>
      </c>
      <c r="CA7" s="8" t="str">
        <f>IF($B7="","",IF(COUNTIF('Competency Event Log'!$U$4:$U$803,$B7&amp;"|"&amp;CA$5)=0,"",SUMIF('Competency Event Log'!$U$4:$U$803,$B7&amp;"|"&amp;CA$5,'Competency Event Log'!$D$4:$D$803)))</f>
        <v/>
      </c>
      <c r="CB7" s="8" t="str">
        <f>IF($B7="","",IF(COUNTIF('Competency Event Log'!$U$4:$U$803,$B7&amp;"|"&amp;CB$5)=0,"",SUMIF('Competency Event Log'!$U$4:$U$803,$B7&amp;"|"&amp;CB$5,'Competency Event Log'!$D$4:$D$803)))</f>
        <v/>
      </c>
      <c r="CC7" s="8" t="str">
        <f>IF($B7="","",IF(COUNTIF('Competency Event Log'!$U$4:$U$803,$B7&amp;"|"&amp;CC$5)=0,"",SUMIF('Competency Event Log'!$U$4:$U$803,$B7&amp;"|"&amp;CC$5,'Competency Event Log'!$D$4:$D$803)))</f>
        <v/>
      </c>
      <c r="CD7" s="8" t="str">
        <f>IF($B7="","",IF(COUNTIF('Competency Event Log'!$U$4:$U$803,$B7&amp;"|"&amp;CD$5)=0,"",SUMIF('Competency Event Log'!$U$4:$U$803,$B7&amp;"|"&amp;CD$5,'Competency Event Log'!$D$4:$D$803)))</f>
        <v/>
      </c>
      <c r="CE7" s="8" t="str">
        <f>IF($B7="","",IF(COUNTIF('Competency Event Log'!$U$4:$U$803,$B7&amp;"|"&amp;CE$5)=0,"",SUMIF('Competency Event Log'!$U$4:$U$803,$B7&amp;"|"&amp;CE$5,'Competency Event Log'!$D$4:$D$803)))</f>
        <v/>
      </c>
      <c r="CF7" s="8" t="str">
        <f>IF($B7="","",IF(COUNTIF('Competency Event Log'!$U$4:$U$803,$B7&amp;"|"&amp;CF$5)=0,"",SUMIF('Competency Event Log'!$U$4:$U$803,$B7&amp;"|"&amp;CF$5,'Competency Event Log'!$D$4:$D$803)))</f>
        <v/>
      </c>
      <c r="CG7" s="8" t="str">
        <f>IF($B7="","",IF(COUNTIF('Competency Event Log'!$U$4:$U$803,$B7&amp;"|"&amp;CG$5)=0,"",SUMIF('Competency Event Log'!$U$4:$U$803,$B7&amp;"|"&amp;CG$5,'Competency Event Log'!$D$4:$D$803)))</f>
        <v/>
      </c>
      <c r="CH7" s="8" t="str">
        <f>IF($B7="","",IF(COUNTIF('Competency Event Log'!$U$4:$U$803,$B7&amp;"|"&amp;CH$5)=0,"",SUMIF('Competency Event Log'!$U$4:$U$803,$B7&amp;"|"&amp;CH$5,'Competency Event Log'!$D$4:$D$803)))</f>
        <v/>
      </c>
      <c r="CI7" s="8" t="str">
        <f>IF($B7="","",IF(COUNTIF('Competency Event Log'!$U$4:$U$803,$B7&amp;"|"&amp;CI$5)=0,"",SUMIF('Competency Event Log'!$U$4:$U$803,$B7&amp;"|"&amp;CI$5,'Competency Event Log'!$D$4:$D$803)))</f>
        <v/>
      </c>
      <c r="CJ7" s="8" t="str">
        <f>IF($B7="","",IF(COUNTIF('Competency Event Log'!$U$4:$U$803,$B7&amp;"|"&amp;CJ$5)=0,"",SUMIF('Competency Event Log'!$U$4:$U$803,$B7&amp;"|"&amp;CJ$5,'Competency Event Log'!$D$4:$D$803)))</f>
        <v/>
      </c>
      <c r="CK7" s="8" t="str">
        <f>IF($B7="","",IF(COUNTIF('Competency Event Log'!$U$4:$U$803,$B7&amp;"|"&amp;CK$5)=0,"",SUMIF('Competency Event Log'!$U$4:$U$803,$B7&amp;"|"&amp;CK$5,'Competency Event Log'!$D$4:$D$803)))</f>
        <v/>
      </c>
      <c r="CL7" s="8" t="str">
        <f>IF($B7="","",IF(COUNTIF('Competency Event Log'!$U$4:$U$803,$B7&amp;"|"&amp;CL$5)=0,"",SUMIF('Competency Event Log'!$U$4:$U$803,$B7&amp;"|"&amp;CL$5,'Competency Event Log'!$D$4:$D$803)))</f>
        <v/>
      </c>
      <c r="CM7" s="8" t="str">
        <f>IF($B7="","",IF(COUNTIF('Competency Event Log'!$U$4:$U$803,$B7&amp;"|"&amp;CM$5)=0,"",SUMIF('Competency Event Log'!$U$4:$U$803,$B7&amp;"|"&amp;CM$5,'Competency Event Log'!$D$4:$D$803)))</f>
        <v/>
      </c>
      <c r="CN7" s="8" t="str">
        <f>IF($B7="","",IF(COUNTIF('Competency Event Log'!$U$4:$U$803,$B7&amp;"|"&amp;CN$5)=0,"",SUMIF('Competency Event Log'!$U$4:$U$803,$B7&amp;"|"&amp;CN$5,'Competency Event Log'!$D$4:$D$803)))</f>
        <v/>
      </c>
      <c r="CO7" s="8" t="str">
        <f>IF($B7="","",IF(COUNTIF('Competency Event Log'!$U$4:$U$803,$B7&amp;"|"&amp;CO$5)=0,"",SUMIF('Competency Event Log'!$U$4:$U$803,$B7&amp;"|"&amp;CO$5,'Competency Event Log'!$D$4:$D$803)))</f>
        <v/>
      </c>
      <c r="CP7" s="8" t="str">
        <f>IF($B7="","",IF(COUNTIF('Competency Event Log'!$U$4:$U$803,$B7&amp;"|"&amp;CP$5)=0,"",SUMIF('Competency Event Log'!$U$4:$U$803,$B7&amp;"|"&amp;CP$5,'Competency Event Log'!$D$4:$D$803)))</f>
        <v/>
      </c>
      <c r="CQ7" s="8" t="str">
        <f>IF($B7="","",IF(COUNTIF('Competency Event Log'!$U$4:$U$803,$B7&amp;"|"&amp;CQ$5)=0,"",SUMIF('Competency Event Log'!$U$4:$U$803,$B7&amp;"|"&amp;CQ$5,'Competency Event Log'!$D$4:$D$803)))</f>
        <v/>
      </c>
      <c r="CR7" s="8" t="str">
        <f>IF($B7="","",IF(COUNTIF('Competency Event Log'!$U$4:$U$803,$B7&amp;"|"&amp;CR$5)=0,"",SUMIF('Competency Event Log'!$U$4:$U$803,$B7&amp;"|"&amp;CR$5,'Competency Event Log'!$D$4:$D$803)))</f>
        <v/>
      </c>
      <c r="CS7" s="8" t="str">
        <f>IF($B7="","",IF(COUNTIF('Competency Event Log'!$U$4:$U$803,$B7&amp;"|"&amp;CS$5)=0,"",SUMIF('Competency Event Log'!$U$4:$U$803,$B7&amp;"|"&amp;CS$5,'Competency Event Log'!$D$4:$D$803)))</f>
        <v/>
      </c>
      <c r="CT7" s="8" t="str">
        <f>IF($B7="","",IF(COUNTIF('Competency Event Log'!$U$4:$U$803,$B7&amp;"|"&amp;CT$5)=0,"",SUMIF('Competency Event Log'!$U$4:$U$803,$B7&amp;"|"&amp;CT$5,'Competency Event Log'!$D$4:$D$803)))</f>
        <v/>
      </c>
      <c r="CU7" s="8">
        <f>IF($B7="","",IF(COUNTIF('Competency Event Log'!$U$4:$U$803,$B7&amp;"|"&amp;CU$5)=0,"",SUMIF('Competency Event Log'!$U$4:$U$803,$B7&amp;"|"&amp;CU$5,'Competency Event Log'!$D$4:$D$803)))</f>
        <v>3</v>
      </c>
      <c r="CV7" s="8" t="str">
        <f>IF($B7="","",IF(COUNTIF('Competency Event Log'!$U$4:$U$803,$B7&amp;"|"&amp;CV$5)=0,"",SUMIF('Competency Event Log'!$U$4:$U$803,$B7&amp;"|"&amp;CV$5,'Competency Event Log'!$D$4:$D$803)))</f>
        <v/>
      </c>
      <c r="CW7" s="8" t="str">
        <f>IF($B7="","",IF(COUNTIF('Competency Event Log'!$U$4:$U$803,$B7&amp;"|"&amp;CW$5)=0,"",SUMIF('Competency Event Log'!$U$4:$U$803,$B7&amp;"|"&amp;CW$5,'Competency Event Log'!$D$4:$D$803)))</f>
        <v/>
      </c>
      <c r="CX7" s="8" t="str">
        <f>IF($B7="","",IF(COUNTIF('Competency Event Log'!$U$4:$U$803,$B7&amp;"|"&amp;CX$5)=0,"",SUMIF('Competency Event Log'!$U$4:$U$803,$B7&amp;"|"&amp;CX$5,'Competency Event Log'!$D$4:$D$803)))</f>
        <v/>
      </c>
      <c r="CY7" s="8" t="str">
        <f>IF($B7="","",IF(COUNTIF('Competency Event Log'!$U$4:$U$803,$B7&amp;"|"&amp;CY$5)=0,"",SUMIF('Competency Event Log'!$U$4:$U$803,$B7&amp;"|"&amp;CY$5,'Competency Event Log'!$D$4:$D$803)))</f>
        <v/>
      </c>
      <c r="CZ7" s="8" t="str">
        <f>IF($B7="","",IF(COUNTIF('Competency Event Log'!$U$4:$U$803,$B7&amp;"|"&amp;CZ$5)=0,"",SUMIF('Competency Event Log'!$U$4:$U$803,$B7&amp;"|"&amp;CZ$5,'Competency Event Log'!$D$4:$D$803)))</f>
        <v/>
      </c>
      <c r="DA7" s="8" t="str">
        <f>IF($B7="","",IF(COUNTIF('Competency Event Log'!$U$4:$U$803,$B7&amp;"|"&amp;DA$5)=0,"",SUMIF('Competency Event Log'!$U$4:$U$803,$B7&amp;"|"&amp;DA$5,'Competency Event Log'!$D$4:$D$803)))</f>
        <v/>
      </c>
      <c r="DB7" s="8" t="str">
        <f>IF($B7="","",IF(COUNTIF('Competency Event Log'!$U$4:$U$803,$B7&amp;"|"&amp;DB$5)=0,"",SUMIF('Competency Event Log'!$U$4:$U$803,$B7&amp;"|"&amp;DB$5,'Competency Event Log'!$D$4:$D$803)))</f>
        <v/>
      </c>
      <c r="DC7" s="8" t="str">
        <f>IF($B7="","",IF(COUNTIF('Competency Event Log'!$U$4:$U$803,$B7&amp;"|"&amp;DC$5)=0,"",SUMIF('Competency Event Log'!$U$4:$U$803,$B7&amp;"|"&amp;DC$5,'Competency Event Log'!$D$4:$D$803)))</f>
        <v/>
      </c>
      <c r="DD7" s="8" t="str">
        <f>IF($B7="","",IF(COUNTIF('Competency Event Log'!$U$4:$U$803,$B7&amp;"|"&amp;DD$5)=0,"",SUMIF('Competency Event Log'!$U$4:$U$803,$B7&amp;"|"&amp;DD$5,'Competency Event Log'!$D$4:$D$803)))</f>
        <v/>
      </c>
      <c r="DE7" s="8">
        <f>IF($B7="","",IF(COUNTIF('Competency Event Log'!$U$4:$U$803,$B7&amp;"|"&amp;DE$5)=0,"",SUMIF('Competency Event Log'!$U$4:$U$803,$B7&amp;"|"&amp;DE$5,'Competency Event Log'!$D$4:$D$803)))</f>
        <v>3</v>
      </c>
      <c r="DF7" s="8">
        <f t="shared" si="0"/>
        <v>24</v>
      </c>
      <c r="DG7" s="8">
        <f t="shared" si="1"/>
        <v>9</v>
      </c>
      <c r="DH7" s="8">
        <f t="shared" si="2"/>
        <v>6</v>
      </c>
      <c r="DI7" s="11">
        <f t="shared" si="3"/>
        <v>0.4375</v>
      </c>
    </row>
    <row r="8" spans="1:113">
      <c r="A8" s="7" t="s">
        <v>304</v>
      </c>
      <c r="B8" s="7" t="s">
        <v>38</v>
      </c>
      <c r="C8" s="8">
        <v>3</v>
      </c>
      <c r="D8" s="9" t="s">
        <v>474</v>
      </c>
      <c r="E8" s="10">
        <v>43739</v>
      </c>
      <c r="F8" s="8" t="s">
        <v>409</v>
      </c>
      <c r="G8" s="8">
        <f>IF($B8="","",IF(COUNTIF('Competency Event Log'!$U$4:$U$803,$B8&amp;"|"&amp;G$5)=0,"",SUMIF('Competency Event Log'!$U$4:$U$803,$B8&amp;"|"&amp;G$5,'Competency Event Log'!$D$4:$D$803)))</f>
        <v>3</v>
      </c>
      <c r="H8" s="8" t="str">
        <f>IF($B8="","",IF(COUNTIF('Competency Event Log'!$U$4:$U$803,$B8&amp;"|"&amp;H$5)=0,"",SUMIF('Competency Event Log'!$U$4:$U$803,$B8&amp;"|"&amp;H$5,'Competency Event Log'!$D$4:$D$803)))</f>
        <v/>
      </c>
      <c r="I8" s="8">
        <f>IF($B8="","",IF(COUNTIF('Competency Event Log'!$U$4:$U$803,$B8&amp;"|"&amp;I$5)=0,"",SUMIF('Competency Event Log'!$U$4:$U$803,$B8&amp;"|"&amp;I$5,'Competency Event Log'!$D$4:$D$803)))</f>
        <v>3</v>
      </c>
      <c r="J8" s="8">
        <f>IF($B8="","",IF(COUNTIF('Competency Event Log'!$U$4:$U$803,$B8&amp;"|"&amp;J$5)=0,"",SUMIF('Competency Event Log'!$U$4:$U$803,$B8&amp;"|"&amp;J$5,'Competency Event Log'!$D$4:$D$803)))</f>
        <v>3</v>
      </c>
      <c r="K8" s="8">
        <f>IF($B8="","",IF(COUNTIF('Competency Event Log'!$U$4:$U$803,$B8&amp;"|"&amp;K$5)=0,"",SUMIF('Competency Event Log'!$U$4:$U$803,$B8&amp;"|"&amp;K$5,'Competency Event Log'!$D$4:$D$803)))</f>
        <v>3</v>
      </c>
      <c r="L8" s="8" t="str">
        <f>IF($B8="","",IF(COUNTIF('Competency Event Log'!$U$4:$U$803,$B8&amp;"|"&amp;L$5)=0,"",SUMIF('Competency Event Log'!$U$4:$U$803,$B8&amp;"|"&amp;L$5,'Competency Event Log'!$D$4:$D$803)))</f>
        <v/>
      </c>
      <c r="M8" s="8" t="str">
        <f>IF($B8="","",IF(COUNTIF('Competency Event Log'!$U$4:$U$803,$B8&amp;"|"&amp;M$5)=0,"",SUMIF('Competency Event Log'!$U$4:$U$803,$B8&amp;"|"&amp;M$5,'Competency Event Log'!$D$4:$D$803)))</f>
        <v/>
      </c>
      <c r="N8" s="8" t="str">
        <f>IF($B8="","",IF(COUNTIF('Competency Event Log'!$U$4:$U$803,$B8&amp;"|"&amp;N$5)=0,"",SUMIF('Competency Event Log'!$U$4:$U$803,$B8&amp;"|"&amp;N$5,'Competency Event Log'!$D$4:$D$803)))</f>
        <v/>
      </c>
      <c r="O8" s="8">
        <f>IF($B8="","",IF(COUNTIF('Competency Event Log'!$U$4:$U$803,$B8&amp;"|"&amp;O$5)=0,"",SUMIF('Competency Event Log'!$U$4:$U$803,$B8&amp;"|"&amp;O$5,'Competency Event Log'!$D$4:$D$803)))</f>
        <v>3</v>
      </c>
      <c r="P8" s="8">
        <f>IF($B8="","",IF(COUNTIF('Competency Event Log'!$U$4:$U$803,$B8&amp;"|"&amp;P$5)=0,"",SUMIF('Competency Event Log'!$U$4:$U$803,$B8&amp;"|"&amp;P$5,'Competency Event Log'!$D$4:$D$803)))</f>
        <v>3</v>
      </c>
      <c r="Q8" s="8" t="str">
        <f>IF($B8="","",IF(COUNTIF('Competency Event Log'!$U$4:$U$803,$B8&amp;"|"&amp;Q$5)=0,"",SUMIF('Competency Event Log'!$U$4:$U$803,$B8&amp;"|"&amp;Q$5,'Competency Event Log'!$D$4:$D$803)))</f>
        <v/>
      </c>
      <c r="R8" s="8" t="str">
        <f>IF($B8="","",IF(COUNTIF('Competency Event Log'!$U$4:$U$803,$B8&amp;"|"&amp;R$5)=0,"",SUMIF('Competency Event Log'!$U$4:$U$803,$B8&amp;"|"&amp;R$5,'Competency Event Log'!$D$4:$D$803)))</f>
        <v/>
      </c>
      <c r="S8" s="8" t="str">
        <f>IF($B8="","",IF(COUNTIF('Competency Event Log'!$U$4:$U$803,$B8&amp;"|"&amp;S$5)=0,"",SUMIF('Competency Event Log'!$U$4:$U$803,$B8&amp;"|"&amp;S$5,'Competency Event Log'!$D$4:$D$803)))</f>
        <v/>
      </c>
      <c r="T8" s="8">
        <f>IF($B8="","",IF(COUNTIF('Competency Event Log'!$U$4:$U$803,$B8&amp;"|"&amp;T$5)=0,"",SUMIF('Competency Event Log'!$U$4:$U$803,$B8&amp;"|"&amp;T$5,'Competency Event Log'!$D$4:$D$803)))</f>
        <v>3</v>
      </c>
      <c r="U8" s="8" t="str">
        <f>IF($B8="","",IF(COUNTIF('Competency Event Log'!$U$4:$U$803,$B8&amp;"|"&amp;U$5)=0,"",SUMIF('Competency Event Log'!$U$4:$U$803,$B8&amp;"|"&amp;U$5,'Competency Event Log'!$D$4:$D$803)))</f>
        <v/>
      </c>
      <c r="V8" s="8">
        <f>IF($B8="","",IF(COUNTIF('Competency Event Log'!$U$4:$U$803,$B8&amp;"|"&amp;V$5)=0,"",SUMIF('Competency Event Log'!$U$4:$U$803,$B8&amp;"|"&amp;V$5,'Competency Event Log'!$D$4:$D$803)))</f>
        <v>3</v>
      </c>
      <c r="W8" s="8" t="str">
        <f>IF($B8="","",IF(COUNTIF('Competency Event Log'!$U$4:$U$803,$B8&amp;"|"&amp;W$5)=0,"",SUMIF('Competency Event Log'!$U$4:$U$803,$B8&amp;"|"&amp;W$5,'Competency Event Log'!$D$4:$D$803)))</f>
        <v/>
      </c>
      <c r="X8" s="8" t="str">
        <f>IF($B8="","",IF(COUNTIF('Competency Event Log'!$U$4:$U$803,$B8&amp;"|"&amp;X$5)=0,"",SUMIF('Competency Event Log'!$U$4:$U$803,$B8&amp;"|"&amp;X$5,'Competency Event Log'!$D$4:$D$803)))</f>
        <v/>
      </c>
      <c r="Y8" s="8" t="str">
        <f>IF($B8="","",IF(COUNTIF('Competency Event Log'!$U$4:$U$803,$B8&amp;"|"&amp;Y$5)=0,"",SUMIF('Competency Event Log'!$U$4:$U$803,$B8&amp;"|"&amp;Y$5,'Competency Event Log'!$D$4:$D$803)))</f>
        <v/>
      </c>
      <c r="Z8" s="8" t="str">
        <f>IF($B8="","",IF(COUNTIF('Competency Event Log'!$U$4:$U$803,$B8&amp;"|"&amp;Z$5)=0,"",SUMIF('Competency Event Log'!$U$4:$U$803,$B8&amp;"|"&amp;Z$5,'Competency Event Log'!$D$4:$D$803)))</f>
        <v/>
      </c>
      <c r="AA8" s="8" t="str">
        <f>IF($B8="","",IF(COUNTIF('Competency Event Log'!$U$4:$U$803,$B8&amp;"|"&amp;AA$5)=0,"",SUMIF('Competency Event Log'!$U$4:$U$803,$B8&amp;"|"&amp;AA$5,'Competency Event Log'!$D$4:$D$803)))</f>
        <v/>
      </c>
      <c r="AB8" s="8" t="str">
        <f>IF($B8="","",IF(COUNTIF('Competency Event Log'!$U$4:$U$803,$B8&amp;"|"&amp;AB$5)=0,"",SUMIF('Competency Event Log'!$U$4:$U$803,$B8&amp;"|"&amp;AB$5,'Competency Event Log'!$D$4:$D$803)))</f>
        <v/>
      </c>
      <c r="AC8" s="8">
        <f>IF($B8="","",IF(COUNTIF('Competency Event Log'!$U$4:$U$803,$B8&amp;"|"&amp;AC$5)=0,"",SUMIF('Competency Event Log'!$U$4:$U$803,$B8&amp;"|"&amp;AC$5,'Competency Event Log'!$D$4:$D$803)))</f>
        <v>1</v>
      </c>
      <c r="AD8" s="8">
        <f>IF($B8="","",IF(COUNTIF('Competency Event Log'!$U$4:$U$803,$B8&amp;"|"&amp;AD$5)=0,"",SUMIF('Competency Event Log'!$U$4:$U$803,$B8&amp;"|"&amp;AD$5,'Competency Event Log'!$D$4:$D$803)))</f>
        <v>3</v>
      </c>
      <c r="AE8" s="8" t="str">
        <f>IF($B8="","",IF(COUNTIF('Competency Event Log'!$U$4:$U$803,$B8&amp;"|"&amp;AE$5)=0,"",SUMIF('Competency Event Log'!$U$4:$U$803,$B8&amp;"|"&amp;AE$5,'Competency Event Log'!$D$4:$D$803)))</f>
        <v/>
      </c>
      <c r="AF8" s="8" t="str">
        <f>IF($B8="","",IF(COUNTIF('Competency Event Log'!$U$4:$U$803,$B8&amp;"|"&amp;AF$5)=0,"",SUMIF('Competency Event Log'!$U$4:$U$803,$B8&amp;"|"&amp;AF$5,'Competency Event Log'!$D$4:$D$803)))</f>
        <v/>
      </c>
      <c r="AG8" s="8" t="str">
        <f>IF($B8="","",IF(COUNTIF('Competency Event Log'!$U$4:$U$803,$B8&amp;"|"&amp;AG$5)=0,"",SUMIF('Competency Event Log'!$U$4:$U$803,$B8&amp;"|"&amp;AG$5,'Competency Event Log'!$D$4:$D$803)))</f>
        <v/>
      </c>
      <c r="AH8" s="8" t="str">
        <f>IF($B8="","",IF(COUNTIF('Competency Event Log'!$U$4:$U$803,$B8&amp;"|"&amp;AH$5)=0,"",SUMIF('Competency Event Log'!$U$4:$U$803,$B8&amp;"|"&amp;AH$5,'Competency Event Log'!$D$4:$D$803)))</f>
        <v/>
      </c>
      <c r="AI8" s="8" t="str">
        <f>IF($B8="","",IF(COUNTIF('Competency Event Log'!$U$4:$U$803,$B8&amp;"|"&amp;AI$5)=0,"",SUMIF('Competency Event Log'!$U$4:$U$803,$B8&amp;"|"&amp;AI$5,'Competency Event Log'!$D$4:$D$803)))</f>
        <v/>
      </c>
      <c r="AJ8" s="8" t="str">
        <f>IF($B8="","",IF(COUNTIF('Competency Event Log'!$U$4:$U$803,$B8&amp;"|"&amp;AJ$5)=0,"",SUMIF('Competency Event Log'!$U$4:$U$803,$B8&amp;"|"&amp;AJ$5,'Competency Event Log'!$D$4:$D$803)))</f>
        <v/>
      </c>
      <c r="AK8" s="8" t="str">
        <f>IF($B8="","",IF(COUNTIF('Competency Event Log'!$U$4:$U$803,$B8&amp;"|"&amp;AK$5)=0,"",SUMIF('Competency Event Log'!$U$4:$U$803,$B8&amp;"|"&amp;AK$5,'Competency Event Log'!$D$4:$D$803)))</f>
        <v/>
      </c>
      <c r="AL8" s="8" t="str">
        <f>IF($B8="","",IF(COUNTIF('Competency Event Log'!$U$4:$U$803,$B8&amp;"|"&amp;AL$5)=0,"",SUMIF('Competency Event Log'!$U$4:$U$803,$B8&amp;"|"&amp;AL$5,'Competency Event Log'!$D$4:$D$803)))</f>
        <v/>
      </c>
      <c r="AM8" s="8" t="str">
        <f>IF($B8="","",IF(COUNTIF('Competency Event Log'!$U$4:$U$803,$B8&amp;"|"&amp;AM$5)=0,"",SUMIF('Competency Event Log'!$U$4:$U$803,$B8&amp;"|"&amp;AM$5,'Competency Event Log'!$D$4:$D$803)))</f>
        <v/>
      </c>
      <c r="AN8" s="8" t="str">
        <f>IF($B8="","",IF(COUNTIF('Competency Event Log'!$U$4:$U$803,$B8&amp;"|"&amp;AN$5)=0,"",SUMIF('Competency Event Log'!$U$4:$U$803,$B8&amp;"|"&amp;AN$5,'Competency Event Log'!$D$4:$D$803)))</f>
        <v/>
      </c>
      <c r="AO8" s="8" t="str">
        <f>IF($B8="","",IF(COUNTIF('Competency Event Log'!$U$4:$U$803,$B8&amp;"|"&amp;AO$5)=0,"",SUMIF('Competency Event Log'!$U$4:$U$803,$B8&amp;"|"&amp;AO$5,'Competency Event Log'!$D$4:$D$803)))</f>
        <v/>
      </c>
      <c r="AP8" s="8" t="str">
        <f>IF($B8="","",IF(COUNTIF('Competency Event Log'!$U$4:$U$803,$B8&amp;"|"&amp;AP$5)=0,"",SUMIF('Competency Event Log'!$U$4:$U$803,$B8&amp;"|"&amp;AP$5,'Competency Event Log'!$D$4:$D$803)))</f>
        <v/>
      </c>
      <c r="AQ8" s="8" t="str">
        <f>IF($B8="","",IF(COUNTIF('Competency Event Log'!$U$4:$U$803,$B8&amp;"|"&amp;AQ$5)=0,"",SUMIF('Competency Event Log'!$U$4:$U$803,$B8&amp;"|"&amp;AQ$5,'Competency Event Log'!$D$4:$D$803)))</f>
        <v/>
      </c>
      <c r="AR8" s="8" t="str">
        <f>IF($B8="","",IF(COUNTIF('Competency Event Log'!$U$4:$U$803,$B8&amp;"|"&amp;AR$5)=0,"",SUMIF('Competency Event Log'!$U$4:$U$803,$B8&amp;"|"&amp;AR$5,'Competency Event Log'!$D$4:$D$803)))</f>
        <v/>
      </c>
      <c r="AS8" s="8" t="str">
        <f>IF($B8="","",IF(COUNTIF('Competency Event Log'!$U$4:$U$803,$B8&amp;"|"&amp;AS$5)=0,"",SUMIF('Competency Event Log'!$U$4:$U$803,$B8&amp;"|"&amp;AS$5,'Competency Event Log'!$D$4:$D$803)))</f>
        <v/>
      </c>
      <c r="AT8" s="8" t="str">
        <f>IF($B8="","",IF(COUNTIF('Competency Event Log'!$U$4:$U$803,$B8&amp;"|"&amp;AT$5)=0,"",SUMIF('Competency Event Log'!$U$4:$U$803,$B8&amp;"|"&amp;AT$5,'Competency Event Log'!$D$4:$D$803)))</f>
        <v/>
      </c>
      <c r="AU8" s="8" t="str">
        <f>IF($B8="","",IF(COUNTIF('Competency Event Log'!$U$4:$U$803,$B8&amp;"|"&amp;AU$5)=0,"",SUMIF('Competency Event Log'!$U$4:$U$803,$B8&amp;"|"&amp;AU$5,'Competency Event Log'!$D$4:$D$803)))</f>
        <v/>
      </c>
      <c r="AV8" s="8" t="str">
        <f>IF($B8="","",IF(COUNTIF('Competency Event Log'!$U$4:$U$803,$B8&amp;"|"&amp;AV$5)=0,"",SUMIF('Competency Event Log'!$U$4:$U$803,$B8&amp;"|"&amp;AV$5,'Competency Event Log'!$D$4:$D$803)))</f>
        <v/>
      </c>
      <c r="AW8" s="8" t="str">
        <f>IF($B8="","",IF(COUNTIF('Competency Event Log'!$U$4:$U$803,$B8&amp;"|"&amp;AW$5)=0,"",SUMIF('Competency Event Log'!$U$4:$U$803,$B8&amp;"|"&amp;AW$5,'Competency Event Log'!$D$4:$D$803)))</f>
        <v/>
      </c>
      <c r="AX8" s="8" t="str">
        <f>IF($B8="","",IF(COUNTIF('Competency Event Log'!$U$4:$U$803,$B8&amp;"|"&amp;AX$5)=0,"",SUMIF('Competency Event Log'!$U$4:$U$803,$B8&amp;"|"&amp;AX$5,'Competency Event Log'!$D$4:$D$803)))</f>
        <v/>
      </c>
      <c r="AY8" s="8" t="str">
        <f>IF($B8="","",IF(COUNTIF('Competency Event Log'!$U$4:$U$803,$B8&amp;"|"&amp;AY$5)=0,"",SUMIF('Competency Event Log'!$U$4:$U$803,$B8&amp;"|"&amp;AY$5,'Competency Event Log'!$D$4:$D$803)))</f>
        <v/>
      </c>
      <c r="AZ8" s="8" t="str">
        <f>IF($B8="","",IF(COUNTIF('Competency Event Log'!$U$4:$U$803,$B8&amp;"|"&amp;AZ$5)=0,"",SUMIF('Competency Event Log'!$U$4:$U$803,$B8&amp;"|"&amp;AZ$5,'Competency Event Log'!$D$4:$D$803)))</f>
        <v/>
      </c>
      <c r="BA8" s="8" t="str">
        <f>IF($B8="","",IF(COUNTIF('Competency Event Log'!$U$4:$U$803,$B8&amp;"|"&amp;BA$5)=0,"",SUMIF('Competency Event Log'!$U$4:$U$803,$B8&amp;"|"&amp;BA$5,'Competency Event Log'!$D$4:$D$803)))</f>
        <v/>
      </c>
      <c r="BB8" s="8" t="str">
        <f>IF($B8="","",IF(COUNTIF('Competency Event Log'!$U$4:$U$803,$B8&amp;"|"&amp;BB$5)=0,"",SUMIF('Competency Event Log'!$U$4:$U$803,$B8&amp;"|"&amp;BB$5,'Competency Event Log'!$D$4:$D$803)))</f>
        <v/>
      </c>
      <c r="BC8" s="8" t="str">
        <f>IF($B8="","",IF(COUNTIF('Competency Event Log'!$U$4:$U$803,$B8&amp;"|"&amp;BC$5)=0,"",SUMIF('Competency Event Log'!$U$4:$U$803,$B8&amp;"|"&amp;BC$5,'Competency Event Log'!$D$4:$D$803)))</f>
        <v/>
      </c>
      <c r="BD8" s="8" t="str">
        <f>IF($B8="","",IF(COUNTIF('Competency Event Log'!$U$4:$U$803,$B8&amp;"|"&amp;BD$5)=0,"",SUMIF('Competency Event Log'!$U$4:$U$803,$B8&amp;"|"&amp;BD$5,'Competency Event Log'!$D$4:$D$803)))</f>
        <v/>
      </c>
      <c r="BE8" s="8" t="str">
        <f>IF($B8="","",IF(COUNTIF('Competency Event Log'!$U$4:$U$803,$B8&amp;"|"&amp;BE$5)=0,"",SUMIF('Competency Event Log'!$U$4:$U$803,$B8&amp;"|"&amp;BE$5,'Competency Event Log'!$D$4:$D$803)))</f>
        <v/>
      </c>
      <c r="BF8" s="8" t="str">
        <f>IF($B8="","",IF(COUNTIF('Competency Event Log'!$U$4:$U$803,$B8&amp;"|"&amp;BF$5)=0,"",SUMIF('Competency Event Log'!$U$4:$U$803,$B8&amp;"|"&amp;BF$5,'Competency Event Log'!$D$4:$D$803)))</f>
        <v/>
      </c>
      <c r="BG8" s="8" t="str">
        <f>IF($B8="","",IF(COUNTIF('Competency Event Log'!$U$4:$U$803,$B8&amp;"|"&amp;BG$5)=0,"",SUMIF('Competency Event Log'!$U$4:$U$803,$B8&amp;"|"&amp;BG$5,'Competency Event Log'!$D$4:$D$803)))</f>
        <v/>
      </c>
      <c r="BH8" s="8" t="str">
        <f>IF($B8="","",IF(COUNTIF('Competency Event Log'!$U$4:$U$803,$B8&amp;"|"&amp;BH$5)=0,"",SUMIF('Competency Event Log'!$U$4:$U$803,$B8&amp;"|"&amp;BH$5,'Competency Event Log'!$D$4:$D$803)))</f>
        <v/>
      </c>
      <c r="BI8" s="8" t="str">
        <f>IF($B8="","",IF(COUNTIF('Competency Event Log'!$U$4:$U$803,$B8&amp;"|"&amp;BI$5)=0,"",SUMIF('Competency Event Log'!$U$4:$U$803,$B8&amp;"|"&amp;BI$5,'Competency Event Log'!$D$4:$D$803)))</f>
        <v/>
      </c>
      <c r="BJ8" s="8" t="str">
        <f>IF($B8="","",IF(COUNTIF('Competency Event Log'!$U$4:$U$803,$B8&amp;"|"&amp;BJ$5)=0,"",SUMIF('Competency Event Log'!$U$4:$U$803,$B8&amp;"|"&amp;BJ$5,'Competency Event Log'!$D$4:$D$803)))</f>
        <v/>
      </c>
      <c r="BK8" s="8" t="str">
        <f>IF($B8="","",IF(COUNTIF('Competency Event Log'!$U$4:$U$803,$B8&amp;"|"&amp;BK$5)=0,"",SUMIF('Competency Event Log'!$U$4:$U$803,$B8&amp;"|"&amp;BK$5,'Competency Event Log'!$D$4:$D$803)))</f>
        <v/>
      </c>
      <c r="BL8" s="8" t="str">
        <f>IF($B8="","",IF(COUNTIF('Competency Event Log'!$U$4:$U$803,$B8&amp;"|"&amp;BL$5)=0,"",SUMIF('Competency Event Log'!$U$4:$U$803,$B8&amp;"|"&amp;BL$5,'Competency Event Log'!$D$4:$D$803)))</f>
        <v/>
      </c>
      <c r="BM8" s="8" t="str">
        <f>IF($B8="","",IF(COUNTIF('Competency Event Log'!$U$4:$U$803,$B8&amp;"|"&amp;BM$5)=0,"",SUMIF('Competency Event Log'!$U$4:$U$803,$B8&amp;"|"&amp;BM$5,'Competency Event Log'!$D$4:$D$803)))</f>
        <v/>
      </c>
      <c r="BN8" s="8" t="str">
        <f>IF($B8="","",IF(COUNTIF('Competency Event Log'!$U$4:$U$803,$B8&amp;"|"&amp;BN$5)=0,"",SUMIF('Competency Event Log'!$U$4:$U$803,$B8&amp;"|"&amp;BN$5,'Competency Event Log'!$D$4:$D$803)))</f>
        <v/>
      </c>
      <c r="BO8" s="8" t="str">
        <f>IF($B8="","",IF(COUNTIF('Competency Event Log'!$U$4:$U$803,$B8&amp;"|"&amp;BO$5)=0,"",SUMIF('Competency Event Log'!$U$4:$U$803,$B8&amp;"|"&amp;BO$5,'Competency Event Log'!$D$4:$D$803)))</f>
        <v/>
      </c>
      <c r="BP8" s="8" t="str">
        <f>IF($B8="","",IF(COUNTIF('Competency Event Log'!$U$4:$U$803,$B8&amp;"|"&amp;BP$5)=0,"",SUMIF('Competency Event Log'!$U$4:$U$803,$B8&amp;"|"&amp;BP$5,'Competency Event Log'!$D$4:$D$803)))</f>
        <v/>
      </c>
      <c r="BQ8" s="8" t="str">
        <f>IF($B8="","",IF(COUNTIF('Competency Event Log'!$U$4:$U$803,$B8&amp;"|"&amp;BQ$5)=0,"",SUMIF('Competency Event Log'!$U$4:$U$803,$B8&amp;"|"&amp;BQ$5,'Competency Event Log'!$D$4:$D$803)))</f>
        <v/>
      </c>
      <c r="BR8" s="8" t="str">
        <f>IF($B8="","",IF(COUNTIF('Competency Event Log'!$U$4:$U$803,$B8&amp;"|"&amp;BR$5)=0,"",SUMIF('Competency Event Log'!$U$4:$U$803,$B8&amp;"|"&amp;BR$5,'Competency Event Log'!$D$4:$D$803)))</f>
        <v/>
      </c>
      <c r="BS8" s="8" t="str">
        <f>IF($B8="","",IF(COUNTIF('Competency Event Log'!$U$4:$U$803,$B8&amp;"|"&amp;BS$5)=0,"",SUMIF('Competency Event Log'!$U$4:$U$803,$B8&amp;"|"&amp;BS$5,'Competency Event Log'!$D$4:$D$803)))</f>
        <v/>
      </c>
      <c r="BT8" s="8" t="str">
        <f>IF($B8="","",IF(COUNTIF('Competency Event Log'!$U$4:$U$803,$B8&amp;"|"&amp;BT$5)=0,"",SUMIF('Competency Event Log'!$U$4:$U$803,$B8&amp;"|"&amp;BT$5,'Competency Event Log'!$D$4:$D$803)))</f>
        <v/>
      </c>
      <c r="BU8" s="8" t="str">
        <f>IF($B8="","",IF(COUNTIF('Competency Event Log'!$U$4:$U$803,$B8&amp;"|"&amp;BU$5)=0,"",SUMIF('Competency Event Log'!$U$4:$U$803,$B8&amp;"|"&amp;BU$5,'Competency Event Log'!$D$4:$D$803)))</f>
        <v/>
      </c>
      <c r="BV8" s="8" t="str">
        <f>IF($B8="","",IF(COUNTIF('Competency Event Log'!$U$4:$U$803,$B8&amp;"|"&amp;BV$5)=0,"",SUMIF('Competency Event Log'!$U$4:$U$803,$B8&amp;"|"&amp;BV$5,'Competency Event Log'!$D$4:$D$803)))</f>
        <v/>
      </c>
      <c r="BW8" s="8" t="str">
        <f>IF($B8="","",IF(COUNTIF('Competency Event Log'!$U$4:$U$803,$B8&amp;"|"&amp;BW$5)=0,"",SUMIF('Competency Event Log'!$U$4:$U$803,$B8&amp;"|"&amp;BW$5,'Competency Event Log'!$D$4:$D$803)))</f>
        <v/>
      </c>
      <c r="BX8" s="8" t="str">
        <f>IF($B8="","",IF(COUNTIF('Competency Event Log'!$U$4:$U$803,$B8&amp;"|"&amp;BX$5)=0,"",SUMIF('Competency Event Log'!$U$4:$U$803,$B8&amp;"|"&amp;BX$5,'Competency Event Log'!$D$4:$D$803)))</f>
        <v/>
      </c>
      <c r="BY8" s="8" t="str">
        <f>IF($B8="","",IF(COUNTIF('Competency Event Log'!$U$4:$U$803,$B8&amp;"|"&amp;BY$5)=0,"",SUMIF('Competency Event Log'!$U$4:$U$803,$B8&amp;"|"&amp;BY$5,'Competency Event Log'!$D$4:$D$803)))</f>
        <v/>
      </c>
      <c r="BZ8" s="8" t="str">
        <f>IF($B8="","",IF(COUNTIF('Competency Event Log'!$U$4:$U$803,$B8&amp;"|"&amp;BZ$5)=0,"",SUMIF('Competency Event Log'!$U$4:$U$803,$B8&amp;"|"&amp;BZ$5,'Competency Event Log'!$D$4:$D$803)))</f>
        <v/>
      </c>
      <c r="CA8" s="8" t="str">
        <f>IF($B8="","",IF(COUNTIF('Competency Event Log'!$U$4:$U$803,$B8&amp;"|"&amp;CA$5)=0,"",SUMIF('Competency Event Log'!$U$4:$U$803,$B8&amp;"|"&amp;CA$5,'Competency Event Log'!$D$4:$D$803)))</f>
        <v/>
      </c>
      <c r="CB8" s="8" t="str">
        <f>IF($B8="","",IF(COUNTIF('Competency Event Log'!$U$4:$U$803,$B8&amp;"|"&amp;CB$5)=0,"",SUMIF('Competency Event Log'!$U$4:$U$803,$B8&amp;"|"&amp;CB$5,'Competency Event Log'!$D$4:$D$803)))</f>
        <v/>
      </c>
      <c r="CC8" s="8" t="str">
        <f>IF($B8="","",IF(COUNTIF('Competency Event Log'!$U$4:$U$803,$B8&amp;"|"&amp;CC$5)=0,"",SUMIF('Competency Event Log'!$U$4:$U$803,$B8&amp;"|"&amp;CC$5,'Competency Event Log'!$D$4:$D$803)))</f>
        <v/>
      </c>
      <c r="CD8" s="8" t="str">
        <f>IF($B8="","",IF(COUNTIF('Competency Event Log'!$U$4:$U$803,$B8&amp;"|"&amp;CD$5)=0,"",SUMIF('Competency Event Log'!$U$4:$U$803,$B8&amp;"|"&amp;CD$5,'Competency Event Log'!$D$4:$D$803)))</f>
        <v/>
      </c>
      <c r="CE8" s="8" t="str">
        <f>IF($B8="","",IF(COUNTIF('Competency Event Log'!$U$4:$U$803,$B8&amp;"|"&amp;CE$5)=0,"",SUMIF('Competency Event Log'!$U$4:$U$803,$B8&amp;"|"&amp;CE$5,'Competency Event Log'!$D$4:$D$803)))</f>
        <v/>
      </c>
      <c r="CF8" s="8" t="str">
        <f>IF($B8="","",IF(COUNTIF('Competency Event Log'!$U$4:$U$803,$B8&amp;"|"&amp;CF$5)=0,"",SUMIF('Competency Event Log'!$U$4:$U$803,$B8&amp;"|"&amp;CF$5,'Competency Event Log'!$D$4:$D$803)))</f>
        <v/>
      </c>
      <c r="CG8" s="8" t="str">
        <f>IF($B8="","",IF(COUNTIF('Competency Event Log'!$U$4:$U$803,$B8&amp;"|"&amp;CG$5)=0,"",SUMIF('Competency Event Log'!$U$4:$U$803,$B8&amp;"|"&amp;CG$5,'Competency Event Log'!$D$4:$D$803)))</f>
        <v/>
      </c>
      <c r="CH8" s="8" t="str">
        <f>IF($B8="","",IF(COUNTIF('Competency Event Log'!$U$4:$U$803,$B8&amp;"|"&amp;CH$5)=0,"",SUMIF('Competency Event Log'!$U$4:$U$803,$B8&amp;"|"&amp;CH$5,'Competency Event Log'!$D$4:$D$803)))</f>
        <v/>
      </c>
      <c r="CI8" s="8" t="str">
        <f>IF($B8="","",IF(COUNTIF('Competency Event Log'!$U$4:$U$803,$B8&amp;"|"&amp;CI$5)=0,"",SUMIF('Competency Event Log'!$U$4:$U$803,$B8&amp;"|"&amp;CI$5,'Competency Event Log'!$D$4:$D$803)))</f>
        <v/>
      </c>
      <c r="CJ8" s="8" t="str">
        <f>IF($B8="","",IF(COUNTIF('Competency Event Log'!$U$4:$U$803,$B8&amp;"|"&amp;CJ$5)=0,"",SUMIF('Competency Event Log'!$U$4:$U$803,$B8&amp;"|"&amp;CJ$5,'Competency Event Log'!$D$4:$D$803)))</f>
        <v/>
      </c>
      <c r="CK8" s="8" t="str">
        <f>IF($B8="","",IF(COUNTIF('Competency Event Log'!$U$4:$U$803,$B8&amp;"|"&amp;CK$5)=0,"",SUMIF('Competency Event Log'!$U$4:$U$803,$B8&amp;"|"&amp;CK$5,'Competency Event Log'!$D$4:$D$803)))</f>
        <v/>
      </c>
      <c r="CL8" s="8" t="str">
        <f>IF($B8="","",IF(COUNTIF('Competency Event Log'!$U$4:$U$803,$B8&amp;"|"&amp;CL$5)=0,"",SUMIF('Competency Event Log'!$U$4:$U$803,$B8&amp;"|"&amp;CL$5,'Competency Event Log'!$D$4:$D$803)))</f>
        <v/>
      </c>
      <c r="CM8" s="8" t="str">
        <f>IF($B8="","",IF(COUNTIF('Competency Event Log'!$U$4:$U$803,$B8&amp;"|"&amp;CM$5)=0,"",SUMIF('Competency Event Log'!$U$4:$U$803,$B8&amp;"|"&amp;CM$5,'Competency Event Log'!$D$4:$D$803)))</f>
        <v/>
      </c>
      <c r="CN8" s="8" t="str">
        <f>IF($B8="","",IF(COUNTIF('Competency Event Log'!$U$4:$U$803,$B8&amp;"|"&amp;CN$5)=0,"",SUMIF('Competency Event Log'!$U$4:$U$803,$B8&amp;"|"&amp;CN$5,'Competency Event Log'!$D$4:$D$803)))</f>
        <v/>
      </c>
      <c r="CO8" s="8" t="str">
        <f>IF($B8="","",IF(COUNTIF('Competency Event Log'!$U$4:$U$803,$B8&amp;"|"&amp;CO$5)=0,"",SUMIF('Competency Event Log'!$U$4:$U$803,$B8&amp;"|"&amp;CO$5,'Competency Event Log'!$D$4:$D$803)))</f>
        <v/>
      </c>
      <c r="CP8" s="8" t="str">
        <f>IF($B8="","",IF(COUNTIF('Competency Event Log'!$U$4:$U$803,$B8&amp;"|"&amp;CP$5)=0,"",SUMIF('Competency Event Log'!$U$4:$U$803,$B8&amp;"|"&amp;CP$5,'Competency Event Log'!$D$4:$D$803)))</f>
        <v/>
      </c>
      <c r="CQ8" s="8" t="str">
        <f>IF($B8="","",IF(COUNTIF('Competency Event Log'!$U$4:$U$803,$B8&amp;"|"&amp;CQ$5)=0,"",SUMIF('Competency Event Log'!$U$4:$U$803,$B8&amp;"|"&amp;CQ$5,'Competency Event Log'!$D$4:$D$803)))</f>
        <v/>
      </c>
      <c r="CR8" s="8" t="str">
        <f>IF($B8="","",IF(COUNTIF('Competency Event Log'!$U$4:$U$803,$B8&amp;"|"&amp;CR$5)=0,"",SUMIF('Competency Event Log'!$U$4:$U$803,$B8&amp;"|"&amp;CR$5,'Competency Event Log'!$D$4:$D$803)))</f>
        <v/>
      </c>
      <c r="CS8" s="8" t="str">
        <f>IF($B8="","",IF(COUNTIF('Competency Event Log'!$U$4:$U$803,$B8&amp;"|"&amp;CS$5)=0,"",SUMIF('Competency Event Log'!$U$4:$U$803,$B8&amp;"|"&amp;CS$5,'Competency Event Log'!$D$4:$D$803)))</f>
        <v/>
      </c>
      <c r="CT8" s="8" t="str">
        <f>IF($B8="","",IF(COUNTIF('Competency Event Log'!$U$4:$U$803,$B8&amp;"|"&amp;CT$5)=0,"",SUMIF('Competency Event Log'!$U$4:$U$803,$B8&amp;"|"&amp;CT$5,'Competency Event Log'!$D$4:$D$803)))</f>
        <v/>
      </c>
      <c r="CU8" s="8" t="str">
        <f>IF($B8="","",IF(COUNTIF('Competency Event Log'!$U$4:$U$803,$B8&amp;"|"&amp;CU$5)=0,"",SUMIF('Competency Event Log'!$U$4:$U$803,$B8&amp;"|"&amp;CU$5,'Competency Event Log'!$D$4:$D$803)))</f>
        <v/>
      </c>
      <c r="CV8" s="8" t="str">
        <f>IF($B8="","",IF(COUNTIF('Competency Event Log'!$U$4:$U$803,$B8&amp;"|"&amp;CV$5)=0,"",SUMIF('Competency Event Log'!$U$4:$U$803,$B8&amp;"|"&amp;CV$5,'Competency Event Log'!$D$4:$D$803)))</f>
        <v/>
      </c>
      <c r="CW8" s="8" t="str">
        <f>IF($B8="","",IF(COUNTIF('Competency Event Log'!$U$4:$U$803,$B8&amp;"|"&amp;CW$5)=0,"",SUMIF('Competency Event Log'!$U$4:$U$803,$B8&amp;"|"&amp;CW$5,'Competency Event Log'!$D$4:$D$803)))</f>
        <v/>
      </c>
      <c r="CX8" s="8" t="str">
        <f>IF($B8="","",IF(COUNTIF('Competency Event Log'!$U$4:$U$803,$B8&amp;"|"&amp;CX$5)=0,"",SUMIF('Competency Event Log'!$U$4:$U$803,$B8&amp;"|"&amp;CX$5,'Competency Event Log'!$D$4:$D$803)))</f>
        <v/>
      </c>
      <c r="CY8" s="8" t="str">
        <f>IF($B8="","",IF(COUNTIF('Competency Event Log'!$U$4:$U$803,$B8&amp;"|"&amp;CY$5)=0,"",SUMIF('Competency Event Log'!$U$4:$U$803,$B8&amp;"|"&amp;CY$5,'Competency Event Log'!$D$4:$D$803)))</f>
        <v/>
      </c>
      <c r="CZ8" s="8" t="str">
        <f>IF($B8="","",IF(COUNTIF('Competency Event Log'!$U$4:$U$803,$B8&amp;"|"&amp;CZ$5)=0,"",SUMIF('Competency Event Log'!$U$4:$U$803,$B8&amp;"|"&amp;CZ$5,'Competency Event Log'!$D$4:$D$803)))</f>
        <v/>
      </c>
      <c r="DA8" s="8" t="str">
        <f>IF($B8="","",IF(COUNTIF('Competency Event Log'!$U$4:$U$803,$B8&amp;"|"&amp;DA$5)=0,"",SUMIF('Competency Event Log'!$U$4:$U$803,$B8&amp;"|"&amp;DA$5,'Competency Event Log'!$D$4:$D$803)))</f>
        <v/>
      </c>
      <c r="DB8" s="8" t="str">
        <f>IF($B8="","",IF(COUNTIF('Competency Event Log'!$U$4:$U$803,$B8&amp;"|"&amp;DB$5)=0,"",SUMIF('Competency Event Log'!$U$4:$U$803,$B8&amp;"|"&amp;DB$5,'Competency Event Log'!$D$4:$D$803)))</f>
        <v/>
      </c>
      <c r="DC8" s="8" t="str">
        <f>IF($B8="","",IF(COUNTIF('Competency Event Log'!$U$4:$U$803,$B8&amp;"|"&amp;DC$5)=0,"",SUMIF('Competency Event Log'!$U$4:$U$803,$B8&amp;"|"&amp;DC$5,'Competency Event Log'!$D$4:$D$803)))</f>
        <v/>
      </c>
      <c r="DD8" s="8" t="str">
        <f>IF($B8="","",IF(COUNTIF('Competency Event Log'!$U$4:$U$803,$B8&amp;"|"&amp;DD$5)=0,"",SUMIF('Competency Event Log'!$U$4:$U$803,$B8&amp;"|"&amp;DD$5,'Competency Event Log'!$D$4:$D$803)))</f>
        <v/>
      </c>
      <c r="DE8" s="8">
        <f>IF($B8="","",IF(COUNTIF('Competency Event Log'!$U$4:$U$803,$B8&amp;"|"&amp;DE$5)=0,"",SUMIF('Competency Event Log'!$U$4:$U$803,$B8&amp;"|"&amp;DE$5,'Competency Event Log'!$D$4:$D$803)))</f>
        <v>2</v>
      </c>
      <c r="DF8" s="8">
        <f t="shared" si="0"/>
        <v>30</v>
      </c>
      <c r="DG8" s="8">
        <f t="shared" si="1"/>
        <v>11</v>
      </c>
      <c r="DH8" s="8">
        <f t="shared" si="2"/>
        <v>9</v>
      </c>
      <c r="DI8" s="11">
        <f t="shared" si="3"/>
        <v>0.5</v>
      </c>
    </row>
    <row r="9" spans="1:113">
      <c r="A9" s="7" t="s">
        <v>304</v>
      </c>
      <c r="B9" s="7" t="s">
        <v>43</v>
      </c>
      <c r="C9" s="8">
        <v>1</v>
      </c>
      <c r="D9" s="9" t="s">
        <v>508</v>
      </c>
      <c r="E9" s="10">
        <v>43307</v>
      </c>
      <c r="F9" s="8" t="s">
        <v>409</v>
      </c>
      <c r="G9" s="8">
        <f>IF($B9="","",IF(COUNTIF('Competency Event Log'!$U$4:$U$803,$B9&amp;"|"&amp;G$5)=0,"",SUMIF('Competency Event Log'!$U$4:$U$803,$B9&amp;"|"&amp;G$5,'Competency Event Log'!$D$4:$D$803)))</f>
        <v>2</v>
      </c>
      <c r="H9" s="8">
        <f>IF($B9="","",IF(COUNTIF('Competency Event Log'!$U$4:$U$803,$B9&amp;"|"&amp;H$5)=0,"",SUMIF('Competency Event Log'!$U$4:$U$803,$B9&amp;"|"&amp;H$5,'Competency Event Log'!$D$4:$D$803)))</f>
        <v>3</v>
      </c>
      <c r="I9" s="8">
        <f>IF($B9="","",IF(COUNTIF('Competency Event Log'!$U$4:$U$803,$B9&amp;"|"&amp;I$5)=0,"",SUMIF('Competency Event Log'!$U$4:$U$803,$B9&amp;"|"&amp;I$5,'Competency Event Log'!$D$4:$D$803)))</f>
        <v>3</v>
      </c>
      <c r="J9" s="8" t="str">
        <f>IF($B9="","",IF(COUNTIF('Competency Event Log'!$U$4:$U$803,$B9&amp;"|"&amp;J$5)=0,"",SUMIF('Competency Event Log'!$U$4:$U$803,$B9&amp;"|"&amp;J$5,'Competency Event Log'!$D$4:$D$803)))</f>
        <v/>
      </c>
      <c r="K9" s="8" t="str">
        <f>IF($B9="","",IF(COUNTIF('Competency Event Log'!$U$4:$U$803,$B9&amp;"|"&amp;K$5)=0,"",SUMIF('Competency Event Log'!$U$4:$U$803,$B9&amp;"|"&amp;K$5,'Competency Event Log'!$D$4:$D$803)))</f>
        <v/>
      </c>
      <c r="L9" s="8">
        <f>IF($B9="","",IF(COUNTIF('Competency Event Log'!$U$4:$U$803,$B9&amp;"|"&amp;L$5)=0,"",SUMIF('Competency Event Log'!$U$4:$U$803,$B9&amp;"|"&amp;L$5,'Competency Event Log'!$D$4:$D$803)))</f>
        <v>2</v>
      </c>
      <c r="M9" s="8">
        <f>IF($B9="","",IF(COUNTIF('Competency Event Log'!$U$4:$U$803,$B9&amp;"|"&amp;M$5)=0,"",SUMIF('Competency Event Log'!$U$4:$U$803,$B9&amp;"|"&amp;M$5,'Competency Event Log'!$D$4:$D$803)))</f>
        <v>3</v>
      </c>
      <c r="N9" s="8" t="str">
        <f>IF($B9="","",IF(COUNTIF('Competency Event Log'!$U$4:$U$803,$B9&amp;"|"&amp;N$5)=0,"",SUMIF('Competency Event Log'!$U$4:$U$803,$B9&amp;"|"&amp;N$5,'Competency Event Log'!$D$4:$D$803)))</f>
        <v/>
      </c>
      <c r="O9" s="8">
        <f>IF($B9="","",IF(COUNTIF('Competency Event Log'!$U$4:$U$803,$B9&amp;"|"&amp;O$5)=0,"",SUMIF('Competency Event Log'!$U$4:$U$803,$B9&amp;"|"&amp;O$5,'Competency Event Log'!$D$4:$D$803)))</f>
        <v>3</v>
      </c>
      <c r="P9" s="8">
        <f>IF($B9="","",IF(COUNTIF('Competency Event Log'!$U$4:$U$803,$B9&amp;"|"&amp;P$5)=0,"",SUMIF('Competency Event Log'!$U$4:$U$803,$B9&amp;"|"&amp;P$5,'Competency Event Log'!$D$4:$D$803)))</f>
        <v>2</v>
      </c>
      <c r="Q9" s="8">
        <f>IF($B9="","",IF(COUNTIF('Competency Event Log'!$U$4:$U$803,$B9&amp;"|"&amp;Q$5)=0,"",SUMIF('Competency Event Log'!$U$4:$U$803,$B9&amp;"|"&amp;Q$5,'Competency Event Log'!$D$4:$D$803)))</f>
        <v>3</v>
      </c>
      <c r="R9" s="8" t="str">
        <f>IF($B9="","",IF(COUNTIF('Competency Event Log'!$U$4:$U$803,$B9&amp;"|"&amp;R$5)=0,"",SUMIF('Competency Event Log'!$U$4:$U$803,$B9&amp;"|"&amp;R$5,'Competency Event Log'!$D$4:$D$803)))</f>
        <v/>
      </c>
      <c r="S9" s="8" t="str">
        <f>IF($B9="","",IF(COUNTIF('Competency Event Log'!$U$4:$U$803,$B9&amp;"|"&amp;S$5)=0,"",SUMIF('Competency Event Log'!$U$4:$U$803,$B9&amp;"|"&amp;S$5,'Competency Event Log'!$D$4:$D$803)))</f>
        <v/>
      </c>
      <c r="T9" s="8">
        <f>IF($B9="","",IF(COUNTIF('Competency Event Log'!$U$4:$U$803,$B9&amp;"|"&amp;T$5)=0,"",SUMIF('Competency Event Log'!$U$4:$U$803,$B9&amp;"|"&amp;T$5,'Competency Event Log'!$D$4:$D$803)))</f>
        <v>3</v>
      </c>
      <c r="U9" s="8" t="str">
        <f>IF($B9="","",IF(COUNTIF('Competency Event Log'!$U$4:$U$803,$B9&amp;"|"&amp;U$5)=0,"",SUMIF('Competency Event Log'!$U$4:$U$803,$B9&amp;"|"&amp;U$5,'Competency Event Log'!$D$4:$D$803)))</f>
        <v/>
      </c>
      <c r="V9" s="8" t="str">
        <f>IF($B9="","",IF(COUNTIF('Competency Event Log'!$U$4:$U$803,$B9&amp;"|"&amp;V$5)=0,"",SUMIF('Competency Event Log'!$U$4:$U$803,$B9&amp;"|"&amp;V$5,'Competency Event Log'!$D$4:$D$803)))</f>
        <v/>
      </c>
      <c r="W9" s="8" t="str">
        <f>IF($B9="","",IF(COUNTIF('Competency Event Log'!$U$4:$U$803,$B9&amp;"|"&amp;W$5)=0,"",SUMIF('Competency Event Log'!$U$4:$U$803,$B9&amp;"|"&amp;W$5,'Competency Event Log'!$D$4:$D$803)))</f>
        <v/>
      </c>
      <c r="X9" s="8" t="str">
        <f>IF($B9="","",IF(COUNTIF('Competency Event Log'!$U$4:$U$803,$B9&amp;"|"&amp;X$5)=0,"",SUMIF('Competency Event Log'!$U$4:$U$803,$B9&amp;"|"&amp;X$5,'Competency Event Log'!$D$4:$D$803)))</f>
        <v/>
      </c>
      <c r="Y9" s="8" t="str">
        <f>IF($B9="","",IF(COUNTIF('Competency Event Log'!$U$4:$U$803,$B9&amp;"|"&amp;Y$5)=0,"",SUMIF('Competency Event Log'!$U$4:$U$803,$B9&amp;"|"&amp;Y$5,'Competency Event Log'!$D$4:$D$803)))</f>
        <v/>
      </c>
      <c r="Z9" s="8" t="str">
        <f>IF($B9="","",IF(COUNTIF('Competency Event Log'!$U$4:$U$803,$B9&amp;"|"&amp;Z$5)=0,"",SUMIF('Competency Event Log'!$U$4:$U$803,$B9&amp;"|"&amp;Z$5,'Competency Event Log'!$D$4:$D$803)))</f>
        <v/>
      </c>
      <c r="AA9" s="8" t="str">
        <f>IF($B9="","",IF(COUNTIF('Competency Event Log'!$U$4:$U$803,$B9&amp;"|"&amp;AA$5)=0,"",SUMIF('Competency Event Log'!$U$4:$U$803,$B9&amp;"|"&amp;AA$5,'Competency Event Log'!$D$4:$D$803)))</f>
        <v/>
      </c>
      <c r="AB9" s="8" t="str">
        <f>IF($B9="","",IF(COUNTIF('Competency Event Log'!$U$4:$U$803,$B9&amp;"|"&amp;AB$5)=0,"",SUMIF('Competency Event Log'!$U$4:$U$803,$B9&amp;"|"&amp;AB$5,'Competency Event Log'!$D$4:$D$803)))</f>
        <v/>
      </c>
      <c r="AC9" s="8" t="str">
        <f>IF($B9="","",IF(COUNTIF('Competency Event Log'!$U$4:$U$803,$B9&amp;"|"&amp;AC$5)=0,"",SUMIF('Competency Event Log'!$U$4:$U$803,$B9&amp;"|"&amp;AC$5,'Competency Event Log'!$D$4:$D$803)))</f>
        <v/>
      </c>
      <c r="AD9" s="8" t="str">
        <f>IF($B9="","",IF(COUNTIF('Competency Event Log'!$U$4:$U$803,$B9&amp;"|"&amp;AD$5)=0,"",SUMIF('Competency Event Log'!$U$4:$U$803,$B9&amp;"|"&amp;AD$5,'Competency Event Log'!$D$4:$D$803)))</f>
        <v/>
      </c>
      <c r="AE9" s="8" t="str">
        <f>IF($B9="","",IF(COUNTIF('Competency Event Log'!$U$4:$U$803,$B9&amp;"|"&amp;AE$5)=0,"",SUMIF('Competency Event Log'!$U$4:$U$803,$B9&amp;"|"&amp;AE$5,'Competency Event Log'!$D$4:$D$803)))</f>
        <v/>
      </c>
      <c r="AF9" s="8" t="str">
        <f>IF($B9="","",IF(COUNTIF('Competency Event Log'!$U$4:$U$803,$B9&amp;"|"&amp;AF$5)=0,"",SUMIF('Competency Event Log'!$U$4:$U$803,$B9&amp;"|"&amp;AF$5,'Competency Event Log'!$D$4:$D$803)))</f>
        <v/>
      </c>
      <c r="AG9" s="8" t="str">
        <f>IF($B9="","",IF(COUNTIF('Competency Event Log'!$U$4:$U$803,$B9&amp;"|"&amp;AG$5)=0,"",SUMIF('Competency Event Log'!$U$4:$U$803,$B9&amp;"|"&amp;AG$5,'Competency Event Log'!$D$4:$D$803)))</f>
        <v/>
      </c>
      <c r="AH9" s="8" t="str">
        <f>IF($B9="","",IF(COUNTIF('Competency Event Log'!$U$4:$U$803,$B9&amp;"|"&amp;AH$5)=0,"",SUMIF('Competency Event Log'!$U$4:$U$803,$B9&amp;"|"&amp;AH$5,'Competency Event Log'!$D$4:$D$803)))</f>
        <v/>
      </c>
      <c r="AI9" s="8" t="str">
        <f>IF($B9="","",IF(COUNTIF('Competency Event Log'!$U$4:$U$803,$B9&amp;"|"&amp;AI$5)=0,"",SUMIF('Competency Event Log'!$U$4:$U$803,$B9&amp;"|"&amp;AI$5,'Competency Event Log'!$D$4:$D$803)))</f>
        <v/>
      </c>
      <c r="AJ9" s="8" t="str">
        <f>IF($B9="","",IF(COUNTIF('Competency Event Log'!$U$4:$U$803,$B9&amp;"|"&amp;AJ$5)=0,"",SUMIF('Competency Event Log'!$U$4:$U$803,$B9&amp;"|"&amp;AJ$5,'Competency Event Log'!$D$4:$D$803)))</f>
        <v/>
      </c>
      <c r="AK9" s="8" t="str">
        <f>IF($B9="","",IF(COUNTIF('Competency Event Log'!$U$4:$U$803,$B9&amp;"|"&amp;AK$5)=0,"",SUMIF('Competency Event Log'!$U$4:$U$803,$B9&amp;"|"&amp;AK$5,'Competency Event Log'!$D$4:$D$803)))</f>
        <v/>
      </c>
      <c r="AL9" s="8" t="str">
        <f>IF($B9="","",IF(COUNTIF('Competency Event Log'!$U$4:$U$803,$B9&amp;"|"&amp;AL$5)=0,"",SUMIF('Competency Event Log'!$U$4:$U$803,$B9&amp;"|"&amp;AL$5,'Competency Event Log'!$D$4:$D$803)))</f>
        <v/>
      </c>
      <c r="AM9" s="8" t="str">
        <f>IF($B9="","",IF(COUNTIF('Competency Event Log'!$U$4:$U$803,$B9&amp;"|"&amp;AM$5)=0,"",SUMIF('Competency Event Log'!$U$4:$U$803,$B9&amp;"|"&amp;AM$5,'Competency Event Log'!$D$4:$D$803)))</f>
        <v/>
      </c>
      <c r="AN9" s="8" t="str">
        <f>IF($B9="","",IF(COUNTIF('Competency Event Log'!$U$4:$U$803,$B9&amp;"|"&amp;AN$5)=0,"",SUMIF('Competency Event Log'!$U$4:$U$803,$B9&amp;"|"&amp;AN$5,'Competency Event Log'!$D$4:$D$803)))</f>
        <v/>
      </c>
      <c r="AO9" s="8" t="str">
        <f>IF($B9="","",IF(COUNTIF('Competency Event Log'!$U$4:$U$803,$B9&amp;"|"&amp;AO$5)=0,"",SUMIF('Competency Event Log'!$U$4:$U$803,$B9&amp;"|"&amp;AO$5,'Competency Event Log'!$D$4:$D$803)))</f>
        <v/>
      </c>
      <c r="AP9" s="8" t="str">
        <f>IF($B9="","",IF(COUNTIF('Competency Event Log'!$U$4:$U$803,$B9&amp;"|"&amp;AP$5)=0,"",SUMIF('Competency Event Log'!$U$4:$U$803,$B9&amp;"|"&amp;AP$5,'Competency Event Log'!$D$4:$D$803)))</f>
        <v/>
      </c>
      <c r="AQ9" s="8" t="str">
        <f>IF($B9="","",IF(COUNTIF('Competency Event Log'!$U$4:$U$803,$B9&amp;"|"&amp;AQ$5)=0,"",SUMIF('Competency Event Log'!$U$4:$U$803,$B9&amp;"|"&amp;AQ$5,'Competency Event Log'!$D$4:$D$803)))</f>
        <v/>
      </c>
      <c r="AR9" s="8" t="str">
        <f>IF($B9="","",IF(COUNTIF('Competency Event Log'!$U$4:$U$803,$B9&amp;"|"&amp;AR$5)=0,"",SUMIF('Competency Event Log'!$U$4:$U$803,$B9&amp;"|"&amp;AR$5,'Competency Event Log'!$D$4:$D$803)))</f>
        <v/>
      </c>
      <c r="AS9" s="8" t="str">
        <f>IF($B9="","",IF(COUNTIF('Competency Event Log'!$U$4:$U$803,$B9&amp;"|"&amp;AS$5)=0,"",SUMIF('Competency Event Log'!$U$4:$U$803,$B9&amp;"|"&amp;AS$5,'Competency Event Log'!$D$4:$D$803)))</f>
        <v/>
      </c>
      <c r="AT9" s="8" t="str">
        <f>IF($B9="","",IF(COUNTIF('Competency Event Log'!$U$4:$U$803,$B9&amp;"|"&amp;AT$5)=0,"",SUMIF('Competency Event Log'!$U$4:$U$803,$B9&amp;"|"&amp;AT$5,'Competency Event Log'!$D$4:$D$803)))</f>
        <v/>
      </c>
      <c r="AU9" s="8" t="str">
        <f>IF($B9="","",IF(COUNTIF('Competency Event Log'!$U$4:$U$803,$B9&amp;"|"&amp;AU$5)=0,"",SUMIF('Competency Event Log'!$U$4:$U$803,$B9&amp;"|"&amp;AU$5,'Competency Event Log'!$D$4:$D$803)))</f>
        <v/>
      </c>
      <c r="AV9" s="8" t="str">
        <f>IF($B9="","",IF(COUNTIF('Competency Event Log'!$U$4:$U$803,$B9&amp;"|"&amp;AV$5)=0,"",SUMIF('Competency Event Log'!$U$4:$U$803,$B9&amp;"|"&amp;AV$5,'Competency Event Log'!$D$4:$D$803)))</f>
        <v/>
      </c>
      <c r="AW9" s="8" t="str">
        <f>IF($B9="","",IF(COUNTIF('Competency Event Log'!$U$4:$U$803,$B9&amp;"|"&amp;AW$5)=0,"",SUMIF('Competency Event Log'!$U$4:$U$803,$B9&amp;"|"&amp;AW$5,'Competency Event Log'!$D$4:$D$803)))</f>
        <v/>
      </c>
      <c r="AX9" s="8" t="str">
        <f>IF($B9="","",IF(COUNTIF('Competency Event Log'!$U$4:$U$803,$B9&amp;"|"&amp;AX$5)=0,"",SUMIF('Competency Event Log'!$U$4:$U$803,$B9&amp;"|"&amp;AX$5,'Competency Event Log'!$D$4:$D$803)))</f>
        <v/>
      </c>
      <c r="AY9" s="8" t="str">
        <f>IF($B9="","",IF(COUNTIF('Competency Event Log'!$U$4:$U$803,$B9&amp;"|"&amp;AY$5)=0,"",SUMIF('Competency Event Log'!$U$4:$U$803,$B9&amp;"|"&amp;AY$5,'Competency Event Log'!$D$4:$D$803)))</f>
        <v/>
      </c>
      <c r="AZ9" s="8" t="str">
        <f>IF($B9="","",IF(COUNTIF('Competency Event Log'!$U$4:$U$803,$B9&amp;"|"&amp;AZ$5)=0,"",SUMIF('Competency Event Log'!$U$4:$U$803,$B9&amp;"|"&amp;AZ$5,'Competency Event Log'!$D$4:$D$803)))</f>
        <v/>
      </c>
      <c r="BA9" s="8" t="str">
        <f>IF($B9="","",IF(COUNTIF('Competency Event Log'!$U$4:$U$803,$B9&amp;"|"&amp;BA$5)=0,"",SUMIF('Competency Event Log'!$U$4:$U$803,$B9&amp;"|"&amp;BA$5,'Competency Event Log'!$D$4:$D$803)))</f>
        <v/>
      </c>
      <c r="BB9" s="8" t="str">
        <f>IF($B9="","",IF(COUNTIF('Competency Event Log'!$U$4:$U$803,$B9&amp;"|"&amp;BB$5)=0,"",SUMIF('Competency Event Log'!$U$4:$U$803,$B9&amp;"|"&amp;BB$5,'Competency Event Log'!$D$4:$D$803)))</f>
        <v/>
      </c>
      <c r="BC9" s="8" t="str">
        <f>IF($B9="","",IF(COUNTIF('Competency Event Log'!$U$4:$U$803,$B9&amp;"|"&amp;BC$5)=0,"",SUMIF('Competency Event Log'!$U$4:$U$803,$B9&amp;"|"&amp;BC$5,'Competency Event Log'!$D$4:$D$803)))</f>
        <v/>
      </c>
      <c r="BD9" s="8" t="str">
        <f>IF($B9="","",IF(COUNTIF('Competency Event Log'!$U$4:$U$803,$B9&amp;"|"&amp;BD$5)=0,"",SUMIF('Competency Event Log'!$U$4:$U$803,$B9&amp;"|"&amp;BD$5,'Competency Event Log'!$D$4:$D$803)))</f>
        <v/>
      </c>
      <c r="BE9" s="8" t="str">
        <f>IF($B9="","",IF(COUNTIF('Competency Event Log'!$U$4:$U$803,$B9&amp;"|"&amp;BE$5)=0,"",SUMIF('Competency Event Log'!$U$4:$U$803,$B9&amp;"|"&amp;BE$5,'Competency Event Log'!$D$4:$D$803)))</f>
        <v/>
      </c>
      <c r="BF9" s="8">
        <f>IF($B9="","",IF(COUNTIF('Competency Event Log'!$U$4:$U$803,$B9&amp;"|"&amp;BF$5)=0,"",SUMIF('Competency Event Log'!$U$4:$U$803,$B9&amp;"|"&amp;BF$5,'Competency Event Log'!$D$4:$D$803)))</f>
        <v>3</v>
      </c>
      <c r="BG9" s="8" t="str">
        <f>IF($B9="","",IF(COUNTIF('Competency Event Log'!$U$4:$U$803,$B9&amp;"|"&amp;BG$5)=0,"",SUMIF('Competency Event Log'!$U$4:$U$803,$B9&amp;"|"&amp;BG$5,'Competency Event Log'!$D$4:$D$803)))</f>
        <v/>
      </c>
      <c r="BH9" s="8" t="str">
        <f>IF($B9="","",IF(COUNTIF('Competency Event Log'!$U$4:$U$803,$B9&amp;"|"&amp;BH$5)=0,"",SUMIF('Competency Event Log'!$U$4:$U$803,$B9&amp;"|"&amp;BH$5,'Competency Event Log'!$D$4:$D$803)))</f>
        <v/>
      </c>
      <c r="BI9" s="8" t="str">
        <f>IF($B9="","",IF(COUNTIF('Competency Event Log'!$U$4:$U$803,$B9&amp;"|"&amp;BI$5)=0,"",SUMIF('Competency Event Log'!$U$4:$U$803,$B9&amp;"|"&amp;BI$5,'Competency Event Log'!$D$4:$D$803)))</f>
        <v/>
      </c>
      <c r="BJ9" s="8" t="str">
        <f>IF($B9="","",IF(COUNTIF('Competency Event Log'!$U$4:$U$803,$B9&amp;"|"&amp;BJ$5)=0,"",SUMIF('Competency Event Log'!$U$4:$U$803,$B9&amp;"|"&amp;BJ$5,'Competency Event Log'!$D$4:$D$803)))</f>
        <v/>
      </c>
      <c r="BK9" s="8" t="str">
        <f>IF($B9="","",IF(COUNTIF('Competency Event Log'!$U$4:$U$803,$B9&amp;"|"&amp;BK$5)=0,"",SUMIF('Competency Event Log'!$U$4:$U$803,$B9&amp;"|"&amp;BK$5,'Competency Event Log'!$D$4:$D$803)))</f>
        <v/>
      </c>
      <c r="BL9" s="8" t="str">
        <f>IF($B9="","",IF(COUNTIF('Competency Event Log'!$U$4:$U$803,$B9&amp;"|"&amp;BL$5)=0,"",SUMIF('Competency Event Log'!$U$4:$U$803,$B9&amp;"|"&amp;BL$5,'Competency Event Log'!$D$4:$D$803)))</f>
        <v/>
      </c>
      <c r="BM9" s="8" t="str">
        <f>IF($B9="","",IF(COUNTIF('Competency Event Log'!$U$4:$U$803,$B9&amp;"|"&amp;BM$5)=0,"",SUMIF('Competency Event Log'!$U$4:$U$803,$B9&amp;"|"&amp;BM$5,'Competency Event Log'!$D$4:$D$803)))</f>
        <v/>
      </c>
      <c r="BN9" s="8" t="str">
        <f>IF($B9="","",IF(COUNTIF('Competency Event Log'!$U$4:$U$803,$B9&amp;"|"&amp;BN$5)=0,"",SUMIF('Competency Event Log'!$U$4:$U$803,$B9&amp;"|"&amp;BN$5,'Competency Event Log'!$D$4:$D$803)))</f>
        <v/>
      </c>
      <c r="BO9" s="8" t="str">
        <f>IF($B9="","",IF(COUNTIF('Competency Event Log'!$U$4:$U$803,$B9&amp;"|"&amp;BO$5)=0,"",SUMIF('Competency Event Log'!$U$4:$U$803,$B9&amp;"|"&amp;BO$5,'Competency Event Log'!$D$4:$D$803)))</f>
        <v/>
      </c>
      <c r="BP9" s="8" t="str">
        <f>IF($B9="","",IF(COUNTIF('Competency Event Log'!$U$4:$U$803,$B9&amp;"|"&amp;BP$5)=0,"",SUMIF('Competency Event Log'!$U$4:$U$803,$B9&amp;"|"&amp;BP$5,'Competency Event Log'!$D$4:$D$803)))</f>
        <v/>
      </c>
      <c r="BQ9" s="8">
        <f>IF($B9="","",IF(COUNTIF('Competency Event Log'!$U$4:$U$803,$B9&amp;"|"&amp;BQ$5)=0,"",SUMIF('Competency Event Log'!$U$4:$U$803,$B9&amp;"|"&amp;BQ$5,'Competency Event Log'!$D$4:$D$803)))</f>
        <v>2</v>
      </c>
      <c r="BR9" s="8" t="str">
        <f>IF($B9="","",IF(COUNTIF('Competency Event Log'!$U$4:$U$803,$B9&amp;"|"&amp;BR$5)=0,"",SUMIF('Competency Event Log'!$U$4:$U$803,$B9&amp;"|"&amp;BR$5,'Competency Event Log'!$D$4:$D$803)))</f>
        <v/>
      </c>
      <c r="BS9" s="8" t="str">
        <f>IF($B9="","",IF(COUNTIF('Competency Event Log'!$U$4:$U$803,$B9&amp;"|"&amp;BS$5)=0,"",SUMIF('Competency Event Log'!$U$4:$U$803,$B9&amp;"|"&amp;BS$5,'Competency Event Log'!$D$4:$D$803)))</f>
        <v/>
      </c>
      <c r="BT9" s="8" t="str">
        <f>IF($B9="","",IF(COUNTIF('Competency Event Log'!$U$4:$U$803,$B9&amp;"|"&amp;BT$5)=0,"",SUMIF('Competency Event Log'!$U$4:$U$803,$B9&amp;"|"&amp;BT$5,'Competency Event Log'!$D$4:$D$803)))</f>
        <v/>
      </c>
      <c r="BU9" s="8" t="str">
        <f>IF($B9="","",IF(COUNTIF('Competency Event Log'!$U$4:$U$803,$B9&amp;"|"&amp;BU$5)=0,"",SUMIF('Competency Event Log'!$U$4:$U$803,$B9&amp;"|"&amp;BU$5,'Competency Event Log'!$D$4:$D$803)))</f>
        <v/>
      </c>
      <c r="BV9" s="8" t="str">
        <f>IF($B9="","",IF(COUNTIF('Competency Event Log'!$U$4:$U$803,$B9&amp;"|"&amp;BV$5)=0,"",SUMIF('Competency Event Log'!$U$4:$U$803,$B9&amp;"|"&amp;BV$5,'Competency Event Log'!$D$4:$D$803)))</f>
        <v/>
      </c>
      <c r="BW9" s="8" t="str">
        <f>IF($B9="","",IF(COUNTIF('Competency Event Log'!$U$4:$U$803,$B9&amp;"|"&amp;BW$5)=0,"",SUMIF('Competency Event Log'!$U$4:$U$803,$B9&amp;"|"&amp;BW$5,'Competency Event Log'!$D$4:$D$803)))</f>
        <v/>
      </c>
      <c r="BX9" s="8" t="str">
        <f>IF($B9="","",IF(COUNTIF('Competency Event Log'!$U$4:$U$803,$B9&amp;"|"&amp;BX$5)=0,"",SUMIF('Competency Event Log'!$U$4:$U$803,$B9&amp;"|"&amp;BX$5,'Competency Event Log'!$D$4:$D$803)))</f>
        <v/>
      </c>
      <c r="BY9" s="8" t="str">
        <f>IF($B9="","",IF(COUNTIF('Competency Event Log'!$U$4:$U$803,$B9&amp;"|"&amp;BY$5)=0,"",SUMIF('Competency Event Log'!$U$4:$U$803,$B9&amp;"|"&amp;BY$5,'Competency Event Log'!$D$4:$D$803)))</f>
        <v/>
      </c>
      <c r="BZ9" s="8" t="str">
        <f>IF($B9="","",IF(COUNTIF('Competency Event Log'!$U$4:$U$803,$B9&amp;"|"&amp;BZ$5)=0,"",SUMIF('Competency Event Log'!$U$4:$U$803,$B9&amp;"|"&amp;BZ$5,'Competency Event Log'!$D$4:$D$803)))</f>
        <v/>
      </c>
      <c r="CA9" s="8" t="str">
        <f>IF($B9="","",IF(COUNTIF('Competency Event Log'!$U$4:$U$803,$B9&amp;"|"&amp;CA$5)=0,"",SUMIF('Competency Event Log'!$U$4:$U$803,$B9&amp;"|"&amp;CA$5,'Competency Event Log'!$D$4:$D$803)))</f>
        <v/>
      </c>
      <c r="CB9" s="8" t="str">
        <f>IF($B9="","",IF(COUNTIF('Competency Event Log'!$U$4:$U$803,$B9&amp;"|"&amp;CB$5)=0,"",SUMIF('Competency Event Log'!$U$4:$U$803,$B9&amp;"|"&amp;CB$5,'Competency Event Log'!$D$4:$D$803)))</f>
        <v/>
      </c>
      <c r="CC9" s="8" t="str">
        <f>IF($B9="","",IF(COUNTIF('Competency Event Log'!$U$4:$U$803,$B9&amp;"|"&amp;CC$5)=0,"",SUMIF('Competency Event Log'!$U$4:$U$803,$B9&amp;"|"&amp;CC$5,'Competency Event Log'!$D$4:$D$803)))</f>
        <v/>
      </c>
      <c r="CD9" s="8" t="str">
        <f>IF($B9="","",IF(COUNTIF('Competency Event Log'!$U$4:$U$803,$B9&amp;"|"&amp;CD$5)=0,"",SUMIF('Competency Event Log'!$U$4:$U$803,$B9&amp;"|"&amp;CD$5,'Competency Event Log'!$D$4:$D$803)))</f>
        <v/>
      </c>
      <c r="CE9" s="8" t="str">
        <f>IF($B9="","",IF(COUNTIF('Competency Event Log'!$U$4:$U$803,$B9&amp;"|"&amp;CE$5)=0,"",SUMIF('Competency Event Log'!$U$4:$U$803,$B9&amp;"|"&amp;CE$5,'Competency Event Log'!$D$4:$D$803)))</f>
        <v/>
      </c>
      <c r="CF9" s="8" t="str">
        <f>IF($B9="","",IF(COUNTIF('Competency Event Log'!$U$4:$U$803,$B9&amp;"|"&amp;CF$5)=0,"",SUMIF('Competency Event Log'!$U$4:$U$803,$B9&amp;"|"&amp;CF$5,'Competency Event Log'!$D$4:$D$803)))</f>
        <v/>
      </c>
      <c r="CG9" s="8" t="str">
        <f>IF($B9="","",IF(COUNTIF('Competency Event Log'!$U$4:$U$803,$B9&amp;"|"&amp;CG$5)=0,"",SUMIF('Competency Event Log'!$U$4:$U$803,$B9&amp;"|"&amp;CG$5,'Competency Event Log'!$D$4:$D$803)))</f>
        <v/>
      </c>
      <c r="CH9" s="8" t="str">
        <f>IF($B9="","",IF(COUNTIF('Competency Event Log'!$U$4:$U$803,$B9&amp;"|"&amp;CH$5)=0,"",SUMIF('Competency Event Log'!$U$4:$U$803,$B9&amp;"|"&amp;CH$5,'Competency Event Log'!$D$4:$D$803)))</f>
        <v/>
      </c>
      <c r="CI9" s="8" t="str">
        <f>IF($B9="","",IF(COUNTIF('Competency Event Log'!$U$4:$U$803,$B9&amp;"|"&amp;CI$5)=0,"",SUMIF('Competency Event Log'!$U$4:$U$803,$B9&amp;"|"&amp;CI$5,'Competency Event Log'!$D$4:$D$803)))</f>
        <v/>
      </c>
      <c r="CJ9" s="8" t="str">
        <f>IF($B9="","",IF(COUNTIF('Competency Event Log'!$U$4:$U$803,$B9&amp;"|"&amp;CJ$5)=0,"",SUMIF('Competency Event Log'!$U$4:$U$803,$B9&amp;"|"&amp;CJ$5,'Competency Event Log'!$D$4:$D$803)))</f>
        <v/>
      </c>
      <c r="CK9" s="8" t="str">
        <f>IF($B9="","",IF(COUNTIF('Competency Event Log'!$U$4:$U$803,$B9&amp;"|"&amp;CK$5)=0,"",SUMIF('Competency Event Log'!$U$4:$U$803,$B9&amp;"|"&amp;CK$5,'Competency Event Log'!$D$4:$D$803)))</f>
        <v/>
      </c>
      <c r="CL9" s="8" t="str">
        <f>IF($B9="","",IF(COUNTIF('Competency Event Log'!$U$4:$U$803,$B9&amp;"|"&amp;CL$5)=0,"",SUMIF('Competency Event Log'!$U$4:$U$803,$B9&amp;"|"&amp;CL$5,'Competency Event Log'!$D$4:$D$803)))</f>
        <v/>
      </c>
      <c r="CM9" s="8" t="str">
        <f>IF($B9="","",IF(COUNTIF('Competency Event Log'!$U$4:$U$803,$B9&amp;"|"&amp;CM$5)=0,"",SUMIF('Competency Event Log'!$U$4:$U$803,$B9&amp;"|"&amp;CM$5,'Competency Event Log'!$D$4:$D$803)))</f>
        <v/>
      </c>
      <c r="CN9" s="8" t="str">
        <f>IF($B9="","",IF(COUNTIF('Competency Event Log'!$U$4:$U$803,$B9&amp;"|"&amp;CN$5)=0,"",SUMIF('Competency Event Log'!$U$4:$U$803,$B9&amp;"|"&amp;CN$5,'Competency Event Log'!$D$4:$D$803)))</f>
        <v/>
      </c>
      <c r="CO9" s="8" t="str">
        <f>IF($B9="","",IF(COUNTIF('Competency Event Log'!$U$4:$U$803,$B9&amp;"|"&amp;CO$5)=0,"",SUMIF('Competency Event Log'!$U$4:$U$803,$B9&amp;"|"&amp;CO$5,'Competency Event Log'!$D$4:$D$803)))</f>
        <v/>
      </c>
      <c r="CP9" s="8" t="str">
        <f>IF($B9="","",IF(COUNTIF('Competency Event Log'!$U$4:$U$803,$B9&amp;"|"&amp;CP$5)=0,"",SUMIF('Competency Event Log'!$U$4:$U$803,$B9&amp;"|"&amp;CP$5,'Competency Event Log'!$D$4:$D$803)))</f>
        <v/>
      </c>
      <c r="CQ9" s="8" t="str">
        <f>IF($B9="","",IF(COUNTIF('Competency Event Log'!$U$4:$U$803,$B9&amp;"|"&amp;CQ$5)=0,"",SUMIF('Competency Event Log'!$U$4:$U$803,$B9&amp;"|"&amp;CQ$5,'Competency Event Log'!$D$4:$D$803)))</f>
        <v/>
      </c>
      <c r="CR9" s="8" t="str">
        <f>IF($B9="","",IF(COUNTIF('Competency Event Log'!$U$4:$U$803,$B9&amp;"|"&amp;CR$5)=0,"",SUMIF('Competency Event Log'!$U$4:$U$803,$B9&amp;"|"&amp;CR$5,'Competency Event Log'!$D$4:$D$803)))</f>
        <v/>
      </c>
      <c r="CS9" s="8" t="str">
        <f>IF($B9="","",IF(COUNTIF('Competency Event Log'!$U$4:$U$803,$B9&amp;"|"&amp;CS$5)=0,"",SUMIF('Competency Event Log'!$U$4:$U$803,$B9&amp;"|"&amp;CS$5,'Competency Event Log'!$D$4:$D$803)))</f>
        <v/>
      </c>
      <c r="CT9" s="8" t="str">
        <f>IF($B9="","",IF(COUNTIF('Competency Event Log'!$U$4:$U$803,$B9&amp;"|"&amp;CT$5)=0,"",SUMIF('Competency Event Log'!$U$4:$U$803,$B9&amp;"|"&amp;CT$5,'Competency Event Log'!$D$4:$D$803)))</f>
        <v/>
      </c>
      <c r="CU9" s="8" t="str">
        <f>IF($B9="","",IF(COUNTIF('Competency Event Log'!$U$4:$U$803,$B9&amp;"|"&amp;CU$5)=0,"",SUMIF('Competency Event Log'!$U$4:$U$803,$B9&amp;"|"&amp;CU$5,'Competency Event Log'!$D$4:$D$803)))</f>
        <v/>
      </c>
      <c r="CV9" s="8" t="str">
        <f>IF($B9="","",IF(COUNTIF('Competency Event Log'!$U$4:$U$803,$B9&amp;"|"&amp;CV$5)=0,"",SUMIF('Competency Event Log'!$U$4:$U$803,$B9&amp;"|"&amp;CV$5,'Competency Event Log'!$D$4:$D$803)))</f>
        <v/>
      </c>
      <c r="CW9" s="8" t="str">
        <f>IF($B9="","",IF(COUNTIF('Competency Event Log'!$U$4:$U$803,$B9&amp;"|"&amp;CW$5)=0,"",SUMIF('Competency Event Log'!$U$4:$U$803,$B9&amp;"|"&amp;CW$5,'Competency Event Log'!$D$4:$D$803)))</f>
        <v/>
      </c>
      <c r="CX9" s="8" t="str">
        <f>IF($B9="","",IF(COUNTIF('Competency Event Log'!$U$4:$U$803,$B9&amp;"|"&amp;CX$5)=0,"",SUMIF('Competency Event Log'!$U$4:$U$803,$B9&amp;"|"&amp;CX$5,'Competency Event Log'!$D$4:$D$803)))</f>
        <v/>
      </c>
      <c r="CY9" s="8" t="str">
        <f>IF($B9="","",IF(COUNTIF('Competency Event Log'!$U$4:$U$803,$B9&amp;"|"&amp;CY$5)=0,"",SUMIF('Competency Event Log'!$U$4:$U$803,$B9&amp;"|"&amp;CY$5,'Competency Event Log'!$D$4:$D$803)))</f>
        <v/>
      </c>
      <c r="CZ9" s="8" t="str">
        <f>IF($B9="","",IF(COUNTIF('Competency Event Log'!$U$4:$U$803,$B9&amp;"|"&amp;CZ$5)=0,"",SUMIF('Competency Event Log'!$U$4:$U$803,$B9&amp;"|"&amp;CZ$5,'Competency Event Log'!$D$4:$D$803)))</f>
        <v/>
      </c>
      <c r="DA9" s="8" t="str">
        <f>IF($B9="","",IF(COUNTIF('Competency Event Log'!$U$4:$U$803,$B9&amp;"|"&amp;DA$5)=0,"",SUMIF('Competency Event Log'!$U$4:$U$803,$B9&amp;"|"&amp;DA$5,'Competency Event Log'!$D$4:$D$803)))</f>
        <v/>
      </c>
      <c r="DB9" s="8" t="str">
        <f>IF($B9="","",IF(COUNTIF('Competency Event Log'!$U$4:$U$803,$B9&amp;"|"&amp;DB$5)=0,"",SUMIF('Competency Event Log'!$U$4:$U$803,$B9&amp;"|"&amp;DB$5,'Competency Event Log'!$D$4:$D$803)))</f>
        <v/>
      </c>
      <c r="DC9" s="8" t="str">
        <f>IF($B9="","",IF(COUNTIF('Competency Event Log'!$U$4:$U$803,$B9&amp;"|"&amp;DC$5)=0,"",SUMIF('Competency Event Log'!$U$4:$U$803,$B9&amp;"|"&amp;DC$5,'Competency Event Log'!$D$4:$D$803)))</f>
        <v/>
      </c>
      <c r="DD9" s="8" t="str">
        <f>IF($B9="","",IF(COUNTIF('Competency Event Log'!$U$4:$U$803,$B9&amp;"|"&amp;DD$5)=0,"",SUMIF('Competency Event Log'!$U$4:$U$803,$B9&amp;"|"&amp;DD$5,'Competency Event Log'!$D$4:$D$803)))</f>
        <v/>
      </c>
      <c r="DE9" s="8" t="str">
        <f>IF($B9="","",IF(COUNTIF('Competency Event Log'!$U$4:$U$803,$B9&amp;"|"&amp;DE$5)=0,"",SUMIF('Competency Event Log'!$U$4:$U$803,$B9&amp;"|"&amp;DE$5,'Competency Event Log'!$D$4:$D$803)))</f>
        <v/>
      </c>
      <c r="DF9" s="8">
        <f t="shared" si="0"/>
        <v>29</v>
      </c>
      <c r="DG9" s="8">
        <f t="shared" si="1"/>
        <v>11</v>
      </c>
      <c r="DH9" s="8">
        <f t="shared" si="2"/>
        <v>7</v>
      </c>
      <c r="DI9" s="11">
        <f t="shared" si="3"/>
        <v>0.5625</v>
      </c>
    </row>
    <row r="10" spans="1:113">
      <c r="A10" s="7" t="s">
        <v>304</v>
      </c>
      <c r="B10" s="7" t="s">
        <v>47</v>
      </c>
      <c r="C10" s="8">
        <v>2</v>
      </c>
      <c r="D10" s="9" t="s">
        <v>535</v>
      </c>
      <c r="E10" s="10">
        <v>45507</v>
      </c>
      <c r="F10" s="8" t="s">
        <v>409</v>
      </c>
      <c r="G10" s="8" t="str">
        <f>IF($B10="","",IF(COUNTIF('Competency Event Log'!$U$4:$U$803,$B10&amp;"|"&amp;G$5)=0,"",SUMIF('Competency Event Log'!$U$4:$U$803,$B10&amp;"|"&amp;G$5,'Competency Event Log'!$D$4:$D$803)))</f>
        <v/>
      </c>
      <c r="H10" s="8" t="str">
        <f>IF($B10="","",IF(COUNTIF('Competency Event Log'!$U$4:$U$803,$B10&amp;"|"&amp;H$5)=0,"",SUMIF('Competency Event Log'!$U$4:$U$803,$B10&amp;"|"&amp;H$5,'Competency Event Log'!$D$4:$D$803)))</f>
        <v/>
      </c>
      <c r="I10" s="8">
        <f>IF($B10="","",IF(COUNTIF('Competency Event Log'!$U$4:$U$803,$B10&amp;"|"&amp;I$5)=0,"",SUMIF('Competency Event Log'!$U$4:$U$803,$B10&amp;"|"&amp;I$5,'Competency Event Log'!$D$4:$D$803)))</f>
        <v>1</v>
      </c>
      <c r="J10" s="8">
        <f>IF($B10="","",IF(COUNTIF('Competency Event Log'!$U$4:$U$803,$B10&amp;"|"&amp;J$5)=0,"",SUMIF('Competency Event Log'!$U$4:$U$803,$B10&amp;"|"&amp;J$5,'Competency Event Log'!$D$4:$D$803)))</f>
        <v>3</v>
      </c>
      <c r="K10" s="8">
        <f>IF($B10="","",IF(COUNTIF('Competency Event Log'!$U$4:$U$803,$B10&amp;"|"&amp;K$5)=0,"",SUMIF('Competency Event Log'!$U$4:$U$803,$B10&amp;"|"&amp;K$5,'Competency Event Log'!$D$4:$D$803)))</f>
        <v>3</v>
      </c>
      <c r="L10" s="8" t="str">
        <f>IF($B10="","",IF(COUNTIF('Competency Event Log'!$U$4:$U$803,$B10&amp;"|"&amp;L$5)=0,"",SUMIF('Competency Event Log'!$U$4:$U$803,$B10&amp;"|"&amp;L$5,'Competency Event Log'!$D$4:$D$803)))</f>
        <v/>
      </c>
      <c r="M10" s="8">
        <f>IF($B10="","",IF(COUNTIF('Competency Event Log'!$U$4:$U$803,$B10&amp;"|"&amp;M$5)=0,"",SUMIF('Competency Event Log'!$U$4:$U$803,$B10&amp;"|"&amp;M$5,'Competency Event Log'!$D$4:$D$803)))</f>
        <v>2</v>
      </c>
      <c r="N10" s="8" t="str">
        <f>IF($B10="","",IF(COUNTIF('Competency Event Log'!$U$4:$U$803,$B10&amp;"|"&amp;N$5)=0,"",SUMIF('Competency Event Log'!$U$4:$U$803,$B10&amp;"|"&amp;N$5,'Competency Event Log'!$D$4:$D$803)))</f>
        <v/>
      </c>
      <c r="O10" s="8" t="str">
        <f>IF($B10="","",IF(COUNTIF('Competency Event Log'!$U$4:$U$803,$B10&amp;"|"&amp;O$5)=0,"",SUMIF('Competency Event Log'!$U$4:$U$803,$B10&amp;"|"&amp;O$5,'Competency Event Log'!$D$4:$D$803)))</f>
        <v/>
      </c>
      <c r="P10" s="8" t="str">
        <f>IF($B10="","",IF(COUNTIF('Competency Event Log'!$U$4:$U$803,$B10&amp;"|"&amp;P$5)=0,"",SUMIF('Competency Event Log'!$U$4:$U$803,$B10&amp;"|"&amp;P$5,'Competency Event Log'!$D$4:$D$803)))</f>
        <v/>
      </c>
      <c r="Q10" s="8">
        <f>IF($B10="","",IF(COUNTIF('Competency Event Log'!$U$4:$U$803,$B10&amp;"|"&amp;Q$5)=0,"",SUMIF('Competency Event Log'!$U$4:$U$803,$B10&amp;"|"&amp;Q$5,'Competency Event Log'!$D$4:$D$803)))</f>
        <v>3</v>
      </c>
      <c r="R10" s="8">
        <f>IF($B10="","",IF(COUNTIF('Competency Event Log'!$U$4:$U$803,$B10&amp;"|"&amp;R$5)=0,"",SUMIF('Competency Event Log'!$U$4:$U$803,$B10&amp;"|"&amp;R$5,'Competency Event Log'!$D$4:$D$803)))</f>
        <v>3</v>
      </c>
      <c r="S10" s="8">
        <f>IF($B10="","",IF(COUNTIF('Competency Event Log'!$U$4:$U$803,$B10&amp;"|"&amp;S$5)=0,"",SUMIF('Competency Event Log'!$U$4:$U$803,$B10&amp;"|"&amp;S$5,'Competency Event Log'!$D$4:$D$803)))</f>
        <v>1</v>
      </c>
      <c r="T10" s="8">
        <f>IF($B10="","",IF(COUNTIF('Competency Event Log'!$U$4:$U$803,$B10&amp;"|"&amp;T$5)=0,"",SUMIF('Competency Event Log'!$U$4:$U$803,$B10&amp;"|"&amp;T$5,'Competency Event Log'!$D$4:$D$803)))</f>
        <v>2</v>
      </c>
      <c r="U10" s="8" t="str">
        <f>IF($B10="","",IF(COUNTIF('Competency Event Log'!$U$4:$U$803,$B10&amp;"|"&amp;U$5)=0,"",SUMIF('Competency Event Log'!$U$4:$U$803,$B10&amp;"|"&amp;U$5,'Competency Event Log'!$D$4:$D$803)))</f>
        <v/>
      </c>
      <c r="V10" s="8">
        <f>IF($B10="","",IF(COUNTIF('Competency Event Log'!$U$4:$U$803,$B10&amp;"|"&amp;V$5)=0,"",SUMIF('Competency Event Log'!$U$4:$U$803,$B10&amp;"|"&amp;V$5,'Competency Event Log'!$D$4:$D$803)))</f>
        <v>3</v>
      </c>
      <c r="W10" s="8" t="str">
        <f>IF($B10="","",IF(COUNTIF('Competency Event Log'!$U$4:$U$803,$B10&amp;"|"&amp;W$5)=0,"",SUMIF('Competency Event Log'!$U$4:$U$803,$B10&amp;"|"&amp;W$5,'Competency Event Log'!$D$4:$D$803)))</f>
        <v/>
      </c>
      <c r="X10" s="8" t="str">
        <f>IF($B10="","",IF(COUNTIF('Competency Event Log'!$U$4:$U$803,$B10&amp;"|"&amp;X$5)=0,"",SUMIF('Competency Event Log'!$U$4:$U$803,$B10&amp;"|"&amp;X$5,'Competency Event Log'!$D$4:$D$803)))</f>
        <v/>
      </c>
      <c r="Y10" s="8" t="str">
        <f>IF($B10="","",IF(COUNTIF('Competency Event Log'!$U$4:$U$803,$B10&amp;"|"&amp;Y$5)=0,"",SUMIF('Competency Event Log'!$U$4:$U$803,$B10&amp;"|"&amp;Y$5,'Competency Event Log'!$D$4:$D$803)))</f>
        <v/>
      </c>
      <c r="Z10" s="8" t="str">
        <f>IF($B10="","",IF(COUNTIF('Competency Event Log'!$U$4:$U$803,$B10&amp;"|"&amp;Z$5)=0,"",SUMIF('Competency Event Log'!$U$4:$U$803,$B10&amp;"|"&amp;Z$5,'Competency Event Log'!$D$4:$D$803)))</f>
        <v/>
      </c>
      <c r="AA10" s="8" t="str">
        <f>IF($B10="","",IF(COUNTIF('Competency Event Log'!$U$4:$U$803,$B10&amp;"|"&amp;AA$5)=0,"",SUMIF('Competency Event Log'!$U$4:$U$803,$B10&amp;"|"&amp;AA$5,'Competency Event Log'!$D$4:$D$803)))</f>
        <v/>
      </c>
      <c r="AB10" s="8" t="str">
        <f>IF($B10="","",IF(COUNTIF('Competency Event Log'!$U$4:$U$803,$B10&amp;"|"&amp;AB$5)=0,"",SUMIF('Competency Event Log'!$U$4:$U$803,$B10&amp;"|"&amp;AB$5,'Competency Event Log'!$D$4:$D$803)))</f>
        <v/>
      </c>
      <c r="AC10" s="8" t="str">
        <f>IF($B10="","",IF(COUNTIF('Competency Event Log'!$U$4:$U$803,$B10&amp;"|"&amp;AC$5)=0,"",SUMIF('Competency Event Log'!$U$4:$U$803,$B10&amp;"|"&amp;AC$5,'Competency Event Log'!$D$4:$D$803)))</f>
        <v/>
      </c>
      <c r="AD10" s="8" t="str">
        <f>IF($B10="","",IF(COUNTIF('Competency Event Log'!$U$4:$U$803,$B10&amp;"|"&amp;AD$5)=0,"",SUMIF('Competency Event Log'!$U$4:$U$803,$B10&amp;"|"&amp;AD$5,'Competency Event Log'!$D$4:$D$803)))</f>
        <v/>
      </c>
      <c r="AE10" s="8" t="str">
        <f>IF($B10="","",IF(COUNTIF('Competency Event Log'!$U$4:$U$803,$B10&amp;"|"&amp;AE$5)=0,"",SUMIF('Competency Event Log'!$U$4:$U$803,$B10&amp;"|"&amp;AE$5,'Competency Event Log'!$D$4:$D$803)))</f>
        <v/>
      </c>
      <c r="AF10" s="8" t="str">
        <f>IF($B10="","",IF(COUNTIF('Competency Event Log'!$U$4:$U$803,$B10&amp;"|"&amp;AF$5)=0,"",SUMIF('Competency Event Log'!$U$4:$U$803,$B10&amp;"|"&amp;AF$5,'Competency Event Log'!$D$4:$D$803)))</f>
        <v/>
      </c>
      <c r="AG10" s="8" t="str">
        <f>IF($B10="","",IF(COUNTIF('Competency Event Log'!$U$4:$U$803,$B10&amp;"|"&amp;AG$5)=0,"",SUMIF('Competency Event Log'!$U$4:$U$803,$B10&amp;"|"&amp;AG$5,'Competency Event Log'!$D$4:$D$803)))</f>
        <v/>
      </c>
      <c r="AH10" s="8" t="str">
        <f>IF($B10="","",IF(COUNTIF('Competency Event Log'!$U$4:$U$803,$B10&amp;"|"&amp;AH$5)=0,"",SUMIF('Competency Event Log'!$U$4:$U$803,$B10&amp;"|"&amp;AH$5,'Competency Event Log'!$D$4:$D$803)))</f>
        <v/>
      </c>
      <c r="AI10" s="8" t="str">
        <f>IF($B10="","",IF(COUNTIF('Competency Event Log'!$U$4:$U$803,$B10&amp;"|"&amp;AI$5)=0,"",SUMIF('Competency Event Log'!$U$4:$U$803,$B10&amp;"|"&amp;AI$5,'Competency Event Log'!$D$4:$D$803)))</f>
        <v/>
      </c>
      <c r="AJ10" s="8" t="str">
        <f>IF($B10="","",IF(COUNTIF('Competency Event Log'!$U$4:$U$803,$B10&amp;"|"&amp;AJ$5)=0,"",SUMIF('Competency Event Log'!$U$4:$U$803,$B10&amp;"|"&amp;AJ$5,'Competency Event Log'!$D$4:$D$803)))</f>
        <v/>
      </c>
      <c r="AK10" s="8" t="str">
        <f>IF($B10="","",IF(COUNTIF('Competency Event Log'!$U$4:$U$803,$B10&amp;"|"&amp;AK$5)=0,"",SUMIF('Competency Event Log'!$U$4:$U$803,$B10&amp;"|"&amp;AK$5,'Competency Event Log'!$D$4:$D$803)))</f>
        <v/>
      </c>
      <c r="AL10" s="8" t="str">
        <f>IF($B10="","",IF(COUNTIF('Competency Event Log'!$U$4:$U$803,$B10&amp;"|"&amp;AL$5)=0,"",SUMIF('Competency Event Log'!$U$4:$U$803,$B10&amp;"|"&amp;AL$5,'Competency Event Log'!$D$4:$D$803)))</f>
        <v/>
      </c>
      <c r="AM10" s="8" t="str">
        <f>IF($B10="","",IF(COUNTIF('Competency Event Log'!$U$4:$U$803,$B10&amp;"|"&amp;AM$5)=0,"",SUMIF('Competency Event Log'!$U$4:$U$803,$B10&amp;"|"&amp;AM$5,'Competency Event Log'!$D$4:$D$803)))</f>
        <v/>
      </c>
      <c r="AN10" s="8" t="str">
        <f>IF($B10="","",IF(COUNTIF('Competency Event Log'!$U$4:$U$803,$B10&amp;"|"&amp;AN$5)=0,"",SUMIF('Competency Event Log'!$U$4:$U$803,$B10&amp;"|"&amp;AN$5,'Competency Event Log'!$D$4:$D$803)))</f>
        <v/>
      </c>
      <c r="AO10" s="8" t="str">
        <f>IF($B10="","",IF(COUNTIF('Competency Event Log'!$U$4:$U$803,$B10&amp;"|"&amp;AO$5)=0,"",SUMIF('Competency Event Log'!$U$4:$U$803,$B10&amp;"|"&amp;AO$5,'Competency Event Log'!$D$4:$D$803)))</f>
        <v/>
      </c>
      <c r="AP10" s="8" t="str">
        <f>IF($B10="","",IF(COUNTIF('Competency Event Log'!$U$4:$U$803,$B10&amp;"|"&amp;AP$5)=0,"",SUMIF('Competency Event Log'!$U$4:$U$803,$B10&amp;"|"&amp;AP$5,'Competency Event Log'!$D$4:$D$803)))</f>
        <v/>
      </c>
      <c r="AQ10" s="8" t="str">
        <f>IF($B10="","",IF(COUNTIF('Competency Event Log'!$U$4:$U$803,$B10&amp;"|"&amp;AQ$5)=0,"",SUMIF('Competency Event Log'!$U$4:$U$803,$B10&amp;"|"&amp;AQ$5,'Competency Event Log'!$D$4:$D$803)))</f>
        <v/>
      </c>
      <c r="AR10" s="8" t="str">
        <f>IF($B10="","",IF(COUNTIF('Competency Event Log'!$U$4:$U$803,$B10&amp;"|"&amp;AR$5)=0,"",SUMIF('Competency Event Log'!$U$4:$U$803,$B10&amp;"|"&amp;AR$5,'Competency Event Log'!$D$4:$D$803)))</f>
        <v/>
      </c>
      <c r="AS10" s="8" t="str">
        <f>IF($B10="","",IF(COUNTIF('Competency Event Log'!$U$4:$U$803,$B10&amp;"|"&amp;AS$5)=0,"",SUMIF('Competency Event Log'!$U$4:$U$803,$B10&amp;"|"&amp;AS$5,'Competency Event Log'!$D$4:$D$803)))</f>
        <v/>
      </c>
      <c r="AT10" s="8" t="str">
        <f>IF($B10="","",IF(COUNTIF('Competency Event Log'!$U$4:$U$803,$B10&amp;"|"&amp;AT$5)=0,"",SUMIF('Competency Event Log'!$U$4:$U$803,$B10&amp;"|"&amp;AT$5,'Competency Event Log'!$D$4:$D$803)))</f>
        <v/>
      </c>
      <c r="AU10" s="8" t="str">
        <f>IF($B10="","",IF(COUNTIF('Competency Event Log'!$U$4:$U$803,$B10&amp;"|"&amp;AU$5)=0,"",SUMIF('Competency Event Log'!$U$4:$U$803,$B10&amp;"|"&amp;AU$5,'Competency Event Log'!$D$4:$D$803)))</f>
        <v/>
      </c>
      <c r="AV10" s="8" t="str">
        <f>IF($B10="","",IF(COUNTIF('Competency Event Log'!$U$4:$U$803,$B10&amp;"|"&amp;AV$5)=0,"",SUMIF('Competency Event Log'!$U$4:$U$803,$B10&amp;"|"&amp;AV$5,'Competency Event Log'!$D$4:$D$803)))</f>
        <v/>
      </c>
      <c r="AW10" s="8" t="str">
        <f>IF($B10="","",IF(COUNTIF('Competency Event Log'!$U$4:$U$803,$B10&amp;"|"&amp;AW$5)=0,"",SUMIF('Competency Event Log'!$U$4:$U$803,$B10&amp;"|"&amp;AW$5,'Competency Event Log'!$D$4:$D$803)))</f>
        <v/>
      </c>
      <c r="AX10" s="8" t="str">
        <f>IF($B10="","",IF(COUNTIF('Competency Event Log'!$U$4:$U$803,$B10&amp;"|"&amp;AX$5)=0,"",SUMIF('Competency Event Log'!$U$4:$U$803,$B10&amp;"|"&amp;AX$5,'Competency Event Log'!$D$4:$D$803)))</f>
        <v/>
      </c>
      <c r="AY10" s="8" t="str">
        <f>IF($B10="","",IF(COUNTIF('Competency Event Log'!$U$4:$U$803,$B10&amp;"|"&amp;AY$5)=0,"",SUMIF('Competency Event Log'!$U$4:$U$803,$B10&amp;"|"&amp;AY$5,'Competency Event Log'!$D$4:$D$803)))</f>
        <v/>
      </c>
      <c r="AZ10" s="8" t="str">
        <f>IF($B10="","",IF(COUNTIF('Competency Event Log'!$U$4:$U$803,$B10&amp;"|"&amp;AZ$5)=0,"",SUMIF('Competency Event Log'!$U$4:$U$803,$B10&amp;"|"&amp;AZ$5,'Competency Event Log'!$D$4:$D$803)))</f>
        <v/>
      </c>
      <c r="BA10" s="8" t="str">
        <f>IF($B10="","",IF(COUNTIF('Competency Event Log'!$U$4:$U$803,$B10&amp;"|"&amp;BA$5)=0,"",SUMIF('Competency Event Log'!$U$4:$U$803,$B10&amp;"|"&amp;BA$5,'Competency Event Log'!$D$4:$D$803)))</f>
        <v/>
      </c>
      <c r="BB10" s="8" t="str">
        <f>IF($B10="","",IF(COUNTIF('Competency Event Log'!$U$4:$U$803,$B10&amp;"|"&amp;BB$5)=0,"",SUMIF('Competency Event Log'!$U$4:$U$803,$B10&amp;"|"&amp;BB$5,'Competency Event Log'!$D$4:$D$803)))</f>
        <v/>
      </c>
      <c r="BC10" s="8" t="str">
        <f>IF($B10="","",IF(COUNTIF('Competency Event Log'!$U$4:$U$803,$B10&amp;"|"&amp;BC$5)=0,"",SUMIF('Competency Event Log'!$U$4:$U$803,$B10&amp;"|"&amp;BC$5,'Competency Event Log'!$D$4:$D$803)))</f>
        <v/>
      </c>
      <c r="BD10" s="8" t="str">
        <f>IF($B10="","",IF(COUNTIF('Competency Event Log'!$U$4:$U$803,$B10&amp;"|"&amp;BD$5)=0,"",SUMIF('Competency Event Log'!$U$4:$U$803,$B10&amp;"|"&amp;BD$5,'Competency Event Log'!$D$4:$D$803)))</f>
        <v/>
      </c>
      <c r="BE10" s="8" t="str">
        <f>IF($B10="","",IF(COUNTIF('Competency Event Log'!$U$4:$U$803,$B10&amp;"|"&amp;BE$5)=0,"",SUMIF('Competency Event Log'!$U$4:$U$803,$B10&amp;"|"&amp;BE$5,'Competency Event Log'!$D$4:$D$803)))</f>
        <v/>
      </c>
      <c r="BF10" s="8" t="str">
        <f>IF($B10="","",IF(COUNTIF('Competency Event Log'!$U$4:$U$803,$B10&amp;"|"&amp;BF$5)=0,"",SUMIF('Competency Event Log'!$U$4:$U$803,$B10&amp;"|"&amp;BF$5,'Competency Event Log'!$D$4:$D$803)))</f>
        <v/>
      </c>
      <c r="BG10" s="8" t="str">
        <f>IF($B10="","",IF(COUNTIF('Competency Event Log'!$U$4:$U$803,$B10&amp;"|"&amp;BG$5)=0,"",SUMIF('Competency Event Log'!$U$4:$U$803,$B10&amp;"|"&amp;BG$5,'Competency Event Log'!$D$4:$D$803)))</f>
        <v/>
      </c>
      <c r="BH10" s="8" t="str">
        <f>IF($B10="","",IF(COUNTIF('Competency Event Log'!$U$4:$U$803,$B10&amp;"|"&amp;BH$5)=0,"",SUMIF('Competency Event Log'!$U$4:$U$803,$B10&amp;"|"&amp;BH$5,'Competency Event Log'!$D$4:$D$803)))</f>
        <v/>
      </c>
      <c r="BI10" s="8" t="str">
        <f>IF($B10="","",IF(COUNTIF('Competency Event Log'!$U$4:$U$803,$B10&amp;"|"&amp;BI$5)=0,"",SUMIF('Competency Event Log'!$U$4:$U$803,$B10&amp;"|"&amp;BI$5,'Competency Event Log'!$D$4:$D$803)))</f>
        <v/>
      </c>
      <c r="BJ10" s="8">
        <f>IF($B10="","",IF(COUNTIF('Competency Event Log'!$U$4:$U$803,$B10&amp;"|"&amp;BJ$5)=0,"",SUMIF('Competency Event Log'!$U$4:$U$803,$B10&amp;"|"&amp;BJ$5,'Competency Event Log'!$D$4:$D$803)))</f>
        <v>3</v>
      </c>
      <c r="BK10" s="8" t="str">
        <f>IF($B10="","",IF(COUNTIF('Competency Event Log'!$U$4:$U$803,$B10&amp;"|"&amp;BK$5)=0,"",SUMIF('Competency Event Log'!$U$4:$U$803,$B10&amp;"|"&amp;BK$5,'Competency Event Log'!$D$4:$D$803)))</f>
        <v/>
      </c>
      <c r="BL10" s="8" t="str">
        <f>IF($B10="","",IF(COUNTIF('Competency Event Log'!$U$4:$U$803,$B10&amp;"|"&amp;BL$5)=0,"",SUMIF('Competency Event Log'!$U$4:$U$803,$B10&amp;"|"&amp;BL$5,'Competency Event Log'!$D$4:$D$803)))</f>
        <v/>
      </c>
      <c r="BM10" s="8" t="str">
        <f>IF($B10="","",IF(COUNTIF('Competency Event Log'!$U$4:$U$803,$B10&amp;"|"&amp;BM$5)=0,"",SUMIF('Competency Event Log'!$U$4:$U$803,$B10&amp;"|"&amp;BM$5,'Competency Event Log'!$D$4:$D$803)))</f>
        <v/>
      </c>
      <c r="BN10" s="8" t="str">
        <f>IF($B10="","",IF(COUNTIF('Competency Event Log'!$U$4:$U$803,$B10&amp;"|"&amp;BN$5)=0,"",SUMIF('Competency Event Log'!$U$4:$U$803,$B10&amp;"|"&amp;BN$5,'Competency Event Log'!$D$4:$D$803)))</f>
        <v/>
      </c>
      <c r="BO10" s="8" t="str">
        <f>IF($B10="","",IF(COUNTIF('Competency Event Log'!$U$4:$U$803,$B10&amp;"|"&amp;BO$5)=0,"",SUMIF('Competency Event Log'!$U$4:$U$803,$B10&amp;"|"&amp;BO$5,'Competency Event Log'!$D$4:$D$803)))</f>
        <v/>
      </c>
      <c r="BP10" s="8" t="str">
        <f>IF($B10="","",IF(COUNTIF('Competency Event Log'!$U$4:$U$803,$B10&amp;"|"&amp;BP$5)=0,"",SUMIF('Competency Event Log'!$U$4:$U$803,$B10&amp;"|"&amp;BP$5,'Competency Event Log'!$D$4:$D$803)))</f>
        <v/>
      </c>
      <c r="BQ10" s="8" t="str">
        <f>IF($B10="","",IF(COUNTIF('Competency Event Log'!$U$4:$U$803,$B10&amp;"|"&amp;BQ$5)=0,"",SUMIF('Competency Event Log'!$U$4:$U$803,$B10&amp;"|"&amp;BQ$5,'Competency Event Log'!$D$4:$D$803)))</f>
        <v/>
      </c>
      <c r="BR10" s="8" t="str">
        <f>IF($B10="","",IF(COUNTIF('Competency Event Log'!$U$4:$U$803,$B10&amp;"|"&amp;BR$5)=0,"",SUMIF('Competency Event Log'!$U$4:$U$803,$B10&amp;"|"&amp;BR$5,'Competency Event Log'!$D$4:$D$803)))</f>
        <v/>
      </c>
      <c r="BS10" s="8" t="str">
        <f>IF($B10="","",IF(COUNTIF('Competency Event Log'!$U$4:$U$803,$B10&amp;"|"&amp;BS$5)=0,"",SUMIF('Competency Event Log'!$U$4:$U$803,$B10&amp;"|"&amp;BS$5,'Competency Event Log'!$D$4:$D$803)))</f>
        <v/>
      </c>
      <c r="BT10" s="8" t="str">
        <f>IF($B10="","",IF(COUNTIF('Competency Event Log'!$U$4:$U$803,$B10&amp;"|"&amp;BT$5)=0,"",SUMIF('Competency Event Log'!$U$4:$U$803,$B10&amp;"|"&amp;BT$5,'Competency Event Log'!$D$4:$D$803)))</f>
        <v/>
      </c>
      <c r="BU10" s="8" t="str">
        <f>IF($B10="","",IF(COUNTIF('Competency Event Log'!$U$4:$U$803,$B10&amp;"|"&amp;BU$5)=0,"",SUMIF('Competency Event Log'!$U$4:$U$803,$B10&amp;"|"&amp;BU$5,'Competency Event Log'!$D$4:$D$803)))</f>
        <v/>
      </c>
      <c r="BV10" s="8" t="str">
        <f>IF($B10="","",IF(COUNTIF('Competency Event Log'!$U$4:$U$803,$B10&amp;"|"&amp;BV$5)=0,"",SUMIF('Competency Event Log'!$U$4:$U$803,$B10&amp;"|"&amp;BV$5,'Competency Event Log'!$D$4:$D$803)))</f>
        <v/>
      </c>
      <c r="BW10" s="8" t="str">
        <f>IF($B10="","",IF(COUNTIF('Competency Event Log'!$U$4:$U$803,$B10&amp;"|"&amp;BW$5)=0,"",SUMIF('Competency Event Log'!$U$4:$U$803,$B10&amp;"|"&amp;BW$5,'Competency Event Log'!$D$4:$D$803)))</f>
        <v/>
      </c>
      <c r="BX10" s="8" t="str">
        <f>IF($B10="","",IF(COUNTIF('Competency Event Log'!$U$4:$U$803,$B10&amp;"|"&amp;BX$5)=0,"",SUMIF('Competency Event Log'!$U$4:$U$803,$B10&amp;"|"&amp;BX$5,'Competency Event Log'!$D$4:$D$803)))</f>
        <v/>
      </c>
      <c r="BY10" s="8" t="str">
        <f>IF($B10="","",IF(COUNTIF('Competency Event Log'!$U$4:$U$803,$B10&amp;"|"&amp;BY$5)=0,"",SUMIF('Competency Event Log'!$U$4:$U$803,$B10&amp;"|"&amp;BY$5,'Competency Event Log'!$D$4:$D$803)))</f>
        <v/>
      </c>
      <c r="BZ10" s="8" t="str">
        <f>IF($B10="","",IF(COUNTIF('Competency Event Log'!$U$4:$U$803,$B10&amp;"|"&amp;BZ$5)=0,"",SUMIF('Competency Event Log'!$U$4:$U$803,$B10&amp;"|"&amp;BZ$5,'Competency Event Log'!$D$4:$D$803)))</f>
        <v/>
      </c>
      <c r="CA10" s="8" t="str">
        <f>IF($B10="","",IF(COUNTIF('Competency Event Log'!$U$4:$U$803,$B10&amp;"|"&amp;CA$5)=0,"",SUMIF('Competency Event Log'!$U$4:$U$803,$B10&amp;"|"&amp;CA$5,'Competency Event Log'!$D$4:$D$803)))</f>
        <v/>
      </c>
      <c r="CB10" s="8" t="str">
        <f>IF($B10="","",IF(COUNTIF('Competency Event Log'!$U$4:$U$803,$B10&amp;"|"&amp;CB$5)=0,"",SUMIF('Competency Event Log'!$U$4:$U$803,$B10&amp;"|"&amp;CB$5,'Competency Event Log'!$D$4:$D$803)))</f>
        <v/>
      </c>
      <c r="CC10" s="8" t="str">
        <f>IF($B10="","",IF(COUNTIF('Competency Event Log'!$U$4:$U$803,$B10&amp;"|"&amp;CC$5)=0,"",SUMIF('Competency Event Log'!$U$4:$U$803,$B10&amp;"|"&amp;CC$5,'Competency Event Log'!$D$4:$D$803)))</f>
        <v/>
      </c>
      <c r="CD10" s="8" t="str">
        <f>IF($B10="","",IF(COUNTIF('Competency Event Log'!$U$4:$U$803,$B10&amp;"|"&amp;CD$5)=0,"",SUMIF('Competency Event Log'!$U$4:$U$803,$B10&amp;"|"&amp;CD$5,'Competency Event Log'!$D$4:$D$803)))</f>
        <v/>
      </c>
      <c r="CE10" s="8" t="str">
        <f>IF($B10="","",IF(COUNTIF('Competency Event Log'!$U$4:$U$803,$B10&amp;"|"&amp;CE$5)=0,"",SUMIF('Competency Event Log'!$U$4:$U$803,$B10&amp;"|"&amp;CE$5,'Competency Event Log'!$D$4:$D$803)))</f>
        <v/>
      </c>
      <c r="CF10" s="8" t="str">
        <f>IF($B10="","",IF(COUNTIF('Competency Event Log'!$U$4:$U$803,$B10&amp;"|"&amp;CF$5)=0,"",SUMIF('Competency Event Log'!$U$4:$U$803,$B10&amp;"|"&amp;CF$5,'Competency Event Log'!$D$4:$D$803)))</f>
        <v/>
      </c>
      <c r="CG10" s="8" t="str">
        <f>IF($B10="","",IF(COUNTIF('Competency Event Log'!$U$4:$U$803,$B10&amp;"|"&amp;CG$5)=0,"",SUMIF('Competency Event Log'!$U$4:$U$803,$B10&amp;"|"&amp;CG$5,'Competency Event Log'!$D$4:$D$803)))</f>
        <v/>
      </c>
      <c r="CH10" s="8" t="str">
        <f>IF($B10="","",IF(COUNTIF('Competency Event Log'!$U$4:$U$803,$B10&amp;"|"&amp;CH$5)=0,"",SUMIF('Competency Event Log'!$U$4:$U$803,$B10&amp;"|"&amp;CH$5,'Competency Event Log'!$D$4:$D$803)))</f>
        <v/>
      </c>
      <c r="CI10" s="8" t="str">
        <f>IF($B10="","",IF(COUNTIF('Competency Event Log'!$U$4:$U$803,$B10&amp;"|"&amp;CI$5)=0,"",SUMIF('Competency Event Log'!$U$4:$U$803,$B10&amp;"|"&amp;CI$5,'Competency Event Log'!$D$4:$D$803)))</f>
        <v/>
      </c>
      <c r="CJ10" s="8" t="str">
        <f>IF($B10="","",IF(COUNTIF('Competency Event Log'!$U$4:$U$803,$B10&amp;"|"&amp;CJ$5)=0,"",SUMIF('Competency Event Log'!$U$4:$U$803,$B10&amp;"|"&amp;CJ$5,'Competency Event Log'!$D$4:$D$803)))</f>
        <v/>
      </c>
      <c r="CK10" s="8" t="str">
        <f>IF($B10="","",IF(COUNTIF('Competency Event Log'!$U$4:$U$803,$B10&amp;"|"&amp;CK$5)=0,"",SUMIF('Competency Event Log'!$U$4:$U$803,$B10&amp;"|"&amp;CK$5,'Competency Event Log'!$D$4:$D$803)))</f>
        <v/>
      </c>
      <c r="CL10" s="8" t="str">
        <f>IF($B10="","",IF(COUNTIF('Competency Event Log'!$U$4:$U$803,$B10&amp;"|"&amp;CL$5)=0,"",SUMIF('Competency Event Log'!$U$4:$U$803,$B10&amp;"|"&amp;CL$5,'Competency Event Log'!$D$4:$D$803)))</f>
        <v/>
      </c>
      <c r="CM10" s="8" t="str">
        <f>IF($B10="","",IF(COUNTIF('Competency Event Log'!$U$4:$U$803,$B10&amp;"|"&amp;CM$5)=0,"",SUMIF('Competency Event Log'!$U$4:$U$803,$B10&amp;"|"&amp;CM$5,'Competency Event Log'!$D$4:$D$803)))</f>
        <v/>
      </c>
      <c r="CN10" s="8" t="str">
        <f>IF($B10="","",IF(COUNTIF('Competency Event Log'!$U$4:$U$803,$B10&amp;"|"&amp;CN$5)=0,"",SUMIF('Competency Event Log'!$U$4:$U$803,$B10&amp;"|"&amp;CN$5,'Competency Event Log'!$D$4:$D$803)))</f>
        <v/>
      </c>
      <c r="CO10" s="8" t="str">
        <f>IF($B10="","",IF(COUNTIF('Competency Event Log'!$U$4:$U$803,$B10&amp;"|"&amp;CO$5)=0,"",SUMIF('Competency Event Log'!$U$4:$U$803,$B10&amp;"|"&amp;CO$5,'Competency Event Log'!$D$4:$D$803)))</f>
        <v/>
      </c>
      <c r="CP10" s="8" t="str">
        <f>IF($B10="","",IF(COUNTIF('Competency Event Log'!$U$4:$U$803,$B10&amp;"|"&amp;CP$5)=0,"",SUMIF('Competency Event Log'!$U$4:$U$803,$B10&amp;"|"&amp;CP$5,'Competency Event Log'!$D$4:$D$803)))</f>
        <v/>
      </c>
      <c r="CQ10" s="8" t="str">
        <f>IF($B10="","",IF(COUNTIF('Competency Event Log'!$U$4:$U$803,$B10&amp;"|"&amp;CQ$5)=0,"",SUMIF('Competency Event Log'!$U$4:$U$803,$B10&amp;"|"&amp;CQ$5,'Competency Event Log'!$D$4:$D$803)))</f>
        <v/>
      </c>
      <c r="CR10" s="8" t="str">
        <f>IF($B10="","",IF(COUNTIF('Competency Event Log'!$U$4:$U$803,$B10&amp;"|"&amp;CR$5)=0,"",SUMIF('Competency Event Log'!$U$4:$U$803,$B10&amp;"|"&amp;CR$5,'Competency Event Log'!$D$4:$D$803)))</f>
        <v/>
      </c>
      <c r="CS10" s="8" t="str">
        <f>IF($B10="","",IF(COUNTIF('Competency Event Log'!$U$4:$U$803,$B10&amp;"|"&amp;CS$5)=0,"",SUMIF('Competency Event Log'!$U$4:$U$803,$B10&amp;"|"&amp;CS$5,'Competency Event Log'!$D$4:$D$803)))</f>
        <v/>
      </c>
      <c r="CT10" s="8" t="str">
        <f>IF($B10="","",IF(COUNTIF('Competency Event Log'!$U$4:$U$803,$B10&amp;"|"&amp;CT$5)=0,"",SUMIF('Competency Event Log'!$U$4:$U$803,$B10&amp;"|"&amp;CT$5,'Competency Event Log'!$D$4:$D$803)))</f>
        <v/>
      </c>
      <c r="CU10" s="8" t="str">
        <f>IF($B10="","",IF(COUNTIF('Competency Event Log'!$U$4:$U$803,$B10&amp;"|"&amp;CU$5)=0,"",SUMIF('Competency Event Log'!$U$4:$U$803,$B10&amp;"|"&amp;CU$5,'Competency Event Log'!$D$4:$D$803)))</f>
        <v/>
      </c>
      <c r="CV10" s="8" t="str">
        <f>IF($B10="","",IF(COUNTIF('Competency Event Log'!$U$4:$U$803,$B10&amp;"|"&amp;CV$5)=0,"",SUMIF('Competency Event Log'!$U$4:$U$803,$B10&amp;"|"&amp;CV$5,'Competency Event Log'!$D$4:$D$803)))</f>
        <v/>
      </c>
      <c r="CW10" s="8" t="str">
        <f>IF($B10="","",IF(COUNTIF('Competency Event Log'!$U$4:$U$803,$B10&amp;"|"&amp;CW$5)=0,"",SUMIF('Competency Event Log'!$U$4:$U$803,$B10&amp;"|"&amp;CW$5,'Competency Event Log'!$D$4:$D$803)))</f>
        <v/>
      </c>
      <c r="CX10" s="8" t="str">
        <f>IF($B10="","",IF(COUNTIF('Competency Event Log'!$U$4:$U$803,$B10&amp;"|"&amp;CX$5)=0,"",SUMIF('Competency Event Log'!$U$4:$U$803,$B10&amp;"|"&amp;CX$5,'Competency Event Log'!$D$4:$D$803)))</f>
        <v/>
      </c>
      <c r="CY10" s="8" t="str">
        <f>IF($B10="","",IF(COUNTIF('Competency Event Log'!$U$4:$U$803,$B10&amp;"|"&amp;CY$5)=0,"",SUMIF('Competency Event Log'!$U$4:$U$803,$B10&amp;"|"&amp;CY$5,'Competency Event Log'!$D$4:$D$803)))</f>
        <v/>
      </c>
      <c r="CZ10" s="8" t="str">
        <f>IF($B10="","",IF(COUNTIF('Competency Event Log'!$U$4:$U$803,$B10&amp;"|"&amp;CZ$5)=0,"",SUMIF('Competency Event Log'!$U$4:$U$803,$B10&amp;"|"&amp;CZ$5,'Competency Event Log'!$D$4:$D$803)))</f>
        <v/>
      </c>
      <c r="DA10" s="8" t="str">
        <f>IF($B10="","",IF(COUNTIF('Competency Event Log'!$U$4:$U$803,$B10&amp;"|"&amp;DA$5)=0,"",SUMIF('Competency Event Log'!$U$4:$U$803,$B10&amp;"|"&amp;DA$5,'Competency Event Log'!$D$4:$D$803)))</f>
        <v/>
      </c>
      <c r="DB10" s="8" t="str">
        <f>IF($B10="","",IF(COUNTIF('Competency Event Log'!$U$4:$U$803,$B10&amp;"|"&amp;DB$5)=0,"",SUMIF('Competency Event Log'!$U$4:$U$803,$B10&amp;"|"&amp;DB$5,'Competency Event Log'!$D$4:$D$803)))</f>
        <v/>
      </c>
      <c r="DC10" s="8" t="str">
        <f>IF($B10="","",IF(COUNTIF('Competency Event Log'!$U$4:$U$803,$B10&amp;"|"&amp;DC$5)=0,"",SUMIF('Competency Event Log'!$U$4:$U$803,$B10&amp;"|"&amp;DC$5,'Competency Event Log'!$D$4:$D$803)))</f>
        <v/>
      </c>
      <c r="DD10" s="8">
        <f>IF($B10="","",IF(COUNTIF('Competency Event Log'!$U$4:$U$803,$B10&amp;"|"&amp;DD$5)=0,"",SUMIF('Competency Event Log'!$U$4:$U$803,$B10&amp;"|"&amp;DD$5,'Competency Event Log'!$D$4:$D$803)))</f>
        <v>3</v>
      </c>
      <c r="DE10" s="8" t="str">
        <f>IF($B10="","",IF(COUNTIF('Competency Event Log'!$U$4:$U$803,$B10&amp;"|"&amp;DE$5)=0,"",SUMIF('Competency Event Log'!$U$4:$U$803,$B10&amp;"|"&amp;DE$5,'Competency Event Log'!$D$4:$D$803)))</f>
        <v/>
      </c>
      <c r="DF10" s="8">
        <f t="shared" si="0"/>
        <v>27</v>
      </c>
      <c r="DG10" s="8">
        <f t="shared" si="1"/>
        <v>11</v>
      </c>
      <c r="DH10" s="8">
        <f t="shared" si="2"/>
        <v>7</v>
      </c>
      <c r="DI10" s="11">
        <f t="shared" si="3"/>
        <v>0.5625</v>
      </c>
    </row>
    <row r="11" spans="1:113">
      <c r="A11" s="7" t="s">
        <v>304</v>
      </c>
      <c r="B11" s="7" t="s">
        <v>50</v>
      </c>
      <c r="C11" s="8">
        <v>3</v>
      </c>
      <c r="D11" s="9" t="s">
        <v>558</v>
      </c>
      <c r="E11" s="10">
        <v>43092</v>
      </c>
      <c r="F11" s="8" t="s">
        <v>409</v>
      </c>
      <c r="G11" s="8" t="str">
        <f>IF($B11="","",IF(COUNTIF('Competency Event Log'!$U$4:$U$803,$B11&amp;"|"&amp;G$5)=0,"",SUMIF('Competency Event Log'!$U$4:$U$803,$B11&amp;"|"&amp;G$5,'Competency Event Log'!$D$4:$D$803)))</f>
        <v/>
      </c>
      <c r="H11" s="8" t="str">
        <f>IF($B11="","",IF(COUNTIF('Competency Event Log'!$U$4:$U$803,$B11&amp;"|"&amp;H$5)=0,"",SUMIF('Competency Event Log'!$U$4:$U$803,$B11&amp;"|"&amp;H$5,'Competency Event Log'!$D$4:$D$803)))</f>
        <v/>
      </c>
      <c r="I11" s="8">
        <f>IF($B11="","",IF(COUNTIF('Competency Event Log'!$U$4:$U$803,$B11&amp;"|"&amp;I$5)=0,"",SUMIF('Competency Event Log'!$U$4:$U$803,$B11&amp;"|"&amp;I$5,'Competency Event Log'!$D$4:$D$803)))</f>
        <v>3</v>
      </c>
      <c r="J11" s="8">
        <f>IF($B11="","",IF(COUNTIF('Competency Event Log'!$U$4:$U$803,$B11&amp;"|"&amp;J$5)=0,"",SUMIF('Competency Event Log'!$U$4:$U$803,$B11&amp;"|"&amp;J$5,'Competency Event Log'!$D$4:$D$803)))</f>
        <v>2</v>
      </c>
      <c r="K11" s="8" t="str">
        <f>IF($B11="","",IF(COUNTIF('Competency Event Log'!$U$4:$U$803,$B11&amp;"|"&amp;K$5)=0,"",SUMIF('Competency Event Log'!$U$4:$U$803,$B11&amp;"|"&amp;K$5,'Competency Event Log'!$D$4:$D$803)))</f>
        <v/>
      </c>
      <c r="L11" s="8" t="str">
        <f>IF($B11="","",IF(COUNTIF('Competency Event Log'!$U$4:$U$803,$B11&amp;"|"&amp;L$5)=0,"",SUMIF('Competency Event Log'!$U$4:$U$803,$B11&amp;"|"&amp;L$5,'Competency Event Log'!$D$4:$D$803)))</f>
        <v/>
      </c>
      <c r="M11" s="8">
        <f>IF($B11="","",IF(COUNTIF('Competency Event Log'!$U$4:$U$803,$B11&amp;"|"&amp;M$5)=0,"",SUMIF('Competency Event Log'!$U$4:$U$803,$B11&amp;"|"&amp;M$5,'Competency Event Log'!$D$4:$D$803)))</f>
        <v>2</v>
      </c>
      <c r="N11" s="8">
        <f>IF($B11="","",IF(COUNTIF('Competency Event Log'!$U$4:$U$803,$B11&amp;"|"&amp;N$5)=0,"",SUMIF('Competency Event Log'!$U$4:$U$803,$B11&amp;"|"&amp;N$5,'Competency Event Log'!$D$4:$D$803)))</f>
        <v>2</v>
      </c>
      <c r="O11" s="8" t="str">
        <f>IF($B11="","",IF(COUNTIF('Competency Event Log'!$U$4:$U$803,$B11&amp;"|"&amp;O$5)=0,"",SUMIF('Competency Event Log'!$U$4:$U$803,$B11&amp;"|"&amp;O$5,'Competency Event Log'!$D$4:$D$803)))</f>
        <v/>
      </c>
      <c r="P11" s="8" t="str">
        <f>IF($B11="","",IF(COUNTIF('Competency Event Log'!$U$4:$U$803,$B11&amp;"|"&amp;P$5)=0,"",SUMIF('Competency Event Log'!$U$4:$U$803,$B11&amp;"|"&amp;P$5,'Competency Event Log'!$D$4:$D$803)))</f>
        <v/>
      </c>
      <c r="Q11" s="8" t="str">
        <f>IF($B11="","",IF(COUNTIF('Competency Event Log'!$U$4:$U$803,$B11&amp;"|"&amp;Q$5)=0,"",SUMIF('Competency Event Log'!$U$4:$U$803,$B11&amp;"|"&amp;Q$5,'Competency Event Log'!$D$4:$D$803)))</f>
        <v/>
      </c>
      <c r="R11" s="8">
        <f>IF($B11="","",IF(COUNTIF('Competency Event Log'!$U$4:$U$803,$B11&amp;"|"&amp;R$5)=0,"",SUMIF('Competency Event Log'!$U$4:$U$803,$B11&amp;"|"&amp;R$5,'Competency Event Log'!$D$4:$D$803)))</f>
        <v>2</v>
      </c>
      <c r="S11" s="8" t="str">
        <f>IF($B11="","",IF(COUNTIF('Competency Event Log'!$U$4:$U$803,$B11&amp;"|"&amp;S$5)=0,"",SUMIF('Competency Event Log'!$U$4:$U$803,$B11&amp;"|"&amp;S$5,'Competency Event Log'!$D$4:$D$803)))</f>
        <v/>
      </c>
      <c r="T11" s="8">
        <f>IF($B11="","",IF(COUNTIF('Competency Event Log'!$U$4:$U$803,$B11&amp;"|"&amp;T$5)=0,"",SUMIF('Competency Event Log'!$U$4:$U$803,$B11&amp;"|"&amp;T$5,'Competency Event Log'!$D$4:$D$803)))</f>
        <v>1</v>
      </c>
      <c r="U11" s="8" t="str">
        <f>IF($B11="","",IF(COUNTIF('Competency Event Log'!$U$4:$U$803,$B11&amp;"|"&amp;U$5)=0,"",SUMIF('Competency Event Log'!$U$4:$U$803,$B11&amp;"|"&amp;U$5,'Competency Event Log'!$D$4:$D$803)))</f>
        <v/>
      </c>
      <c r="V11" s="8" t="str">
        <f>IF($B11="","",IF(COUNTIF('Competency Event Log'!$U$4:$U$803,$B11&amp;"|"&amp;V$5)=0,"",SUMIF('Competency Event Log'!$U$4:$U$803,$B11&amp;"|"&amp;V$5,'Competency Event Log'!$D$4:$D$803)))</f>
        <v/>
      </c>
      <c r="W11" s="8" t="str">
        <f>IF($B11="","",IF(COUNTIF('Competency Event Log'!$U$4:$U$803,$B11&amp;"|"&amp;W$5)=0,"",SUMIF('Competency Event Log'!$U$4:$U$803,$B11&amp;"|"&amp;W$5,'Competency Event Log'!$D$4:$D$803)))</f>
        <v/>
      </c>
      <c r="X11" s="8" t="str">
        <f>IF($B11="","",IF(COUNTIF('Competency Event Log'!$U$4:$U$803,$B11&amp;"|"&amp;X$5)=0,"",SUMIF('Competency Event Log'!$U$4:$U$803,$B11&amp;"|"&amp;X$5,'Competency Event Log'!$D$4:$D$803)))</f>
        <v/>
      </c>
      <c r="Y11" s="8" t="str">
        <f>IF($B11="","",IF(COUNTIF('Competency Event Log'!$U$4:$U$803,$B11&amp;"|"&amp;Y$5)=0,"",SUMIF('Competency Event Log'!$U$4:$U$803,$B11&amp;"|"&amp;Y$5,'Competency Event Log'!$D$4:$D$803)))</f>
        <v/>
      </c>
      <c r="Z11" s="8" t="str">
        <f>IF($B11="","",IF(COUNTIF('Competency Event Log'!$U$4:$U$803,$B11&amp;"|"&amp;Z$5)=0,"",SUMIF('Competency Event Log'!$U$4:$U$803,$B11&amp;"|"&amp;Z$5,'Competency Event Log'!$D$4:$D$803)))</f>
        <v/>
      </c>
      <c r="AA11" s="8" t="str">
        <f>IF($B11="","",IF(COUNTIF('Competency Event Log'!$U$4:$U$803,$B11&amp;"|"&amp;AA$5)=0,"",SUMIF('Competency Event Log'!$U$4:$U$803,$B11&amp;"|"&amp;AA$5,'Competency Event Log'!$D$4:$D$803)))</f>
        <v/>
      </c>
      <c r="AB11" s="8" t="str">
        <f>IF($B11="","",IF(COUNTIF('Competency Event Log'!$U$4:$U$803,$B11&amp;"|"&amp;AB$5)=0,"",SUMIF('Competency Event Log'!$U$4:$U$803,$B11&amp;"|"&amp;AB$5,'Competency Event Log'!$D$4:$D$803)))</f>
        <v/>
      </c>
      <c r="AC11" s="8" t="str">
        <f>IF($B11="","",IF(COUNTIF('Competency Event Log'!$U$4:$U$803,$B11&amp;"|"&amp;AC$5)=0,"",SUMIF('Competency Event Log'!$U$4:$U$803,$B11&amp;"|"&amp;AC$5,'Competency Event Log'!$D$4:$D$803)))</f>
        <v/>
      </c>
      <c r="AD11" s="8" t="str">
        <f>IF($B11="","",IF(COUNTIF('Competency Event Log'!$U$4:$U$803,$B11&amp;"|"&amp;AD$5)=0,"",SUMIF('Competency Event Log'!$U$4:$U$803,$B11&amp;"|"&amp;AD$5,'Competency Event Log'!$D$4:$D$803)))</f>
        <v/>
      </c>
      <c r="AE11" s="8" t="str">
        <f>IF($B11="","",IF(COUNTIF('Competency Event Log'!$U$4:$U$803,$B11&amp;"|"&amp;AE$5)=0,"",SUMIF('Competency Event Log'!$U$4:$U$803,$B11&amp;"|"&amp;AE$5,'Competency Event Log'!$D$4:$D$803)))</f>
        <v/>
      </c>
      <c r="AF11" s="8" t="str">
        <f>IF($B11="","",IF(COUNTIF('Competency Event Log'!$U$4:$U$803,$B11&amp;"|"&amp;AF$5)=0,"",SUMIF('Competency Event Log'!$U$4:$U$803,$B11&amp;"|"&amp;AF$5,'Competency Event Log'!$D$4:$D$803)))</f>
        <v/>
      </c>
      <c r="AG11" s="8" t="str">
        <f>IF($B11="","",IF(COUNTIF('Competency Event Log'!$U$4:$U$803,$B11&amp;"|"&amp;AG$5)=0,"",SUMIF('Competency Event Log'!$U$4:$U$803,$B11&amp;"|"&amp;AG$5,'Competency Event Log'!$D$4:$D$803)))</f>
        <v/>
      </c>
      <c r="AH11" s="8" t="str">
        <f>IF($B11="","",IF(COUNTIF('Competency Event Log'!$U$4:$U$803,$B11&amp;"|"&amp;AH$5)=0,"",SUMIF('Competency Event Log'!$U$4:$U$803,$B11&amp;"|"&amp;AH$5,'Competency Event Log'!$D$4:$D$803)))</f>
        <v/>
      </c>
      <c r="AI11" s="8" t="str">
        <f>IF($B11="","",IF(COUNTIF('Competency Event Log'!$U$4:$U$803,$B11&amp;"|"&amp;AI$5)=0,"",SUMIF('Competency Event Log'!$U$4:$U$803,$B11&amp;"|"&amp;AI$5,'Competency Event Log'!$D$4:$D$803)))</f>
        <v/>
      </c>
      <c r="AJ11" s="8" t="str">
        <f>IF($B11="","",IF(COUNTIF('Competency Event Log'!$U$4:$U$803,$B11&amp;"|"&amp;AJ$5)=0,"",SUMIF('Competency Event Log'!$U$4:$U$803,$B11&amp;"|"&amp;AJ$5,'Competency Event Log'!$D$4:$D$803)))</f>
        <v/>
      </c>
      <c r="AK11" s="8" t="str">
        <f>IF($B11="","",IF(COUNTIF('Competency Event Log'!$U$4:$U$803,$B11&amp;"|"&amp;AK$5)=0,"",SUMIF('Competency Event Log'!$U$4:$U$803,$B11&amp;"|"&amp;AK$5,'Competency Event Log'!$D$4:$D$803)))</f>
        <v/>
      </c>
      <c r="AL11" s="8" t="str">
        <f>IF($B11="","",IF(COUNTIF('Competency Event Log'!$U$4:$U$803,$B11&amp;"|"&amp;AL$5)=0,"",SUMIF('Competency Event Log'!$U$4:$U$803,$B11&amp;"|"&amp;AL$5,'Competency Event Log'!$D$4:$D$803)))</f>
        <v/>
      </c>
      <c r="AM11" s="8" t="str">
        <f>IF($B11="","",IF(COUNTIF('Competency Event Log'!$U$4:$U$803,$B11&amp;"|"&amp;AM$5)=0,"",SUMIF('Competency Event Log'!$U$4:$U$803,$B11&amp;"|"&amp;AM$5,'Competency Event Log'!$D$4:$D$803)))</f>
        <v/>
      </c>
      <c r="AN11" s="8" t="str">
        <f>IF($B11="","",IF(COUNTIF('Competency Event Log'!$U$4:$U$803,$B11&amp;"|"&amp;AN$5)=0,"",SUMIF('Competency Event Log'!$U$4:$U$803,$B11&amp;"|"&amp;AN$5,'Competency Event Log'!$D$4:$D$803)))</f>
        <v/>
      </c>
      <c r="AO11" s="8" t="str">
        <f>IF($B11="","",IF(COUNTIF('Competency Event Log'!$U$4:$U$803,$B11&amp;"|"&amp;AO$5)=0,"",SUMIF('Competency Event Log'!$U$4:$U$803,$B11&amp;"|"&amp;AO$5,'Competency Event Log'!$D$4:$D$803)))</f>
        <v/>
      </c>
      <c r="AP11" s="8" t="str">
        <f>IF($B11="","",IF(COUNTIF('Competency Event Log'!$U$4:$U$803,$B11&amp;"|"&amp;AP$5)=0,"",SUMIF('Competency Event Log'!$U$4:$U$803,$B11&amp;"|"&amp;AP$5,'Competency Event Log'!$D$4:$D$803)))</f>
        <v/>
      </c>
      <c r="AQ11" s="8" t="str">
        <f>IF($B11="","",IF(COUNTIF('Competency Event Log'!$U$4:$U$803,$B11&amp;"|"&amp;AQ$5)=0,"",SUMIF('Competency Event Log'!$U$4:$U$803,$B11&amp;"|"&amp;AQ$5,'Competency Event Log'!$D$4:$D$803)))</f>
        <v/>
      </c>
      <c r="AR11" s="8" t="str">
        <f>IF($B11="","",IF(COUNTIF('Competency Event Log'!$U$4:$U$803,$B11&amp;"|"&amp;AR$5)=0,"",SUMIF('Competency Event Log'!$U$4:$U$803,$B11&amp;"|"&amp;AR$5,'Competency Event Log'!$D$4:$D$803)))</f>
        <v/>
      </c>
      <c r="AS11" s="8" t="str">
        <f>IF($B11="","",IF(COUNTIF('Competency Event Log'!$U$4:$U$803,$B11&amp;"|"&amp;AS$5)=0,"",SUMIF('Competency Event Log'!$U$4:$U$803,$B11&amp;"|"&amp;AS$5,'Competency Event Log'!$D$4:$D$803)))</f>
        <v/>
      </c>
      <c r="AT11" s="8" t="str">
        <f>IF($B11="","",IF(COUNTIF('Competency Event Log'!$U$4:$U$803,$B11&amp;"|"&amp;AT$5)=0,"",SUMIF('Competency Event Log'!$U$4:$U$803,$B11&amp;"|"&amp;AT$5,'Competency Event Log'!$D$4:$D$803)))</f>
        <v/>
      </c>
      <c r="AU11" s="8" t="str">
        <f>IF($B11="","",IF(COUNTIF('Competency Event Log'!$U$4:$U$803,$B11&amp;"|"&amp;AU$5)=0,"",SUMIF('Competency Event Log'!$U$4:$U$803,$B11&amp;"|"&amp;AU$5,'Competency Event Log'!$D$4:$D$803)))</f>
        <v/>
      </c>
      <c r="AV11" s="8" t="str">
        <f>IF($B11="","",IF(COUNTIF('Competency Event Log'!$U$4:$U$803,$B11&amp;"|"&amp;AV$5)=0,"",SUMIF('Competency Event Log'!$U$4:$U$803,$B11&amp;"|"&amp;AV$5,'Competency Event Log'!$D$4:$D$803)))</f>
        <v/>
      </c>
      <c r="AW11" s="8" t="str">
        <f>IF($B11="","",IF(COUNTIF('Competency Event Log'!$U$4:$U$803,$B11&amp;"|"&amp;AW$5)=0,"",SUMIF('Competency Event Log'!$U$4:$U$803,$B11&amp;"|"&amp;AW$5,'Competency Event Log'!$D$4:$D$803)))</f>
        <v/>
      </c>
      <c r="AX11" s="8" t="str">
        <f>IF($B11="","",IF(COUNTIF('Competency Event Log'!$U$4:$U$803,$B11&amp;"|"&amp;AX$5)=0,"",SUMIF('Competency Event Log'!$U$4:$U$803,$B11&amp;"|"&amp;AX$5,'Competency Event Log'!$D$4:$D$803)))</f>
        <v/>
      </c>
      <c r="AY11" s="8" t="str">
        <f>IF($B11="","",IF(COUNTIF('Competency Event Log'!$U$4:$U$803,$B11&amp;"|"&amp;AY$5)=0,"",SUMIF('Competency Event Log'!$U$4:$U$803,$B11&amp;"|"&amp;AY$5,'Competency Event Log'!$D$4:$D$803)))</f>
        <v/>
      </c>
      <c r="AZ11" s="8" t="str">
        <f>IF($B11="","",IF(COUNTIF('Competency Event Log'!$U$4:$U$803,$B11&amp;"|"&amp;AZ$5)=0,"",SUMIF('Competency Event Log'!$U$4:$U$803,$B11&amp;"|"&amp;AZ$5,'Competency Event Log'!$D$4:$D$803)))</f>
        <v/>
      </c>
      <c r="BA11" s="8" t="str">
        <f>IF($B11="","",IF(COUNTIF('Competency Event Log'!$U$4:$U$803,$B11&amp;"|"&amp;BA$5)=0,"",SUMIF('Competency Event Log'!$U$4:$U$803,$B11&amp;"|"&amp;BA$5,'Competency Event Log'!$D$4:$D$803)))</f>
        <v/>
      </c>
      <c r="BB11" s="8" t="str">
        <f>IF($B11="","",IF(COUNTIF('Competency Event Log'!$U$4:$U$803,$B11&amp;"|"&amp;BB$5)=0,"",SUMIF('Competency Event Log'!$U$4:$U$803,$B11&amp;"|"&amp;BB$5,'Competency Event Log'!$D$4:$D$803)))</f>
        <v/>
      </c>
      <c r="BC11" s="8" t="str">
        <f>IF($B11="","",IF(COUNTIF('Competency Event Log'!$U$4:$U$803,$B11&amp;"|"&amp;BC$5)=0,"",SUMIF('Competency Event Log'!$U$4:$U$803,$B11&amp;"|"&amp;BC$5,'Competency Event Log'!$D$4:$D$803)))</f>
        <v/>
      </c>
      <c r="BD11" s="8" t="str">
        <f>IF($B11="","",IF(COUNTIF('Competency Event Log'!$U$4:$U$803,$B11&amp;"|"&amp;BD$5)=0,"",SUMIF('Competency Event Log'!$U$4:$U$803,$B11&amp;"|"&amp;BD$5,'Competency Event Log'!$D$4:$D$803)))</f>
        <v/>
      </c>
      <c r="BE11" s="8" t="str">
        <f>IF($B11="","",IF(COUNTIF('Competency Event Log'!$U$4:$U$803,$B11&amp;"|"&amp;BE$5)=0,"",SUMIF('Competency Event Log'!$U$4:$U$803,$B11&amp;"|"&amp;BE$5,'Competency Event Log'!$D$4:$D$803)))</f>
        <v/>
      </c>
      <c r="BF11" s="8">
        <f>IF($B11="","",IF(COUNTIF('Competency Event Log'!$U$4:$U$803,$B11&amp;"|"&amp;BF$5)=0,"",SUMIF('Competency Event Log'!$U$4:$U$803,$B11&amp;"|"&amp;BF$5,'Competency Event Log'!$D$4:$D$803)))</f>
        <v>2</v>
      </c>
      <c r="BG11" s="8" t="str">
        <f>IF($B11="","",IF(COUNTIF('Competency Event Log'!$U$4:$U$803,$B11&amp;"|"&amp;BG$5)=0,"",SUMIF('Competency Event Log'!$U$4:$U$803,$B11&amp;"|"&amp;BG$5,'Competency Event Log'!$D$4:$D$803)))</f>
        <v/>
      </c>
      <c r="BH11" s="8" t="str">
        <f>IF($B11="","",IF(COUNTIF('Competency Event Log'!$U$4:$U$803,$B11&amp;"|"&amp;BH$5)=0,"",SUMIF('Competency Event Log'!$U$4:$U$803,$B11&amp;"|"&amp;BH$5,'Competency Event Log'!$D$4:$D$803)))</f>
        <v/>
      </c>
      <c r="BI11" s="8" t="str">
        <f>IF($B11="","",IF(COUNTIF('Competency Event Log'!$U$4:$U$803,$B11&amp;"|"&amp;BI$5)=0,"",SUMIF('Competency Event Log'!$U$4:$U$803,$B11&amp;"|"&amp;BI$5,'Competency Event Log'!$D$4:$D$803)))</f>
        <v/>
      </c>
      <c r="BJ11" s="8" t="str">
        <f>IF($B11="","",IF(COUNTIF('Competency Event Log'!$U$4:$U$803,$B11&amp;"|"&amp;BJ$5)=0,"",SUMIF('Competency Event Log'!$U$4:$U$803,$B11&amp;"|"&amp;BJ$5,'Competency Event Log'!$D$4:$D$803)))</f>
        <v/>
      </c>
      <c r="BK11" s="8" t="str">
        <f>IF($B11="","",IF(COUNTIF('Competency Event Log'!$U$4:$U$803,$B11&amp;"|"&amp;BK$5)=0,"",SUMIF('Competency Event Log'!$U$4:$U$803,$B11&amp;"|"&amp;BK$5,'Competency Event Log'!$D$4:$D$803)))</f>
        <v/>
      </c>
      <c r="BL11" s="8" t="str">
        <f>IF($B11="","",IF(COUNTIF('Competency Event Log'!$U$4:$U$803,$B11&amp;"|"&amp;BL$5)=0,"",SUMIF('Competency Event Log'!$U$4:$U$803,$B11&amp;"|"&amp;BL$5,'Competency Event Log'!$D$4:$D$803)))</f>
        <v/>
      </c>
      <c r="BM11" s="8" t="str">
        <f>IF($B11="","",IF(COUNTIF('Competency Event Log'!$U$4:$U$803,$B11&amp;"|"&amp;BM$5)=0,"",SUMIF('Competency Event Log'!$U$4:$U$803,$B11&amp;"|"&amp;BM$5,'Competency Event Log'!$D$4:$D$803)))</f>
        <v/>
      </c>
      <c r="BN11" s="8">
        <f>IF($B11="","",IF(COUNTIF('Competency Event Log'!$U$4:$U$803,$B11&amp;"|"&amp;BN$5)=0,"",SUMIF('Competency Event Log'!$U$4:$U$803,$B11&amp;"|"&amp;BN$5,'Competency Event Log'!$D$4:$D$803)))</f>
        <v>3</v>
      </c>
      <c r="BO11" s="8" t="str">
        <f>IF($B11="","",IF(COUNTIF('Competency Event Log'!$U$4:$U$803,$B11&amp;"|"&amp;BO$5)=0,"",SUMIF('Competency Event Log'!$U$4:$U$803,$B11&amp;"|"&amp;BO$5,'Competency Event Log'!$D$4:$D$803)))</f>
        <v/>
      </c>
      <c r="BP11" s="8" t="str">
        <f>IF($B11="","",IF(COUNTIF('Competency Event Log'!$U$4:$U$803,$B11&amp;"|"&amp;BP$5)=0,"",SUMIF('Competency Event Log'!$U$4:$U$803,$B11&amp;"|"&amp;BP$5,'Competency Event Log'!$D$4:$D$803)))</f>
        <v/>
      </c>
      <c r="BQ11" s="8" t="str">
        <f>IF($B11="","",IF(COUNTIF('Competency Event Log'!$U$4:$U$803,$B11&amp;"|"&amp;BQ$5)=0,"",SUMIF('Competency Event Log'!$U$4:$U$803,$B11&amp;"|"&amp;BQ$5,'Competency Event Log'!$D$4:$D$803)))</f>
        <v/>
      </c>
      <c r="BR11" s="8" t="str">
        <f>IF($B11="","",IF(COUNTIF('Competency Event Log'!$U$4:$U$803,$B11&amp;"|"&amp;BR$5)=0,"",SUMIF('Competency Event Log'!$U$4:$U$803,$B11&amp;"|"&amp;BR$5,'Competency Event Log'!$D$4:$D$803)))</f>
        <v/>
      </c>
      <c r="BS11" s="8" t="str">
        <f>IF($B11="","",IF(COUNTIF('Competency Event Log'!$U$4:$U$803,$B11&amp;"|"&amp;BS$5)=0,"",SUMIF('Competency Event Log'!$U$4:$U$803,$B11&amp;"|"&amp;BS$5,'Competency Event Log'!$D$4:$D$803)))</f>
        <v/>
      </c>
      <c r="BT11" s="8" t="str">
        <f>IF($B11="","",IF(COUNTIF('Competency Event Log'!$U$4:$U$803,$B11&amp;"|"&amp;BT$5)=0,"",SUMIF('Competency Event Log'!$U$4:$U$803,$B11&amp;"|"&amp;BT$5,'Competency Event Log'!$D$4:$D$803)))</f>
        <v/>
      </c>
      <c r="BU11" s="8" t="str">
        <f>IF($B11="","",IF(COUNTIF('Competency Event Log'!$U$4:$U$803,$B11&amp;"|"&amp;BU$5)=0,"",SUMIF('Competency Event Log'!$U$4:$U$803,$B11&amp;"|"&amp;BU$5,'Competency Event Log'!$D$4:$D$803)))</f>
        <v/>
      </c>
      <c r="BV11" s="8" t="str">
        <f>IF($B11="","",IF(COUNTIF('Competency Event Log'!$U$4:$U$803,$B11&amp;"|"&amp;BV$5)=0,"",SUMIF('Competency Event Log'!$U$4:$U$803,$B11&amp;"|"&amp;BV$5,'Competency Event Log'!$D$4:$D$803)))</f>
        <v/>
      </c>
      <c r="BW11" s="8" t="str">
        <f>IF($B11="","",IF(COUNTIF('Competency Event Log'!$U$4:$U$803,$B11&amp;"|"&amp;BW$5)=0,"",SUMIF('Competency Event Log'!$U$4:$U$803,$B11&amp;"|"&amp;BW$5,'Competency Event Log'!$D$4:$D$803)))</f>
        <v/>
      </c>
      <c r="BX11" s="8" t="str">
        <f>IF($B11="","",IF(COUNTIF('Competency Event Log'!$U$4:$U$803,$B11&amp;"|"&amp;BX$5)=0,"",SUMIF('Competency Event Log'!$U$4:$U$803,$B11&amp;"|"&amp;BX$5,'Competency Event Log'!$D$4:$D$803)))</f>
        <v/>
      </c>
      <c r="BY11" s="8" t="str">
        <f>IF($B11="","",IF(COUNTIF('Competency Event Log'!$U$4:$U$803,$B11&amp;"|"&amp;BY$5)=0,"",SUMIF('Competency Event Log'!$U$4:$U$803,$B11&amp;"|"&amp;BY$5,'Competency Event Log'!$D$4:$D$803)))</f>
        <v/>
      </c>
      <c r="BZ11" s="8" t="str">
        <f>IF($B11="","",IF(COUNTIF('Competency Event Log'!$U$4:$U$803,$B11&amp;"|"&amp;BZ$5)=0,"",SUMIF('Competency Event Log'!$U$4:$U$803,$B11&amp;"|"&amp;BZ$5,'Competency Event Log'!$D$4:$D$803)))</f>
        <v/>
      </c>
      <c r="CA11" s="8" t="str">
        <f>IF($B11="","",IF(COUNTIF('Competency Event Log'!$U$4:$U$803,$B11&amp;"|"&amp;CA$5)=0,"",SUMIF('Competency Event Log'!$U$4:$U$803,$B11&amp;"|"&amp;CA$5,'Competency Event Log'!$D$4:$D$803)))</f>
        <v/>
      </c>
      <c r="CB11" s="8" t="str">
        <f>IF($B11="","",IF(COUNTIF('Competency Event Log'!$U$4:$U$803,$B11&amp;"|"&amp;CB$5)=0,"",SUMIF('Competency Event Log'!$U$4:$U$803,$B11&amp;"|"&amp;CB$5,'Competency Event Log'!$D$4:$D$803)))</f>
        <v/>
      </c>
      <c r="CC11" s="8" t="str">
        <f>IF($B11="","",IF(COUNTIF('Competency Event Log'!$U$4:$U$803,$B11&amp;"|"&amp;CC$5)=0,"",SUMIF('Competency Event Log'!$U$4:$U$803,$B11&amp;"|"&amp;CC$5,'Competency Event Log'!$D$4:$D$803)))</f>
        <v/>
      </c>
      <c r="CD11" s="8" t="str">
        <f>IF($B11="","",IF(COUNTIF('Competency Event Log'!$U$4:$U$803,$B11&amp;"|"&amp;CD$5)=0,"",SUMIF('Competency Event Log'!$U$4:$U$803,$B11&amp;"|"&amp;CD$5,'Competency Event Log'!$D$4:$D$803)))</f>
        <v/>
      </c>
      <c r="CE11" s="8" t="str">
        <f>IF($B11="","",IF(COUNTIF('Competency Event Log'!$U$4:$U$803,$B11&amp;"|"&amp;CE$5)=0,"",SUMIF('Competency Event Log'!$U$4:$U$803,$B11&amp;"|"&amp;CE$5,'Competency Event Log'!$D$4:$D$803)))</f>
        <v/>
      </c>
      <c r="CF11" s="8" t="str">
        <f>IF($B11="","",IF(COUNTIF('Competency Event Log'!$U$4:$U$803,$B11&amp;"|"&amp;CF$5)=0,"",SUMIF('Competency Event Log'!$U$4:$U$803,$B11&amp;"|"&amp;CF$5,'Competency Event Log'!$D$4:$D$803)))</f>
        <v/>
      </c>
      <c r="CG11" s="8" t="str">
        <f>IF($B11="","",IF(COUNTIF('Competency Event Log'!$U$4:$U$803,$B11&amp;"|"&amp;CG$5)=0,"",SUMIF('Competency Event Log'!$U$4:$U$803,$B11&amp;"|"&amp;CG$5,'Competency Event Log'!$D$4:$D$803)))</f>
        <v/>
      </c>
      <c r="CH11" s="8" t="str">
        <f>IF($B11="","",IF(COUNTIF('Competency Event Log'!$U$4:$U$803,$B11&amp;"|"&amp;CH$5)=0,"",SUMIF('Competency Event Log'!$U$4:$U$803,$B11&amp;"|"&amp;CH$5,'Competency Event Log'!$D$4:$D$803)))</f>
        <v/>
      </c>
      <c r="CI11" s="8" t="str">
        <f>IF($B11="","",IF(COUNTIF('Competency Event Log'!$U$4:$U$803,$B11&amp;"|"&amp;CI$5)=0,"",SUMIF('Competency Event Log'!$U$4:$U$803,$B11&amp;"|"&amp;CI$5,'Competency Event Log'!$D$4:$D$803)))</f>
        <v/>
      </c>
      <c r="CJ11" s="8" t="str">
        <f>IF($B11="","",IF(COUNTIF('Competency Event Log'!$U$4:$U$803,$B11&amp;"|"&amp;CJ$5)=0,"",SUMIF('Competency Event Log'!$U$4:$U$803,$B11&amp;"|"&amp;CJ$5,'Competency Event Log'!$D$4:$D$803)))</f>
        <v/>
      </c>
      <c r="CK11" s="8" t="str">
        <f>IF($B11="","",IF(COUNTIF('Competency Event Log'!$U$4:$U$803,$B11&amp;"|"&amp;CK$5)=0,"",SUMIF('Competency Event Log'!$U$4:$U$803,$B11&amp;"|"&amp;CK$5,'Competency Event Log'!$D$4:$D$803)))</f>
        <v/>
      </c>
      <c r="CL11" s="8" t="str">
        <f>IF($B11="","",IF(COUNTIF('Competency Event Log'!$U$4:$U$803,$B11&amp;"|"&amp;CL$5)=0,"",SUMIF('Competency Event Log'!$U$4:$U$803,$B11&amp;"|"&amp;CL$5,'Competency Event Log'!$D$4:$D$803)))</f>
        <v/>
      </c>
      <c r="CM11" s="8" t="str">
        <f>IF($B11="","",IF(COUNTIF('Competency Event Log'!$U$4:$U$803,$B11&amp;"|"&amp;CM$5)=0,"",SUMIF('Competency Event Log'!$U$4:$U$803,$B11&amp;"|"&amp;CM$5,'Competency Event Log'!$D$4:$D$803)))</f>
        <v/>
      </c>
      <c r="CN11" s="8" t="str">
        <f>IF($B11="","",IF(COUNTIF('Competency Event Log'!$U$4:$U$803,$B11&amp;"|"&amp;CN$5)=0,"",SUMIF('Competency Event Log'!$U$4:$U$803,$B11&amp;"|"&amp;CN$5,'Competency Event Log'!$D$4:$D$803)))</f>
        <v/>
      </c>
      <c r="CO11" s="8">
        <f>IF($B11="","",IF(COUNTIF('Competency Event Log'!$U$4:$U$803,$B11&amp;"|"&amp;CO$5)=0,"",SUMIF('Competency Event Log'!$U$4:$U$803,$B11&amp;"|"&amp;CO$5,'Competency Event Log'!$D$4:$D$803)))</f>
        <v>1</v>
      </c>
      <c r="CP11" s="8" t="str">
        <f>IF($B11="","",IF(COUNTIF('Competency Event Log'!$U$4:$U$803,$B11&amp;"|"&amp;CP$5)=0,"",SUMIF('Competency Event Log'!$U$4:$U$803,$B11&amp;"|"&amp;CP$5,'Competency Event Log'!$D$4:$D$803)))</f>
        <v/>
      </c>
      <c r="CQ11" s="8" t="str">
        <f>IF($B11="","",IF(COUNTIF('Competency Event Log'!$U$4:$U$803,$B11&amp;"|"&amp;CQ$5)=0,"",SUMIF('Competency Event Log'!$U$4:$U$803,$B11&amp;"|"&amp;CQ$5,'Competency Event Log'!$D$4:$D$803)))</f>
        <v/>
      </c>
      <c r="CR11" s="8" t="str">
        <f>IF($B11="","",IF(COUNTIF('Competency Event Log'!$U$4:$U$803,$B11&amp;"|"&amp;CR$5)=0,"",SUMIF('Competency Event Log'!$U$4:$U$803,$B11&amp;"|"&amp;CR$5,'Competency Event Log'!$D$4:$D$803)))</f>
        <v/>
      </c>
      <c r="CS11" s="8" t="str">
        <f>IF($B11="","",IF(COUNTIF('Competency Event Log'!$U$4:$U$803,$B11&amp;"|"&amp;CS$5)=0,"",SUMIF('Competency Event Log'!$U$4:$U$803,$B11&amp;"|"&amp;CS$5,'Competency Event Log'!$D$4:$D$803)))</f>
        <v/>
      </c>
      <c r="CT11" s="8" t="str">
        <f>IF($B11="","",IF(COUNTIF('Competency Event Log'!$U$4:$U$803,$B11&amp;"|"&amp;CT$5)=0,"",SUMIF('Competency Event Log'!$U$4:$U$803,$B11&amp;"|"&amp;CT$5,'Competency Event Log'!$D$4:$D$803)))</f>
        <v/>
      </c>
      <c r="CU11" s="8" t="str">
        <f>IF($B11="","",IF(COUNTIF('Competency Event Log'!$U$4:$U$803,$B11&amp;"|"&amp;CU$5)=0,"",SUMIF('Competency Event Log'!$U$4:$U$803,$B11&amp;"|"&amp;CU$5,'Competency Event Log'!$D$4:$D$803)))</f>
        <v/>
      </c>
      <c r="CV11" s="8" t="str">
        <f>IF($B11="","",IF(COUNTIF('Competency Event Log'!$U$4:$U$803,$B11&amp;"|"&amp;CV$5)=0,"",SUMIF('Competency Event Log'!$U$4:$U$803,$B11&amp;"|"&amp;CV$5,'Competency Event Log'!$D$4:$D$803)))</f>
        <v/>
      </c>
      <c r="CW11" s="8" t="str">
        <f>IF($B11="","",IF(COUNTIF('Competency Event Log'!$U$4:$U$803,$B11&amp;"|"&amp;CW$5)=0,"",SUMIF('Competency Event Log'!$U$4:$U$803,$B11&amp;"|"&amp;CW$5,'Competency Event Log'!$D$4:$D$803)))</f>
        <v/>
      </c>
      <c r="CX11" s="8" t="str">
        <f>IF($B11="","",IF(COUNTIF('Competency Event Log'!$U$4:$U$803,$B11&amp;"|"&amp;CX$5)=0,"",SUMIF('Competency Event Log'!$U$4:$U$803,$B11&amp;"|"&amp;CX$5,'Competency Event Log'!$D$4:$D$803)))</f>
        <v/>
      </c>
      <c r="CY11" s="8" t="str">
        <f>IF($B11="","",IF(COUNTIF('Competency Event Log'!$U$4:$U$803,$B11&amp;"|"&amp;CY$5)=0,"",SUMIF('Competency Event Log'!$U$4:$U$803,$B11&amp;"|"&amp;CY$5,'Competency Event Log'!$D$4:$D$803)))</f>
        <v/>
      </c>
      <c r="CZ11" s="8" t="str">
        <f>IF($B11="","",IF(COUNTIF('Competency Event Log'!$U$4:$U$803,$B11&amp;"|"&amp;CZ$5)=0,"",SUMIF('Competency Event Log'!$U$4:$U$803,$B11&amp;"|"&amp;CZ$5,'Competency Event Log'!$D$4:$D$803)))</f>
        <v/>
      </c>
      <c r="DA11" s="8" t="str">
        <f>IF($B11="","",IF(COUNTIF('Competency Event Log'!$U$4:$U$803,$B11&amp;"|"&amp;DA$5)=0,"",SUMIF('Competency Event Log'!$U$4:$U$803,$B11&amp;"|"&amp;DA$5,'Competency Event Log'!$D$4:$D$803)))</f>
        <v/>
      </c>
      <c r="DB11" s="8" t="str">
        <f>IF($B11="","",IF(COUNTIF('Competency Event Log'!$U$4:$U$803,$B11&amp;"|"&amp;DB$5)=0,"",SUMIF('Competency Event Log'!$U$4:$U$803,$B11&amp;"|"&amp;DB$5,'Competency Event Log'!$D$4:$D$803)))</f>
        <v/>
      </c>
      <c r="DC11" s="8" t="str">
        <f>IF($B11="","",IF(COUNTIF('Competency Event Log'!$U$4:$U$803,$B11&amp;"|"&amp;DC$5)=0,"",SUMIF('Competency Event Log'!$U$4:$U$803,$B11&amp;"|"&amp;DC$5,'Competency Event Log'!$D$4:$D$803)))</f>
        <v/>
      </c>
      <c r="DD11" s="8" t="str">
        <f>IF($B11="","",IF(COUNTIF('Competency Event Log'!$U$4:$U$803,$B11&amp;"|"&amp;DD$5)=0,"",SUMIF('Competency Event Log'!$U$4:$U$803,$B11&amp;"|"&amp;DD$5,'Competency Event Log'!$D$4:$D$803)))</f>
        <v/>
      </c>
      <c r="DE11" s="8" t="str">
        <f>IF($B11="","",IF(COUNTIF('Competency Event Log'!$U$4:$U$803,$B11&amp;"|"&amp;DE$5)=0,"",SUMIF('Competency Event Log'!$U$4:$U$803,$B11&amp;"|"&amp;DE$5,'Competency Event Log'!$D$4:$D$803)))</f>
        <v/>
      </c>
      <c r="DF11" s="8">
        <f t="shared" si="0"/>
        <v>18</v>
      </c>
      <c r="DG11" s="8">
        <f t="shared" si="1"/>
        <v>9</v>
      </c>
      <c r="DH11" s="8">
        <f t="shared" si="2"/>
        <v>2</v>
      </c>
      <c r="DI11" s="11">
        <f t="shared" si="3"/>
        <v>0.375</v>
      </c>
    </row>
    <row r="12" spans="1:113">
      <c r="A12" s="7" t="s">
        <v>305</v>
      </c>
      <c r="B12" s="7" t="s">
        <v>57</v>
      </c>
      <c r="C12" s="8">
        <v>1</v>
      </c>
      <c r="D12" s="9" t="s">
        <v>579</v>
      </c>
      <c r="E12" s="10">
        <v>44464</v>
      </c>
      <c r="F12" s="8" t="s">
        <v>577</v>
      </c>
      <c r="G12" s="8" t="str">
        <f>IF($B12="","",IF(COUNTIF('Competency Event Log'!$U$4:$U$803,$B12&amp;"|"&amp;G$5)=0,"",SUMIF('Competency Event Log'!$U$4:$U$803,$B12&amp;"|"&amp;G$5,'Competency Event Log'!$D$4:$D$803)))</f>
        <v/>
      </c>
      <c r="H12" s="8" t="str">
        <f>IF($B12="","",IF(COUNTIF('Competency Event Log'!$U$4:$U$803,$B12&amp;"|"&amp;H$5)=0,"",SUMIF('Competency Event Log'!$U$4:$U$803,$B12&amp;"|"&amp;H$5,'Competency Event Log'!$D$4:$D$803)))</f>
        <v/>
      </c>
      <c r="I12" s="8" t="str">
        <f>IF($B12="","",IF(COUNTIF('Competency Event Log'!$U$4:$U$803,$B12&amp;"|"&amp;I$5)=0,"",SUMIF('Competency Event Log'!$U$4:$U$803,$B12&amp;"|"&amp;I$5,'Competency Event Log'!$D$4:$D$803)))</f>
        <v/>
      </c>
      <c r="J12" s="8" t="str">
        <f>IF($B12="","",IF(COUNTIF('Competency Event Log'!$U$4:$U$803,$B12&amp;"|"&amp;J$5)=0,"",SUMIF('Competency Event Log'!$U$4:$U$803,$B12&amp;"|"&amp;J$5,'Competency Event Log'!$D$4:$D$803)))</f>
        <v/>
      </c>
      <c r="K12" s="8" t="str">
        <f>IF($B12="","",IF(COUNTIF('Competency Event Log'!$U$4:$U$803,$B12&amp;"|"&amp;K$5)=0,"",SUMIF('Competency Event Log'!$U$4:$U$803,$B12&amp;"|"&amp;K$5,'Competency Event Log'!$D$4:$D$803)))</f>
        <v/>
      </c>
      <c r="L12" s="8" t="str">
        <f>IF($B12="","",IF(COUNTIF('Competency Event Log'!$U$4:$U$803,$B12&amp;"|"&amp;L$5)=0,"",SUMIF('Competency Event Log'!$U$4:$U$803,$B12&amp;"|"&amp;L$5,'Competency Event Log'!$D$4:$D$803)))</f>
        <v/>
      </c>
      <c r="M12" s="8" t="str">
        <f>IF($B12="","",IF(COUNTIF('Competency Event Log'!$U$4:$U$803,$B12&amp;"|"&amp;M$5)=0,"",SUMIF('Competency Event Log'!$U$4:$U$803,$B12&amp;"|"&amp;M$5,'Competency Event Log'!$D$4:$D$803)))</f>
        <v/>
      </c>
      <c r="N12" s="8" t="str">
        <f>IF($B12="","",IF(COUNTIF('Competency Event Log'!$U$4:$U$803,$B12&amp;"|"&amp;N$5)=0,"",SUMIF('Competency Event Log'!$U$4:$U$803,$B12&amp;"|"&amp;N$5,'Competency Event Log'!$D$4:$D$803)))</f>
        <v/>
      </c>
      <c r="O12" s="8" t="str">
        <f>IF($B12="","",IF(COUNTIF('Competency Event Log'!$U$4:$U$803,$B12&amp;"|"&amp;O$5)=0,"",SUMIF('Competency Event Log'!$U$4:$U$803,$B12&amp;"|"&amp;O$5,'Competency Event Log'!$D$4:$D$803)))</f>
        <v/>
      </c>
      <c r="P12" s="8" t="str">
        <f>IF($B12="","",IF(COUNTIF('Competency Event Log'!$U$4:$U$803,$B12&amp;"|"&amp;P$5)=0,"",SUMIF('Competency Event Log'!$U$4:$U$803,$B12&amp;"|"&amp;P$5,'Competency Event Log'!$D$4:$D$803)))</f>
        <v/>
      </c>
      <c r="Q12" s="8" t="str">
        <f>IF($B12="","",IF(COUNTIF('Competency Event Log'!$U$4:$U$803,$B12&amp;"|"&amp;Q$5)=0,"",SUMIF('Competency Event Log'!$U$4:$U$803,$B12&amp;"|"&amp;Q$5,'Competency Event Log'!$D$4:$D$803)))</f>
        <v/>
      </c>
      <c r="R12" s="8" t="str">
        <f>IF($B12="","",IF(COUNTIF('Competency Event Log'!$U$4:$U$803,$B12&amp;"|"&amp;R$5)=0,"",SUMIF('Competency Event Log'!$U$4:$U$803,$B12&amp;"|"&amp;R$5,'Competency Event Log'!$D$4:$D$803)))</f>
        <v/>
      </c>
      <c r="S12" s="8" t="str">
        <f>IF($B12="","",IF(COUNTIF('Competency Event Log'!$U$4:$U$803,$B12&amp;"|"&amp;S$5)=0,"",SUMIF('Competency Event Log'!$U$4:$U$803,$B12&amp;"|"&amp;S$5,'Competency Event Log'!$D$4:$D$803)))</f>
        <v/>
      </c>
      <c r="T12" s="8" t="str">
        <f>IF($B12="","",IF(COUNTIF('Competency Event Log'!$U$4:$U$803,$B12&amp;"|"&amp;T$5)=0,"",SUMIF('Competency Event Log'!$U$4:$U$803,$B12&amp;"|"&amp;T$5,'Competency Event Log'!$D$4:$D$803)))</f>
        <v/>
      </c>
      <c r="U12" s="8" t="str">
        <f>IF($B12="","",IF(COUNTIF('Competency Event Log'!$U$4:$U$803,$B12&amp;"|"&amp;U$5)=0,"",SUMIF('Competency Event Log'!$U$4:$U$803,$B12&amp;"|"&amp;U$5,'Competency Event Log'!$D$4:$D$803)))</f>
        <v/>
      </c>
      <c r="V12" s="8" t="str">
        <f>IF($B12="","",IF(COUNTIF('Competency Event Log'!$U$4:$U$803,$B12&amp;"|"&amp;V$5)=0,"",SUMIF('Competency Event Log'!$U$4:$U$803,$B12&amp;"|"&amp;V$5,'Competency Event Log'!$D$4:$D$803)))</f>
        <v/>
      </c>
      <c r="W12" s="8" t="str">
        <f>IF($B12="","",IF(COUNTIF('Competency Event Log'!$U$4:$U$803,$B12&amp;"|"&amp;W$5)=0,"",SUMIF('Competency Event Log'!$U$4:$U$803,$B12&amp;"|"&amp;W$5,'Competency Event Log'!$D$4:$D$803)))</f>
        <v/>
      </c>
      <c r="X12" s="8">
        <f>IF($B12="","",IF(COUNTIF('Competency Event Log'!$U$4:$U$803,$B12&amp;"|"&amp;X$5)=0,"",SUMIF('Competency Event Log'!$U$4:$U$803,$B12&amp;"|"&amp;X$5,'Competency Event Log'!$D$4:$D$803)))</f>
        <v>3</v>
      </c>
      <c r="Y12" s="8">
        <f>IF($B12="","",IF(COUNTIF('Competency Event Log'!$U$4:$U$803,$B12&amp;"|"&amp;Y$5)=0,"",SUMIF('Competency Event Log'!$U$4:$U$803,$B12&amp;"|"&amp;Y$5,'Competency Event Log'!$D$4:$D$803)))</f>
        <v>3</v>
      </c>
      <c r="Z12" s="8">
        <f>IF($B12="","",IF(COUNTIF('Competency Event Log'!$U$4:$U$803,$B12&amp;"|"&amp;Z$5)=0,"",SUMIF('Competency Event Log'!$U$4:$U$803,$B12&amp;"|"&amp;Z$5,'Competency Event Log'!$D$4:$D$803)))</f>
        <v>1</v>
      </c>
      <c r="AA12" s="8" t="str">
        <f>IF($B12="","",IF(COUNTIF('Competency Event Log'!$U$4:$U$803,$B12&amp;"|"&amp;AA$5)=0,"",SUMIF('Competency Event Log'!$U$4:$U$803,$B12&amp;"|"&amp;AA$5,'Competency Event Log'!$D$4:$D$803)))</f>
        <v/>
      </c>
      <c r="AB12" s="8" t="str">
        <f>IF($B12="","",IF(COUNTIF('Competency Event Log'!$U$4:$U$803,$B12&amp;"|"&amp;AB$5)=0,"",SUMIF('Competency Event Log'!$U$4:$U$803,$B12&amp;"|"&amp;AB$5,'Competency Event Log'!$D$4:$D$803)))</f>
        <v/>
      </c>
      <c r="AC12" s="8" t="str">
        <f>IF($B12="","",IF(COUNTIF('Competency Event Log'!$U$4:$U$803,$B12&amp;"|"&amp;AC$5)=0,"",SUMIF('Competency Event Log'!$U$4:$U$803,$B12&amp;"|"&amp;AC$5,'Competency Event Log'!$D$4:$D$803)))</f>
        <v/>
      </c>
      <c r="AD12" s="8">
        <f>IF($B12="","",IF(COUNTIF('Competency Event Log'!$U$4:$U$803,$B12&amp;"|"&amp;AD$5)=0,"",SUMIF('Competency Event Log'!$U$4:$U$803,$B12&amp;"|"&amp;AD$5,'Competency Event Log'!$D$4:$D$803)))</f>
        <v>3</v>
      </c>
      <c r="AE12" s="8" t="str">
        <f>IF($B12="","",IF(COUNTIF('Competency Event Log'!$U$4:$U$803,$B12&amp;"|"&amp;AE$5)=0,"",SUMIF('Competency Event Log'!$U$4:$U$803,$B12&amp;"|"&amp;AE$5,'Competency Event Log'!$D$4:$D$803)))</f>
        <v/>
      </c>
      <c r="AF12" s="8">
        <f>IF($B12="","",IF(COUNTIF('Competency Event Log'!$U$4:$U$803,$B12&amp;"|"&amp;AF$5)=0,"",SUMIF('Competency Event Log'!$U$4:$U$803,$B12&amp;"|"&amp;AF$5,'Competency Event Log'!$D$4:$D$803)))</f>
        <v>2</v>
      </c>
      <c r="AG12" s="8">
        <f>IF($B12="","",IF(COUNTIF('Competency Event Log'!$U$4:$U$803,$B12&amp;"|"&amp;AG$5)=0,"",SUMIF('Competency Event Log'!$U$4:$U$803,$B12&amp;"|"&amp;AG$5,'Competency Event Log'!$D$4:$D$803)))</f>
        <v>1</v>
      </c>
      <c r="AH12" s="8" t="str">
        <f>IF($B12="","",IF(COUNTIF('Competency Event Log'!$U$4:$U$803,$B12&amp;"|"&amp;AH$5)=0,"",SUMIF('Competency Event Log'!$U$4:$U$803,$B12&amp;"|"&amp;AH$5,'Competency Event Log'!$D$4:$D$803)))</f>
        <v/>
      </c>
      <c r="AI12" s="8" t="str">
        <f>IF($B12="","",IF(COUNTIF('Competency Event Log'!$U$4:$U$803,$B12&amp;"|"&amp;AI$5)=0,"",SUMIF('Competency Event Log'!$U$4:$U$803,$B12&amp;"|"&amp;AI$5,'Competency Event Log'!$D$4:$D$803)))</f>
        <v/>
      </c>
      <c r="AJ12" s="8" t="str">
        <f>IF($B12="","",IF(COUNTIF('Competency Event Log'!$U$4:$U$803,$B12&amp;"|"&amp;AJ$5)=0,"",SUMIF('Competency Event Log'!$U$4:$U$803,$B12&amp;"|"&amp;AJ$5,'Competency Event Log'!$D$4:$D$803)))</f>
        <v/>
      </c>
      <c r="AK12" s="8" t="str">
        <f>IF($B12="","",IF(COUNTIF('Competency Event Log'!$U$4:$U$803,$B12&amp;"|"&amp;AK$5)=0,"",SUMIF('Competency Event Log'!$U$4:$U$803,$B12&amp;"|"&amp;AK$5,'Competency Event Log'!$D$4:$D$803)))</f>
        <v/>
      </c>
      <c r="AL12" s="8" t="str">
        <f>IF($B12="","",IF(COUNTIF('Competency Event Log'!$U$4:$U$803,$B12&amp;"|"&amp;AL$5)=0,"",SUMIF('Competency Event Log'!$U$4:$U$803,$B12&amp;"|"&amp;AL$5,'Competency Event Log'!$D$4:$D$803)))</f>
        <v/>
      </c>
      <c r="AM12" s="8" t="str">
        <f>IF($B12="","",IF(COUNTIF('Competency Event Log'!$U$4:$U$803,$B12&amp;"|"&amp;AM$5)=0,"",SUMIF('Competency Event Log'!$U$4:$U$803,$B12&amp;"|"&amp;AM$5,'Competency Event Log'!$D$4:$D$803)))</f>
        <v/>
      </c>
      <c r="AN12" s="8" t="str">
        <f>IF($B12="","",IF(COUNTIF('Competency Event Log'!$U$4:$U$803,$B12&amp;"|"&amp;AN$5)=0,"",SUMIF('Competency Event Log'!$U$4:$U$803,$B12&amp;"|"&amp;AN$5,'Competency Event Log'!$D$4:$D$803)))</f>
        <v/>
      </c>
      <c r="AO12" s="8" t="str">
        <f>IF($B12="","",IF(COUNTIF('Competency Event Log'!$U$4:$U$803,$B12&amp;"|"&amp;AO$5)=0,"",SUMIF('Competency Event Log'!$U$4:$U$803,$B12&amp;"|"&amp;AO$5,'Competency Event Log'!$D$4:$D$803)))</f>
        <v/>
      </c>
      <c r="AP12" s="8">
        <f>IF($B12="","",IF(COUNTIF('Competency Event Log'!$U$4:$U$803,$B12&amp;"|"&amp;AP$5)=0,"",SUMIF('Competency Event Log'!$U$4:$U$803,$B12&amp;"|"&amp;AP$5,'Competency Event Log'!$D$4:$D$803)))</f>
        <v>3</v>
      </c>
      <c r="AQ12" s="8" t="str">
        <f>IF($B12="","",IF(COUNTIF('Competency Event Log'!$U$4:$U$803,$B12&amp;"|"&amp;AQ$5)=0,"",SUMIF('Competency Event Log'!$U$4:$U$803,$B12&amp;"|"&amp;AQ$5,'Competency Event Log'!$D$4:$D$803)))</f>
        <v/>
      </c>
      <c r="AR12" s="8" t="str">
        <f>IF($B12="","",IF(COUNTIF('Competency Event Log'!$U$4:$U$803,$B12&amp;"|"&amp;AR$5)=0,"",SUMIF('Competency Event Log'!$U$4:$U$803,$B12&amp;"|"&amp;AR$5,'Competency Event Log'!$D$4:$D$803)))</f>
        <v/>
      </c>
      <c r="AS12" s="8" t="str">
        <f>IF($B12="","",IF(COUNTIF('Competency Event Log'!$U$4:$U$803,$B12&amp;"|"&amp;AS$5)=0,"",SUMIF('Competency Event Log'!$U$4:$U$803,$B12&amp;"|"&amp;AS$5,'Competency Event Log'!$D$4:$D$803)))</f>
        <v/>
      </c>
      <c r="AT12" s="8" t="str">
        <f>IF($B12="","",IF(COUNTIF('Competency Event Log'!$U$4:$U$803,$B12&amp;"|"&amp;AT$5)=0,"",SUMIF('Competency Event Log'!$U$4:$U$803,$B12&amp;"|"&amp;AT$5,'Competency Event Log'!$D$4:$D$803)))</f>
        <v/>
      </c>
      <c r="AU12" s="8" t="str">
        <f>IF($B12="","",IF(COUNTIF('Competency Event Log'!$U$4:$U$803,$B12&amp;"|"&amp;AU$5)=0,"",SUMIF('Competency Event Log'!$U$4:$U$803,$B12&amp;"|"&amp;AU$5,'Competency Event Log'!$D$4:$D$803)))</f>
        <v/>
      </c>
      <c r="AV12" s="8" t="str">
        <f>IF($B12="","",IF(COUNTIF('Competency Event Log'!$U$4:$U$803,$B12&amp;"|"&amp;AV$5)=0,"",SUMIF('Competency Event Log'!$U$4:$U$803,$B12&amp;"|"&amp;AV$5,'Competency Event Log'!$D$4:$D$803)))</f>
        <v/>
      </c>
      <c r="AW12" s="8" t="str">
        <f>IF($B12="","",IF(COUNTIF('Competency Event Log'!$U$4:$U$803,$B12&amp;"|"&amp;AW$5)=0,"",SUMIF('Competency Event Log'!$U$4:$U$803,$B12&amp;"|"&amp;AW$5,'Competency Event Log'!$D$4:$D$803)))</f>
        <v/>
      </c>
      <c r="AX12" s="8" t="str">
        <f>IF($B12="","",IF(COUNTIF('Competency Event Log'!$U$4:$U$803,$B12&amp;"|"&amp;AX$5)=0,"",SUMIF('Competency Event Log'!$U$4:$U$803,$B12&amp;"|"&amp;AX$5,'Competency Event Log'!$D$4:$D$803)))</f>
        <v/>
      </c>
      <c r="AY12" s="8" t="str">
        <f>IF($B12="","",IF(COUNTIF('Competency Event Log'!$U$4:$U$803,$B12&amp;"|"&amp;AY$5)=0,"",SUMIF('Competency Event Log'!$U$4:$U$803,$B12&amp;"|"&amp;AY$5,'Competency Event Log'!$D$4:$D$803)))</f>
        <v/>
      </c>
      <c r="AZ12" s="8" t="str">
        <f>IF($B12="","",IF(COUNTIF('Competency Event Log'!$U$4:$U$803,$B12&amp;"|"&amp;AZ$5)=0,"",SUMIF('Competency Event Log'!$U$4:$U$803,$B12&amp;"|"&amp;AZ$5,'Competency Event Log'!$D$4:$D$803)))</f>
        <v/>
      </c>
      <c r="BA12" s="8" t="str">
        <f>IF($B12="","",IF(COUNTIF('Competency Event Log'!$U$4:$U$803,$B12&amp;"|"&amp;BA$5)=0,"",SUMIF('Competency Event Log'!$U$4:$U$803,$B12&amp;"|"&amp;BA$5,'Competency Event Log'!$D$4:$D$803)))</f>
        <v/>
      </c>
      <c r="BB12" s="8" t="str">
        <f>IF($B12="","",IF(COUNTIF('Competency Event Log'!$U$4:$U$803,$B12&amp;"|"&amp;BB$5)=0,"",SUMIF('Competency Event Log'!$U$4:$U$803,$B12&amp;"|"&amp;BB$5,'Competency Event Log'!$D$4:$D$803)))</f>
        <v/>
      </c>
      <c r="BC12" s="8" t="str">
        <f>IF($B12="","",IF(COUNTIF('Competency Event Log'!$U$4:$U$803,$B12&amp;"|"&amp;BC$5)=0,"",SUMIF('Competency Event Log'!$U$4:$U$803,$B12&amp;"|"&amp;BC$5,'Competency Event Log'!$D$4:$D$803)))</f>
        <v/>
      </c>
      <c r="BD12" s="8" t="str">
        <f>IF($B12="","",IF(COUNTIF('Competency Event Log'!$U$4:$U$803,$B12&amp;"|"&amp;BD$5)=0,"",SUMIF('Competency Event Log'!$U$4:$U$803,$B12&amp;"|"&amp;BD$5,'Competency Event Log'!$D$4:$D$803)))</f>
        <v/>
      </c>
      <c r="BE12" s="8" t="str">
        <f>IF($B12="","",IF(COUNTIF('Competency Event Log'!$U$4:$U$803,$B12&amp;"|"&amp;BE$5)=0,"",SUMIF('Competency Event Log'!$U$4:$U$803,$B12&amp;"|"&amp;BE$5,'Competency Event Log'!$D$4:$D$803)))</f>
        <v/>
      </c>
      <c r="BF12" s="8" t="str">
        <f>IF($B12="","",IF(COUNTIF('Competency Event Log'!$U$4:$U$803,$B12&amp;"|"&amp;BF$5)=0,"",SUMIF('Competency Event Log'!$U$4:$U$803,$B12&amp;"|"&amp;BF$5,'Competency Event Log'!$D$4:$D$803)))</f>
        <v/>
      </c>
      <c r="BG12" s="8" t="str">
        <f>IF($B12="","",IF(COUNTIF('Competency Event Log'!$U$4:$U$803,$B12&amp;"|"&amp;BG$5)=0,"",SUMIF('Competency Event Log'!$U$4:$U$803,$B12&amp;"|"&amp;BG$5,'Competency Event Log'!$D$4:$D$803)))</f>
        <v/>
      </c>
      <c r="BH12" s="8" t="str">
        <f>IF($B12="","",IF(COUNTIF('Competency Event Log'!$U$4:$U$803,$B12&amp;"|"&amp;BH$5)=0,"",SUMIF('Competency Event Log'!$U$4:$U$803,$B12&amp;"|"&amp;BH$5,'Competency Event Log'!$D$4:$D$803)))</f>
        <v/>
      </c>
      <c r="BI12" s="8" t="str">
        <f>IF($B12="","",IF(COUNTIF('Competency Event Log'!$U$4:$U$803,$B12&amp;"|"&amp;BI$5)=0,"",SUMIF('Competency Event Log'!$U$4:$U$803,$B12&amp;"|"&amp;BI$5,'Competency Event Log'!$D$4:$D$803)))</f>
        <v/>
      </c>
      <c r="BJ12" s="8" t="str">
        <f>IF($B12="","",IF(COUNTIF('Competency Event Log'!$U$4:$U$803,$B12&amp;"|"&amp;BJ$5)=0,"",SUMIF('Competency Event Log'!$U$4:$U$803,$B12&amp;"|"&amp;BJ$5,'Competency Event Log'!$D$4:$D$803)))</f>
        <v/>
      </c>
      <c r="BK12" s="8" t="str">
        <f>IF($B12="","",IF(COUNTIF('Competency Event Log'!$U$4:$U$803,$B12&amp;"|"&amp;BK$5)=0,"",SUMIF('Competency Event Log'!$U$4:$U$803,$B12&amp;"|"&amp;BK$5,'Competency Event Log'!$D$4:$D$803)))</f>
        <v/>
      </c>
      <c r="BL12" s="8" t="str">
        <f>IF($B12="","",IF(COUNTIF('Competency Event Log'!$U$4:$U$803,$B12&amp;"|"&amp;BL$5)=0,"",SUMIF('Competency Event Log'!$U$4:$U$803,$B12&amp;"|"&amp;BL$5,'Competency Event Log'!$D$4:$D$803)))</f>
        <v/>
      </c>
      <c r="BM12" s="8" t="str">
        <f>IF($B12="","",IF(COUNTIF('Competency Event Log'!$U$4:$U$803,$B12&amp;"|"&amp;BM$5)=0,"",SUMIF('Competency Event Log'!$U$4:$U$803,$B12&amp;"|"&amp;BM$5,'Competency Event Log'!$D$4:$D$803)))</f>
        <v/>
      </c>
      <c r="BN12" s="8" t="str">
        <f>IF($B12="","",IF(COUNTIF('Competency Event Log'!$U$4:$U$803,$B12&amp;"|"&amp;BN$5)=0,"",SUMIF('Competency Event Log'!$U$4:$U$803,$B12&amp;"|"&amp;BN$5,'Competency Event Log'!$D$4:$D$803)))</f>
        <v/>
      </c>
      <c r="BO12" s="8" t="str">
        <f>IF($B12="","",IF(COUNTIF('Competency Event Log'!$U$4:$U$803,$B12&amp;"|"&amp;BO$5)=0,"",SUMIF('Competency Event Log'!$U$4:$U$803,$B12&amp;"|"&amp;BO$5,'Competency Event Log'!$D$4:$D$803)))</f>
        <v/>
      </c>
      <c r="BP12" s="8" t="str">
        <f>IF($B12="","",IF(COUNTIF('Competency Event Log'!$U$4:$U$803,$B12&amp;"|"&amp;BP$5)=0,"",SUMIF('Competency Event Log'!$U$4:$U$803,$B12&amp;"|"&amp;BP$5,'Competency Event Log'!$D$4:$D$803)))</f>
        <v/>
      </c>
      <c r="BQ12" s="8">
        <f>IF($B12="","",IF(COUNTIF('Competency Event Log'!$U$4:$U$803,$B12&amp;"|"&amp;BQ$5)=0,"",SUMIF('Competency Event Log'!$U$4:$U$803,$B12&amp;"|"&amp;BQ$5,'Competency Event Log'!$D$4:$D$803)))</f>
        <v>2</v>
      </c>
      <c r="BR12" s="8" t="str">
        <f>IF($B12="","",IF(COUNTIF('Competency Event Log'!$U$4:$U$803,$B12&amp;"|"&amp;BR$5)=0,"",SUMIF('Competency Event Log'!$U$4:$U$803,$B12&amp;"|"&amp;BR$5,'Competency Event Log'!$D$4:$D$803)))</f>
        <v/>
      </c>
      <c r="BS12" s="8" t="str">
        <f>IF($B12="","",IF(COUNTIF('Competency Event Log'!$U$4:$U$803,$B12&amp;"|"&amp;BS$5)=0,"",SUMIF('Competency Event Log'!$U$4:$U$803,$B12&amp;"|"&amp;BS$5,'Competency Event Log'!$D$4:$D$803)))</f>
        <v/>
      </c>
      <c r="BT12" s="8" t="str">
        <f>IF($B12="","",IF(COUNTIF('Competency Event Log'!$U$4:$U$803,$B12&amp;"|"&amp;BT$5)=0,"",SUMIF('Competency Event Log'!$U$4:$U$803,$B12&amp;"|"&amp;BT$5,'Competency Event Log'!$D$4:$D$803)))</f>
        <v/>
      </c>
      <c r="BU12" s="8" t="str">
        <f>IF($B12="","",IF(COUNTIF('Competency Event Log'!$U$4:$U$803,$B12&amp;"|"&amp;BU$5)=0,"",SUMIF('Competency Event Log'!$U$4:$U$803,$B12&amp;"|"&amp;BU$5,'Competency Event Log'!$D$4:$D$803)))</f>
        <v/>
      </c>
      <c r="BV12" s="8" t="str">
        <f>IF($B12="","",IF(COUNTIF('Competency Event Log'!$U$4:$U$803,$B12&amp;"|"&amp;BV$5)=0,"",SUMIF('Competency Event Log'!$U$4:$U$803,$B12&amp;"|"&amp;BV$5,'Competency Event Log'!$D$4:$D$803)))</f>
        <v/>
      </c>
      <c r="BW12" s="8" t="str">
        <f>IF($B12="","",IF(COUNTIF('Competency Event Log'!$U$4:$U$803,$B12&amp;"|"&amp;BW$5)=0,"",SUMIF('Competency Event Log'!$U$4:$U$803,$B12&amp;"|"&amp;BW$5,'Competency Event Log'!$D$4:$D$803)))</f>
        <v/>
      </c>
      <c r="BX12" s="8" t="str">
        <f>IF($B12="","",IF(COUNTIF('Competency Event Log'!$U$4:$U$803,$B12&amp;"|"&amp;BX$5)=0,"",SUMIF('Competency Event Log'!$U$4:$U$803,$B12&amp;"|"&amp;BX$5,'Competency Event Log'!$D$4:$D$803)))</f>
        <v/>
      </c>
      <c r="BY12" s="8" t="str">
        <f>IF($B12="","",IF(COUNTIF('Competency Event Log'!$U$4:$U$803,$B12&amp;"|"&amp;BY$5)=0,"",SUMIF('Competency Event Log'!$U$4:$U$803,$B12&amp;"|"&amp;BY$5,'Competency Event Log'!$D$4:$D$803)))</f>
        <v/>
      </c>
      <c r="BZ12" s="8" t="str">
        <f>IF($B12="","",IF(COUNTIF('Competency Event Log'!$U$4:$U$803,$B12&amp;"|"&amp;BZ$5)=0,"",SUMIF('Competency Event Log'!$U$4:$U$803,$B12&amp;"|"&amp;BZ$5,'Competency Event Log'!$D$4:$D$803)))</f>
        <v/>
      </c>
      <c r="CA12" s="8" t="str">
        <f>IF($B12="","",IF(COUNTIF('Competency Event Log'!$U$4:$U$803,$B12&amp;"|"&amp;CA$5)=0,"",SUMIF('Competency Event Log'!$U$4:$U$803,$B12&amp;"|"&amp;CA$5,'Competency Event Log'!$D$4:$D$803)))</f>
        <v/>
      </c>
      <c r="CB12" s="8" t="str">
        <f>IF($B12="","",IF(COUNTIF('Competency Event Log'!$U$4:$U$803,$B12&amp;"|"&amp;CB$5)=0,"",SUMIF('Competency Event Log'!$U$4:$U$803,$B12&amp;"|"&amp;CB$5,'Competency Event Log'!$D$4:$D$803)))</f>
        <v/>
      </c>
      <c r="CC12" s="8" t="str">
        <f>IF($B12="","",IF(COUNTIF('Competency Event Log'!$U$4:$U$803,$B12&amp;"|"&amp;CC$5)=0,"",SUMIF('Competency Event Log'!$U$4:$U$803,$B12&amp;"|"&amp;CC$5,'Competency Event Log'!$D$4:$D$803)))</f>
        <v/>
      </c>
      <c r="CD12" s="8" t="str">
        <f>IF($B12="","",IF(COUNTIF('Competency Event Log'!$U$4:$U$803,$B12&amp;"|"&amp;CD$5)=0,"",SUMIF('Competency Event Log'!$U$4:$U$803,$B12&amp;"|"&amp;CD$5,'Competency Event Log'!$D$4:$D$803)))</f>
        <v/>
      </c>
      <c r="CE12" s="8" t="str">
        <f>IF($B12="","",IF(COUNTIF('Competency Event Log'!$U$4:$U$803,$B12&amp;"|"&amp;CE$5)=0,"",SUMIF('Competency Event Log'!$U$4:$U$803,$B12&amp;"|"&amp;CE$5,'Competency Event Log'!$D$4:$D$803)))</f>
        <v/>
      </c>
      <c r="CF12" s="8" t="str">
        <f>IF($B12="","",IF(COUNTIF('Competency Event Log'!$U$4:$U$803,$B12&amp;"|"&amp;CF$5)=0,"",SUMIF('Competency Event Log'!$U$4:$U$803,$B12&amp;"|"&amp;CF$5,'Competency Event Log'!$D$4:$D$803)))</f>
        <v/>
      </c>
      <c r="CG12" s="8" t="str">
        <f>IF($B12="","",IF(COUNTIF('Competency Event Log'!$U$4:$U$803,$B12&amp;"|"&amp;CG$5)=0,"",SUMIF('Competency Event Log'!$U$4:$U$803,$B12&amp;"|"&amp;CG$5,'Competency Event Log'!$D$4:$D$803)))</f>
        <v/>
      </c>
      <c r="CH12" s="8" t="str">
        <f>IF($B12="","",IF(COUNTIF('Competency Event Log'!$U$4:$U$803,$B12&amp;"|"&amp;CH$5)=0,"",SUMIF('Competency Event Log'!$U$4:$U$803,$B12&amp;"|"&amp;CH$5,'Competency Event Log'!$D$4:$D$803)))</f>
        <v/>
      </c>
      <c r="CI12" s="8" t="str">
        <f>IF($B12="","",IF(COUNTIF('Competency Event Log'!$U$4:$U$803,$B12&amp;"|"&amp;CI$5)=0,"",SUMIF('Competency Event Log'!$U$4:$U$803,$B12&amp;"|"&amp;CI$5,'Competency Event Log'!$D$4:$D$803)))</f>
        <v/>
      </c>
      <c r="CJ12" s="8" t="str">
        <f>IF($B12="","",IF(COUNTIF('Competency Event Log'!$U$4:$U$803,$B12&amp;"|"&amp;CJ$5)=0,"",SUMIF('Competency Event Log'!$U$4:$U$803,$B12&amp;"|"&amp;CJ$5,'Competency Event Log'!$D$4:$D$803)))</f>
        <v/>
      </c>
      <c r="CK12" s="8" t="str">
        <f>IF($B12="","",IF(COUNTIF('Competency Event Log'!$U$4:$U$803,$B12&amp;"|"&amp;CK$5)=0,"",SUMIF('Competency Event Log'!$U$4:$U$803,$B12&amp;"|"&amp;CK$5,'Competency Event Log'!$D$4:$D$803)))</f>
        <v/>
      </c>
      <c r="CL12" s="8" t="str">
        <f>IF($B12="","",IF(COUNTIF('Competency Event Log'!$U$4:$U$803,$B12&amp;"|"&amp;CL$5)=0,"",SUMIF('Competency Event Log'!$U$4:$U$803,$B12&amp;"|"&amp;CL$5,'Competency Event Log'!$D$4:$D$803)))</f>
        <v/>
      </c>
      <c r="CM12" s="8" t="str">
        <f>IF($B12="","",IF(COUNTIF('Competency Event Log'!$U$4:$U$803,$B12&amp;"|"&amp;CM$5)=0,"",SUMIF('Competency Event Log'!$U$4:$U$803,$B12&amp;"|"&amp;CM$5,'Competency Event Log'!$D$4:$D$803)))</f>
        <v/>
      </c>
      <c r="CN12" s="8" t="str">
        <f>IF($B12="","",IF(COUNTIF('Competency Event Log'!$U$4:$U$803,$B12&amp;"|"&amp;CN$5)=0,"",SUMIF('Competency Event Log'!$U$4:$U$803,$B12&amp;"|"&amp;CN$5,'Competency Event Log'!$D$4:$D$803)))</f>
        <v/>
      </c>
      <c r="CO12" s="8" t="str">
        <f>IF($B12="","",IF(COUNTIF('Competency Event Log'!$U$4:$U$803,$B12&amp;"|"&amp;CO$5)=0,"",SUMIF('Competency Event Log'!$U$4:$U$803,$B12&amp;"|"&amp;CO$5,'Competency Event Log'!$D$4:$D$803)))</f>
        <v/>
      </c>
      <c r="CP12" s="8" t="str">
        <f>IF($B12="","",IF(COUNTIF('Competency Event Log'!$U$4:$U$803,$B12&amp;"|"&amp;CP$5)=0,"",SUMIF('Competency Event Log'!$U$4:$U$803,$B12&amp;"|"&amp;CP$5,'Competency Event Log'!$D$4:$D$803)))</f>
        <v/>
      </c>
      <c r="CQ12" s="8" t="str">
        <f>IF($B12="","",IF(COUNTIF('Competency Event Log'!$U$4:$U$803,$B12&amp;"|"&amp;CQ$5)=0,"",SUMIF('Competency Event Log'!$U$4:$U$803,$B12&amp;"|"&amp;CQ$5,'Competency Event Log'!$D$4:$D$803)))</f>
        <v/>
      </c>
      <c r="CR12" s="8" t="str">
        <f>IF($B12="","",IF(COUNTIF('Competency Event Log'!$U$4:$U$803,$B12&amp;"|"&amp;CR$5)=0,"",SUMIF('Competency Event Log'!$U$4:$U$803,$B12&amp;"|"&amp;CR$5,'Competency Event Log'!$D$4:$D$803)))</f>
        <v/>
      </c>
      <c r="CS12" s="8" t="str">
        <f>IF($B12="","",IF(COUNTIF('Competency Event Log'!$U$4:$U$803,$B12&amp;"|"&amp;CS$5)=0,"",SUMIF('Competency Event Log'!$U$4:$U$803,$B12&amp;"|"&amp;CS$5,'Competency Event Log'!$D$4:$D$803)))</f>
        <v/>
      </c>
      <c r="CT12" s="8" t="str">
        <f>IF($B12="","",IF(COUNTIF('Competency Event Log'!$U$4:$U$803,$B12&amp;"|"&amp;CT$5)=0,"",SUMIF('Competency Event Log'!$U$4:$U$803,$B12&amp;"|"&amp;CT$5,'Competency Event Log'!$D$4:$D$803)))</f>
        <v/>
      </c>
      <c r="CU12" s="8" t="str">
        <f>IF($B12="","",IF(COUNTIF('Competency Event Log'!$U$4:$U$803,$B12&amp;"|"&amp;CU$5)=0,"",SUMIF('Competency Event Log'!$U$4:$U$803,$B12&amp;"|"&amp;CU$5,'Competency Event Log'!$D$4:$D$803)))</f>
        <v/>
      </c>
      <c r="CV12" s="8" t="str">
        <f>IF($B12="","",IF(COUNTIF('Competency Event Log'!$U$4:$U$803,$B12&amp;"|"&amp;CV$5)=0,"",SUMIF('Competency Event Log'!$U$4:$U$803,$B12&amp;"|"&amp;CV$5,'Competency Event Log'!$D$4:$D$803)))</f>
        <v/>
      </c>
      <c r="CW12" s="8" t="str">
        <f>IF($B12="","",IF(COUNTIF('Competency Event Log'!$U$4:$U$803,$B12&amp;"|"&amp;CW$5)=0,"",SUMIF('Competency Event Log'!$U$4:$U$803,$B12&amp;"|"&amp;CW$5,'Competency Event Log'!$D$4:$D$803)))</f>
        <v/>
      </c>
      <c r="CX12" s="8" t="str">
        <f>IF($B12="","",IF(COUNTIF('Competency Event Log'!$U$4:$U$803,$B12&amp;"|"&amp;CX$5)=0,"",SUMIF('Competency Event Log'!$U$4:$U$803,$B12&amp;"|"&amp;CX$5,'Competency Event Log'!$D$4:$D$803)))</f>
        <v/>
      </c>
      <c r="CY12" s="8" t="str">
        <f>IF($B12="","",IF(COUNTIF('Competency Event Log'!$U$4:$U$803,$B12&amp;"|"&amp;CY$5)=0,"",SUMIF('Competency Event Log'!$U$4:$U$803,$B12&amp;"|"&amp;CY$5,'Competency Event Log'!$D$4:$D$803)))</f>
        <v/>
      </c>
      <c r="CZ12" s="8" t="str">
        <f>IF($B12="","",IF(COUNTIF('Competency Event Log'!$U$4:$U$803,$B12&amp;"|"&amp;CZ$5)=0,"",SUMIF('Competency Event Log'!$U$4:$U$803,$B12&amp;"|"&amp;CZ$5,'Competency Event Log'!$D$4:$D$803)))</f>
        <v/>
      </c>
      <c r="DA12" s="8" t="str">
        <f>IF($B12="","",IF(COUNTIF('Competency Event Log'!$U$4:$U$803,$B12&amp;"|"&amp;DA$5)=0,"",SUMIF('Competency Event Log'!$U$4:$U$803,$B12&amp;"|"&amp;DA$5,'Competency Event Log'!$D$4:$D$803)))</f>
        <v/>
      </c>
      <c r="DB12" s="8" t="str">
        <f>IF($B12="","",IF(COUNTIF('Competency Event Log'!$U$4:$U$803,$B12&amp;"|"&amp;DB$5)=0,"",SUMIF('Competency Event Log'!$U$4:$U$803,$B12&amp;"|"&amp;DB$5,'Competency Event Log'!$D$4:$D$803)))</f>
        <v/>
      </c>
      <c r="DC12" s="8" t="str">
        <f>IF($B12="","",IF(COUNTIF('Competency Event Log'!$U$4:$U$803,$B12&amp;"|"&amp;DC$5)=0,"",SUMIF('Competency Event Log'!$U$4:$U$803,$B12&amp;"|"&amp;DC$5,'Competency Event Log'!$D$4:$D$803)))</f>
        <v/>
      </c>
      <c r="DD12" s="8" t="str">
        <f>IF($B12="","",IF(COUNTIF('Competency Event Log'!$U$4:$U$803,$B12&amp;"|"&amp;DD$5)=0,"",SUMIF('Competency Event Log'!$U$4:$U$803,$B12&amp;"|"&amp;DD$5,'Competency Event Log'!$D$4:$D$803)))</f>
        <v/>
      </c>
      <c r="DE12" s="8">
        <f>IF($B12="","",IF(COUNTIF('Competency Event Log'!$U$4:$U$803,$B12&amp;"|"&amp;DE$5)=0,"",SUMIF('Competency Event Log'!$U$4:$U$803,$B12&amp;"|"&amp;DE$5,'Competency Event Log'!$D$4:$D$803)))</f>
        <v>3</v>
      </c>
      <c r="DF12" s="8">
        <f t="shared" si="0"/>
        <v>21</v>
      </c>
      <c r="DG12" s="8">
        <f t="shared" si="1"/>
        <v>9</v>
      </c>
      <c r="DH12" s="8">
        <f t="shared" si="2"/>
        <v>5</v>
      </c>
      <c r="DI12" s="11">
        <f t="shared" si="3"/>
        <v>0.42857142857142855</v>
      </c>
    </row>
    <row r="13" spans="1:113">
      <c r="A13" s="7" t="s">
        <v>305</v>
      </c>
      <c r="B13" s="7" t="s">
        <v>60</v>
      </c>
      <c r="C13" s="8">
        <v>2</v>
      </c>
      <c r="D13" s="9" t="s">
        <v>604</v>
      </c>
      <c r="E13" s="10">
        <v>42858</v>
      </c>
      <c r="F13" s="8" t="s">
        <v>577</v>
      </c>
      <c r="G13" s="8" t="str">
        <f>IF($B13="","",IF(COUNTIF('Competency Event Log'!$U$4:$U$803,$B13&amp;"|"&amp;G$5)=0,"",SUMIF('Competency Event Log'!$U$4:$U$803,$B13&amp;"|"&amp;G$5,'Competency Event Log'!$D$4:$D$803)))</f>
        <v/>
      </c>
      <c r="H13" s="8" t="str">
        <f>IF($B13="","",IF(COUNTIF('Competency Event Log'!$U$4:$U$803,$B13&amp;"|"&amp;H$5)=0,"",SUMIF('Competency Event Log'!$U$4:$U$803,$B13&amp;"|"&amp;H$5,'Competency Event Log'!$D$4:$D$803)))</f>
        <v/>
      </c>
      <c r="I13" s="8" t="str">
        <f>IF($B13="","",IF(COUNTIF('Competency Event Log'!$U$4:$U$803,$B13&amp;"|"&amp;I$5)=0,"",SUMIF('Competency Event Log'!$U$4:$U$803,$B13&amp;"|"&amp;I$5,'Competency Event Log'!$D$4:$D$803)))</f>
        <v/>
      </c>
      <c r="J13" s="8" t="str">
        <f>IF($B13="","",IF(COUNTIF('Competency Event Log'!$U$4:$U$803,$B13&amp;"|"&amp;J$5)=0,"",SUMIF('Competency Event Log'!$U$4:$U$803,$B13&amp;"|"&amp;J$5,'Competency Event Log'!$D$4:$D$803)))</f>
        <v/>
      </c>
      <c r="K13" s="8" t="str">
        <f>IF($B13="","",IF(COUNTIF('Competency Event Log'!$U$4:$U$803,$B13&amp;"|"&amp;K$5)=0,"",SUMIF('Competency Event Log'!$U$4:$U$803,$B13&amp;"|"&amp;K$5,'Competency Event Log'!$D$4:$D$803)))</f>
        <v/>
      </c>
      <c r="L13" s="8" t="str">
        <f>IF($B13="","",IF(COUNTIF('Competency Event Log'!$U$4:$U$803,$B13&amp;"|"&amp;L$5)=0,"",SUMIF('Competency Event Log'!$U$4:$U$803,$B13&amp;"|"&amp;L$5,'Competency Event Log'!$D$4:$D$803)))</f>
        <v/>
      </c>
      <c r="M13" s="8" t="str">
        <f>IF($B13="","",IF(COUNTIF('Competency Event Log'!$U$4:$U$803,$B13&amp;"|"&amp;M$5)=0,"",SUMIF('Competency Event Log'!$U$4:$U$803,$B13&amp;"|"&amp;M$5,'Competency Event Log'!$D$4:$D$803)))</f>
        <v/>
      </c>
      <c r="N13" s="8" t="str">
        <f>IF($B13="","",IF(COUNTIF('Competency Event Log'!$U$4:$U$803,$B13&amp;"|"&amp;N$5)=0,"",SUMIF('Competency Event Log'!$U$4:$U$803,$B13&amp;"|"&amp;N$5,'Competency Event Log'!$D$4:$D$803)))</f>
        <v/>
      </c>
      <c r="O13" s="8" t="str">
        <f>IF($B13="","",IF(COUNTIF('Competency Event Log'!$U$4:$U$803,$B13&amp;"|"&amp;O$5)=0,"",SUMIF('Competency Event Log'!$U$4:$U$803,$B13&amp;"|"&amp;O$5,'Competency Event Log'!$D$4:$D$803)))</f>
        <v/>
      </c>
      <c r="P13" s="8" t="str">
        <f>IF($B13="","",IF(COUNTIF('Competency Event Log'!$U$4:$U$803,$B13&amp;"|"&amp;P$5)=0,"",SUMIF('Competency Event Log'!$U$4:$U$803,$B13&amp;"|"&amp;P$5,'Competency Event Log'!$D$4:$D$803)))</f>
        <v/>
      </c>
      <c r="Q13" s="8" t="str">
        <f>IF($B13="","",IF(COUNTIF('Competency Event Log'!$U$4:$U$803,$B13&amp;"|"&amp;Q$5)=0,"",SUMIF('Competency Event Log'!$U$4:$U$803,$B13&amp;"|"&amp;Q$5,'Competency Event Log'!$D$4:$D$803)))</f>
        <v/>
      </c>
      <c r="R13" s="8" t="str">
        <f>IF($B13="","",IF(COUNTIF('Competency Event Log'!$U$4:$U$803,$B13&amp;"|"&amp;R$5)=0,"",SUMIF('Competency Event Log'!$U$4:$U$803,$B13&amp;"|"&amp;R$5,'Competency Event Log'!$D$4:$D$803)))</f>
        <v/>
      </c>
      <c r="S13" s="8" t="str">
        <f>IF($B13="","",IF(COUNTIF('Competency Event Log'!$U$4:$U$803,$B13&amp;"|"&amp;S$5)=0,"",SUMIF('Competency Event Log'!$U$4:$U$803,$B13&amp;"|"&amp;S$5,'Competency Event Log'!$D$4:$D$803)))</f>
        <v/>
      </c>
      <c r="T13" s="8" t="str">
        <f>IF($B13="","",IF(COUNTIF('Competency Event Log'!$U$4:$U$803,$B13&amp;"|"&amp;T$5)=0,"",SUMIF('Competency Event Log'!$U$4:$U$803,$B13&amp;"|"&amp;T$5,'Competency Event Log'!$D$4:$D$803)))</f>
        <v/>
      </c>
      <c r="U13" s="8" t="str">
        <f>IF($B13="","",IF(COUNTIF('Competency Event Log'!$U$4:$U$803,$B13&amp;"|"&amp;U$5)=0,"",SUMIF('Competency Event Log'!$U$4:$U$803,$B13&amp;"|"&amp;U$5,'Competency Event Log'!$D$4:$D$803)))</f>
        <v/>
      </c>
      <c r="V13" s="8" t="str">
        <f>IF($B13="","",IF(COUNTIF('Competency Event Log'!$U$4:$U$803,$B13&amp;"|"&amp;V$5)=0,"",SUMIF('Competency Event Log'!$U$4:$U$803,$B13&amp;"|"&amp;V$5,'Competency Event Log'!$D$4:$D$803)))</f>
        <v/>
      </c>
      <c r="W13" s="8" t="str">
        <f>IF($B13="","",IF(COUNTIF('Competency Event Log'!$U$4:$U$803,$B13&amp;"|"&amp;W$5)=0,"",SUMIF('Competency Event Log'!$U$4:$U$803,$B13&amp;"|"&amp;W$5,'Competency Event Log'!$D$4:$D$803)))</f>
        <v/>
      </c>
      <c r="X13" s="8" t="str">
        <f>IF($B13="","",IF(COUNTIF('Competency Event Log'!$U$4:$U$803,$B13&amp;"|"&amp;X$5)=0,"",SUMIF('Competency Event Log'!$U$4:$U$803,$B13&amp;"|"&amp;X$5,'Competency Event Log'!$D$4:$D$803)))</f>
        <v/>
      </c>
      <c r="Y13" s="8" t="str">
        <f>IF($B13="","",IF(COUNTIF('Competency Event Log'!$U$4:$U$803,$B13&amp;"|"&amp;Y$5)=0,"",SUMIF('Competency Event Log'!$U$4:$U$803,$B13&amp;"|"&amp;Y$5,'Competency Event Log'!$D$4:$D$803)))</f>
        <v/>
      </c>
      <c r="Z13" s="8">
        <f>IF($B13="","",IF(COUNTIF('Competency Event Log'!$U$4:$U$803,$B13&amp;"|"&amp;Z$5)=0,"",SUMIF('Competency Event Log'!$U$4:$U$803,$B13&amp;"|"&amp;Z$5,'Competency Event Log'!$D$4:$D$803)))</f>
        <v>3</v>
      </c>
      <c r="AA13" s="8">
        <f>IF($B13="","",IF(COUNTIF('Competency Event Log'!$U$4:$U$803,$B13&amp;"|"&amp;AA$5)=0,"",SUMIF('Competency Event Log'!$U$4:$U$803,$B13&amp;"|"&amp;AA$5,'Competency Event Log'!$D$4:$D$803)))</f>
        <v>2</v>
      </c>
      <c r="AB13" s="8">
        <f>IF($B13="","",IF(COUNTIF('Competency Event Log'!$U$4:$U$803,$B13&amp;"|"&amp;AB$5)=0,"",SUMIF('Competency Event Log'!$U$4:$U$803,$B13&amp;"|"&amp;AB$5,'Competency Event Log'!$D$4:$D$803)))</f>
        <v>2</v>
      </c>
      <c r="AC13" s="8" t="str">
        <f>IF($B13="","",IF(COUNTIF('Competency Event Log'!$U$4:$U$803,$B13&amp;"|"&amp;AC$5)=0,"",SUMIF('Competency Event Log'!$U$4:$U$803,$B13&amp;"|"&amp;AC$5,'Competency Event Log'!$D$4:$D$803)))</f>
        <v/>
      </c>
      <c r="AD13" s="8">
        <f>IF($B13="","",IF(COUNTIF('Competency Event Log'!$U$4:$U$803,$B13&amp;"|"&amp;AD$5)=0,"",SUMIF('Competency Event Log'!$U$4:$U$803,$B13&amp;"|"&amp;AD$5,'Competency Event Log'!$D$4:$D$803)))</f>
        <v>2</v>
      </c>
      <c r="AE13" s="8" t="str">
        <f>IF($B13="","",IF(COUNTIF('Competency Event Log'!$U$4:$U$803,$B13&amp;"|"&amp;AE$5)=0,"",SUMIF('Competency Event Log'!$U$4:$U$803,$B13&amp;"|"&amp;AE$5,'Competency Event Log'!$D$4:$D$803)))</f>
        <v/>
      </c>
      <c r="AF13" s="8" t="str">
        <f>IF($B13="","",IF(COUNTIF('Competency Event Log'!$U$4:$U$803,$B13&amp;"|"&amp;AF$5)=0,"",SUMIF('Competency Event Log'!$U$4:$U$803,$B13&amp;"|"&amp;AF$5,'Competency Event Log'!$D$4:$D$803)))</f>
        <v/>
      </c>
      <c r="AG13" s="8">
        <f>IF($B13="","",IF(COUNTIF('Competency Event Log'!$U$4:$U$803,$B13&amp;"|"&amp;AG$5)=0,"",SUMIF('Competency Event Log'!$U$4:$U$803,$B13&amp;"|"&amp;AG$5,'Competency Event Log'!$D$4:$D$803)))</f>
        <v>2</v>
      </c>
      <c r="AH13" s="8">
        <f>IF($B13="","",IF(COUNTIF('Competency Event Log'!$U$4:$U$803,$B13&amp;"|"&amp;AH$5)=0,"",SUMIF('Competency Event Log'!$U$4:$U$803,$B13&amp;"|"&amp;AH$5,'Competency Event Log'!$D$4:$D$803)))</f>
        <v>2</v>
      </c>
      <c r="AI13" s="8" t="str">
        <f>IF($B13="","",IF(COUNTIF('Competency Event Log'!$U$4:$U$803,$B13&amp;"|"&amp;AI$5)=0,"",SUMIF('Competency Event Log'!$U$4:$U$803,$B13&amp;"|"&amp;AI$5,'Competency Event Log'!$D$4:$D$803)))</f>
        <v/>
      </c>
      <c r="AJ13" s="8" t="str">
        <f>IF($B13="","",IF(COUNTIF('Competency Event Log'!$U$4:$U$803,$B13&amp;"|"&amp;AJ$5)=0,"",SUMIF('Competency Event Log'!$U$4:$U$803,$B13&amp;"|"&amp;AJ$5,'Competency Event Log'!$D$4:$D$803)))</f>
        <v/>
      </c>
      <c r="AK13" s="8" t="str">
        <f>IF($B13="","",IF(COUNTIF('Competency Event Log'!$U$4:$U$803,$B13&amp;"|"&amp;AK$5)=0,"",SUMIF('Competency Event Log'!$U$4:$U$803,$B13&amp;"|"&amp;AK$5,'Competency Event Log'!$D$4:$D$803)))</f>
        <v/>
      </c>
      <c r="AL13" s="8" t="str">
        <f>IF($B13="","",IF(COUNTIF('Competency Event Log'!$U$4:$U$803,$B13&amp;"|"&amp;AL$5)=0,"",SUMIF('Competency Event Log'!$U$4:$U$803,$B13&amp;"|"&amp;AL$5,'Competency Event Log'!$D$4:$D$803)))</f>
        <v/>
      </c>
      <c r="AM13" s="8" t="str">
        <f>IF($B13="","",IF(COUNTIF('Competency Event Log'!$U$4:$U$803,$B13&amp;"|"&amp;AM$5)=0,"",SUMIF('Competency Event Log'!$U$4:$U$803,$B13&amp;"|"&amp;AM$5,'Competency Event Log'!$D$4:$D$803)))</f>
        <v/>
      </c>
      <c r="AN13" s="8" t="str">
        <f>IF($B13="","",IF(COUNTIF('Competency Event Log'!$U$4:$U$803,$B13&amp;"|"&amp;AN$5)=0,"",SUMIF('Competency Event Log'!$U$4:$U$803,$B13&amp;"|"&amp;AN$5,'Competency Event Log'!$D$4:$D$803)))</f>
        <v/>
      </c>
      <c r="AO13" s="8" t="str">
        <f>IF($B13="","",IF(COUNTIF('Competency Event Log'!$U$4:$U$803,$B13&amp;"|"&amp;AO$5)=0,"",SUMIF('Competency Event Log'!$U$4:$U$803,$B13&amp;"|"&amp;AO$5,'Competency Event Log'!$D$4:$D$803)))</f>
        <v/>
      </c>
      <c r="AP13" s="8" t="str">
        <f>IF($B13="","",IF(COUNTIF('Competency Event Log'!$U$4:$U$803,$B13&amp;"|"&amp;AP$5)=0,"",SUMIF('Competency Event Log'!$U$4:$U$803,$B13&amp;"|"&amp;AP$5,'Competency Event Log'!$D$4:$D$803)))</f>
        <v/>
      </c>
      <c r="AQ13" s="8" t="str">
        <f>IF($B13="","",IF(COUNTIF('Competency Event Log'!$U$4:$U$803,$B13&amp;"|"&amp;AQ$5)=0,"",SUMIF('Competency Event Log'!$U$4:$U$803,$B13&amp;"|"&amp;AQ$5,'Competency Event Log'!$D$4:$D$803)))</f>
        <v/>
      </c>
      <c r="AR13" s="8" t="str">
        <f>IF($B13="","",IF(COUNTIF('Competency Event Log'!$U$4:$U$803,$B13&amp;"|"&amp;AR$5)=0,"",SUMIF('Competency Event Log'!$U$4:$U$803,$B13&amp;"|"&amp;AR$5,'Competency Event Log'!$D$4:$D$803)))</f>
        <v/>
      </c>
      <c r="AS13" s="8" t="str">
        <f>IF($B13="","",IF(COUNTIF('Competency Event Log'!$U$4:$U$803,$B13&amp;"|"&amp;AS$5)=0,"",SUMIF('Competency Event Log'!$U$4:$U$803,$B13&amp;"|"&amp;AS$5,'Competency Event Log'!$D$4:$D$803)))</f>
        <v/>
      </c>
      <c r="AT13" s="8" t="str">
        <f>IF($B13="","",IF(COUNTIF('Competency Event Log'!$U$4:$U$803,$B13&amp;"|"&amp;AT$5)=0,"",SUMIF('Competency Event Log'!$U$4:$U$803,$B13&amp;"|"&amp;AT$5,'Competency Event Log'!$D$4:$D$803)))</f>
        <v/>
      </c>
      <c r="AU13" s="8" t="str">
        <f>IF($B13="","",IF(COUNTIF('Competency Event Log'!$U$4:$U$803,$B13&amp;"|"&amp;AU$5)=0,"",SUMIF('Competency Event Log'!$U$4:$U$803,$B13&amp;"|"&amp;AU$5,'Competency Event Log'!$D$4:$D$803)))</f>
        <v/>
      </c>
      <c r="AV13" s="8" t="str">
        <f>IF($B13="","",IF(COUNTIF('Competency Event Log'!$U$4:$U$803,$B13&amp;"|"&amp;AV$5)=0,"",SUMIF('Competency Event Log'!$U$4:$U$803,$B13&amp;"|"&amp;AV$5,'Competency Event Log'!$D$4:$D$803)))</f>
        <v/>
      </c>
      <c r="AW13" s="8" t="str">
        <f>IF($B13="","",IF(COUNTIF('Competency Event Log'!$U$4:$U$803,$B13&amp;"|"&amp;AW$5)=0,"",SUMIF('Competency Event Log'!$U$4:$U$803,$B13&amp;"|"&amp;AW$5,'Competency Event Log'!$D$4:$D$803)))</f>
        <v/>
      </c>
      <c r="AX13" s="8" t="str">
        <f>IF($B13="","",IF(COUNTIF('Competency Event Log'!$U$4:$U$803,$B13&amp;"|"&amp;AX$5)=0,"",SUMIF('Competency Event Log'!$U$4:$U$803,$B13&amp;"|"&amp;AX$5,'Competency Event Log'!$D$4:$D$803)))</f>
        <v/>
      </c>
      <c r="AY13" s="8" t="str">
        <f>IF($B13="","",IF(COUNTIF('Competency Event Log'!$U$4:$U$803,$B13&amp;"|"&amp;AY$5)=0,"",SUMIF('Competency Event Log'!$U$4:$U$803,$B13&amp;"|"&amp;AY$5,'Competency Event Log'!$D$4:$D$803)))</f>
        <v/>
      </c>
      <c r="AZ13" s="8" t="str">
        <f>IF($B13="","",IF(COUNTIF('Competency Event Log'!$U$4:$U$803,$B13&amp;"|"&amp;AZ$5)=0,"",SUMIF('Competency Event Log'!$U$4:$U$803,$B13&amp;"|"&amp;AZ$5,'Competency Event Log'!$D$4:$D$803)))</f>
        <v/>
      </c>
      <c r="BA13" s="8" t="str">
        <f>IF($B13="","",IF(COUNTIF('Competency Event Log'!$U$4:$U$803,$B13&amp;"|"&amp;BA$5)=0,"",SUMIF('Competency Event Log'!$U$4:$U$803,$B13&amp;"|"&amp;BA$5,'Competency Event Log'!$D$4:$D$803)))</f>
        <v/>
      </c>
      <c r="BB13" s="8" t="str">
        <f>IF($B13="","",IF(COUNTIF('Competency Event Log'!$U$4:$U$803,$B13&amp;"|"&amp;BB$5)=0,"",SUMIF('Competency Event Log'!$U$4:$U$803,$B13&amp;"|"&amp;BB$5,'Competency Event Log'!$D$4:$D$803)))</f>
        <v/>
      </c>
      <c r="BC13" s="8" t="str">
        <f>IF($B13="","",IF(COUNTIF('Competency Event Log'!$U$4:$U$803,$B13&amp;"|"&amp;BC$5)=0,"",SUMIF('Competency Event Log'!$U$4:$U$803,$B13&amp;"|"&amp;BC$5,'Competency Event Log'!$D$4:$D$803)))</f>
        <v/>
      </c>
      <c r="BD13" s="8" t="str">
        <f>IF($B13="","",IF(COUNTIF('Competency Event Log'!$U$4:$U$803,$B13&amp;"|"&amp;BD$5)=0,"",SUMIF('Competency Event Log'!$U$4:$U$803,$B13&amp;"|"&amp;BD$5,'Competency Event Log'!$D$4:$D$803)))</f>
        <v/>
      </c>
      <c r="BE13" s="8" t="str">
        <f>IF($B13="","",IF(COUNTIF('Competency Event Log'!$U$4:$U$803,$B13&amp;"|"&amp;BE$5)=0,"",SUMIF('Competency Event Log'!$U$4:$U$803,$B13&amp;"|"&amp;BE$5,'Competency Event Log'!$D$4:$D$803)))</f>
        <v/>
      </c>
      <c r="BF13" s="8" t="str">
        <f>IF($B13="","",IF(COUNTIF('Competency Event Log'!$U$4:$U$803,$B13&amp;"|"&amp;BF$5)=0,"",SUMIF('Competency Event Log'!$U$4:$U$803,$B13&amp;"|"&amp;BF$5,'Competency Event Log'!$D$4:$D$803)))</f>
        <v/>
      </c>
      <c r="BG13" s="8" t="str">
        <f>IF($B13="","",IF(COUNTIF('Competency Event Log'!$U$4:$U$803,$B13&amp;"|"&amp;BG$5)=0,"",SUMIF('Competency Event Log'!$U$4:$U$803,$B13&amp;"|"&amp;BG$5,'Competency Event Log'!$D$4:$D$803)))</f>
        <v/>
      </c>
      <c r="BH13" s="8" t="str">
        <f>IF($B13="","",IF(COUNTIF('Competency Event Log'!$U$4:$U$803,$B13&amp;"|"&amp;BH$5)=0,"",SUMIF('Competency Event Log'!$U$4:$U$803,$B13&amp;"|"&amp;BH$5,'Competency Event Log'!$D$4:$D$803)))</f>
        <v/>
      </c>
      <c r="BI13" s="8" t="str">
        <f>IF($B13="","",IF(COUNTIF('Competency Event Log'!$U$4:$U$803,$B13&amp;"|"&amp;BI$5)=0,"",SUMIF('Competency Event Log'!$U$4:$U$803,$B13&amp;"|"&amp;BI$5,'Competency Event Log'!$D$4:$D$803)))</f>
        <v/>
      </c>
      <c r="BJ13" s="8" t="str">
        <f>IF($B13="","",IF(COUNTIF('Competency Event Log'!$U$4:$U$803,$B13&amp;"|"&amp;BJ$5)=0,"",SUMIF('Competency Event Log'!$U$4:$U$803,$B13&amp;"|"&amp;BJ$5,'Competency Event Log'!$D$4:$D$803)))</f>
        <v/>
      </c>
      <c r="BK13" s="8" t="str">
        <f>IF($B13="","",IF(COUNTIF('Competency Event Log'!$U$4:$U$803,$B13&amp;"|"&amp;BK$5)=0,"",SUMIF('Competency Event Log'!$U$4:$U$803,$B13&amp;"|"&amp;BK$5,'Competency Event Log'!$D$4:$D$803)))</f>
        <v/>
      </c>
      <c r="BL13" s="8" t="str">
        <f>IF($B13="","",IF(COUNTIF('Competency Event Log'!$U$4:$U$803,$B13&amp;"|"&amp;BL$5)=0,"",SUMIF('Competency Event Log'!$U$4:$U$803,$B13&amp;"|"&amp;BL$5,'Competency Event Log'!$D$4:$D$803)))</f>
        <v/>
      </c>
      <c r="BM13" s="8" t="str">
        <f>IF($B13="","",IF(COUNTIF('Competency Event Log'!$U$4:$U$803,$B13&amp;"|"&amp;BM$5)=0,"",SUMIF('Competency Event Log'!$U$4:$U$803,$B13&amp;"|"&amp;BM$5,'Competency Event Log'!$D$4:$D$803)))</f>
        <v/>
      </c>
      <c r="BN13" s="8" t="str">
        <f>IF($B13="","",IF(COUNTIF('Competency Event Log'!$U$4:$U$803,$B13&amp;"|"&amp;BN$5)=0,"",SUMIF('Competency Event Log'!$U$4:$U$803,$B13&amp;"|"&amp;BN$5,'Competency Event Log'!$D$4:$D$803)))</f>
        <v/>
      </c>
      <c r="BO13" s="8" t="str">
        <f>IF($B13="","",IF(COUNTIF('Competency Event Log'!$U$4:$U$803,$B13&amp;"|"&amp;BO$5)=0,"",SUMIF('Competency Event Log'!$U$4:$U$803,$B13&amp;"|"&amp;BO$5,'Competency Event Log'!$D$4:$D$803)))</f>
        <v/>
      </c>
      <c r="BP13" s="8" t="str">
        <f>IF($B13="","",IF(COUNTIF('Competency Event Log'!$U$4:$U$803,$B13&amp;"|"&amp;BP$5)=0,"",SUMIF('Competency Event Log'!$U$4:$U$803,$B13&amp;"|"&amp;BP$5,'Competency Event Log'!$D$4:$D$803)))</f>
        <v/>
      </c>
      <c r="BQ13" s="8" t="str">
        <f>IF($B13="","",IF(COUNTIF('Competency Event Log'!$U$4:$U$803,$B13&amp;"|"&amp;BQ$5)=0,"",SUMIF('Competency Event Log'!$U$4:$U$803,$B13&amp;"|"&amp;BQ$5,'Competency Event Log'!$D$4:$D$803)))</f>
        <v/>
      </c>
      <c r="BR13" s="8" t="str">
        <f>IF($B13="","",IF(COUNTIF('Competency Event Log'!$U$4:$U$803,$B13&amp;"|"&amp;BR$5)=0,"",SUMIF('Competency Event Log'!$U$4:$U$803,$B13&amp;"|"&amp;BR$5,'Competency Event Log'!$D$4:$D$803)))</f>
        <v/>
      </c>
      <c r="BS13" s="8" t="str">
        <f>IF($B13="","",IF(COUNTIF('Competency Event Log'!$U$4:$U$803,$B13&amp;"|"&amp;BS$5)=0,"",SUMIF('Competency Event Log'!$U$4:$U$803,$B13&amp;"|"&amp;BS$5,'Competency Event Log'!$D$4:$D$803)))</f>
        <v/>
      </c>
      <c r="BT13" s="8" t="str">
        <f>IF($B13="","",IF(COUNTIF('Competency Event Log'!$U$4:$U$803,$B13&amp;"|"&amp;BT$5)=0,"",SUMIF('Competency Event Log'!$U$4:$U$803,$B13&amp;"|"&amp;BT$5,'Competency Event Log'!$D$4:$D$803)))</f>
        <v/>
      </c>
      <c r="BU13" s="8" t="str">
        <f>IF($B13="","",IF(COUNTIF('Competency Event Log'!$U$4:$U$803,$B13&amp;"|"&amp;BU$5)=0,"",SUMIF('Competency Event Log'!$U$4:$U$803,$B13&amp;"|"&amp;BU$5,'Competency Event Log'!$D$4:$D$803)))</f>
        <v/>
      </c>
      <c r="BV13" s="8" t="str">
        <f>IF($B13="","",IF(COUNTIF('Competency Event Log'!$U$4:$U$803,$B13&amp;"|"&amp;BV$5)=0,"",SUMIF('Competency Event Log'!$U$4:$U$803,$B13&amp;"|"&amp;BV$5,'Competency Event Log'!$D$4:$D$803)))</f>
        <v/>
      </c>
      <c r="BW13" s="8" t="str">
        <f>IF($B13="","",IF(COUNTIF('Competency Event Log'!$U$4:$U$803,$B13&amp;"|"&amp;BW$5)=0,"",SUMIF('Competency Event Log'!$U$4:$U$803,$B13&amp;"|"&amp;BW$5,'Competency Event Log'!$D$4:$D$803)))</f>
        <v/>
      </c>
      <c r="BX13" s="8" t="str">
        <f>IF($B13="","",IF(COUNTIF('Competency Event Log'!$U$4:$U$803,$B13&amp;"|"&amp;BX$5)=0,"",SUMIF('Competency Event Log'!$U$4:$U$803,$B13&amp;"|"&amp;BX$5,'Competency Event Log'!$D$4:$D$803)))</f>
        <v/>
      </c>
      <c r="BY13" s="8" t="str">
        <f>IF($B13="","",IF(COUNTIF('Competency Event Log'!$U$4:$U$803,$B13&amp;"|"&amp;BY$5)=0,"",SUMIF('Competency Event Log'!$U$4:$U$803,$B13&amp;"|"&amp;BY$5,'Competency Event Log'!$D$4:$D$803)))</f>
        <v/>
      </c>
      <c r="BZ13" s="8" t="str">
        <f>IF($B13="","",IF(COUNTIF('Competency Event Log'!$U$4:$U$803,$B13&amp;"|"&amp;BZ$5)=0,"",SUMIF('Competency Event Log'!$U$4:$U$803,$B13&amp;"|"&amp;BZ$5,'Competency Event Log'!$D$4:$D$803)))</f>
        <v/>
      </c>
      <c r="CA13" s="8" t="str">
        <f>IF($B13="","",IF(COUNTIF('Competency Event Log'!$U$4:$U$803,$B13&amp;"|"&amp;CA$5)=0,"",SUMIF('Competency Event Log'!$U$4:$U$803,$B13&amp;"|"&amp;CA$5,'Competency Event Log'!$D$4:$D$803)))</f>
        <v/>
      </c>
      <c r="CB13" s="8" t="str">
        <f>IF($B13="","",IF(COUNTIF('Competency Event Log'!$U$4:$U$803,$B13&amp;"|"&amp;CB$5)=0,"",SUMIF('Competency Event Log'!$U$4:$U$803,$B13&amp;"|"&amp;CB$5,'Competency Event Log'!$D$4:$D$803)))</f>
        <v/>
      </c>
      <c r="CC13" s="8" t="str">
        <f>IF($B13="","",IF(COUNTIF('Competency Event Log'!$U$4:$U$803,$B13&amp;"|"&amp;CC$5)=0,"",SUMIF('Competency Event Log'!$U$4:$U$803,$B13&amp;"|"&amp;CC$5,'Competency Event Log'!$D$4:$D$803)))</f>
        <v/>
      </c>
      <c r="CD13" s="8" t="str">
        <f>IF($B13="","",IF(COUNTIF('Competency Event Log'!$U$4:$U$803,$B13&amp;"|"&amp;CD$5)=0,"",SUMIF('Competency Event Log'!$U$4:$U$803,$B13&amp;"|"&amp;CD$5,'Competency Event Log'!$D$4:$D$803)))</f>
        <v/>
      </c>
      <c r="CE13" s="8" t="str">
        <f>IF($B13="","",IF(COUNTIF('Competency Event Log'!$U$4:$U$803,$B13&amp;"|"&amp;CE$5)=0,"",SUMIF('Competency Event Log'!$U$4:$U$803,$B13&amp;"|"&amp;CE$5,'Competency Event Log'!$D$4:$D$803)))</f>
        <v/>
      </c>
      <c r="CF13" s="8" t="str">
        <f>IF($B13="","",IF(COUNTIF('Competency Event Log'!$U$4:$U$803,$B13&amp;"|"&amp;CF$5)=0,"",SUMIF('Competency Event Log'!$U$4:$U$803,$B13&amp;"|"&amp;CF$5,'Competency Event Log'!$D$4:$D$803)))</f>
        <v/>
      </c>
      <c r="CG13" s="8" t="str">
        <f>IF($B13="","",IF(COUNTIF('Competency Event Log'!$U$4:$U$803,$B13&amp;"|"&amp;CG$5)=0,"",SUMIF('Competency Event Log'!$U$4:$U$803,$B13&amp;"|"&amp;CG$5,'Competency Event Log'!$D$4:$D$803)))</f>
        <v/>
      </c>
      <c r="CH13" s="8" t="str">
        <f>IF($B13="","",IF(COUNTIF('Competency Event Log'!$U$4:$U$803,$B13&amp;"|"&amp;CH$5)=0,"",SUMIF('Competency Event Log'!$U$4:$U$803,$B13&amp;"|"&amp;CH$5,'Competency Event Log'!$D$4:$D$803)))</f>
        <v/>
      </c>
      <c r="CI13" s="8" t="str">
        <f>IF($B13="","",IF(COUNTIF('Competency Event Log'!$U$4:$U$803,$B13&amp;"|"&amp;CI$5)=0,"",SUMIF('Competency Event Log'!$U$4:$U$803,$B13&amp;"|"&amp;CI$5,'Competency Event Log'!$D$4:$D$803)))</f>
        <v/>
      </c>
      <c r="CJ13" s="8" t="str">
        <f>IF($B13="","",IF(COUNTIF('Competency Event Log'!$U$4:$U$803,$B13&amp;"|"&amp;CJ$5)=0,"",SUMIF('Competency Event Log'!$U$4:$U$803,$B13&amp;"|"&amp;CJ$5,'Competency Event Log'!$D$4:$D$803)))</f>
        <v/>
      </c>
      <c r="CK13" s="8" t="str">
        <f>IF($B13="","",IF(COUNTIF('Competency Event Log'!$U$4:$U$803,$B13&amp;"|"&amp;CK$5)=0,"",SUMIF('Competency Event Log'!$U$4:$U$803,$B13&amp;"|"&amp;CK$5,'Competency Event Log'!$D$4:$D$803)))</f>
        <v/>
      </c>
      <c r="CL13" s="8" t="str">
        <f>IF($B13="","",IF(COUNTIF('Competency Event Log'!$U$4:$U$803,$B13&amp;"|"&amp;CL$5)=0,"",SUMIF('Competency Event Log'!$U$4:$U$803,$B13&amp;"|"&amp;CL$5,'Competency Event Log'!$D$4:$D$803)))</f>
        <v/>
      </c>
      <c r="CM13" s="8" t="str">
        <f>IF($B13="","",IF(COUNTIF('Competency Event Log'!$U$4:$U$803,$B13&amp;"|"&amp;CM$5)=0,"",SUMIF('Competency Event Log'!$U$4:$U$803,$B13&amp;"|"&amp;CM$5,'Competency Event Log'!$D$4:$D$803)))</f>
        <v/>
      </c>
      <c r="CN13" s="8" t="str">
        <f>IF($B13="","",IF(COUNTIF('Competency Event Log'!$U$4:$U$803,$B13&amp;"|"&amp;CN$5)=0,"",SUMIF('Competency Event Log'!$U$4:$U$803,$B13&amp;"|"&amp;CN$5,'Competency Event Log'!$D$4:$D$803)))</f>
        <v/>
      </c>
      <c r="CO13" s="8" t="str">
        <f>IF($B13="","",IF(COUNTIF('Competency Event Log'!$U$4:$U$803,$B13&amp;"|"&amp;CO$5)=0,"",SUMIF('Competency Event Log'!$U$4:$U$803,$B13&amp;"|"&amp;CO$5,'Competency Event Log'!$D$4:$D$803)))</f>
        <v/>
      </c>
      <c r="CP13" s="8" t="str">
        <f>IF($B13="","",IF(COUNTIF('Competency Event Log'!$U$4:$U$803,$B13&amp;"|"&amp;CP$5)=0,"",SUMIF('Competency Event Log'!$U$4:$U$803,$B13&amp;"|"&amp;CP$5,'Competency Event Log'!$D$4:$D$803)))</f>
        <v/>
      </c>
      <c r="CQ13" s="8" t="str">
        <f>IF($B13="","",IF(COUNTIF('Competency Event Log'!$U$4:$U$803,$B13&amp;"|"&amp;CQ$5)=0,"",SUMIF('Competency Event Log'!$U$4:$U$803,$B13&amp;"|"&amp;CQ$5,'Competency Event Log'!$D$4:$D$803)))</f>
        <v/>
      </c>
      <c r="CR13" s="8" t="str">
        <f>IF($B13="","",IF(COUNTIF('Competency Event Log'!$U$4:$U$803,$B13&amp;"|"&amp;CR$5)=0,"",SUMIF('Competency Event Log'!$U$4:$U$803,$B13&amp;"|"&amp;CR$5,'Competency Event Log'!$D$4:$D$803)))</f>
        <v/>
      </c>
      <c r="CS13" s="8" t="str">
        <f>IF($B13="","",IF(COUNTIF('Competency Event Log'!$U$4:$U$803,$B13&amp;"|"&amp;CS$5)=0,"",SUMIF('Competency Event Log'!$U$4:$U$803,$B13&amp;"|"&amp;CS$5,'Competency Event Log'!$D$4:$D$803)))</f>
        <v/>
      </c>
      <c r="CT13" s="8" t="str">
        <f>IF($B13="","",IF(COUNTIF('Competency Event Log'!$U$4:$U$803,$B13&amp;"|"&amp;CT$5)=0,"",SUMIF('Competency Event Log'!$U$4:$U$803,$B13&amp;"|"&amp;CT$5,'Competency Event Log'!$D$4:$D$803)))</f>
        <v/>
      </c>
      <c r="CU13" s="8" t="str">
        <f>IF($B13="","",IF(COUNTIF('Competency Event Log'!$U$4:$U$803,$B13&amp;"|"&amp;CU$5)=0,"",SUMIF('Competency Event Log'!$U$4:$U$803,$B13&amp;"|"&amp;CU$5,'Competency Event Log'!$D$4:$D$803)))</f>
        <v/>
      </c>
      <c r="CV13" s="8" t="str">
        <f>IF($B13="","",IF(COUNTIF('Competency Event Log'!$U$4:$U$803,$B13&amp;"|"&amp;CV$5)=0,"",SUMIF('Competency Event Log'!$U$4:$U$803,$B13&amp;"|"&amp;CV$5,'Competency Event Log'!$D$4:$D$803)))</f>
        <v/>
      </c>
      <c r="CW13" s="8" t="str">
        <f>IF($B13="","",IF(COUNTIF('Competency Event Log'!$U$4:$U$803,$B13&amp;"|"&amp;CW$5)=0,"",SUMIF('Competency Event Log'!$U$4:$U$803,$B13&amp;"|"&amp;CW$5,'Competency Event Log'!$D$4:$D$803)))</f>
        <v/>
      </c>
      <c r="CX13" s="8" t="str">
        <f>IF($B13="","",IF(COUNTIF('Competency Event Log'!$U$4:$U$803,$B13&amp;"|"&amp;CX$5)=0,"",SUMIF('Competency Event Log'!$U$4:$U$803,$B13&amp;"|"&amp;CX$5,'Competency Event Log'!$D$4:$D$803)))</f>
        <v/>
      </c>
      <c r="CY13" s="8" t="str">
        <f>IF($B13="","",IF(COUNTIF('Competency Event Log'!$U$4:$U$803,$B13&amp;"|"&amp;CY$5)=0,"",SUMIF('Competency Event Log'!$U$4:$U$803,$B13&amp;"|"&amp;CY$5,'Competency Event Log'!$D$4:$D$803)))</f>
        <v/>
      </c>
      <c r="CZ13" s="8" t="str">
        <f>IF($B13="","",IF(COUNTIF('Competency Event Log'!$U$4:$U$803,$B13&amp;"|"&amp;CZ$5)=0,"",SUMIF('Competency Event Log'!$U$4:$U$803,$B13&amp;"|"&amp;CZ$5,'Competency Event Log'!$D$4:$D$803)))</f>
        <v/>
      </c>
      <c r="DA13" s="8" t="str">
        <f>IF($B13="","",IF(COUNTIF('Competency Event Log'!$U$4:$U$803,$B13&amp;"|"&amp;DA$5)=0,"",SUMIF('Competency Event Log'!$U$4:$U$803,$B13&amp;"|"&amp;DA$5,'Competency Event Log'!$D$4:$D$803)))</f>
        <v/>
      </c>
      <c r="DB13" s="8" t="str">
        <f>IF($B13="","",IF(COUNTIF('Competency Event Log'!$U$4:$U$803,$B13&amp;"|"&amp;DB$5)=0,"",SUMIF('Competency Event Log'!$U$4:$U$803,$B13&amp;"|"&amp;DB$5,'Competency Event Log'!$D$4:$D$803)))</f>
        <v/>
      </c>
      <c r="DC13" s="8" t="str">
        <f>IF($B13="","",IF(COUNTIF('Competency Event Log'!$U$4:$U$803,$B13&amp;"|"&amp;DC$5)=0,"",SUMIF('Competency Event Log'!$U$4:$U$803,$B13&amp;"|"&amp;DC$5,'Competency Event Log'!$D$4:$D$803)))</f>
        <v/>
      </c>
      <c r="DD13" s="8" t="str">
        <f>IF($B13="","",IF(COUNTIF('Competency Event Log'!$U$4:$U$803,$B13&amp;"|"&amp;DD$5)=0,"",SUMIF('Competency Event Log'!$U$4:$U$803,$B13&amp;"|"&amp;DD$5,'Competency Event Log'!$D$4:$D$803)))</f>
        <v/>
      </c>
      <c r="DE13" s="8" t="str">
        <f>IF($B13="","",IF(COUNTIF('Competency Event Log'!$U$4:$U$803,$B13&amp;"|"&amp;DE$5)=0,"",SUMIF('Competency Event Log'!$U$4:$U$803,$B13&amp;"|"&amp;DE$5,'Competency Event Log'!$D$4:$D$803)))</f>
        <v/>
      </c>
      <c r="DF13" s="8">
        <f t="shared" si="0"/>
        <v>13</v>
      </c>
      <c r="DG13" s="8">
        <f t="shared" si="1"/>
        <v>6</v>
      </c>
      <c r="DH13" s="8">
        <f t="shared" si="2"/>
        <v>1</v>
      </c>
      <c r="DI13" s="11">
        <f t="shared" si="3"/>
        <v>0.42857142857142855</v>
      </c>
    </row>
    <row r="14" spans="1:113">
      <c r="A14" s="7" t="s">
        <v>305</v>
      </c>
      <c r="B14" s="7" t="s">
        <v>63</v>
      </c>
      <c r="C14" s="8">
        <v>3</v>
      </c>
      <c r="D14" s="9" t="s">
        <v>622</v>
      </c>
      <c r="E14" s="10">
        <v>43631</v>
      </c>
      <c r="F14" s="8" t="s">
        <v>577</v>
      </c>
      <c r="G14" s="8" t="str">
        <f>IF($B14="","",IF(COUNTIF('Competency Event Log'!$U$4:$U$803,$B14&amp;"|"&amp;G$5)=0,"",SUMIF('Competency Event Log'!$U$4:$U$803,$B14&amp;"|"&amp;G$5,'Competency Event Log'!$D$4:$D$803)))</f>
        <v/>
      </c>
      <c r="H14" s="8" t="str">
        <f>IF($B14="","",IF(COUNTIF('Competency Event Log'!$U$4:$U$803,$B14&amp;"|"&amp;H$5)=0,"",SUMIF('Competency Event Log'!$U$4:$U$803,$B14&amp;"|"&amp;H$5,'Competency Event Log'!$D$4:$D$803)))</f>
        <v/>
      </c>
      <c r="I14" s="8" t="str">
        <f>IF($B14="","",IF(COUNTIF('Competency Event Log'!$U$4:$U$803,$B14&amp;"|"&amp;I$5)=0,"",SUMIF('Competency Event Log'!$U$4:$U$803,$B14&amp;"|"&amp;I$5,'Competency Event Log'!$D$4:$D$803)))</f>
        <v/>
      </c>
      <c r="J14" s="8" t="str">
        <f>IF($B14="","",IF(COUNTIF('Competency Event Log'!$U$4:$U$803,$B14&amp;"|"&amp;J$5)=0,"",SUMIF('Competency Event Log'!$U$4:$U$803,$B14&amp;"|"&amp;J$5,'Competency Event Log'!$D$4:$D$803)))</f>
        <v/>
      </c>
      <c r="K14" s="8" t="str">
        <f>IF($B14="","",IF(COUNTIF('Competency Event Log'!$U$4:$U$803,$B14&amp;"|"&amp;K$5)=0,"",SUMIF('Competency Event Log'!$U$4:$U$803,$B14&amp;"|"&amp;K$5,'Competency Event Log'!$D$4:$D$803)))</f>
        <v/>
      </c>
      <c r="L14" s="8" t="str">
        <f>IF($B14="","",IF(COUNTIF('Competency Event Log'!$U$4:$U$803,$B14&amp;"|"&amp;L$5)=0,"",SUMIF('Competency Event Log'!$U$4:$U$803,$B14&amp;"|"&amp;L$5,'Competency Event Log'!$D$4:$D$803)))</f>
        <v/>
      </c>
      <c r="M14" s="8" t="str">
        <f>IF($B14="","",IF(COUNTIF('Competency Event Log'!$U$4:$U$803,$B14&amp;"|"&amp;M$5)=0,"",SUMIF('Competency Event Log'!$U$4:$U$803,$B14&amp;"|"&amp;M$5,'Competency Event Log'!$D$4:$D$803)))</f>
        <v/>
      </c>
      <c r="N14" s="8" t="str">
        <f>IF($B14="","",IF(COUNTIF('Competency Event Log'!$U$4:$U$803,$B14&amp;"|"&amp;N$5)=0,"",SUMIF('Competency Event Log'!$U$4:$U$803,$B14&amp;"|"&amp;N$5,'Competency Event Log'!$D$4:$D$803)))</f>
        <v/>
      </c>
      <c r="O14" s="8" t="str">
        <f>IF($B14="","",IF(COUNTIF('Competency Event Log'!$U$4:$U$803,$B14&amp;"|"&amp;O$5)=0,"",SUMIF('Competency Event Log'!$U$4:$U$803,$B14&amp;"|"&amp;O$5,'Competency Event Log'!$D$4:$D$803)))</f>
        <v/>
      </c>
      <c r="P14" s="8" t="str">
        <f>IF($B14="","",IF(COUNTIF('Competency Event Log'!$U$4:$U$803,$B14&amp;"|"&amp;P$5)=0,"",SUMIF('Competency Event Log'!$U$4:$U$803,$B14&amp;"|"&amp;P$5,'Competency Event Log'!$D$4:$D$803)))</f>
        <v/>
      </c>
      <c r="Q14" s="8" t="str">
        <f>IF($B14="","",IF(COUNTIF('Competency Event Log'!$U$4:$U$803,$B14&amp;"|"&amp;Q$5)=0,"",SUMIF('Competency Event Log'!$U$4:$U$803,$B14&amp;"|"&amp;Q$5,'Competency Event Log'!$D$4:$D$803)))</f>
        <v/>
      </c>
      <c r="R14" s="8" t="str">
        <f>IF($B14="","",IF(COUNTIF('Competency Event Log'!$U$4:$U$803,$B14&amp;"|"&amp;R$5)=0,"",SUMIF('Competency Event Log'!$U$4:$U$803,$B14&amp;"|"&amp;R$5,'Competency Event Log'!$D$4:$D$803)))</f>
        <v/>
      </c>
      <c r="S14" s="8" t="str">
        <f>IF($B14="","",IF(COUNTIF('Competency Event Log'!$U$4:$U$803,$B14&amp;"|"&amp;S$5)=0,"",SUMIF('Competency Event Log'!$U$4:$U$803,$B14&amp;"|"&amp;S$5,'Competency Event Log'!$D$4:$D$803)))</f>
        <v/>
      </c>
      <c r="T14" s="8" t="str">
        <f>IF($B14="","",IF(COUNTIF('Competency Event Log'!$U$4:$U$803,$B14&amp;"|"&amp;T$5)=0,"",SUMIF('Competency Event Log'!$U$4:$U$803,$B14&amp;"|"&amp;T$5,'Competency Event Log'!$D$4:$D$803)))</f>
        <v/>
      </c>
      <c r="U14" s="8" t="str">
        <f>IF($B14="","",IF(COUNTIF('Competency Event Log'!$U$4:$U$803,$B14&amp;"|"&amp;U$5)=0,"",SUMIF('Competency Event Log'!$U$4:$U$803,$B14&amp;"|"&amp;U$5,'Competency Event Log'!$D$4:$D$803)))</f>
        <v/>
      </c>
      <c r="V14" s="8" t="str">
        <f>IF($B14="","",IF(COUNTIF('Competency Event Log'!$U$4:$U$803,$B14&amp;"|"&amp;V$5)=0,"",SUMIF('Competency Event Log'!$U$4:$U$803,$B14&amp;"|"&amp;V$5,'Competency Event Log'!$D$4:$D$803)))</f>
        <v/>
      </c>
      <c r="W14" s="8" t="str">
        <f>IF($B14="","",IF(COUNTIF('Competency Event Log'!$U$4:$U$803,$B14&amp;"|"&amp;W$5)=0,"",SUMIF('Competency Event Log'!$U$4:$U$803,$B14&amp;"|"&amp;W$5,'Competency Event Log'!$D$4:$D$803)))</f>
        <v/>
      </c>
      <c r="X14" s="8" t="str">
        <f>IF($B14="","",IF(COUNTIF('Competency Event Log'!$U$4:$U$803,$B14&amp;"|"&amp;X$5)=0,"",SUMIF('Competency Event Log'!$U$4:$U$803,$B14&amp;"|"&amp;X$5,'Competency Event Log'!$D$4:$D$803)))</f>
        <v/>
      </c>
      <c r="Y14" s="8" t="str">
        <f>IF($B14="","",IF(COUNTIF('Competency Event Log'!$U$4:$U$803,$B14&amp;"|"&amp;Y$5)=0,"",SUMIF('Competency Event Log'!$U$4:$U$803,$B14&amp;"|"&amp;Y$5,'Competency Event Log'!$D$4:$D$803)))</f>
        <v/>
      </c>
      <c r="Z14" s="8">
        <f>IF($B14="","",IF(COUNTIF('Competency Event Log'!$U$4:$U$803,$B14&amp;"|"&amp;Z$5)=0,"",SUMIF('Competency Event Log'!$U$4:$U$803,$B14&amp;"|"&amp;Z$5,'Competency Event Log'!$D$4:$D$803)))</f>
        <v>3</v>
      </c>
      <c r="AA14" s="8">
        <f>IF($B14="","",IF(COUNTIF('Competency Event Log'!$U$4:$U$803,$B14&amp;"|"&amp;AA$5)=0,"",SUMIF('Competency Event Log'!$U$4:$U$803,$B14&amp;"|"&amp;AA$5,'Competency Event Log'!$D$4:$D$803)))</f>
        <v>2</v>
      </c>
      <c r="AB14" s="8">
        <f>IF($B14="","",IF(COUNTIF('Competency Event Log'!$U$4:$U$803,$B14&amp;"|"&amp;AB$5)=0,"",SUMIF('Competency Event Log'!$U$4:$U$803,$B14&amp;"|"&amp;AB$5,'Competency Event Log'!$D$4:$D$803)))</f>
        <v>3</v>
      </c>
      <c r="AC14" s="8" t="str">
        <f>IF($B14="","",IF(COUNTIF('Competency Event Log'!$U$4:$U$803,$B14&amp;"|"&amp;AC$5)=0,"",SUMIF('Competency Event Log'!$U$4:$U$803,$B14&amp;"|"&amp;AC$5,'Competency Event Log'!$D$4:$D$803)))</f>
        <v/>
      </c>
      <c r="AD14" s="8" t="str">
        <f>IF($B14="","",IF(COUNTIF('Competency Event Log'!$U$4:$U$803,$B14&amp;"|"&amp;AD$5)=0,"",SUMIF('Competency Event Log'!$U$4:$U$803,$B14&amp;"|"&amp;AD$5,'Competency Event Log'!$D$4:$D$803)))</f>
        <v/>
      </c>
      <c r="AE14" s="8" t="str">
        <f>IF($B14="","",IF(COUNTIF('Competency Event Log'!$U$4:$U$803,$B14&amp;"|"&amp;AE$5)=0,"",SUMIF('Competency Event Log'!$U$4:$U$803,$B14&amp;"|"&amp;AE$5,'Competency Event Log'!$D$4:$D$803)))</f>
        <v/>
      </c>
      <c r="AF14" s="8" t="str">
        <f>IF($B14="","",IF(COUNTIF('Competency Event Log'!$U$4:$U$803,$B14&amp;"|"&amp;AF$5)=0,"",SUMIF('Competency Event Log'!$U$4:$U$803,$B14&amp;"|"&amp;AF$5,'Competency Event Log'!$D$4:$D$803)))</f>
        <v/>
      </c>
      <c r="AG14" s="8" t="str">
        <f>IF($B14="","",IF(COUNTIF('Competency Event Log'!$U$4:$U$803,$B14&amp;"|"&amp;AG$5)=0,"",SUMIF('Competency Event Log'!$U$4:$U$803,$B14&amp;"|"&amp;AG$5,'Competency Event Log'!$D$4:$D$803)))</f>
        <v/>
      </c>
      <c r="AH14" s="8" t="str">
        <f>IF($B14="","",IF(COUNTIF('Competency Event Log'!$U$4:$U$803,$B14&amp;"|"&amp;AH$5)=0,"",SUMIF('Competency Event Log'!$U$4:$U$803,$B14&amp;"|"&amp;AH$5,'Competency Event Log'!$D$4:$D$803)))</f>
        <v/>
      </c>
      <c r="AI14" s="8">
        <f>IF($B14="","",IF(COUNTIF('Competency Event Log'!$U$4:$U$803,$B14&amp;"|"&amp;AI$5)=0,"",SUMIF('Competency Event Log'!$U$4:$U$803,$B14&amp;"|"&amp;AI$5,'Competency Event Log'!$D$4:$D$803)))</f>
        <v>3</v>
      </c>
      <c r="AJ14" s="8">
        <f>IF($B14="","",IF(COUNTIF('Competency Event Log'!$U$4:$U$803,$B14&amp;"|"&amp;AJ$5)=0,"",SUMIF('Competency Event Log'!$U$4:$U$803,$B14&amp;"|"&amp;AJ$5,'Competency Event Log'!$D$4:$D$803)))</f>
        <v>3</v>
      </c>
      <c r="AK14" s="8" t="str">
        <f>IF($B14="","",IF(COUNTIF('Competency Event Log'!$U$4:$U$803,$B14&amp;"|"&amp;AK$5)=0,"",SUMIF('Competency Event Log'!$U$4:$U$803,$B14&amp;"|"&amp;AK$5,'Competency Event Log'!$D$4:$D$803)))</f>
        <v/>
      </c>
      <c r="AL14" s="8" t="str">
        <f>IF($B14="","",IF(COUNTIF('Competency Event Log'!$U$4:$U$803,$B14&amp;"|"&amp;AL$5)=0,"",SUMIF('Competency Event Log'!$U$4:$U$803,$B14&amp;"|"&amp;AL$5,'Competency Event Log'!$D$4:$D$803)))</f>
        <v/>
      </c>
      <c r="AM14" s="8" t="str">
        <f>IF($B14="","",IF(COUNTIF('Competency Event Log'!$U$4:$U$803,$B14&amp;"|"&amp;AM$5)=0,"",SUMIF('Competency Event Log'!$U$4:$U$803,$B14&amp;"|"&amp;AM$5,'Competency Event Log'!$D$4:$D$803)))</f>
        <v/>
      </c>
      <c r="AN14" s="8" t="str">
        <f>IF($B14="","",IF(COUNTIF('Competency Event Log'!$U$4:$U$803,$B14&amp;"|"&amp;AN$5)=0,"",SUMIF('Competency Event Log'!$U$4:$U$803,$B14&amp;"|"&amp;AN$5,'Competency Event Log'!$D$4:$D$803)))</f>
        <v/>
      </c>
      <c r="AO14" s="8" t="str">
        <f>IF($B14="","",IF(COUNTIF('Competency Event Log'!$U$4:$U$803,$B14&amp;"|"&amp;AO$5)=0,"",SUMIF('Competency Event Log'!$U$4:$U$803,$B14&amp;"|"&amp;AO$5,'Competency Event Log'!$D$4:$D$803)))</f>
        <v/>
      </c>
      <c r="AP14" s="8" t="str">
        <f>IF($B14="","",IF(COUNTIF('Competency Event Log'!$U$4:$U$803,$B14&amp;"|"&amp;AP$5)=0,"",SUMIF('Competency Event Log'!$U$4:$U$803,$B14&amp;"|"&amp;AP$5,'Competency Event Log'!$D$4:$D$803)))</f>
        <v/>
      </c>
      <c r="AQ14" s="8" t="str">
        <f>IF($B14="","",IF(COUNTIF('Competency Event Log'!$U$4:$U$803,$B14&amp;"|"&amp;AQ$5)=0,"",SUMIF('Competency Event Log'!$U$4:$U$803,$B14&amp;"|"&amp;AQ$5,'Competency Event Log'!$D$4:$D$803)))</f>
        <v/>
      </c>
      <c r="AR14" s="8" t="str">
        <f>IF($B14="","",IF(COUNTIF('Competency Event Log'!$U$4:$U$803,$B14&amp;"|"&amp;AR$5)=0,"",SUMIF('Competency Event Log'!$U$4:$U$803,$B14&amp;"|"&amp;AR$5,'Competency Event Log'!$D$4:$D$803)))</f>
        <v/>
      </c>
      <c r="AS14" s="8" t="str">
        <f>IF($B14="","",IF(COUNTIF('Competency Event Log'!$U$4:$U$803,$B14&amp;"|"&amp;AS$5)=0,"",SUMIF('Competency Event Log'!$U$4:$U$803,$B14&amp;"|"&amp;AS$5,'Competency Event Log'!$D$4:$D$803)))</f>
        <v/>
      </c>
      <c r="AT14" s="8" t="str">
        <f>IF($B14="","",IF(COUNTIF('Competency Event Log'!$U$4:$U$803,$B14&amp;"|"&amp;AT$5)=0,"",SUMIF('Competency Event Log'!$U$4:$U$803,$B14&amp;"|"&amp;AT$5,'Competency Event Log'!$D$4:$D$803)))</f>
        <v/>
      </c>
      <c r="AU14" s="8" t="str">
        <f>IF($B14="","",IF(COUNTIF('Competency Event Log'!$U$4:$U$803,$B14&amp;"|"&amp;AU$5)=0,"",SUMIF('Competency Event Log'!$U$4:$U$803,$B14&amp;"|"&amp;AU$5,'Competency Event Log'!$D$4:$D$803)))</f>
        <v/>
      </c>
      <c r="AV14" s="8" t="str">
        <f>IF($B14="","",IF(COUNTIF('Competency Event Log'!$U$4:$U$803,$B14&amp;"|"&amp;AV$5)=0,"",SUMIF('Competency Event Log'!$U$4:$U$803,$B14&amp;"|"&amp;AV$5,'Competency Event Log'!$D$4:$D$803)))</f>
        <v/>
      </c>
      <c r="AW14" s="8" t="str">
        <f>IF($B14="","",IF(COUNTIF('Competency Event Log'!$U$4:$U$803,$B14&amp;"|"&amp;AW$5)=0,"",SUMIF('Competency Event Log'!$U$4:$U$803,$B14&amp;"|"&amp;AW$5,'Competency Event Log'!$D$4:$D$803)))</f>
        <v/>
      </c>
      <c r="AX14" s="8" t="str">
        <f>IF($B14="","",IF(COUNTIF('Competency Event Log'!$U$4:$U$803,$B14&amp;"|"&amp;AX$5)=0,"",SUMIF('Competency Event Log'!$U$4:$U$803,$B14&amp;"|"&amp;AX$5,'Competency Event Log'!$D$4:$D$803)))</f>
        <v/>
      </c>
      <c r="AY14" s="8" t="str">
        <f>IF($B14="","",IF(COUNTIF('Competency Event Log'!$U$4:$U$803,$B14&amp;"|"&amp;AY$5)=0,"",SUMIF('Competency Event Log'!$U$4:$U$803,$B14&amp;"|"&amp;AY$5,'Competency Event Log'!$D$4:$D$803)))</f>
        <v/>
      </c>
      <c r="AZ14" s="8" t="str">
        <f>IF($B14="","",IF(COUNTIF('Competency Event Log'!$U$4:$U$803,$B14&amp;"|"&amp;AZ$5)=0,"",SUMIF('Competency Event Log'!$U$4:$U$803,$B14&amp;"|"&amp;AZ$5,'Competency Event Log'!$D$4:$D$803)))</f>
        <v/>
      </c>
      <c r="BA14" s="8" t="str">
        <f>IF($B14="","",IF(COUNTIF('Competency Event Log'!$U$4:$U$803,$B14&amp;"|"&amp;BA$5)=0,"",SUMIF('Competency Event Log'!$U$4:$U$803,$B14&amp;"|"&amp;BA$5,'Competency Event Log'!$D$4:$D$803)))</f>
        <v/>
      </c>
      <c r="BB14" s="8" t="str">
        <f>IF($B14="","",IF(COUNTIF('Competency Event Log'!$U$4:$U$803,$B14&amp;"|"&amp;BB$5)=0,"",SUMIF('Competency Event Log'!$U$4:$U$803,$B14&amp;"|"&amp;BB$5,'Competency Event Log'!$D$4:$D$803)))</f>
        <v/>
      </c>
      <c r="BC14" s="8" t="str">
        <f>IF($B14="","",IF(COUNTIF('Competency Event Log'!$U$4:$U$803,$B14&amp;"|"&amp;BC$5)=0,"",SUMIF('Competency Event Log'!$U$4:$U$803,$B14&amp;"|"&amp;BC$5,'Competency Event Log'!$D$4:$D$803)))</f>
        <v/>
      </c>
      <c r="BD14" s="8" t="str">
        <f>IF($B14="","",IF(COUNTIF('Competency Event Log'!$U$4:$U$803,$B14&amp;"|"&amp;BD$5)=0,"",SUMIF('Competency Event Log'!$U$4:$U$803,$B14&amp;"|"&amp;BD$5,'Competency Event Log'!$D$4:$D$803)))</f>
        <v/>
      </c>
      <c r="BE14" s="8" t="str">
        <f>IF($B14="","",IF(COUNTIF('Competency Event Log'!$U$4:$U$803,$B14&amp;"|"&amp;BE$5)=0,"",SUMIF('Competency Event Log'!$U$4:$U$803,$B14&amp;"|"&amp;BE$5,'Competency Event Log'!$D$4:$D$803)))</f>
        <v/>
      </c>
      <c r="BF14" s="8">
        <f>IF($B14="","",IF(COUNTIF('Competency Event Log'!$U$4:$U$803,$B14&amp;"|"&amp;BF$5)=0,"",SUMIF('Competency Event Log'!$U$4:$U$803,$B14&amp;"|"&amp;BF$5,'Competency Event Log'!$D$4:$D$803)))</f>
        <v>1</v>
      </c>
      <c r="BG14" s="8" t="str">
        <f>IF($B14="","",IF(COUNTIF('Competency Event Log'!$U$4:$U$803,$B14&amp;"|"&amp;BG$5)=0,"",SUMIF('Competency Event Log'!$U$4:$U$803,$B14&amp;"|"&amp;BG$5,'Competency Event Log'!$D$4:$D$803)))</f>
        <v/>
      </c>
      <c r="BH14" s="8" t="str">
        <f>IF($B14="","",IF(COUNTIF('Competency Event Log'!$U$4:$U$803,$B14&amp;"|"&amp;BH$5)=0,"",SUMIF('Competency Event Log'!$U$4:$U$803,$B14&amp;"|"&amp;BH$5,'Competency Event Log'!$D$4:$D$803)))</f>
        <v/>
      </c>
      <c r="BI14" s="8" t="str">
        <f>IF($B14="","",IF(COUNTIF('Competency Event Log'!$U$4:$U$803,$B14&amp;"|"&amp;BI$5)=0,"",SUMIF('Competency Event Log'!$U$4:$U$803,$B14&amp;"|"&amp;BI$5,'Competency Event Log'!$D$4:$D$803)))</f>
        <v/>
      </c>
      <c r="BJ14" s="8" t="str">
        <f>IF($B14="","",IF(COUNTIF('Competency Event Log'!$U$4:$U$803,$B14&amp;"|"&amp;BJ$5)=0,"",SUMIF('Competency Event Log'!$U$4:$U$803,$B14&amp;"|"&amp;BJ$5,'Competency Event Log'!$D$4:$D$803)))</f>
        <v/>
      </c>
      <c r="BK14" s="8" t="str">
        <f>IF($B14="","",IF(COUNTIF('Competency Event Log'!$U$4:$U$803,$B14&amp;"|"&amp;BK$5)=0,"",SUMIF('Competency Event Log'!$U$4:$U$803,$B14&amp;"|"&amp;BK$5,'Competency Event Log'!$D$4:$D$803)))</f>
        <v/>
      </c>
      <c r="BL14" s="8" t="str">
        <f>IF($B14="","",IF(COUNTIF('Competency Event Log'!$U$4:$U$803,$B14&amp;"|"&amp;BL$5)=0,"",SUMIF('Competency Event Log'!$U$4:$U$803,$B14&amp;"|"&amp;BL$5,'Competency Event Log'!$D$4:$D$803)))</f>
        <v/>
      </c>
      <c r="BM14" s="8" t="str">
        <f>IF($B14="","",IF(COUNTIF('Competency Event Log'!$U$4:$U$803,$B14&amp;"|"&amp;BM$5)=0,"",SUMIF('Competency Event Log'!$U$4:$U$803,$B14&amp;"|"&amp;BM$5,'Competency Event Log'!$D$4:$D$803)))</f>
        <v/>
      </c>
      <c r="BN14" s="8" t="str">
        <f>IF($B14="","",IF(COUNTIF('Competency Event Log'!$U$4:$U$803,$B14&amp;"|"&amp;BN$5)=0,"",SUMIF('Competency Event Log'!$U$4:$U$803,$B14&amp;"|"&amp;BN$5,'Competency Event Log'!$D$4:$D$803)))</f>
        <v/>
      </c>
      <c r="BO14" s="8" t="str">
        <f>IF($B14="","",IF(COUNTIF('Competency Event Log'!$U$4:$U$803,$B14&amp;"|"&amp;BO$5)=0,"",SUMIF('Competency Event Log'!$U$4:$U$803,$B14&amp;"|"&amp;BO$5,'Competency Event Log'!$D$4:$D$803)))</f>
        <v/>
      </c>
      <c r="BP14" s="8" t="str">
        <f>IF($B14="","",IF(COUNTIF('Competency Event Log'!$U$4:$U$803,$B14&amp;"|"&amp;BP$5)=0,"",SUMIF('Competency Event Log'!$U$4:$U$803,$B14&amp;"|"&amp;BP$5,'Competency Event Log'!$D$4:$D$803)))</f>
        <v/>
      </c>
      <c r="BQ14" s="8" t="str">
        <f>IF($B14="","",IF(COUNTIF('Competency Event Log'!$U$4:$U$803,$B14&amp;"|"&amp;BQ$5)=0,"",SUMIF('Competency Event Log'!$U$4:$U$803,$B14&amp;"|"&amp;BQ$5,'Competency Event Log'!$D$4:$D$803)))</f>
        <v/>
      </c>
      <c r="BR14" s="8" t="str">
        <f>IF($B14="","",IF(COUNTIF('Competency Event Log'!$U$4:$U$803,$B14&amp;"|"&amp;BR$5)=0,"",SUMIF('Competency Event Log'!$U$4:$U$803,$B14&amp;"|"&amp;BR$5,'Competency Event Log'!$D$4:$D$803)))</f>
        <v/>
      </c>
      <c r="BS14" s="8" t="str">
        <f>IF($B14="","",IF(COUNTIF('Competency Event Log'!$U$4:$U$803,$B14&amp;"|"&amp;BS$5)=0,"",SUMIF('Competency Event Log'!$U$4:$U$803,$B14&amp;"|"&amp;BS$5,'Competency Event Log'!$D$4:$D$803)))</f>
        <v/>
      </c>
      <c r="BT14" s="8" t="str">
        <f>IF($B14="","",IF(COUNTIF('Competency Event Log'!$U$4:$U$803,$B14&amp;"|"&amp;BT$5)=0,"",SUMIF('Competency Event Log'!$U$4:$U$803,$B14&amp;"|"&amp;BT$5,'Competency Event Log'!$D$4:$D$803)))</f>
        <v/>
      </c>
      <c r="BU14" s="8" t="str">
        <f>IF($B14="","",IF(COUNTIF('Competency Event Log'!$U$4:$U$803,$B14&amp;"|"&amp;BU$5)=0,"",SUMIF('Competency Event Log'!$U$4:$U$803,$B14&amp;"|"&amp;BU$5,'Competency Event Log'!$D$4:$D$803)))</f>
        <v/>
      </c>
      <c r="BV14" s="8" t="str">
        <f>IF($B14="","",IF(COUNTIF('Competency Event Log'!$U$4:$U$803,$B14&amp;"|"&amp;BV$5)=0,"",SUMIF('Competency Event Log'!$U$4:$U$803,$B14&amp;"|"&amp;BV$5,'Competency Event Log'!$D$4:$D$803)))</f>
        <v/>
      </c>
      <c r="BW14" s="8" t="str">
        <f>IF($B14="","",IF(COUNTIF('Competency Event Log'!$U$4:$U$803,$B14&amp;"|"&amp;BW$5)=0,"",SUMIF('Competency Event Log'!$U$4:$U$803,$B14&amp;"|"&amp;BW$5,'Competency Event Log'!$D$4:$D$803)))</f>
        <v/>
      </c>
      <c r="BX14" s="8" t="str">
        <f>IF($B14="","",IF(COUNTIF('Competency Event Log'!$U$4:$U$803,$B14&amp;"|"&amp;BX$5)=0,"",SUMIF('Competency Event Log'!$U$4:$U$803,$B14&amp;"|"&amp;BX$5,'Competency Event Log'!$D$4:$D$803)))</f>
        <v/>
      </c>
      <c r="BY14" s="8" t="str">
        <f>IF($B14="","",IF(COUNTIF('Competency Event Log'!$U$4:$U$803,$B14&amp;"|"&amp;BY$5)=0,"",SUMIF('Competency Event Log'!$U$4:$U$803,$B14&amp;"|"&amp;BY$5,'Competency Event Log'!$D$4:$D$803)))</f>
        <v/>
      </c>
      <c r="BZ14" s="8" t="str">
        <f>IF($B14="","",IF(COUNTIF('Competency Event Log'!$U$4:$U$803,$B14&amp;"|"&amp;BZ$5)=0,"",SUMIF('Competency Event Log'!$U$4:$U$803,$B14&amp;"|"&amp;BZ$5,'Competency Event Log'!$D$4:$D$803)))</f>
        <v/>
      </c>
      <c r="CA14" s="8" t="str">
        <f>IF($B14="","",IF(COUNTIF('Competency Event Log'!$U$4:$U$803,$B14&amp;"|"&amp;CA$5)=0,"",SUMIF('Competency Event Log'!$U$4:$U$803,$B14&amp;"|"&amp;CA$5,'Competency Event Log'!$D$4:$D$803)))</f>
        <v/>
      </c>
      <c r="CB14" s="8" t="str">
        <f>IF($B14="","",IF(COUNTIF('Competency Event Log'!$U$4:$U$803,$B14&amp;"|"&amp;CB$5)=0,"",SUMIF('Competency Event Log'!$U$4:$U$803,$B14&amp;"|"&amp;CB$5,'Competency Event Log'!$D$4:$D$803)))</f>
        <v/>
      </c>
      <c r="CC14" s="8" t="str">
        <f>IF($B14="","",IF(COUNTIF('Competency Event Log'!$U$4:$U$803,$B14&amp;"|"&amp;CC$5)=0,"",SUMIF('Competency Event Log'!$U$4:$U$803,$B14&amp;"|"&amp;CC$5,'Competency Event Log'!$D$4:$D$803)))</f>
        <v/>
      </c>
      <c r="CD14" s="8" t="str">
        <f>IF($B14="","",IF(COUNTIF('Competency Event Log'!$U$4:$U$803,$B14&amp;"|"&amp;CD$5)=0,"",SUMIF('Competency Event Log'!$U$4:$U$803,$B14&amp;"|"&amp;CD$5,'Competency Event Log'!$D$4:$D$803)))</f>
        <v/>
      </c>
      <c r="CE14" s="8" t="str">
        <f>IF($B14="","",IF(COUNTIF('Competency Event Log'!$U$4:$U$803,$B14&amp;"|"&amp;CE$5)=0,"",SUMIF('Competency Event Log'!$U$4:$U$803,$B14&amp;"|"&amp;CE$5,'Competency Event Log'!$D$4:$D$803)))</f>
        <v/>
      </c>
      <c r="CF14" s="8" t="str">
        <f>IF($B14="","",IF(COUNTIF('Competency Event Log'!$U$4:$U$803,$B14&amp;"|"&amp;CF$5)=0,"",SUMIF('Competency Event Log'!$U$4:$U$803,$B14&amp;"|"&amp;CF$5,'Competency Event Log'!$D$4:$D$803)))</f>
        <v/>
      </c>
      <c r="CG14" s="8" t="str">
        <f>IF($B14="","",IF(COUNTIF('Competency Event Log'!$U$4:$U$803,$B14&amp;"|"&amp;CG$5)=0,"",SUMIF('Competency Event Log'!$U$4:$U$803,$B14&amp;"|"&amp;CG$5,'Competency Event Log'!$D$4:$D$803)))</f>
        <v/>
      </c>
      <c r="CH14" s="8" t="str">
        <f>IF($B14="","",IF(COUNTIF('Competency Event Log'!$U$4:$U$803,$B14&amp;"|"&amp;CH$5)=0,"",SUMIF('Competency Event Log'!$U$4:$U$803,$B14&amp;"|"&amp;CH$5,'Competency Event Log'!$D$4:$D$803)))</f>
        <v/>
      </c>
      <c r="CI14" s="8" t="str">
        <f>IF($B14="","",IF(COUNTIF('Competency Event Log'!$U$4:$U$803,$B14&amp;"|"&amp;CI$5)=0,"",SUMIF('Competency Event Log'!$U$4:$U$803,$B14&amp;"|"&amp;CI$5,'Competency Event Log'!$D$4:$D$803)))</f>
        <v/>
      </c>
      <c r="CJ14" s="8" t="str">
        <f>IF($B14="","",IF(COUNTIF('Competency Event Log'!$U$4:$U$803,$B14&amp;"|"&amp;CJ$5)=0,"",SUMIF('Competency Event Log'!$U$4:$U$803,$B14&amp;"|"&amp;CJ$5,'Competency Event Log'!$D$4:$D$803)))</f>
        <v/>
      </c>
      <c r="CK14" s="8" t="str">
        <f>IF($B14="","",IF(COUNTIF('Competency Event Log'!$U$4:$U$803,$B14&amp;"|"&amp;CK$5)=0,"",SUMIF('Competency Event Log'!$U$4:$U$803,$B14&amp;"|"&amp;CK$5,'Competency Event Log'!$D$4:$D$803)))</f>
        <v/>
      </c>
      <c r="CL14" s="8">
        <f>IF($B14="","",IF(COUNTIF('Competency Event Log'!$U$4:$U$803,$B14&amp;"|"&amp;CL$5)=0,"",SUMIF('Competency Event Log'!$U$4:$U$803,$B14&amp;"|"&amp;CL$5,'Competency Event Log'!$D$4:$D$803)))</f>
        <v>3</v>
      </c>
      <c r="CM14" s="8" t="str">
        <f>IF($B14="","",IF(COUNTIF('Competency Event Log'!$U$4:$U$803,$B14&amp;"|"&amp;CM$5)=0,"",SUMIF('Competency Event Log'!$U$4:$U$803,$B14&amp;"|"&amp;CM$5,'Competency Event Log'!$D$4:$D$803)))</f>
        <v/>
      </c>
      <c r="CN14" s="8" t="str">
        <f>IF($B14="","",IF(COUNTIF('Competency Event Log'!$U$4:$U$803,$B14&amp;"|"&amp;CN$5)=0,"",SUMIF('Competency Event Log'!$U$4:$U$803,$B14&amp;"|"&amp;CN$5,'Competency Event Log'!$D$4:$D$803)))</f>
        <v/>
      </c>
      <c r="CO14" s="8" t="str">
        <f>IF($B14="","",IF(COUNTIF('Competency Event Log'!$U$4:$U$803,$B14&amp;"|"&amp;CO$5)=0,"",SUMIF('Competency Event Log'!$U$4:$U$803,$B14&amp;"|"&amp;CO$5,'Competency Event Log'!$D$4:$D$803)))</f>
        <v/>
      </c>
      <c r="CP14" s="8" t="str">
        <f>IF($B14="","",IF(COUNTIF('Competency Event Log'!$U$4:$U$803,$B14&amp;"|"&amp;CP$5)=0,"",SUMIF('Competency Event Log'!$U$4:$U$803,$B14&amp;"|"&amp;CP$5,'Competency Event Log'!$D$4:$D$803)))</f>
        <v/>
      </c>
      <c r="CQ14" s="8" t="str">
        <f>IF($B14="","",IF(COUNTIF('Competency Event Log'!$U$4:$U$803,$B14&amp;"|"&amp;CQ$5)=0,"",SUMIF('Competency Event Log'!$U$4:$U$803,$B14&amp;"|"&amp;CQ$5,'Competency Event Log'!$D$4:$D$803)))</f>
        <v/>
      </c>
      <c r="CR14" s="8" t="str">
        <f>IF($B14="","",IF(COUNTIF('Competency Event Log'!$U$4:$U$803,$B14&amp;"|"&amp;CR$5)=0,"",SUMIF('Competency Event Log'!$U$4:$U$803,$B14&amp;"|"&amp;CR$5,'Competency Event Log'!$D$4:$D$803)))</f>
        <v/>
      </c>
      <c r="CS14" s="8" t="str">
        <f>IF($B14="","",IF(COUNTIF('Competency Event Log'!$U$4:$U$803,$B14&amp;"|"&amp;CS$5)=0,"",SUMIF('Competency Event Log'!$U$4:$U$803,$B14&amp;"|"&amp;CS$5,'Competency Event Log'!$D$4:$D$803)))</f>
        <v/>
      </c>
      <c r="CT14" s="8" t="str">
        <f>IF($B14="","",IF(COUNTIF('Competency Event Log'!$U$4:$U$803,$B14&amp;"|"&amp;CT$5)=0,"",SUMIF('Competency Event Log'!$U$4:$U$803,$B14&amp;"|"&amp;CT$5,'Competency Event Log'!$D$4:$D$803)))</f>
        <v/>
      </c>
      <c r="CU14" s="8" t="str">
        <f>IF($B14="","",IF(COUNTIF('Competency Event Log'!$U$4:$U$803,$B14&amp;"|"&amp;CU$5)=0,"",SUMIF('Competency Event Log'!$U$4:$U$803,$B14&amp;"|"&amp;CU$5,'Competency Event Log'!$D$4:$D$803)))</f>
        <v/>
      </c>
      <c r="CV14" s="8" t="str">
        <f>IF($B14="","",IF(COUNTIF('Competency Event Log'!$U$4:$U$803,$B14&amp;"|"&amp;CV$5)=0,"",SUMIF('Competency Event Log'!$U$4:$U$803,$B14&amp;"|"&amp;CV$5,'Competency Event Log'!$D$4:$D$803)))</f>
        <v/>
      </c>
      <c r="CW14" s="8" t="str">
        <f>IF($B14="","",IF(COUNTIF('Competency Event Log'!$U$4:$U$803,$B14&amp;"|"&amp;CW$5)=0,"",SUMIF('Competency Event Log'!$U$4:$U$803,$B14&amp;"|"&amp;CW$5,'Competency Event Log'!$D$4:$D$803)))</f>
        <v/>
      </c>
      <c r="CX14" s="8" t="str">
        <f>IF($B14="","",IF(COUNTIF('Competency Event Log'!$U$4:$U$803,$B14&amp;"|"&amp;CX$5)=0,"",SUMIF('Competency Event Log'!$U$4:$U$803,$B14&amp;"|"&amp;CX$5,'Competency Event Log'!$D$4:$D$803)))</f>
        <v/>
      </c>
      <c r="CY14" s="8" t="str">
        <f>IF($B14="","",IF(COUNTIF('Competency Event Log'!$U$4:$U$803,$B14&amp;"|"&amp;CY$5)=0,"",SUMIF('Competency Event Log'!$U$4:$U$803,$B14&amp;"|"&amp;CY$5,'Competency Event Log'!$D$4:$D$803)))</f>
        <v/>
      </c>
      <c r="CZ14" s="8" t="str">
        <f>IF($B14="","",IF(COUNTIF('Competency Event Log'!$U$4:$U$803,$B14&amp;"|"&amp;CZ$5)=0,"",SUMIF('Competency Event Log'!$U$4:$U$803,$B14&amp;"|"&amp;CZ$5,'Competency Event Log'!$D$4:$D$803)))</f>
        <v/>
      </c>
      <c r="DA14" s="8" t="str">
        <f>IF($B14="","",IF(COUNTIF('Competency Event Log'!$U$4:$U$803,$B14&amp;"|"&amp;DA$5)=0,"",SUMIF('Competency Event Log'!$U$4:$U$803,$B14&amp;"|"&amp;DA$5,'Competency Event Log'!$D$4:$D$803)))</f>
        <v/>
      </c>
      <c r="DB14" s="8" t="str">
        <f>IF($B14="","",IF(COUNTIF('Competency Event Log'!$U$4:$U$803,$B14&amp;"|"&amp;DB$5)=0,"",SUMIF('Competency Event Log'!$U$4:$U$803,$B14&amp;"|"&amp;DB$5,'Competency Event Log'!$D$4:$D$803)))</f>
        <v/>
      </c>
      <c r="DC14" s="8" t="str">
        <f>IF($B14="","",IF(COUNTIF('Competency Event Log'!$U$4:$U$803,$B14&amp;"|"&amp;DC$5)=0,"",SUMIF('Competency Event Log'!$U$4:$U$803,$B14&amp;"|"&amp;DC$5,'Competency Event Log'!$D$4:$D$803)))</f>
        <v/>
      </c>
      <c r="DD14" s="8" t="str">
        <f>IF($B14="","",IF(COUNTIF('Competency Event Log'!$U$4:$U$803,$B14&amp;"|"&amp;DD$5)=0,"",SUMIF('Competency Event Log'!$U$4:$U$803,$B14&amp;"|"&amp;DD$5,'Competency Event Log'!$D$4:$D$803)))</f>
        <v/>
      </c>
      <c r="DE14" s="8" t="str">
        <f>IF($B14="","",IF(COUNTIF('Competency Event Log'!$U$4:$U$803,$B14&amp;"|"&amp;DE$5)=0,"",SUMIF('Competency Event Log'!$U$4:$U$803,$B14&amp;"|"&amp;DE$5,'Competency Event Log'!$D$4:$D$803)))</f>
        <v/>
      </c>
      <c r="DF14" s="8">
        <f t="shared" si="0"/>
        <v>18</v>
      </c>
      <c r="DG14" s="8">
        <f t="shared" si="1"/>
        <v>7</v>
      </c>
      <c r="DH14" s="8">
        <f t="shared" si="2"/>
        <v>5</v>
      </c>
      <c r="DI14" s="11">
        <f t="shared" si="3"/>
        <v>0.35714285714285715</v>
      </c>
    </row>
    <row r="15" spans="1:113">
      <c r="A15" s="7" t="s">
        <v>305</v>
      </c>
      <c r="B15" s="7" t="s">
        <v>66</v>
      </c>
      <c r="C15" s="8">
        <v>1</v>
      </c>
      <c r="D15" s="9" t="s">
        <v>643</v>
      </c>
      <c r="E15" s="10">
        <v>44805</v>
      </c>
      <c r="F15" s="8" t="s">
        <v>577</v>
      </c>
      <c r="G15" s="8" t="str">
        <f>IF($B15="","",IF(COUNTIF('Competency Event Log'!$U$4:$U$803,$B15&amp;"|"&amp;G$5)=0,"",SUMIF('Competency Event Log'!$U$4:$U$803,$B15&amp;"|"&amp;G$5,'Competency Event Log'!$D$4:$D$803)))</f>
        <v/>
      </c>
      <c r="H15" s="8" t="str">
        <f>IF($B15="","",IF(COUNTIF('Competency Event Log'!$U$4:$U$803,$B15&amp;"|"&amp;H$5)=0,"",SUMIF('Competency Event Log'!$U$4:$U$803,$B15&amp;"|"&amp;H$5,'Competency Event Log'!$D$4:$D$803)))</f>
        <v/>
      </c>
      <c r="I15" s="8" t="str">
        <f>IF($B15="","",IF(COUNTIF('Competency Event Log'!$U$4:$U$803,$B15&amp;"|"&amp;I$5)=0,"",SUMIF('Competency Event Log'!$U$4:$U$803,$B15&amp;"|"&amp;I$5,'Competency Event Log'!$D$4:$D$803)))</f>
        <v/>
      </c>
      <c r="J15" s="8" t="str">
        <f>IF($B15="","",IF(COUNTIF('Competency Event Log'!$U$4:$U$803,$B15&amp;"|"&amp;J$5)=0,"",SUMIF('Competency Event Log'!$U$4:$U$803,$B15&amp;"|"&amp;J$5,'Competency Event Log'!$D$4:$D$803)))</f>
        <v/>
      </c>
      <c r="K15" s="8" t="str">
        <f>IF($B15="","",IF(COUNTIF('Competency Event Log'!$U$4:$U$803,$B15&amp;"|"&amp;K$5)=0,"",SUMIF('Competency Event Log'!$U$4:$U$803,$B15&amp;"|"&amp;K$5,'Competency Event Log'!$D$4:$D$803)))</f>
        <v/>
      </c>
      <c r="L15" s="8" t="str">
        <f>IF($B15="","",IF(COUNTIF('Competency Event Log'!$U$4:$U$803,$B15&amp;"|"&amp;L$5)=0,"",SUMIF('Competency Event Log'!$U$4:$U$803,$B15&amp;"|"&amp;L$5,'Competency Event Log'!$D$4:$D$803)))</f>
        <v/>
      </c>
      <c r="M15" s="8" t="str">
        <f>IF($B15="","",IF(COUNTIF('Competency Event Log'!$U$4:$U$803,$B15&amp;"|"&amp;M$5)=0,"",SUMIF('Competency Event Log'!$U$4:$U$803,$B15&amp;"|"&amp;M$5,'Competency Event Log'!$D$4:$D$803)))</f>
        <v/>
      </c>
      <c r="N15" s="8" t="str">
        <f>IF($B15="","",IF(COUNTIF('Competency Event Log'!$U$4:$U$803,$B15&amp;"|"&amp;N$5)=0,"",SUMIF('Competency Event Log'!$U$4:$U$803,$B15&amp;"|"&amp;N$5,'Competency Event Log'!$D$4:$D$803)))</f>
        <v/>
      </c>
      <c r="O15" s="8" t="str">
        <f>IF($B15="","",IF(COUNTIF('Competency Event Log'!$U$4:$U$803,$B15&amp;"|"&amp;O$5)=0,"",SUMIF('Competency Event Log'!$U$4:$U$803,$B15&amp;"|"&amp;O$5,'Competency Event Log'!$D$4:$D$803)))</f>
        <v/>
      </c>
      <c r="P15" s="8" t="str">
        <f>IF($B15="","",IF(COUNTIF('Competency Event Log'!$U$4:$U$803,$B15&amp;"|"&amp;P$5)=0,"",SUMIF('Competency Event Log'!$U$4:$U$803,$B15&amp;"|"&amp;P$5,'Competency Event Log'!$D$4:$D$803)))</f>
        <v/>
      </c>
      <c r="Q15" s="8" t="str">
        <f>IF($B15="","",IF(COUNTIF('Competency Event Log'!$U$4:$U$803,$B15&amp;"|"&amp;Q$5)=0,"",SUMIF('Competency Event Log'!$U$4:$U$803,$B15&amp;"|"&amp;Q$5,'Competency Event Log'!$D$4:$D$803)))</f>
        <v/>
      </c>
      <c r="R15" s="8" t="str">
        <f>IF($B15="","",IF(COUNTIF('Competency Event Log'!$U$4:$U$803,$B15&amp;"|"&amp;R$5)=0,"",SUMIF('Competency Event Log'!$U$4:$U$803,$B15&amp;"|"&amp;R$5,'Competency Event Log'!$D$4:$D$803)))</f>
        <v/>
      </c>
      <c r="S15" s="8" t="str">
        <f>IF($B15="","",IF(COUNTIF('Competency Event Log'!$U$4:$U$803,$B15&amp;"|"&amp;S$5)=0,"",SUMIF('Competency Event Log'!$U$4:$U$803,$B15&amp;"|"&amp;S$5,'Competency Event Log'!$D$4:$D$803)))</f>
        <v/>
      </c>
      <c r="T15" s="8" t="str">
        <f>IF($B15="","",IF(COUNTIF('Competency Event Log'!$U$4:$U$803,$B15&amp;"|"&amp;T$5)=0,"",SUMIF('Competency Event Log'!$U$4:$U$803,$B15&amp;"|"&amp;T$5,'Competency Event Log'!$D$4:$D$803)))</f>
        <v/>
      </c>
      <c r="U15" s="8" t="str">
        <f>IF($B15="","",IF(COUNTIF('Competency Event Log'!$U$4:$U$803,$B15&amp;"|"&amp;U$5)=0,"",SUMIF('Competency Event Log'!$U$4:$U$803,$B15&amp;"|"&amp;U$5,'Competency Event Log'!$D$4:$D$803)))</f>
        <v/>
      </c>
      <c r="V15" s="8" t="str">
        <f>IF($B15="","",IF(COUNTIF('Competency Event Log'!$U$4:$U$803,$B15&amp;"|"&amp;V$5)=0,"",SUMIF('Competency Event Log'!$U$4:$U$803,$B15&amp;"|"&amp;V$5,'Competency Event Log'!$D$4:$D$803)))</f>
        <v/>
      </c>
      <c r="W15" s="8">
        <f>IF($B15="","",IF(COUNTIF('Competency Event Log'!$U$4:$U$803,$B15&amp;"|"&amp;W$5)=0,"",SUMIF('Competency Event Log'!$U$4:$U$803,$B15&amp;"|"&amp;W$5,'Competency Event Log'!$D$4:$D$803)))</f>
        <v>3</v>
      </c>
      <c r="X15" s="8">
        <f>IF($B15="","",IF(COUNTIF('Competency Event Log'!$U$4:$U$803,$B15&amp;"|"&amp;X$5)=0,"",SUMIF('Competency Event Log'!$U$4:$U$803,$B15&amp;"|"&amp;X$5,'Competency Event Log'!$D$4:$D$803)))</f>
        <v>1</v>
      </c>
      <c r="Y15" s="8" t="str">
        <f>IF($B15="","",IF(COUNTIF('Competency Event Log'!$U$4:$U$803,$B15&amp;"|"&amp;Y$5)=0,"",SUMIF('Competency Event Log'!$U$4:$U$803,$B15&amp;"|"&amp;Y$5,'Competency Event Log'!$D$4:$D$803)))</f>
        <v/>
      </c>
      <c r="Z15" s="8">
        <f>IF($B15="","",IF(COUNTIF('Competency Event Log'!$U$4:$U$803,$B15&amp;"|"&amp;Z$5)=0,"",SUMIF('Competency Event Log'!$U$4:$U$803,$B15&amp;"|"&amp;Z$5,'Competency Event Log'!$D$4:$D$803)))</f>
        <v>3</v>
      </c>
      <c r="AA15" s="8">
        <f>IF($B15="","",IF(COUNTIF('Competency Event Log'!$U$4:$U$803,$B15&amp;"|"&amp;AA$5)=0,"",SUMIF('Competency Event Log'!$U$4:$U$803,$B15&amp;"|"&amp;AA$5,'Competency Event Log'!$D$4:$D$803)))</f>
        <v>1</v>
      </c>
      <c r="AB15" s="8" t="str">
        <f>IF($B15="","",IF(COUNTIF('Competency Event Log'!$U$4:$U$803,$B15&amp;"|"&amp;AB$5)=0,"",SUMIF('Competency Event Log'!$U$4:$U$803,$B15&amp;"|"&amp;AB$5,'Competency Event Log'!$D$4:$D$803)))</f>
        <v/>
      </c>
      <c r="AC15" s="8" t="str">
        <f>IF($B15="","",IF(COUNTIF('Competency Event Log'!$U$4:$U$803,$B15&amp;"|"&amp;AC$5)=0,"",SUMIF('Competency Event Log'!$U$4:$U$803,$B15&amp;"|"&amp;AC$5,'Competency Event Log'!$D$4:$D$803)))</f>
        <v/>
      </c>
      <c r="AD15" s="8">
        <f>IF($B15="","",IF(COUNTIF('Competency Event Log'!$U$4:$U$803,$B15&amp;"|"&amp;AD$5)=0,"",SUMIF('Competency Event Log'!$U$4:$U$803,$B15&amp;"|"&amp;AD$5,'Competency Event Log'!$D$4:$D$803)))</f>
        <v>2</v>
      </c>
      <c r="AE15" s="8" t="str">
        <f>IF($B15="","",IF(COUNTIF('Competency Event Log'!$U$4:$U$803,$B15&amp;"|"&amp;AE$5)=0,"",SUMIF('Competency Event Log'!$U$4:$U$803,$B15&amp;"|"&amp;AE$5,'Competency Event Log'!$D$4:$D$803)))</f>
        <v/>
      </c>
      <c r="AF15" s="8" t="str">
        <f>IF($B15="","",IF(COUNTIF('Competency Event Log'!$U$4:$U$803,$B15&amp;"|"&amp;AF$5)=0,"",SUMIF('Competency Event Log'!$U$4:$U$803,$B15&amp;"|"&amp;AF$5,'Competency Event Log'!$D$4:$D$803)))</f>
        <v/>
      </c>
      <c r="AG15" s="8" t="str">
        <f>IF($B15="","",IF(COUNTIF('Competency Event Log'!$U$4:$U$803,$B15&amp;"|"&amp;AG$5)=0,"",SUMIF('Competency Event Log'!$U$4:$U$803,$B15&amp;"|"&amp;AG$5,'Competency Event Log'!$D$4:$D$803)))</f>
        <v/>
      </c>
      <c r="AH15" s="8">
        <f>IF($B15="","",IF(COUNTIF('Competency Event Log'!$U$4:$U$803,$B15&amp;"|"&amp;AH$5)=0,"",SUMIF('Competency Event Log'!$U$4:$U$803,$B15&amp;"|"&amp;AH$5,'Competency Event Log'!$D$4:$D$803)))</f>
        <v>2</v>
      </c>
      <c r="AI15" s="8">
        <f>IF($B15="","",IF(COUNTIF('Competency Event Log'!$U$4:$U$803,$B15&amp;"|"&amp;AI$5)=0,"",SUMIF('Competency Event Log'!$U$4:$U$803,$B15&amp;"|"&amp;AI$5,'Competency Event Log'!$D$4:$D$803)))</f>
        <v>3</v>
      </c>
      <c r="AJ15" s="8" t="str">
        <f>IF($B15="","",IF(COUNTIF('Competency Event Log'!$U$4:$U$803,$B15&amp;"|"&amp;AJ$5)=0,"",SUMIF('Competency Event Log'!$U$4:$U$803,$B15&amp;"|"&amp;AJ$5,'Competency Event Log'!$D$4:$D$803)))</f>
        <v/>
      </c>
      <c r="AK15" s="8" t="str">
        <f>IF($B15="","",IF(COUNTIF('Competency Event Log'!$U$4:$U$803,$B15&amp;"|"&amp;AK$5)=0,"",SUMIF('Competency Event Log'!$U$4:$U$803,$B15&amp;"|"&amp;AK$5,'Competency Event Log'!$D$4:$D$803)))</f>
        <v/>
      </c>
      <c r="AL15" s="8" t="str">
        <f>IF($B15="","",IF(COUNTIF('Competency Event Log'!$U$4:$U$803,$B15&amp;"|"&amp;AL$5)=0,"",SUMIF('Competency Event Log'!$U$4:$U$803,$B15&amp;"|"&amp;AL$5,'Competency Event Log'!$D$4:$D$803)))</f>
        <v/>
      </c>
      <c r="AM15" s="8" t="str">
        <f>IF($B15="","",IF(COUNTIF('Competency Event Log'!$U$4:$U$803,$B15&amp;"|"&amp;AM$5)=0,"",SUMIF('Competency Event Log'!$U$4:$U$803,$B15&amp;"|"&amp;AM$5,'Competency Event Log'!$D$4:$D$803)))</f>
        <v/>
      </c>
      <c r="AN15" s="8" t="str">
        <f>IF($B15="","",IF(COUNTIF('Competency Event Log'!$U$4:$U$803,$B15&amp;"|"&amp;AN$5)=0,"",SUMIF('Competency Event Log'!$U$4:$U$803,$B15&amp;"|"&amp;AN$5,'Competency Event Log'!$D$4:$D$803)))</f>
        <v/>
      </c>
      <c r="AO15" s="8" t="str">
        <f>IF($B15="","",IF(COUNTIF('Competency Event Log'!$U$4:$U$803,$B15&amp;"|"&amp;AO$5)=0,"",SUMIF('Competency Event Log'!$U$4:$U$803,$B15&amp;"|"&amp;AO$5,'Competency Event Log'!$D$4:$D$803)))</f>
        <v/>
      </c>
      <c r="AP15" s="8" t="str">
        <f>IF($B15="","",IF(COUNTIF('Competency Event Log'!$U$4:$U$803,$B15&amp;"|"&amp;AP$5)=0,"",SUMIF('Competency Event Log'!$U$4:$U$803,$B15&amp;"|"&amp;AP$5,'Competency Event Log'!$D$4:$D$803)))</f>
        <v/>
      </c>
      <c r="AQ15" s="8" t="str">
        <f>IF($B15="","",IF(COUNTIF('Competency Event Log'!$U$4:$U$803,$B15&amp;"|"&amp;AQ$5)=0,"",SUMIF('Competency Event Log'!$U$4:$U$803,$B15&amp;"|"&amp;AQ$5,'Competency Event Log'!$D$4:$D$803)))</f>
        <v/>
      </c>
      <c r="AR15" s="8" t="str">
        <f>IF($B15="","",IF(COUNTIF('Competency Event Log'!$U$4:$U$803,$B15&amp;"|"&amp;AR$5)=0,"",SUMIF('Competency Event Log'!$U$4:$U$803,$B15&amp;"|"&amp;AR$5,'Competency Event Log'!$D$4:$D$803)))</f>
        <v/>
      </c>
      <c r="AS15" s="8" t="str">
        <f>IF($B15="","",IF(COUNTIF('Competency Event Log'!$U$4:$U$803,$B15&amp;"|"&amp;AS$5)=0,"",SUMIF('Competency Event Log'!$U$4:$U$803,$B15&amp;"|"&amp;AS$5,'Competency Event Log'!$D$4:$D$803)))</f>
        <v/>
      </c>
      <c r="AT15" s="8" t="str">
        <f>IF($B15="","",IF(COUNTIF('Competency Event Log'!$U$4:$U$803,$B15&amp;"|"&amp;AT$5)=0,"",SUMIF('Competency Event Log'!$U$4:$U$803,$B15&amp;"|"&amp;AT$5,'Competency Event Log'!$D$4:$D$803)))</f>
        <v/>
      </c>
      <c r="AU15" s="8" t="str">
        <f>IF($B15="","",IF(COUNTIF('Competency Event Log'!$U$4:$U$803,$B15&amp;"|"&amp;AU$5)=0,"",SUMIF('Competency Event Log'!$U$4:$U$803,$B15&amp;"|"&amp;AU$5,'Competency Event Log'!$D$4:$D$803)))</f>
        <v/>
      </c>
      <c r="AV15" s="8" t="str">
        <f>IF($B15="","",IF(COUNTIF('Competency Event Log'!$U$4:$U$803,$B15&amp;"|"&amp;AV$5)=0,"",SUMIF('Competency Event Log'!$U$4:$U$803,$B15&amp;"|"&amp;AV$5,'Competency Event Log'!$D$4:$D$803)))</f>
        <v/>
      </c>
      <c r="AW15" s="8" t="str">
        <f>IF($B15="","",IF(COUNTIF('Competency Event Log'!$U$4:$U$803,$B15&amp;"|"&amp;AW$5)=0,"",SUMIF('Competency Event Log'!$U$4:$U$803,$B15&amp;"|"&amp;AW$5,'Competency Event Log'!$D$4:$D$803)))</f>
        <v/>
      </c>
      <c r="AX15" s="8" t="str">
        <f>IF($B15="","",IF(COUNTIF('Competency Event Log'!$U$4:$U$803,$B15&amp;"|"&amp;AX$5)=0,"",SUMIF('Competency Event Log'!$U$4:$U$803,$B15&amp;"|"&amp;AX$5,'Competency Event Log'!$D$4:$D$803)))</f>
        <v/>
      </c>
      <c r="AY15" s="8" t="str">
        <f>IF($B15="","",IF(COUNTIF('Competency Event Log'!$U$4:$U$803,$B15&amp;"|"&amp;AY$5)=0,"",SUMIF('Competency Event Log'!$U$4:$U$803,$B15&amp;"|"&amp;AY$5,'Competency Event Log'!$D$4:$D$803)))</f>
        <v/>
      </c>
      <c r="AZ15" s="8" t="str">
        <f>IF($B15="","",IF(COUNTIF('Competency Event Log'!$U$4:$U$803,$B15&amp;"|"&amp;AZ$5)=0,"",SUMIF('Competency Event Log'!$U$4:$U$803,$B15&amp;"|"&amp;AZ$5,'Competency Event Log'!$D$4:$D$803)))</f>
        <v/>
      </c>
      <c r="BA15" s="8" t="str">
        <f>IF($B15="","",IF(COUNTIF('Competency Event Log'!$U$4:$U$803,$B15&amp;"|"&amp;BA$5)=0,"",SUMIF('Competency Event Log'!$U$4:$U$803,$B15&amp;"|"&amp;BA$5,'Competency Event Log'!$D$4:$D$803)))</f>
        <v/>
      </c>
      <c r="BB15" s="8" t="str">
        <f>IF($B15="","",IF(COUNTIF('Competency Event Log'!$U$4:$U$803,$B15&amp;"|"&amp;BB$5)=0,"",SUMIF('Competency Event Log'!$U$4:$U$803,$B15&amp;"|"&amp;BB$5,'Competency Event Log'!$D$4:$D$803)))</f>
        <v/>
      </c>
      <c r="BC15" s="8" t="str">
        <f>IF($B15="","",IF(COUNTIF('Competency Event Log'!$U$4:$U$803,$B15&amp;"|"&amp;BC$5)=0,"",SUMIF('Competency Event Log'!$U$4:$U$803,$B15&amp;"|"&amp;BC$5,'Competency Event Log'!$D$4:$D$803)))</f>
        <v/>
      </c>
      <c r="BD15" s="8" t="str">
        <f>IF($B15="","",IF(COUNTIF('Competency Event Log'!$U$4:$U$803,$B15&amp;"|"&amp;BD$5)=0,"",SUMIF('Competency Event Log'!$U$4:$U$803,$B15&amp;"|"&amp;BD$5,'Competency Event Log'!$D$4:$D$803)))</f>
        <v/>
      </c>
      <c r="BE15" s="8" t="str">
        <f>IF($B15="","",IF(COUNTIF('Competency Event Log'!$U$4:$U$803,$B15&amp;"|"&amp;BE$5)=0,"",SUMIF('Competency Event Log'!$U$4:$U$803,$B15&amp;"|"&amp;BE$5,'Competency Event Log'!$D$4:$D$803)))</f>
        <v/>
      </c>
      <c r="BF15" s="8" t="str">
        <f>IF($B15="","",IF(COUNTIF('Competency Event Log'!$U$4:$U$803,$B15&amp;"|"&amp;BF$5)=0,"",SUMIF('Competency Event Log'!$U$4:$U$803,$B15&amp;"|"&amp;BF$5,'Competency Event Log'!$D$4:$D$803)))</f>
        <v/>
      </c>
      <c r="BG15" s="8" t="str">
        <f>IF($B15="","",IF(COUNTIF('Competency Event Log'!$U$4:$U$803,$B15&amp;"|"&amp;BG$5)=0,"",SUMIF('Competency Event Log'!$U$4:$U$803,$B15&amp;"|"&amp;BG$5,'Competency Event Log'!$D$4:$D$803)))</f>
        <v/>
      </c>
      <c r="BH15" s="8" t="str">
        <f>IF($B15="","",IF(COUNTIF('Competency Event Log'!$U$4:$U$803,$B15&amp;"|"&amp;BH$5)=0,"",SUMIF('Competency Event Log'!$U$4:$U$803,$B15&amp;"|"&amp;BH$5,'Competency Event Log'!$D$4:$D$803)))</f>
        <v/>
      </c>
      <c r="BI15" s="8" t="str">
        <f>IF($B15="","",IF(COUNTIF('Competency Event Log'!$U$4:$U$803,$B15&amp;"|"&amp;BI$5)=0,"",SUMIF('Competency Event Log'!$U$4:$U$803,$B15&amp;"|"&amp;BI$5,'Competency Event Log'!$D$4:$D$803)))</f>
        <v/>
      </c>
      <c r="BJ15" s="8" t="str">
        <f>IF($B15="","",IF(COUNTIF('Competency Event Log'!$U$4:$U$803,$B15&amp;"|"&amp;BJ$5)=0,"",SUMIF('Competency Event Log'!$U$4:$U$803,$B15&amp;"|"&amp;BJ$5,'Competency Event Log'!$D$4:$D$803)))</f>
        <v/>
      </c>
      <c r="BK15" s="8" t="str">
        <f>IF($B15="","",IF(COUNTIF('Competency Event Log'!$U$4:$U$803,$B15&amp;"|"&amp;BK$5)=0,"",SUMIF('Competency Event Log'!$U$4:$U$803,$B15&amp;"|"&amp;BK$5,'Competency Event Log'!$D$4:$D$803)))</f>
        <v/>
      </c>
      <c r="BL15" s="8" t="str">
        <f>IF($B15="","",IF(COUNTIF('Competency Event Log'!$U$4:$U$803,$B15&amp;"|"&amp;BL$5)=0,"",SUMIF('Competency Event Log'!$U$4:$U$803,$B15&amp;"|"&amp;BL$5,'Competency Event Log'!$D$4:$D$803)))</f>
        <v/>
      </c>
      <c r="BM15" s="8" t="str">
        <f>IF($B15="","",IF(COUNTIF('Competency Event Log'!$U$4:$U$803,$B15&amp;"|"&amp;BM$5)=0,"",SUMIF('Competency Event Log'!$U$4:$U$803,$B15&amp;"|"&amp;BM$5,'Competency Event Log'!$D$4:$D$803)))</f>
        <v/>
      </c>
      <c r="BN15" s="8" t="str">
        <f>IF($B15="","",IF(COUNTIF('Competency Event Log'!$U$4:$U$803,$B15&amp;"|"&amp;BN$5)=0,"",SUMIF('Competency Event Log'!$U$4:$U$803,$B15&amp;"|"&amp;BN$5,'Competency Event Log'!$D$4:$D$803)))</f>
        <v/>
      </c>
      <c r="BO15" s="8" t="str">
        <f>IF($B15="","",IF(COUNTIF('Competency Event Log'!$U$4:$U$803,$B15&amp;"|"&amp;BO$5)=0,"",SUMIF('Competency Event Log'!$U$4:$U$803,$B15&amp;"|"&amp;BO$5,'Competency Event Log'!$D$4:$D$803)))</f>
        <v/>
      </c>
      <c r="BP15" s="8" t="str">
        <f>IF($B15="","",IF(COUNTIF('Competency Event Log'!$U$4:$U$803,$B15&amp;"|"&amp;BP$5)=0,"",SUMIF('Competency Event Log'!$U$4:$U$803,$B15&amp;"|"&amp;BP$5,'Competency Event Log'!$D$4:$D$803)))</f>
        <v/>
      </c>
      <c r="BQ15" s="8" t="str">
        <f>IF($B15="","",IF(COUNTIF('Competency Event Log'!$U$4:$U$803,$B15&amp;"|"&amp;BQ$5)=0,"",SUMIF('Competency Event Log'!$U$4:$U$803,$B15&amp;"|"&amp;BQ$5,'Competency Event Log'!$D$4:$D$803)))</f>
        <v/>
      </c>
      <c r="BR15" s="8" t="str">
        <f>IF($B15="","",IF(COUNTIF('Competency Event Log'!$U$4:$U$803,$B15&amp;"|"&amp;BR$5)=0,"",SUMIF('Competency Event Log'!$U$4:$U$803,$B15&amp;"|"&amp;BR$5,'Competency Event Log'!$D$4:$D$803)))</f>
        <v/>
      </c>
      <c r="BS15" s="8" t="str">
        <f>IF($B15="","",IF(COUNTIF('Competency Event Log'!$U$4:$U$803,$B15&amp;"|"&amp;BS$5)=0,"",SUMIF('Competency Event Log'!$U$4:$U$803,$B15&amp;"|"&amp;BS$5,'Competency Event Log'!$D$4:$D$803)))</f>
        <v/>
      </c>
      <c r="BT15" s="8" t="str">
        <f>IF($B15="","",IF(COUNTIF('Competency Event Log'!$U$4:$U$803,$B15&amp;"|"&amp;BT$5)=0,"",SUMIF('Competency Event Log'!$U$4:$U$803,$B15&amp;"|"&amp;BT$5,'Competency Event Log'!$D$4:$D$803)))</f>
        <v/>
      </c>
      <c r="BU15" s="8" t="str">
        <f>IF($B15="","",IF(COUNTIF('Competency Event Log'!$U$4:$U$803,$B15&amp;"|"&amp;BU$5)=0,"",SUMIF('Competency Event Log'!$U$4:$U$803,$B15&amp;"|"&amp;BU$5,'Competency Event Log'!$D$4:$D$803)))</f>
        <v/>
      </c>
      <c r="BV15" s="8" t="str">
        <f>IF($B15="","",IF(COUNTIF('Competency Event Log'!$U$4:$U$803,$B15&amp;"|"&amp;BV$5)=0,"",SUMIF('Competency Event Log'!$U$4:$U$803,$B15&amp;"|"&amp;BV$5,'Competency Event Log'!$D$4:$D$803)))</f>
        <v/>
      </c>
      <c r="BW15" s="8" t="str">
        <f>IF($B15="","",IF(COUNTIF('Competency Event Log'!$U$4:$U$803,$B15&amp;"|"&amp;BW$5)=0,"",SUMIF('Competency Event Log'!$U$4:$U$803,$B15&amp;"|"&amp;BW$5,'Competency Event Log'!$D$4:$D$803)))</f>
        <v/>
      </c>
      <c r="BX15" s="8" t="str">
        <f>IF($B15="","",IF(COUNTIF('Competency Event Log'!$U$4:$U$803,$B15&amp;"|"&amp;BX$5)=0,"",SUMIF('Competency Event Log'!$U$4:$U$803,$B15&amp;"|"&amp;BX$5,'Competency Event Log'!$D$4:$D$803)))</f>
        <v/>
      </c>
      <c r="BY15" s="8" t="str">
        <f>IF($B15="","",IF(COUNTIF('Competency Event Log'!$U$4:$U$803,$B15&amp;"|"&amp;BY$5)=0,"",SUMIF('Competency Event Log'!$U$4:$U$803,$B15&amp;"|"&amp;BY$5,'Competency Event Log'!$D$4:$D$803)))</f>
        <v/>
      </c>
      <c r="BZ15" s="8" t="str">
        <f>IF($B15="","",IF(COUNTIF('Competency Event Log'!$U$4:$U$803,$B15&amp;"|"&amp;BZ$5)=0,"",SUMIF('Competency Event Log'!$U$4:$U$803,$B15&amp;"|"&amp;BZ$5,'Competency Event Log'!$D$4:$D$803)))</f>
        <v/>
      </c>
      <c r="CA15" s="8" t="str">
        <f>IF($B15="","",IF(COUNTIF('Competency Event Log'!$U$4:$U$803,$B15&amp;"|"&amp;CA$5)=0,"",SUMIF('Competency Event Log'!$U$4:$U$803,$B15&amp;"|"&amp;CA$5,'Competency Event Log'!$D$4:$D$803)))</f>
        <v/>
      </c>
      <c r="CB15" s="8" t="str">
        <f>IF($B15="","",IF(COUNTIF('Competency Event Log'!$U$4:$U$803,$B15&amp;"|"&amp;CB$5)=0,"",SUMIF('Competency Event Log'!$U$4:$U$803,$B15&amp;"|"&amp;CB$5,'Competency Event Log'!$D$4:$D$803)))</f>
        <v/>
      </c>
      <c r="CC15" s="8" t="str">
        <f>IF($B15="","",IF(COUNTIF('Competency Event Log'!$U$4:$U$803,$B15&amp;"|"&amp;CC$5)=0,"",SUMIF('Competency Event Log'!$U$4:$U$803,$B15&amp;"|"&amp;CC$5,'Competency Event Log'!$D$4:$D$803)))</f>
        <v/>
      </c>
      <c r="CD15" s="8" t="str">
        <f>IF($B15="","",IF(COUNTIF('Competency Event Log'!$U$4:$U$803,$B15&amp;"|"&amp;CD$5)=0,"",SUMIF('Competency Event Log'!$U$4:$U$803,$B15&amp;"|"&amp;CD$5,'Competency Event Log'!$D$4:$D$803)))</f>
        <v/>
      </c>
      <c r="CE15" s="8" t="str">
        <f>IF($B15="","",IF(COUNTIF('Competency Event Log'!$U$4:$U$803,$B15&amp;"|"&amp;CE$5)=0,"",SUMIF('Competency Event Log'!$U$4:$U$803,$B15&amp;"|"&amp;CE$5,'Competency Event Log'!$D$4:$D$803)))</f>
        <v/>
      </c>
      <c r="CF15" s="8" t="str">
        <f>IF($B15="","",IF(COUNTIF('Competency Event Log'!$U$4:$U$803,$B15&amp;"|"&amp;CF$5)=0,"",SUMIF('Competency Event Log'!$U$4:$U$803,$B15&amp;"|"&amp;CF$5,'Competency Event Log'!$D$4:$D$803)))</f>
        <v/>
      </c>
      <c r="CG15" s="8" t="str">
        <f>IF($B15="","",IF(COUNTIF('Competency Event Log'!$U$4:$U$803,$B15&amp;"|"&amp;CG$5)=0,"",SUMIF('Competency Event Log'!$U$4:$U$803,$B15&amp;"|"&amp;CG$5,'Competency Event Log'!$D$4:$D$803)))</f>
        <v/>
      </c>
      <c r="CH15" s="8" t="str">
        <f>IF($B15="","",IF(COUNTIF('Competency Event Log'!$U$4:$U$803,$B15&amp;"|"&amp;CH$5)=0,"",SUMIF('Competency Event Log'!$U$4:$U$803,$B15&amp;"|"&amp;CH$5,'Competency Event Log'!$D$4:$D$803)))</f>
        <v/>
      </c>
      <c r="CI15" s="8" t="str">
        <f>IF($B15="","",IF(COUNTIF('Competency Event Log'!$U$4:$U$803,$B15&amp;"|"&amp;CI$5)=0,"",SUMIF('Competency Event Log'!$U$4:$U$803,$B15&amp;"|"&amp;CI$5,'Competency Event Log'!$D$4:$D$803)))</f>
        <v/>
      </c>
      <c r="CJ15" s="8" t="str">
        <f>IF($B15="","",IF(COUNTIF('Competency Event Log'!$U$4:$U$803,$B15&amp;"|"&amp;CJ$5)=0,"",SUMIF('Competency Event Log'!$U$4:$U$803,$B15&amp;"|"&amp;CJ$5,'Competency Event Log'!$D$4:$D$803)))</f>
        <v/>
      </c>
      <c r="CK15" s="8" t="str">
        <f>IF($B15="","",IF(COUNTIF('Competency Event Log'!$U$4:$U$803,$B15&amp;"|"&amp;CK$5)=0,"",SUMIF('Competency Event Log'!$U$4:$U$803,$B15&amp;"|"&amp;CK$5,'Competency Event Log'!$D$4:$D$803)))</f>
        <v/>
      </c>
      <c r="CL15" s="8" t="str">
        <f>IF($B15="","",IF(COUNTIF('Competency Event Log'!$U$4:$U$803,$B15&amp;"|"&amp;CL$5)=0,"",SUMIF('Competency Event Log'!$U$4:$U$803,$B15&amp;"|"&amp;CL$5,'Competency Event Log'!$D$4:$D$803)))</f>
        <v/>
      </c>
      <c r="CM15" s="8" t="str">
        <f>IF($B15="","",IF(COUNTIF('Competency Event Log'!$U$4:$U$803,$B15&amp;"|"&amp;CM$5)=0,"",SUMIF('Competency Event Log'!$U$4:$U$803,$B15&amp;"|"&amp;CM$5,'Competency Event Log'!$D$4:$D$803)))</f>
        <v/>
      </c>
      <c r="CN15" s="8" t="str">
        <f>IF($B15="","",IF(COUNTIF('Competency Event Log'!$U$4:$U$803,$B15&amp;"|"&amp;CN$5)=0,"",SUMIF('Competency Event Log'!$U$4:$U$803,$B15&amp;"|"&amp;CN$5,'Competency Event Log'!$D$4:$D$803)))</f>
        <v/>
      </c>
      <c r="CO15" s="8" t="str">
        <f>IF($B15="","",IF(COUNTIF('Competency Event Log'!$U$4:$U$803,$B15&amp;"|"&amp;CO$5)=0,"",SUMIF('Competency Event Log'!$U$4:$U$803,$B15&amp;"|"&amp;CO$5,'Competency Event Log'!$D$4:$D$803)))</f>
        <v/>
      </c>
      <c r="CP15" s="8" t="str">
        <f>IF($B15="","",IF(COUNTIF('Competency Event Log'!$U$4:$U$803,$B15&amp;"|"&amp;CP$5)=0,"",SUMIF('Competency Event Log'!$U$4:$U$803,$B15&amp;"|"&amp;CP$5,'Competency Event Log'!$D$4:$D$803)))</f>
        <v/>
      </c>
      <c r="CQ15" s="8" t="str">
        <f>IF($B15="","",IF(COUNTIF('Competency Event Log'!$U$4:$U$803,$B15&amp;"|"&amp;CQ$5)=0,"",SUMIF('Competency Event Log'!$U$4:$U$803,$B15&amp;"|"&amp;CQ$5,'Competency Event Log'!$D$4:$D$803)))</f>
        <v/>
      </c>
      <c r="CR15" s="8" t="str">
        <f>IF($B15="","",IF(COUNTIF('Competency Event Log'!$U$4:$U$803,$B15&amp;"|"&amp;CR$5)=0,"",SUMIF('Competency Event Log'!$U$4:$U$803,$B15&amp;"|"&amp;CR$5,'Competency Event Log'!$D$4:$D$803)))</f>
        <v/>
      </c>
      <c r="CS15" s="8" t="str">
        <f>IF($B15="","",IF(COUNTIF('Competency Event Log'!$U$4:$U$803,$B15&amp;"|"&amp;CS$5)=0,"",SUMIF('Competency Event Log'!$U$4:$U$803,$B15&amp;"|"&amp;CS$5,'Competency Event Log'!$D$4:$D$803)))</f>
        <v/>
      </c>
      <c r="CT15" s="8" t="str">
        <f>IF($B15="","",IF(COUNTIF('Competency Event Log'!$U$4:$U$803,$B15&amp;"|"&amp;CT$5)=0,"",SUMIF('Competency Event Log'!$U$4:$U$803,$B15&amp;"|"&amp;CT$5,'Competency Event Log'!$D$4:$D$803)))</f>
        <v/>
      </c>
      <c r="CU15" s="8" t="str">
        <f>IF($B15="","",IF(COUNTIF('Competency Event Log'!$U$4:$U$803,$B15&amp;"|"&amp;CU$5)=0,"",SUMIF('Competency Event Log'!$U$4:$U$803,$B15&amp;"|"&amp;CU$5,'Competency Event Log'!$D$4:$D$803)))</f>
        <v/>
      </c>
      <c r="CV15" s="8" t="str">
        <f>IF($B15="","",IF(COUNTIF('Competency Event Log'!$U$4:$U$803,$B15&amp;"|"&amp;CV$5)=0,"",SUMIF('Competency Event Log'!$U$4:$U$803,$B15&amp;"|"&amp;CV$5,'Competency Event Log'!$D$4:$D$803)))</f>
        <v/>
      </c>
      <c r="CW15" s="8" t="str">
        <f>IF($B15="","",IF(COUNTIF('Competency Event Log'!$U$4:$U$803,$B15&amp;"|"&amp;CW$5)=0,"",SUMIF('Competency Event Log'!$U$4:$U$803,$B15&amp;"|"&amp;CW$5,'Competency Event Log'!$D$4:$D$803)))</f>
        <v/>
      </c>
      <c r="CX15" s="8" t="str">
        <f>IF($B15="","",IF(COUNTIF('Competency Event Log'!$U$4:$U$803,$B15&amp;"|"&amp;CX$5)=0,"",SUMIF('Competency Event Log'!$U$4:$U$803,$B15&amp;"|"&amp;CX$5,'Competency Event Log'!$D$4:$D$803)))</f>
        <v/>
      </c>
      <c r="CY15" s="8" t="str">
        <f>IF($B15="","",IF(COUNTIF('Competency Event Log'!$U$4:$U$803,$B15&amp;"|"&amp;CY$5)=0,"",SUMIF('Competency Event Log'!$U$4:$U$803,$B15&amp;"|"&amp;CY$5,'Competency Event Log'!$D$4:$D$803)))</f>
        <v/>
      </c>
      <c r="CZ15" s="8" t="str">
        <f>IF($B15="","",IF(COUNTIF('Competency Event Log'!$U$4:$U$803,$B15&amp;"|"&amp;CZ$5)=0,"",SUMIF('Competency Event Log'!$U$4:$U$803,$B15&amp;"|"&amp;CZ$5,'Competency Event Log'!$D$4:$D$803)))</f>
        <v/>
      </c>
      <c r="DA15" s="8" t="str">
        <f>IF($B15="","",IF(COUNTIF('Competency Event Log'!$U$4:$U$803,$B15&amp;"|"&amp;DA$5)=0,"",SUMIF('Competency Event Log'!$U$4:$U$803,$B15&amp;"|"&amp;DA$5,'Competency Event Log'!$D$4:$D$803)))</f>
        <v/>
      </c>
      <c r="DB15" s="8" t="str">
        <f>IF($B15="","",IF(COUNTIF('Competency Event Log'!$U$4:$U$803,$B15&amp;"|"&amp;DB$5)=0,"",SUMIF('Competency Event Log'!$U$4:$U$803,$B15&amp;"|"&amp;DB$5,'Competency Event Log'!$D$4:$D$803)))</f>
        <v/>
      </c>
      <c r="DC15" s="8" t="str">
        <f>IF($B15="","",IF(COUNTIF('Competency Event Log'!$U$4:$U$803,$B15&amp;"|"&amp;DC$5)=0,"",SUMIF('Competency Event Log'!$U$4:$U$803,$B15&amp;"|"&amp;DC$5,'Competency Event Log'!$D$4:$D$803)))</f>
        <v/>
      </c>
      <c r="DD15" s="8" t="str">
        <f>IF($B15="","",IF(COUNTIF('Competency Event Log'!$U$4:$U$803,$B15&amp;"|"&amp;DD$5)=0,"",SUMIF('Competency Event Log'!$U$4:$U$803,$B15&amp;"|"&amp;DD$5,'Competency Event Log'!$D$4:$D$803)))</f>
        <v/>
      </c>
      <c r="DE15" s="8" t="str">
        <f>IF($B15="","",IF(COUNTIF('Competency Event Log'!$U$4:$U$803,$B15&amp;"|"&amp;DE$5)=0,"",SUMIF('Competency Event Log'!$U$4:$U$803,$B15&amp;"|"&amp;DE$5,'Competency Event Log'!$D$4:$D$803)))</f>
        <v/>
      </c>
      <c r="DF15" s="8">
        <f t="shared" si="0"/>
        <v>15</v>
      </c>
      <c r="DG15" s="8">
        <f t="shared" si="1"/>
        <v>7</v>
      </c>
      <c r="DH15" s="8">
        <f t="shared" si="2"/>
        <v>3</v>
      </c>
      <c r="DI15" s="11">
        <f t="shared" si="3"/>
        <v>0.5</v>
      </c>
    </row>
    <row r="16" spans="1:113">
      <c r="A16" s="7" t="s">
        <v>305</v>
      </c>
      <c r="B16" s="7" t="s">
        <v>69</v>
      </c>
      <c r="C16" s="8">
        <v>2</v>
      </c>
      <c r="D16" s="9" t="s">
        <v>653</v>
      </c>
      <c r="E16" s="10">
        <v>45034</v>
      </c>
      <c r="F16" s="8" t="s">
        <v>577</v>
      </c>
      <c r="G16" s="8" t="str">
        <f>IF($B16="","",IF(COUNTIF('Competency Event Log'!$U$4:$U$803,$B16&amp;"|"&amp;G$5)=0,"",SUMIF('Competency Event Log'!$U$4:$U$803,$B16&amp;"|"&amp;G$5,'Competency Event Log'!$D$4:$D$803)))</f>
        <v/>
      </c>
      <c r="H16" s="8" t="str">
        <f>IF($B16="","",IF(COUNTIF('Competency Event Log'!$U$4:$U$803,$B16&amp;"|"&amp;H$5)=0,"",SUMIF('Competency Event Log'!$U$4:$U$803,$B16&amp;"|"&amp;H$5,'Competency Event Log'!$D$4:$D$803)))</f>
        <v/>
      </c>
      <c r="I16" s="8" t="str">
        <f>IF($B16="","",IF(COUNTIF('Competency Event Log'!$U$4:$U$803,$B16&amp;"|"&amp;I$5)=0,"",SUMIF('Competency Event Log'!$U$4:$U$803,$B16&amp;"|"&amp;I$5,'Competency Event Log'!$D$4:$D$803)))</f>
        <v/>
      </c>
      <c r="J16" s="8" t="str">
        <f>IF($B16="","",IF(COUNTIF('Competency Event Log'!$U$4:$U$803,$B16&amp;"|"&amp;J$5)=0,"",SUMIF('Competency Event Log'!$U$4:$U$803,$B16&amp;"|"&amp;J$5,'Competency Event Log'!$D$4:$D$803)))</f>
        <v/>
      </c>
      <c r="K16" s="8" t="str">
        <f>IF($B16="","",IF(COUNTIF('Competency Event Log'!$U$4:$U$803,$B16&amp;"|"&amp;K$5)=0,"",SUMIF('Competency Event Log'!$U$4:$U$803,$B16&amp;"|"&amp;K$5,'Competency Event Log'!$D$4:$D$803)))</f>
        <v/>
      </c>
      <c r="L16" s="8" t="str">
        <f>IF($B16="","",IF(COUNTIF('Competency Event Log'!$U$4:$U$803,$B16&amp;"|"&amp;L$5)=0,"",SUMIF('Competency Event Log'!$U$4:$U$803,$B16&amp;"|"&amp;L$5,'Competency Event Log'!$D$4:$D$803)))</f>
        <v/>
      </c>
      <c r="M16" s="8" t="str">
        <f>IF($B16="","",IF(COUNTIF('Competency Event Log'!$U$4:$U$803,$B16&amp;"|"&amp;M$5)=0,"",SUMIF('Competency Event Log'!$U$4:$U$803,$B16&amp;"|"&amp;M$5,'Competency Event Log'!$D$4:$D$803)))</f>
        <v/>
      </c>
      <c r="N16" s="8" t="str">
        <f>IF($B16="","",IF(COUNTIF('Competency Event Log'!$U$4:$U$803,$B16&amp;"|"&amp;N$5)=0,"",SUMIF('Competency Event Log'!$U$4:$U$803,$B16&amp;"|"&amp;N$5,'Competency Event Log'!$D$4:$D$803)))</f>
        <v/>
      </c>
      <c r="O16" s="8" t="str">
        <f>IF($B16="","",IF(COUNTIF('Competency Event Log'!$U$4:$U$803,$B16&amp;"|"&amp;O$5)=0,"",SUMIF('Competency Event Log'!$U$4:$U$803,$B16&amp;"|"&amp;O$5,'Competency Event Log'!$D$4:$D$803)))</f>
        <v/>
      </c>
      <c r="P16" s="8" t="str">
        <f>IF($B16="","",IF(COUNTIF('Competency Event Log'!$U$4:$U$803,$B16&amp;"|"&amp;P$5)=0,"",SUMIF('Competency Event Log'!$U$4:$U$803,$B16&amp;"|"&amp;P$5,'Competency Event Log'!$D$4:$D$803)))</f>
        <v/>
      </c>
      <c r="Q16" s="8" t="str">
        <f>IF($B16="","",IF(COUNTIF('Competency Event Log'!$U$4:$U$803,$B16&amp;"|"&amp;Q$5)=0,"",SUMIF('Competency Event Log'!$U$4:$U$803,$B16&amp;"|"&amp;Q$5,'Competency Event Log'!$D$4:$D$803)))</f>
        <v/>
      </c>
      <c r="R16" s="8" t="str">
        <f>IF($B16="","",IF(COUNTIF('Competency Event Log'!$U$4:$U$803,$B16&amp;"|"&amp;R$5)=0,"",SUMIF('Competency Event Log'!$U$4:$U$803,$B16&amp;"|"&amp;R$5,'Competency Event Log'!$D$4:$D$803)))</f>
        <v/>
      </c>
      <c r="S16" s="8" t="str">
        <f>IF($B16="","",IF(COUNTIF('Competency Event Log'!$U$4:$U$803,$B16&amp;"|"&amp;S$5)=0,"",SUMIF('Competency Event Log'!$U$4:$U$803,$B16&amp;"|"&amp;S$5,'Competency Event Log'!$D$4:$D$803)))</f>
        <v/>
      </c>
      <c r="T16" s="8" t="str">
        <f>IF($B16="","",IF(COUNTIF('Competency Event Log'!$U$4:$U$803,$B16&amp;"|"&amp;T$5)=0,"",SUMIF('Competency Event Log'!$U$4:$U$803,$B16&amp;"|"&amp;T$5,'Competency Event Log'!$D$4:$D$803)))</f>
        <v/>
      </c>
      <c r="U16" s="8" t="str">
        <f>IF($B16="","",IF(COUNTIF('Competency Event Log'!$U$4:$U$803,$B16&amp;"|"&amp;U$5)=0,"",SUMIF('Competency Event Log'!$U$4:$U$803,$B16&amp;"|"&amp;U$5,'Competency Event Log'!$D$4:$D$803)))</f>
        <v/>
      </c>
      <c r="V16" s="8" t="str">
        <f>IF($B16="","",IF(COUNTIF('Competency Event Log'!$U$4:$U$803,$B16&amp;"|"&amp;V$5)=0,"",SUMIF('Competency Event Log'!$U$4:$U$803,$B16&amp;"|"&amp;V$5,'Competency Event Log'!$D$4:$D$803)))</f>
        <v/>
      </c>
      <c r="W16" s="8" t="str">
        <f>IF($B16="","",IF(COUNTIF('Competency Event Log'!$U$4:$U$803,$B16&amp;"|"&amp;W$5)=0,"",SUMIF('Competency Event Log'!$U$4:$U$803,$B16&amp;"|"&amp;W$5,'Competency Event Log'!$D$4:$D$803)))</f>
        <v/>
      </c>
      <c r="X16" s="8" t="str">
        <f>IF($B16="","",IF(COUNTIF('Competency Event Log'!$U$4:$U$803,$B16&amp;"|"&amp;X$5)=0,"",SUMIF('Competency Event Log'!$U$4:$U$803,$B16&amp;"|"&amp;X$5,'Competency Event Log'!$D$4:$D$803)))</f>
        <v/>
      </c>
      <c r="Y16" s="8">
        <f>IF($B16="","",IF(COUNTIF('Competency Event Log'!$U$4:$U$803,$B16&amp;"|"&amp;Y$5)=0,"",SUMIF('Competency Event Log'!$U$4:$U$803,$B16&amp;"|"&amp;Y$5,'Competency Event Log'!$D$4:$D$803)))</f>
        <v>1</v>
      </c>
      <c r="Z16" s="8" t="str">
        <f>IF($B16="","",IF(COUNTIF('Competency Event Log'!$U$4:$U$803,$B16&amp;"|"&amp;Z$5)=0,"",SUMIF('Competency Event Log'!$U$4:$U$803,$B16&amp;"|"&amp;Z$5,'Competency Event Log'!$D$4:$D$803)))</f>
        <v/>
      </c>
      <c r="AA16" s="8">
        <f>IF($B16="","",IF(COUNTIF('Competency Event Log'!$U$4:$U$803,$B16&amp;"|"&amp;AA$5)=0,"",SUMIF('Competency Event Log'!$U$4:$U$803,$B16&amp;"|"&amp;AA$5,'Competency Event Log'!$D$4:$D$803)))</f>
        <v>2</v>
      </c>
      <c r="AB16" s="8" t="str">
        <f>IF($B16="","",IF(COUNTIF('Competency Event Log'!$U$4:$U$803,$B16&amp;"|"&amp;AB$5)=0,"",SUMIF('Competency Event Log'!$U$4:$U$803,$B16&amp;"|"&amp;AB$5,'Competency Event Log'!$D$4:$D$803)))</f>
        <v/>
      </c>
      <c r="AC16" s="8" t="str">
        <f>IF($B16="","",IF(COUNTIF('Competency Event Log'!$U$4:$U$803,$B16&amp;"|"&amp;AC$5)=0,"",SUMIF('Competency Event Log'!$U$4:$U$803,$B16&amp;"|"&amp;AC$5,'Competency Event Log'!$D$4:$D$803)))</f>
        <v/>
      </c>
      <c r="AD16" s="8">
        <f>IF($B16="","",IF(COUNTIF('Competency Event Log'!$U$4:$U$803,$B16&amp;"|"&amp;AD$5)=0,"",SUMIF('Competency Event Log'!$U$4:$U$803,$B16&amp;"|"&amp;AD$5,'Competency Event Log'!$D$4:$D$803)))</f>
        <v>3</v>
      </c>
      <c r="AE16" s="8">
        <f>IF($B16="","",IF(COUNTIF('Competency Event Log'!$U$4:$U$803,$B16&amp;"|"&amp;AE$5)=0,"",SUMIF('Competency Event Log'!$U$4:$U$803,$B16&amp;"|"&amp;AE$5,'Competency Event Log'!$D$4:$D$803)))</f>
        <v>2</v>
      </c>
      <c r="AF16" s="8" t="str">
        <f>IF($B16="","",IF(COUNTIF('Competency Event Log'!$U$4:$U$803,$B16&amp;"|"&amp;AF$5)=0,"",SUMIF('Competency Event Log'!$U$4:$U$803,$B16&amp;"|"&amp;AF$5,'Competency Event Log'!$D$4:$D$803)))</f>
        <v/>
      </c>
      <c r="AG16" s="8">
        <f>IF($B16="","",IF(COUNTIF('Competency Event Log'!$U$4:$U$803,$B16&amp;"|"&amp;AG$5)=0,"",SUMIF('Competency Event Log'!$U$4:$U$803,$B16&amp;"|"&amp;AG$5,'Competency Event Log'!$D$4:$D$803)))</f>
        <v>2</v>
      </c>
      <c r="AH16" s="8" t="str">
        <f>IF($B16="","",IF(COUNTIF('Competency Event Log'!$U$4:$U$803,$B16&amp;"|"&amp;AH$5)=0,"",SUMIF('Competency Event Log'!$U$4:$U$803,$B16&amp;"|"&amp;AH$5,'Competency Event Log'!$D$4:$D$803)))</f>
        <v/>
      </c>
      <c r="AI16" s="8" t="str">
        <f>IF($B16="","",IF(COUNTIF('Competency Event Log'!$U$4:$U$803,$B16&amp;"|"&amp;AI$5)=0,"",SUMIF('Competency Event Log'!$U$4:$U$803,$B16&amp;"|"&amp;AI$5,'Competency Event Log'!$D$4:$D$803)))</f>
        <v/>
      </c>
      <c r="AJ16" s="8">
        <f>IF($B16="","",IF(COUNTIF('Competency Event Log'!$U$4:$U$803,$B16&amp;"|"&amp;AJ$5)=0,"",SUMIF('Competency Event Log'!$U$4:$U$803,$B16&amp;"|"&amp;AJ$5,'Competency Event Log'!$D$4:$D$803)))</f>
        <v>2</v>
      </c>
      <c r="AK16" s="8" t="str">
        <f>IF($B16="","",IF(COUNTIF('Competency Event Log'!$U$4:$U$803,$B16&amp;"|"&amp;AK$5)=0,"",SUMIF('Competency Event Log'!$U$4:$U$803,$B16&amp;"|"&amp;AK$5,'Competency Event Log'!$D$4:$D$803)))</f>
        <v/>
      </c>
      <c r="AL16" s="8" t="str">
        <f>IF($B16="","",IF(COUNTIF('Competency Event Log'!$U$4:$U$803,$B16&amp;"|"&amp;AL$5)=0,"",SUMIF('Competency Event Log'!$U$4:$U$803,$B16&amp;"|"&amp;AL$5,'Competency Event Log'!$D$4:$D$803)))</f>
        <v/>
      </c>
      <c r="AM16" s="8" t="str">
        <f>IF($B16="","",IF(COUNTIF('Competency Event Log'!$U$4:$U$803,$B16&amp;"|"&amp;AM$5)=0,"",SUMIF('Competency Event Log'!$U$4:$U$803,$B16&amp;"|"&amp;AM$5,'Competency Event Log'!$D$4:$D$803)))</f>
        <v/>
      </c>
      <c r="AN16" s="8" t="str">
        <f>IF($B16="","",IF(COUNTIF('Competency Event Log'!$U$4:$U$803,$B16&amp;"|"&amp;AN$5)=0,"",SUMIF('Competency Event Log'!$U$4:$U$803,$B16&amp;"|"&amp;AN$5,'Competency Event Log'!$D$4:$D$803)))</f>
        <v/>
      </c>
      <c r="AO16" s="8" t="str">
        <f>IF($B16="","",IF(COUNTIF('Competency Event Log'!$U$4:$U$803,$B16&amp;"|"&amp;AO$5)=0,"",SUMIF('Competency Event Log'!$U$4:$U$803,$B16&amp;"|"&amp;AO$5,'Competency Event Log'!$D$4:$D$803)))</f>
        <v/>
      </c>
      <c r="AP16" s="8" t="str">
        <f>IF($B16="","",IF(COUNTIF('Competency Event Log'!$U$4:$U$803,$B16&amp;"|"&amp;AP$5)=0,"",SUMIF('Competency Event Log'!$U$4:$U$803,$B16&amp;"|"&amp;AP$5,'Competency Event Log'!$D$4:$D$803)))</f>
        <v/>
      </c>
      <c r="AQ16" s="8" t="str">
        <f>IF($B16="","",IF(COUNTIF('Competency Event Log'!$U$4:$U$803,$B16&amp;"|"&amp;AQ$5)=0,"",SUMIF('Competency Event Log'!$U$4:$U$803,$B16&amp;"|"&amp;AQ$5,'Competency Event Log'!$D$4:$D$803)))</f>
        <v/>
      </c>
      <c r="AR16" s="8" t="str">
        <f>IF($B16="","",IF(COUNTIF('Competency Event Log'!$U$4:$U$803,$B16&amp;"|"&amp;AR$5)=0,"",SUMIF('Competency Event Log'!$U$4:$U$803,$B16&amp;"|"&amp;AR$5,'Competency Event Log'!$D$4:$D$803)))</f>
        <v/>
      </c>
      <c r="AS16" s="8" t="str">
        <f>IF($B16="","",IF(COUNTIF('Competency Event Log'!$U$4:$U$803,$B16&amp;"|"&amp;AS$5)=0,"",SUMIF('Competency Event Log'!$U$4:$U$803,$B16&amp;"|"&amp;AS$5,'Competency Event Log'!$D$4:$D$803)))</f>
        <v/>
      </c>
      <c r="AT16" s="8" t="str">
        <f>IF($B16="","",IF(COUNTIF('Competency Event Log'!$U$4:$U$803,$B16&amp;"|"&amp;AT$5)=0,"",SUMIF('Competency Event Log'!$U$4:$U$803,$B16&amp;"|"&amp;AT$5,'Competency Event Log'!$D$4:$D$803)))</f>
        <v/>
      </c>
      <c r="AU16" s="8" t="str">
        <f>IF($B16="","",IF(COUNTIF('Competency Event Log'!$U$4:$U$803,$B16&amp;"|"&amp;AU$5)=0,"",SUMIF('Competency Event Log'!$U$4:$U$803,$B16&amp;"|"&amp;AU$5,'Competency Event Log'!$D$4:$D$803)))</f>
        <v/>
      </c>
      <c r="AV16" s="8" t="str">
        <f>IF($B16="","",IF(COUNTIF('Competency Event Log'!$U$4:$U$803,$B16&amp;"|"&amp;AV$5)=0,"",SUMIF('Competency Event Log'!$U$4:$U$803,$B16&amp;"|"&amp;AV$5,'Competency Event Log'!$D$4:$D$803)))</f>
        <v/>
      </c>
      <c r="AW16" s="8" t="str">
        <f>IF($B16="","",IF(COUNTIF('Competency Event Log'!$U$4:$U$803,$B16&amp;"|"&amp;AW$5)=0,"",SUMIF('Competency Event Log'!$U$4:$U$803,$B16&amp;"|"&amp;AW$5,'Competency Event Log'!$D$4:$D$803)))</f>
        <v/>
      </c>
      <c r="AX16" s="8" t="str">
        <f>IF($B16="","",IF(COUNTIF('Competency Event Log'!$U$4:$U$803,$B16&amp;"|"&amp;AX$5)=0,"",SUMIF('Competency Event Log'!$U$4:$U$803,$B16&amp;"|"&amp;AX$5,'Competency Event Log'!$D$4:$D$803)))</f>
        <v/>
      </c>
      <c r="AY16" s="8" t="str">
        <f>IF($B16="","",IF(COUNTIF('Competency Event Log'!$U$4:$U$803,$B16&amp;"|"&amp;AY$5)=0,"",SUMIF('Competency Event Log'!$U$4:$U$803,$B16&amp;"|"&amp;AY$5,'Competency Event Log'!$D$4:$D$803)))</f>
        <v/>
      </c>
      <c r="AZ16" s="8" t="str">
        <f>IF($B16="","",IF(COUNTIF('Competency Event Log'!$U$4:$U$803,$B16&amp;"|"&amp;AZ$5)=0,"",SUMIF('Competency Event Log'!$U$4:$U$803,$B16&amp;"|"&amp;AZ$5,'Competency Event Log'!$D$4:$D$803)))</f>
        <v/>
      </c>
      <c r="BA16" s="8" t="str">
        <f>IF($B16="","",IF(COUNTIF('Competency Event Log'!$U$4:$U$803,$B16&amp;"|"&amp;BA$5)=0,"",SUMIF('Competency Event Log'!$U$4:$U$803,$B16&amp;"|"&amp;BA$5,'Competency Event Log'!$D$4:$D$803)))</f>
        <v/>
      </c>
      <c r="BB16" s="8" t="str">
        <f>IF($B16="","",IF(COUNTIF('Competency Event Log'!$U$4:$U$803,$B16&amp;"|"&amp;BB$5)=0,"",SUMIF('Competency Event Log'!$U$4:$U$803,$B16&amp;"|"&amp;BB$5,'Competency Event Log'!$D$4:$D$803)))</f>
        <v/>
      </c>
      <c r="BC16" s="8" t="str">
        <f>IF($B16="","",IF(COUNTIF('Competency Event Log'!$U$4:$U$803,$B16&amp;"|"&amp;BC$5)=0,"",SUMIF('Competency Event Log'!$U$4:$U$803,$B16&amp;"|"&amp;BC$5,'Competency Event Log'!$D$4:$D$803)))</f>
        <v/>
      </c>
      <c r="BD16" s="8" t="str">
        <f>IF($B16="","",IF(COUNTIF('Competency Event Log'!$U$4:$U$803,$B16&amp;"|"&amp;BD$5)=0,"",SUMIF('Competency Event Log'!$U$4:$U$803,$B16&amp;"|"&amp;BD$5,'Competency Event Log'!$D$4:$D$803)))</f>
        <v/>
      </c>
      <c r="BE16" s="8" t="str">
        <f>IF($B16="","",IF(COUNTIF('Competency Event Log'!$U$4:$U$803,$B16&amp;"|"&amp;BE$5)=0,"",SUMIF('Competency Event Log'!$U$4:$U$803,$B16&amp;"|"&amp;BE$5,'Competency Event Log'!$D$4:$D$803)))</f>
        <v/>
      </c>
      <c r="BF16" s="8" t="str">
        <f>IF($B16="","",IF(COUNTIF('Competency Event Log'!$U$4:$U$803,$B16&amp;"|"&amp;BF$5)=0,"",SUMIF('Competency Event Log'!$U$4:$U$803,$B16&amp;"|"&amp;BF$5,'Competency Event Log'!$D$4:$D$803)))</f>
        <v/>
      </c>
      <c r="BG16" s="8" t="str">
        <f>IF($B16="","",IF(COUNTIF('Competency Event Log'!$U$4:$U$803,$B16&amp;"|"&amp;BG$5)=0,"",SUMIF('Competency Event Log'!$U$4:$U$803,$B16&amp;"|"&amp;BG$5,'Competency Event Log'!$D$4:$D$803)))</f>
        <v/>
      </c>
      <c r="BH16" s="8" t="str">
        <f>IF($B16="","",IF(COUNTIF('Competency Event Log'!$U$4:$U$803,$B16&amp;"|"&amp;BH$5)=0,"",SUMIF('Competency Event Log'!$U$4:$U$803,$B16&amp;"|"&amp;BH$5,'Competency Event Log'!$D$4:$D$803)))</f>
        <v/>
      </c>
      <c r="BI16" s="8" t="str">
        <f>IF($B16="","",IF(COUNTIF('Competency Event Log'!$U$4:$U$803,$B16&amp;"|"&amp;BI$5)=0,"",SUMIF('Competency Event Log'!$U$4:$U$803,$B16&amp;"|"&amp;BI$5,'Competency Event Log'!$D$4:$D$803)))</f>
        <v/>
      </c>
      <c r="BJ16" s="8" t="str">
        <f>IF($B16="","",IF(COUNTIF('Competency Event Log'!$U$4:$U$803,$B16&amp;"|"&amp;BJ$5)=0,"",SUMIF('Competency Event Log'!$U$4:$U$803,$B16&amp;"|"&amp;BJ$5,'Competency Event Log'!$D$4:$D$803)))</f>
        <v/>
      </c>
      <c r="BK16" s="8" t="str">
        <f>IF($B16="","",IF(COUNTIF('Competency Event Log'!$U$4:$U$803,$B16&amp;"|"&amp;BK$5)=0,"",SUMIF('Competency Event Log'!$U$4:$U$803,$B16&amp;"|"&amp;BK$5,'Competency Event Log'!$D$4:$D$803)))</f>
        <v/>
      </c>
      <c r="BL16" s="8" t="str">
        <f>IF($B16="","",IF(COUNTIF('Competency Event Log'!$U$4:$U$803,$B16&amp;"|"&amp;BL$5)=0,"",SUMIF('Competency Event Log'!$U$4:$U$803,$B16&amp;"|"&amp;BL$5,'Competency Event Log'!$D$4:$D$803)))</f>
        <v/>
      </c>
      <c r="BM16" s="8" t="str">
        <f>IF($B16="","",IF(COUNTIF('Competency Event Log'!$U$4:$U$803,$B16&amp;"|"&amp;BM$5)=0,"",SUMIF('Competency Event Log'!$U$4:$U$803,$B16&amp;"|"&amp;BM$5,'Competency Event Log'!$D$4:$D$803)))</f>
        <v/>
      </c>
      <c r="BN16" s="8" t="str">
        <f>IF($B16="","",IF(COUNTIF('Competency Event Log'!$U$4:$U$803,$B16&amp;"|"&amp;BN$5)=0,"",SUMIF('Competency Event Log'!$U$4:$U$803,$B16&amp;"|"&amp;BN$5,'Competency Event Log'!$D$4:$D$803)))</f>
        <v/>
      </c>
      <c r="BO16" s="8" t="str">
        <f>IF($B16="","",IF(COUNTIF('Competency Event Log'!$U$4:$U$803,$B16&amp;"|"&amp;BO$5)=0,"",SUMIF('Competency Event Log'!$U$4:$U$803,$B16&amp;"|"&amp;BO$5,'Competency Event Log'!$D$4:$D$803)))</f>
        <v/>
      </c>
      <c r="BP16" s="8" t="str">
        <f>IF($B16="","",IF(COUNTIF('Competency Event Log'!$U$4:$U$803,$B16&amp;"|"&amp;BP$5)=0,"",SUMIF('Competency Event Log'!$U$4:$U$803,$B16&amp;"|"&amp;BP$5,'Competency Event Log'!$D$4:$D$803)))</f>
        <v/>
      </c>
      <c r="BQ16" s="8" t="str">
        <f>IF($B16="","",IF(COUNTIF('Competency Event Log'!$U$4:$U$803,$B16&amp;"|"&amp;BQ$5)=0,"",SUMIF('Competency Event Log'!$U$4:$U$803,$B16&amp;"|"&amp;BQ$5,'Competency Event Log'!$D$4:$D$803)))</f>
        <v/>
      </c>
      <c r="BR16" s="8" t="str">
        <f>IF($B16="","",IF(COUNTIF('Competency Event Log'!$U$4:$U$803,$B16&amp;"|"&amp;BR$5)=0,"",SUMIF('Competency Event Log'!$U$4:$U$803,$B16&amp;"|"&amp;BR$5,'Competency Event Log'!$D$4:$D$803)))</f>
        <v/>
      </c>
      <c r="BS16" s="8" t="str">
        <f>IF($B16="","",IF(COUNTIF('Competency Event Log'!$U$4:$U$803,$B16&amp;"|"&amp;BS$5)=0,"",SUMIF('Competency Event Log'!$U$4:$U$803,$B16&amp;"|"&amp;BS$5,'Competency Event Log'!$D$4:$D$803)))</f>
        <v/>
      </c>
      <c r="BT16" s="8" t="str">
        <f>IF($B16="","",IF(COUNTIF('Competency Event Log'!$U$4:$U$803,$B16&amp;"|"&amp;BT$5)=0,"",SUMIF('Competency Event Log'!$U$4:$U$803,$B16&amp;"|"&amp;BT$5,'Competency Event Log'!$D$4:$D$803)))</f>
        <v/>
      </c>
      <c r="BU16" s="8" t="str">
        <f>IF($B16="","",IF(COUNTIF('Competency Event Log'!$U$4:$U$803,$B16&amp;"|"&amp;BU$5)=0,"",SUMIF('Competency Event Log'!$U$4:$U$803,$B16&amp;"|"&amp;BU$5,'Competency Event Log'!$D$4:$D$803)))</f>
        <v/>
      </c>
      <c r="BV16" s="8" t="str">
        <f>IF($B16="","",IF(COUNTIF('Competency Event Log'!$U$4:$U$803,$B16&amp;"|"&amp;BV$5)=0,"",SUMIF('Competency Event Log'!$U$4:$U$803,$B16&amp;"|"&amp;BV$5,'Competency Event Log'!$D$4:$D$803)))</f>
        <v/>
      </c>
      <c r="BW16" s="8" t="str">
        <f>IF($B16="","",IF(COUNTIF('Competency Event Log'!$U$4:$U$803,$B16&amp;"|"&amp;BW$5)=0,"",SUMIF('Competency Event Log'!$U$4:$U$803,$B16&amp;"|"&amp;BW$5,'Competency Event Log'!$D$4:$D$803)))</f>
        <v/>
      </c>
      <c r="BX16" s="8" t="str">
        <f>IF($B16="","",IF(COUNTIF('Competency Event Log'!$U$4:$U$803,$B16&amp;"|"&amp;BX$5)=0,"",SUMIF('Competency Event Log'!$U$4:$U$803,$B16&amp;"|"&amp;BX$5,'Competency Event Log'!$D$4:$D$803)))</f>
        <v/>
      </c>
      <c r="BY16" s="8" t="str">
        <f>IF($B16="","",IF(COUNTIF('Competency Event Log'!$U$4:$U$803,$B16&amp;"|"&amp;BY$5)=0,"",SUMIF('Competency Event Log'!$U$4:$U$803,$B16&amp;"|"&amp;BY$5,'Competency Event Log'!$D$4:$D$803)))</f>
        <v/>
      </c>
      <c r="BZ16" s="8" t="str">
        <f>IF($B16="","",IF(COUNTIF('Competency Event Log'!$U$4:$U$803,$B16&amp;"|"&amp;BZ$5)=0,"",SUMIF('Competency Event Log'!$U$4:$U$803,$B16&amp;"|"&amp;BZ$5,'Competency Event Log'!$D$4:$D$803)))</f>
        <v/>
      </c>
      <c r="CA16" s="8" t="str">
        <f>IF($B16="","",IF(COUNTIF('Competency Event Log'!$U$4:$U$803,$B16&amp;"|"&amp;CA$5)=0,"",SUMIF('Competency Event Log'!$U$4:$U$803,$B16&amp;"|"&amp;CA$5,'Competency Event Log'!$D$4:$D$803)))</f>
        <v/>
      </c>
      <c r="CB16" s="8" t="str">
        <f>IF($B16="","",IF(COUNTIF('Competency Event Log'!$U$4:$U$803,$B16&amp;"|"&amp;CB$5)=0,"",SUMIF('Competency Event Log'!$U$4:$U$803,$B16&amp;"|"&amp;CB$5,'Competency Event Log'!$D$4:$D$803)))</f>
        <v/>
      </c>
      <c r="CC16" s="8" t="str">
        <f>IF($B16="","",IF(COUNTIF('Competency Event Log'!$U$4:$U$803,$B16&amp;"|"&amp;CC$5)=0,"",SUMIF('Competency Event Log'!$U$4:$U$803,$B16&amp;"|"&amp;CC$5,'Competency Event Log'!$D$4:$D$803)))</f>
        <v/>
      </c>
      <c r="CD16" s="8" t="str">
        <f>IF($B16="","",IF(COUNTIF('Competency Event Log'!$U$4:$U$803,$B16&amp;"|"&amp;CD$5)=0,"",SUMIF('Competency Event Log'!$U$4:$U$803,$B16&amp;"|"&amp;CD$5,'Competency Event Log'!$D$4:$D$803)))</f>
        <v/>
      </c>
      <c r="CE16" s="8" t="str">
        <f>IF($B16="","",IF(COUNTIF('Competency Event Log'!$U$4:$U$803,$B16&amp;"|"&amp;CE$5)=0,"",SUMIF('Competency Event Log'!$U$4:$U$803,$B16&amp;"|"&amp;CE$5,'Competency Event Log'!$D$4:$D$803)))</f>
        <v/>
      </c>
      <c r="CF16" s="8" t="str">
        <f>IF($B16="","",IF(COUNTIF('Competency Event Log'!$U$4:$U$803,$B16&amp;"|"&amp;CF$5)=0,"",SUMIF('Competency Event Log'!$U$4:$U$803,$B16&amp;"|"&amp;CF$5,'Competency Event Log'!$D$4:$D$803)))</f>
        <v/>
      </c>
      <c r="CG16" s="8" t="str">
        <f>IF($B16="","",IF(COUNTIF('Competency Event Log'!$U$4:$U$803,$B16&amp;"|"&amp;CG$5)=0,"",SUMIF('Competency Event Log'!$U$4:$U$803,$B16&amp;"|"&amp;CG$5,'Competency Event Log'!$D$4:$D$803)))</f>
        <v/>
      </c>
      <c r="CH16" s="8" t="str">
        <f>IF($B16="","",IF(COUNTIF('Competency Event Log'!$U$4:$U$803,$B16&amp;"|"&amp;CH$5)=0,"",SUMIF('Competency Event Log'!$U$4:$U$803,$B16&amp;"|"&amp;CH$5,'Competency Event Log'!$D$4:$D$803)))</f>
        <v/>
      </c>
      <c r="CI16" s="8" t="str">
        <f>IF($B16="","",IF(COUNTIF('Competency Event Log'!$U$4:$U$803,$B16&amp;"|"&amp;CI$5)=0,"",SUMIF('Competency Event Log'!$U$4:$U$803,$B16&amp;"|"&amp;CI$5,'Competency Event Log'!$D$4:$D$803)))</f>
        <v/>
      </c>
      <c r="CJ16" s="8" t="str">
        <f>IF($B16="","",IF(COUNTIF('Competency Event Log'!$U$4:$U$803,$B16&amp;"|"&amp;CJ$5)=0,"",SUMIF('Competency Event Log'!$U$4:$U$803,$B16&amp;"|"&amp;CJ$5,'Competency Event Log'!$D$4:$D$803)))</f>
        <v/>
      </c>
      <c r="CK16" s="8" t="str">
        <f>IF($B16="","",IF(COUNTIF('Competency Event Log'!$U$4:$U$803,$B16&amp;"|"&amp;CK$5)=0,"",SUMIF('Competency Event Log'!$U$4:$U$803,$B16&amp;"|"&amp;CK$5,'Competency Event Log'!$D$4:$D$803)))</f>
        <v/>
      </c>
      <c r="CL16" s="8" t="str">
        <f>IF($B16="","",IF(COUNTIF('Competency Event Log'!$U$4:$U$803,$B16&amp;"|"&amp;CL$5)=0,"",SUMIF('Competency Event Log'!$U$4:$U$803,$B16&amp;"|"&amp;CL$5,'Competency Event Log'!$D$4:$D$803)))</f>
        <v/>
      </c>
      <c r="CM16" s="8" t="str">
        <f>IF($B16="","",IF(COUNTIF('Competency Event Log'!$U$4:$U$803,$B16&amp;"|"&amp;CM$5)=0,"",SUMIF('Competency Event Log'!$U$4:$U$803,$B16&amp;"|"&amp;CM$5,'Competency Event Log'!$D$4:$D$803)))</f>
        <v/>
      </c>
      <c r="CN16" s="8" t="str">
        <f>IF($B16="","",IF(COUNTIF('Competency Event Log'!$U$4:$U$803,$B16&amp;"|"&amp;CN$5)=0,"",SUMIF('Competency Event Log'!$U$4:$U$803,$B16&amp;"|"&amp;CN$5,'Competency Event Log'!$D$4:$D$803)))</f>
        <v/>
      </c>
      <c r="CO16" s="8" t="str">
        <f>IF($B16="","",IF(COUNTIF('Competency Event Log'!$U$4:$U$803,$B16&amp;"|"&amp;CO$5)=0,"",SUMIF('Competency Event Log'!$U$4:$U$803,$B16&amp;"|"&amp;CO$5,'Competency Event Log'!$D$4:$D$803)))</f>
        <v/>
      </c>
      <c r="CP16" s="8" t="str">
        <f>IF($B16="","",IF(COUNTIF('Competency Event Log'!$U$4:$U$803,$B16&amp;"|"&amp;CP$5)=0,"",SUMIF('Competency Event Log'!$U$4:$U$803,$B16&amp;"|"&amp;CP$5,'Competency Event Log'!$D$4:$D$803)))</f>
        <v/>
      </c>
      <c r="CQ16" s="8" t="str">
        <f>IF($B16="","",IF(COUNTIF('Competency Event Log'!$U$4:$U$803,$B16&amp;"|"&amp;CQ$5)=0,"",SUMIF('Competency Event Log'!$U$4:$U$803,$B16&amp;"|"&amp;CQ$5,'Competency Event Log'!$D$4:$D$803)))</f>
        <v/>
      </c>
      <c r="CR16" s="8" t="str">
        <f>IF($B16="","",IF(COUNTIF('Competency Event Log'!$U$4:$U$803,$B16&amp;"|"&amp;CR$5)=0,"",SUMIF('Competency Event Log'!$U$4:$U$803,$B16&amp;"|"&amp;CR$5,'Competency Event Log'!$D$4:$D$803)))</f>
        <v/>
      </c>
      <c r="CS16" s="8" t="str">
        <f>IF($B16="","",IF(COUNTIF('Competency Event Log'!$U$4:$U$803,$B16&amp;"|"&amp;CS$5)=0,"",SUMIF('Competency Event Log'!$U$4:$U$803,$B16&amp;"|"&amp;CS$5,'Competency Event Log'!$D$4:$D$803)))</f>
        <v/>
      </c>
      <c r="CT16" s="8" t="str">
        <f>IF($B16="","",IF(COUNTIF('Competency Event Log'!$U$4:$U$803,$B16&amp;"|"&amp;CT$5)=0,"",SUMIF('Competency Event Log'!$U$4:$U$803,$B16&amp;"|"&amp;CT$5,'Competency Event Log'!$D$4:$D$803)))</f>
        <v/>
      </c>
      <c r="CU16" s="8" t="str">
        <f>IF($B16="","",IF(COUNTIF('Competency Event Log'!$U$4:$U$803,$B16&amp;"|"&amp;CU$5)=0,"",SUMIF('Competency Event Log'!$U$4:$U$803,$B16&amp;"|"&amp;CU$5,'Competency Event Log'!$D$4:$D$803)))</f>
        <v/>
      </c>
      <c r="CV16" s="8" t="str">
        <f>IF($B16="","",IF(COUNTIF('Competency Event Log'!$U$4:$U$803,$B16&amp;"|"&amp;CV$5)=0,"",SUMIF('Competency Event Log'!$U$4:$U$803,$B16&amp;"|"&amp;CV$5,'Competency Event Log'!$D$4:$D$803)))</f>
        <v/>
      </c>
      <c r="CW16" s="8" t="str">
        <f>IF($B16="","",IF(COUNTIF('Competency Event Log'!$U$4:$U$803,$B16&amp;"|"&amp;CW$5)=0,"",SUMIF('Competency Event Log'!$U$4:$U$803,$B16&amp;"|"&amp;CW$5,'Competency Event Log'!$D$4:$D$803)))</f>
        <v/>
      </c>
      <c r="CX16" s="8" t="str">
        <f>IF($B16="","",IF(COUNTIF('Competency Event Log'!$U$4:$U$803,$B16&amp;"|"&amp;CX$5)=0,"",SUMIF('Competency Event Log'!$U$4:$U$803,$B16&amp;"|"&amp;CX$5,'Competency Event Log'!$D$4:$D$803)))</f>
        <v/>
      </c>
      <c r="CY16" s="8" t="str">
        <f>IF($B16="","",IF(COUNTIF('Competency Event Log'!$U$4:$U$803,$B16&amp;"|"&amp;CY$5)=0,"",SUMIF('Competency Event Log'!$U$4:$U$803,$B16&amp;"|"&amp;CY$5,'Competency Event Log'!$D$4:$D$803)))</f>
        <v/>
      </c>
      <c r="CZ16" s="8" t="str">
        <f>IF($B16="","",IF(COUNTIF('Competency Event Log'!$U$4:$U$803,$B16&amp;"|"&amp;CZ$5)=0,"",SUMIF('Competency Event Log'!$U$4:$U$803,$B16&amp;"|"&amp;CZ$5,'Competency Event Log'!$D$4:$D$803)))</f>
        <v/>
      </c>
      <c r="DA16" s="8" t="str">
        <f>IF($B16="","",IF(COUNTIF('Competency Event Log'!$U$4:$U$803,$B16&amp;"|"&amp;DA$5)=0,"",SUMIF('Competency Event Log'!$U$4:$U$803,$B16&amp;"|"&amp;DA$5,'Competency Event Log'!$D$4:$D$803)))</f>
        <v/>
      </c>
      <c r="DB16" s="8" t="str">
        <f>IF($B16="","",IF(COUNTIF('Competency Event Log'!$U$4:$U$803,$B16&amp;"|"&amp;DB$5)=0,"",SUMIF('Competency Event Log'!$U$4:$U$803,$B16&amp;"|"&amp;DB$5,'Competency Event Log'!$D$4:$D$803)))</f>
        <v/>
      </c>
      <c r="DC16" s="8" t="str">
        <f>IF($B16="","",IF(COUNTIF('Competency Event Log'!$U$4:$U$803,$B16&amp;"|"&amp;DC$5)=0,"",SUMIF('Competency Event Log'!$U$4:$U$803,$B16&amp;"|"&amp;DC$5,'Competency Event Log'!$D$4:$D$803)))</f>
        <v/>
      </c>
      <c r="DD16" s="8">
        <f>IF($B16="","",IF(COUNTIF('Competency Event Log'!$U$4:$U$803,$B16&amp;"|"&amp;DD$5)=0,"",SUMIF('Competency Event Log'!$U$4:$U$803,$B16&amp;"|"&amp;DD$5,'Competency Event Log'!$D$4:$D$803)))</f>
        <v>3</v>
      </c>
      <c r="DE16" s="8" t="str">
        <f>IF($B16="","",IF(COUNTIF('Competency Event Log'!$U$4:$U$803,$B16&amp;"|"&amp;DE$5)=0,"",SUMIF('Competency Event Log'!$U$4:$U$803,$B16&amp;"|"&amp;DE$5,'Competency Event Log'!$D$4:$D$803)))</f>
        <v/>
      </c>
      <c r="DF16" s="8">
        <f t="shared" si="0"/>
        <v>15</v>
      </c>
      <c r="DG16" s="8">
        <f t="shared" si="1"/>
        <v>7</v>
      </c>
      <c r="DH16" s="8">
        <f t="shared" si="2"/>
        <v>2</v>
      </c>
      <c r="DI16" s="11">
        <f t="shared" si="3"/>
        <v>0.42857142857142855</v>
      </c>
    </row>
    <row r="17" spans="1:113">
      <c r="A17" s="7" t="s">
        <v>305</v>
      </c>
      <c r="B17" s="7" t="s">
        <v>74</v>
      </c>
      <c r="C17" s="8">
        <v>3</v>
      </c>
      <c r="D17" s="9" t="s">
        <v>667</v>
      </c>
      <c r="E17" s="10">
        <v>45668</v>
      </c>
      <c r="F17" s="8" t="s">
        <v>577</v>
      </c>
      <c r="G17" s="8" t="str">
        <f>IF($B17="","",IF(COUNTIF('Competency Event Log'!$U$4:$U$803,$B17&amp;"|"&amp;G$5)=0,"",SUMIF('Competency Event Log'!$U$4:$U$803,$B17&amp;"|"&amp;G$5,'Competency Event Log'!$D$4:$D$803)))</f>
        <v/>
      </c>
      <c r="H17" s="8" t="str">
        <f>IF($B17="","",IF(COUNTIF('Competency Event Log'!$U$4:$U$803,$B17&amp;"|"&amp;H$5)=0,"",SUMIF('Competency Event Log'!$U$4:$U$803,$B17&amp;"|"&amp;H$5,'Competency Event Log'!$D$4:$D$803)))</f>
        <v/>
      </c>
      <c r="I17" s="8" t="str">
        <f>IF($B17="","",IF(COUNTIF('Competency Event Log'!$U$4:$U$803,$B17&amp;"|"&amp;I$5)=0,"",SUMIF('Competency Event Log'!$U$4:$U$803,$B17&amp;"|"&amp;I$5,'Competency Event Log'!$D$4:$D$803)))</f>
        <v/>
      </c>
      <c r="J17" s="8" t="str">
        <f>IF($B17="","",IF(COUNTIF('Competency Event Log'!$U$4:$U$803,$B17&amp;"|"&amp;J$5)=0,"",SUMIF('Competency Event Log'!$U$4:$U$803,$B17&amp;"|"&amp;J$5,'Competency Event Log'!$D$4:$D$803)))</f>
        <v/>
      </c>
      <c r="K17" s="8" t="str">
        <f>IF($B17="","",IF(COUNTIF('Competency Event Log'!$U$4:$U$803,$B17&amp;"|"&amp;K$5)=0,"",SUMIF('Competency Event Log'!$U$4:$U$803,$B17&amp;"|"&amp;K$5,'Competency Event Log'!$D$4:$D$803)))</f>
        <v/>
      </c>
      <c r="L17" s="8" t="str">
        <f>IF($B17="","",IF(COUNTIF('Competency Event Log'!$U$4:$U$803,$B17&amp;"|"&amp;L$5)=0,"",SUMIF('Competency Event Log'!$U$4:$U$803,$B17&amp;"|"&amp;L$5,'Competency Event Log'!$D$4:$D$803)))</f>
        <v/>
      </c>
      <c r="M17" s="8" t="str">
        <f>IF($B17="","",IF(COUNTIF('Competency Event Log'!$U$4:$U$803,$B17&amp;"|"&amp;M$5)=0,"",SUMIF('Competency Event Log'!$U$4:$U$803,$B17&amp;"|"&amp;M$5,'Competency Event Log'!$D$4:$D$803)))</f>
        <v/>
      </c>
      <c r="N17" s="8" t="str">
        <f>IF($B17="","",IF(COUNTIF('Competency Event Log'!$U$4:$U$803,$B17&amp;"|"&amp;N$5)=0,"",SUMIF('Competency Event Log'!$U$4:$U$803,$B17&amp;"|"&amp;N$5,'Competency Event Log'!$D$4:$D$803)))</f>
        <v/>
      </c>
      <c r="O17" s="8" t="str">
        <f>IF($B17="","",IF(COUNTIF('Competency Event Log'!$U$4:$U$803,$B17&amp;"|"&amp;O$5)=0,"",SUMIF('Competency Event Log'!$U$4:$U$803,$B17&amp;"|"&amp;O$5,'Competency Event Log'!$D$4:$D$803)))</f>
        <v/>
      </c>
      <c r="P17" s="8" t="str">
        <f>IF($B17="","",IF(COUNTIF('Competency Event Log'!$U$4:$U$803,$B17&amp;"|"&amp;P$5)=0,"",SUMIF('Competency Event Log'!$U$4:$U$803,$B17&amp;"|"&amp;P$5,'Competency Event Log'!$D$4:$D$803)))</f>
        <v/>
      </c>
      <c r="Q17" s="8" t="str">
        <f>IF($B17="","",IF(COUNTIF('Competency Event Log'!$U$4:$U$803,$B17&amp;"|"&amp;Q$5)=0,"",SUMIF('Competency Event Log'!$U$4:$U$803,$B17&amp;"|"&amp;Q$5,'Competency Event Log'!$D$4:$D$803)))</f>
        <v/>
      </c>
      <c r="R17" s="8" t="str">
        <f>IF($B17="","",IF(COUNTIF('Competency Event Log'!$U$4:$U$803,$B17&amp;"|"&amp;R$5)=0,"",SUMIF('Competency Event Log'!$U$4:$U$803,$B17&amp;"|"&amp;R$5,'Competency Event Log'!$D$4:$D$803)))</f>
        <v/>
      </c>
      <c r="S17" s="8" t="str">
        <f>IF($B17="","",IF(COUNTIF('Competency Event Log'!$U$4:$U$803,$B17&amp;"|"&amp;S$5)=0,"",SUMIF('Competency Event Log'!$U$4:$U$803,$B17&amp;"|"&amp;S$5,'Competency Event Log'!$D$4:$D$803)))</f>
        <v/>
      </c>
      <c r="T17" s="8" t="str">
        <f>IF($B17="","",IF(COUNTIF('Competency Event Log'!$U$4:$U$803,$B17&amp;"|"&amp;T$5)=0,"",SUMIF('Competency Event Log'!$U$4:$U$803,$B17&amp;"|"&amp;T$5,'Competency Event Log'!$D$4:$D$803)))</f>
        <v/>
      </c>
      <c r="U17" s="8" t="str">
        <f>IF($B17="","",IF(COUNTIF('Competency Event Log'!$U$4:$U$803,$B17&amp;"|"&amp;U$5)=0,"",SUMIF('Competency Event Log'!$U$4:$U$803,$B17&amp;"|"&amp;U$5,'Competency Event Log'!$D$4:$D$803)))</f>
        <v/>
      </c>
      <c r="V17" s="8" t="str">
        <f>IF($B17="","",IF(COUNTIF('Competency Event Log'!$U$4:$U$803,$B17&amp;"|"&amp;V$5)=0,"",SUMIF('Competency Event Log'!$U$4:$U$803,$B17&amp;"|"&amp;V$5,'Competency Event Log'!$D$4:$D$803)))</f>
        <v/>
      </c>
      <c r="W17" s="8" t="str">
        <f>IF($B17="","",IF(COUNTIF('Competency Event Log'!$U$4:$U$803,$B17&amp;"|"&amp;W$5)=0,"",SUMIF('Competency Event Log'!$U$4:$U$803,$B17&amp;"|"&amp;W$5,'Competency Event Log'!$D$4:$D$803)))</f>
        <v/>
      </c>
      <c r="X17" s="8">
        <f>IF($B17="","",IF(COUNTIF('Competency Event Log'!$U$4:$U$803,$B17&amp;"|"&amp;X$5)=0,"",SUMIF('Competency Event Log'!$U$4:$U$803,$B17&amp;"|"&amp;X$5,'Competency Event Log'!$D$4:$D$803)))</f>
        <v>2</v>
      </c>
      <c r="Y17" s="8">
        <f>IF($B17="","",IF(COUNTIF('Competency Event Log'!$U$4:$U$803,$B17&amp;"|"&amp;Y$5)=0,"",SUMIF('Competency Event Log'!$U$4:$U$803,$B17&amp;"|"&amp;Y$5,'Competency Event Log'!$D$4:$D$803)))</f>
        <v>3</v>
      </c>
      <c r="Z17" s="8">
        <f>IF($B17="","",IF(COUNTIF('Competency Event Log'!$U$4:$U$803,$B17&amp;"|"&amp;Z$5)=0,"",SUMIF('Competency Event Log'!$U$4:$U$803,$B17&amp;"|"&amp;Z$5,'Competency Event Log'!$D$4:$D$803)))</f>
        <v>2</v>
      </c>
      <c r="AA17" s="8">
        <f>IF($B17="","",IF(COUNTIF('Competency Event Log'!$U$4:$U$803,$B17&amp;"|"&amp;AA$5)=0,"",SUMIF('Competency Event Log'!$U$4:$U$803,$B17&amp;"|"&amp;AA$5,'Competency Event Log'!$D$4:$D$803)))</f>
        <v>3</v>
      </c>
      <c r="AB17" s="8" t="str">
        <f>IF($B17="","",IF(COUNTIF('Competency Event Log'!$U$4:$U$803,$B17&amp;"|"&amp;AB$5)=0,"",SUMIF('Competency Event Log'!$U$4:$U$803,$B17&amp;"|"&amp;AB$5,'Competency Event Log'!$D$4:$D$803)))</f>
        <v/>
      </c>
      <c r="AC17" s="8" t="str">
        <f>IF($B17="","",IF(COUNTIF('Competency Event Log'!$U$4:$U$803,$B17&amp;"|"&amp;AC$5)=0,"",SUMIF('Competency Event Log'!$U$4:$U$803,$B17&amp;"|"&amp;AC$5,'Competency Event Log'!$D$4:$D$803)))</f>
        <v/>
      </c>
      <c r="AD17" s="8">
        <f>IF($B17="","",IF(COUNTIF('Competency Event Log'!$U$4:$U$803,$B17&amp;"|"&amp;AD$5)=0,"",SUMIF('Competency Event Log'!$U$4:$U$803,$B17&amp;"|"&amp;AD$5,'Competency Event Log'!$D$4:$D$803)))</f>
        <v>3</v>
      </c>
      <c r="AE17" s="8">
        <f>IF($B17="","",IF(COUNTIF('Competency Event Log'!$U$4:$U$803,$B17&amp;"|"&amp;AE$5)=0,"",SUMIF('Competency Event Log'!$U$4:$U$803,$B17&amp;"|"&amp;AE$5,'Competency Event Log'!$D$4:$D$803)))</f>
        <v>1</v>
      </c>
      <c r="AF17" s="8">
        <f>IF($B17="","",IF(COUNTIF('Competency Event Log'!$U$4:$U$803,$B17&amp;"|"&amp;AF$5)=0,"",SUMIF('Competency Event Log'!$U$4:$U$803,$B17&amp;"|"&amp;AF$5,'Competency Event Log'!$D$4:$D$803)))</f>
        <v>1</v>
      </c>
      <c r="AG17" s="8">
        <f>IF($B17="","",IF(COUNTIF('Competency Event Log'!$U$4:$U$803,$B17&amp;"|"&amp;AG$5)=0,"",SUMIF('Competency Event Log'!$U$4:$U$803,$B17&amp;"|"&amp;AG$5,'Competency Event Log'!$D$4:$D$803)))</f>
        <v>3</v>
      </c>
      <c r="AH17" s="8" t="str">
        <f>IF($B17="","",IF(COUNTIF('Competency Event Log'!$U$4:$U$803,$B17&amp;"|"&amp;AH$5)=0,"",SUMIF('Competency Event Log'!$U$4:$U$803,$B17&amp;"|"&amp;AH$5,'Competency Event Log'!$D$4:$D$803)))</f>
        <v/>
      </c>
      <c r="AI17" s="8" t="str">
        <f>IF($B17="","",IF(COUNTIF('Competency Event Log'!$U$4:$U$803,$B17&amp;"|"&amp;AI$5)=0,"",SUMIF('Competency Event Log'!$U$4:$U$803,$B17&amp;"|"&amp;AI$5,'Competency Event Log'!$D$4:$D$803)))</f>
        <v/>
      </c>
      <c r="AJ17" s="8" t="str">
        <f>IF($B17="","",IF(COUNTIF('Competency Event Log'!$U$4:$U$803,$B17&amp;"|"&amp;AJ$5)=0,"",SUMIF('Competency Event Log'!$U$4:$U$803,$B17&amp;"|"&amp;AJ$5,'Competency Event Log'!$D$4:$D$803)))</f>
        <v/>
      </c>
      <c r="AK17" s="8" t="str">
        <f>IF($B17="","",IF(COUNTIF('Competency Event Log'!$U$4:$U$803,$B17&amp;"|"&amp;AK$5)=0,"",SUMIF('Competency Event Log'!$U$4:$U$803,$B17&amp;"|"&amp;AK$5,'Competency Event Log'!$D$4:$D$803)))</f>
        <v/>
      </c>
      <c r="AL17" s="8" t="str">
        <f>IF($B17="","",IF(COUNTIF('Competency Event Log'!$U$4:$U$803,$B17&amp;"|"&amp;AL$5)=0,"",SUMIF('Competency Event Log'!$U$4:$U$803,$B17&amp;"|"&amp;AL$5,'Competency Event Log'!$D$4:$D$803)))</f>
        <v/>
      </c>
      <c r="AM17" s="8" t="str">
        <f>IF($B17="","",IF(COUNTIF('Competency Event Log'!$U$4:$U$803,$B17&amp;"|"&amp;AM$5)=0,"",SUMIF('Competency Event Log'!$U$4:$U$803,$B17&amp;"|"&amp;AM$5,'Competency Event Log'!$D$4:$D$803)))</f>
        <v/>
      </c>
      <c r="AN17" s="8" t="str">
        <f>IF($B17="","",IF(COUNTIF('Competency Event Log'!$U$4:$U$803,$B17&amp;"|"&amp;AN$5)=0,"",SUMIF('Competency Event Log'!$U$4:$U$803,$B17&amp;"|"&amp;AN$5,'Competency Event Log'!$D$4:$D$803)))</f>
        <v/>
      </c>
      <c r="AO17" s="8" t="str">
        <f>IF($B17="","",IF(COUNTIF('Competency Event Log'!$U$4:$U$803,$B17&amp;"|"&amp;AO$5)=0,"",SUMIF('Competency Event Log'!$U$4:$U$803,$B17&amp;"|"&amp;AO$5,'Competency Event Log'!$D$4:$D$803)))</f>
        <v/>
      </c>
      <c r="AP17" s="8" t="str">
        <f>IF($B17="","",IF(COUNTIF('Competency Event Log'!$U$4:$U$803,$B17&amp;"|"&amp;AP$5)=0,"",SUMIF('Competency Event Log'!$U$4:$U$803,$B17&amp;"|"&amp;AP$5,'Competency Event Log'!$D$4:$D$803)))</f>
        <v/>
      </c>
      <c r="AQ17" s="8" t="str">
        <f>IF($B17="","",IF(COUNTIF('Competency Event Log'!$U$4:$U$803,$B17&amp;"|"&amp;AQ$5)=0,"",SUMIF('Competency Event Log'!$U$4:$U$803,$B17&amp;"|"&amp;AQ$5,'Competency Event Log'!$D$4:$D$803)))</f>
        <v/>
      </c>
      <c r="AR17" s="8" t="str">
        <f>IF($B17="","",IF(COUNTIF('Competency Event Log'!$U$4:$U$803,$B17&amp;"|"&amp;AR$5)=0,"",SUMIF('Competency Event Log'!$U$4:$U$803,$B17&amp;"|"&amp;AR$5,'Competency Event Log'!$D$4:$D$803)))</f>
        <v/>
      </c>
      <c r="AS17" s="8" t="str">
        <f>IF($B17="","",IF(COUNTIF('Competency Event Log'!$U$4:$U$803,$B17&amp;"|"&amp;AS$5)=0,"",SUMIF('Competency Event Log'!$U$4:$U$803,$B17&amp;"|"&amp;AS$5,'Competency Event Log'!$D$4:$D$803)))</f>
        <v/>
      </c>
      <c r="AT17" s="8" t="str">
        <f>IF($B17="","",IF(COUNTIF('Competency Event Log'!$U$4:$U$803,$B17&amp;"|"&amp;AT$5)=0,"",SUMIF('Competency Event Log'!$U$4:$U$803,$B17&amp;"|"&amp;AT$5,'Competency Event Log'!$D$4:$D$803)))</f>
        <v/>
      </c>
      <c r="AU17" s="8" t="str">
        <f>IF($B17="","",IF(COUNTIF('Competency Event Log'!$U$4:$U$803,$B17&amp;"|"&amp;AU$5)=0,"",SUMIF('Competency Event Log'!$U$4:$U$803,$B17&amp;"|"&amp;AU$5,'Competency Event Log'!$D$4:$D$803)))</f>
        <v/>
      </c>
      <c r="AV17" s="8" t="str">
        <f>IF($B17="","",IF(COUNTIF('Competency Event Log'!$U$4:$U$803,$B17&amp;"|"&amp;AV$5)=0,"",SUMIF('Competency Event Log'!$U$4:$U$803,$B17&amp;"|"&amp;AV$5,'Competency Event Log'!$D$4:$D$803)))</f>
        <v/>
      </c>
      <c r="AW17" s="8" t="str">
        <f>IF($B17="","",IF(COUNTIF('Competency Event Log'!$U$4:$U$803,$B17&amp;"|"&amp;AW$5)=0,"",SUMIF('Competency Event Log'!$U$4:$U$803,$B17&amp;"|"&amp;AW$5,'Competency Event Log'!$D$4:$D$803)))</f>
        <v/>
      </c>
      <c r="AX17" s="8" t="str">
        <f>IF($B17="","",IF(COUNTIF('Competency Event Log'!$U$4:$U$803,$B17&amp;"|"&amp;AX$5)=0,"",SUMIF('Competency Event Log'!$U$4:$U$803,$B17&amp;"|"&amp;AX$5,'Competency Event Log'!$D$4:$D$803)))</f>
        <v/>
      </c>
      <c r="AY17" s="8" t="str">
        <f>IF($B17="","",IF(COUNTIF('Competency Event Log'!$U$4:$U$803,$B17&amp;"|"&amp;AY$5)=0,"",SUMIF('Competency Event Log'!$U$4:$U$803,$B17&amp;"|"&amp;AY$5,'Competency Event Log'!$D$4:$D$803)))</f>
        <v/>
      </c>
      <c r="AZ17" s="8" t="str">
        <f>IF($B17="","",IF(COUNTIF('Competency Event Log'!$U$4:$U$803,$B17&amp;"|"&amp;AZ$5)=0,"",SUMIF('Competency Event Log'!$U$4:$U$803,$B17&amp;"|"&amp;AZ$5,'Competency Event Log'!$D$4:$D$803)))</f>
        <v/>
      </c>
      <c r="BA17" s="8" t="str">
        <f>IF($B17="","",IF(COUNTIF('Competency Event Log'!$U$4:$U$803,$B17&amp;"|"&amp;BA$5)=0,"",SUMIF('Competency Event Log'!$U$4:$U$803,$B17&amp;"|"&amp;BA$5,'Competency Event Log'!$D$4:$D$803)))</f>
        <v/>
      </c>
      <c r="BB17" s="8" t="str">
        <f>IF($B17="","",IF(COUNTIF('Competency Event Log'!$U$4:$U$803,$B17&amp;"|"&amp;BB$5)=0,"",SUMIF('Competency Event Log'!$U$4:$U$803,$B17&amp;"|"&amp;BB$5,'Competency Event Log'!$D$4:$D$803)))</f>
        <v/>
      </c>
      <c r="BC17" s="8" t="str">
        <f>IF($B17="","",IF(COUNTIF('Competency Event Log'!$U$4:$U$803,$B17&amp;"|"&amp;BC$5)=0,"",SUMIF('Competency Event Log'!$U$4:$U$803,$B17&amp;"|"&amp;BC$5,'Competency Event Log'!$D$4:$D$803)))</f>
        <v/>
      </c>
      <c r="BD17" s="8" t="str">
        <f>IF($B17="","",IF(COUNTIF('Competency Event Log'!$U$4:$U$803,$B17&amp;"|"&amp;BD$5)=0,"",SUMIF('Competency Event Log'!$U$4:$U$803,$B17&amp;"|"&amp;BD$5,'Competency Event Log'!$D$4:$D$803)))</f>
        <v/>
      </c>
      <c r="BE17" s="8" t="str">
        <f>IF($B17="","",IF(COUNTIF('Competency Event Log'!$U$4:$U$803,$B17&amp;"|"&amp;BE$5)=0,"",SUMIF('Competency Event Log'!$U$4:$U$803,$B17&amp;"|"&amp;BE$5,'Competency Event Log'!$D$4:$D$803)))</f>
        <v/>
      </c>
      <c r="BF17" s="8" t="str">
        <f>IF($B17="","",IF(COUNTIF('Competency Event Log'!$U$4:$U$803,$B17&amp;"|"&amp;BF$5)=0,"",SUMIF('Competency Event Log'!$U$4:$U$803,$B17&amp;"|"&amp;BF$5,'Competency Event Log'!$D$4:$D$803)))</f>
        <v/>
      </c>
      <c r="BG17" s="8" t="str">
        <f>IF($B17="","",IF(COUNTIF('Competency Event Log'!$U$4:$U$803,$B17&amp;"|"&amp;BG$5)=0,"",SUMIF('Competency Event Log'!$U$4:$U$803,$B17&amp;"|"&amp;BG$5,'Competency Event Log'!$D$4:$D$803)))</f>
        <v/>
      </c>
      <c r="BH17" s="8" t="str">
        <f>IF($B17="","",IF(COUNTIF('Competency Event Log'!$U$4:$U$803,$B17&amp;"|"&amp;BH$5)=0,"",SUMIF('Competency Event Log'!$U$4:$U$803,$B17&amp;"|"&amp;BH$5,'Competency Event Log'!$D$4:$D$803)))</f>
        <v/>
      </c>
      <c r="BI17" s="8" t="str">
        <f>IF($B17="","",IF(COUNTIF('Competency Event Log'!$U$4:$U$803,$B17&amp;"|"&amp;BI$5)=0,"",SUMIF('Competency Event Log'!$U$4:$U$803,$B17&amp;"|"&amp;BI$5,'Competency Event Log'!$D$4:$D$803)))</f>
        <v/>
      </c>
      <c r="BJ17" s="8" t="str">
        <f>IF($B17="","",IF(COUNTIF('Competency Event Log'!$U$4:$U$803,$B17&amp;"|"&amp;BJ$5)=0,"",SUMIF('Competency Event Log'!$U$4:$U$803,$B17&amp;"|"&amp;BJ$5,'Competency Event Log'!$D$4:$D$803)))</f>
        <v/>
      </c>
      <c r="BK17" s="8" t="str">
        <f>IF($B17="","",IF(COUNTIF('Competency Event Log'!$U$4:$U$803,$B17&amp;"|"&amp;BK$5)=0,"",SUMIF('Competency Event Log'!$U$4:$U$803,$B17&amp;"|"&amp;BK$5,'Competency Event Log'!$D$4:$D$803)))</f>
        <v/>
      </c>
      <c r="BL17" s="8" t="str">
        <f>IF($B17="","",IF(COUNTIF('Competency Event Log'!$U$4:$U$803,$B17&amp;"|"&amp;BL$5)=0,"",SUMIF('Competency Event Log'!$U$4:$U$803,$B17&amp;"|"&amp;BL$5,'Competency Event Log'!$D$4:$D$803)))</f>
        <v/>
      </c>
      <c r="BM17" s="8" t="str">
        <f>IF($B17="","",IF(COUNTIF('Competency Event Log'!$U$4:$U$803,$B17&amp;"|"&amp;BM$5)=0,"",SUMIF('Competency Event Log'!$U$4:$U$803,$B17&amp;"|"&amp;BM$5,'Competency Event Log'!$D$4:$D$803)))</f>
        <v/>
      </c>
      <c r="BN17" s="8" t="str">
        <f>IF($B17="","",IF(COUNTIF('Competency Event Log'!$U$4:$U$803,$B17&amp;"|"&amp;BN$5)=0,"",SUMIF('Competency Event Log'!$U$4:$U$803,$B17&amp;"|"&amp;BN$5,'Competency Event Log'!$D$4:$D$803)))</f>
        <v/>
      </c>
      <c r="BO17" s="8" t="str">
        <f>IF($B17="","",IF(COUNTIF('Competency Event Log'!$U$4:$U$803,$B17&amp;"|"&amp;BO$5)=0,"",SUMIF('Competency Event Log'!$U$4:$U$803,$B17&amp;"|"&amp;BO$5,'Competency Event Log'!$D$4:$D$803)))</f>
        <v/>
      </c>
      <c r="BP17" s="8" t="str">
        <f>IF($B17="","",IF(COUNTIF('Competency Event Log'!$U$4:$U$803,$B17&amp;"|"&amp;BP$5)=0,"",SUMIF('Competency Event Log'!$U$4:$U$803,$B17&amp;"|"&amp;BP$5,'Competency Event Log'!$D$4:$D$803)))</f>
        <v/>
      </c>
      <c r="BQ17" s="8" t="str">
        <f>IF($B17="","",IF(COUNTIF('Competency Event Log'!$U$4:$U$803,$B17&amp;"|"&amp;BQ$5)=0,"",SUMIF('Competency Event Log'!$U$4:$U$803,$B17&amp;"|"&amp;BQ$5,'Competency Event Log'!$D$4:$D$803)))</f>
        <v/>
      </c>
      <c r="BR17" s="8" t="str">
        <f>IF($B17="","",IF(COUNTIF('Competency Event Log'!$U$4:$U$803,$B17&amp;"|"&amp;BR$5)=0,"",SUMIF('Competency Event Log'!$U$4:$U$803,$B17&amp;"|"&amp;BR$5,'Competency Event Log'!$D$4:$D$803)))</f>
        <v/>
      </c>
      <c r="BS17" s="8" t="str">
        <f>IF($B17="","",IF(COUNTIF('Competency Event Log'!$U$4:$U$803,$B17&amp;"|"&amp;BS$5)=0,"",SUMIF('Competency Event Log'!$U$4:$U$803,$B17&amp;"|"&amp;BS$5,'Competency Event Log'!$D$4:$D$803)))</f>
        <v/>
      </c>
      <c r="BT17" s="8" t="str">
        <f>IF($B17="","",IF(COUNTIF('Competency Event Log'!$U$4:$U$803,$B17&amp;"|"&amp;BT$5)=0,"",SUMIF('Competency Event Log'!$U$4:$U$803,$B17&amp;"|"&amp;BT$5,'Competency Event Log'!$D$4:$D$803)))</f>
        <v/>
      </c>
      <c r="BU17" s="8" t="str">
        <f>IF($B17="","",IF(COUNTIF('Competency Event Log'!$U$4:$U$803,$B17&amp;"|"&amp;BU$5)=0,"",SUMIF('Competency Event Log'!$U$4:$U$803,$B17&amp;"|"&amp;BU$5,'Competency Event Log'!$D$4:$D$803)))</f>
        <v/>
      </c>
      <c r="BV17" s="8" t="str">
        <f>IF($B17="","",IF(COUNTIF('Competency Event Log'!$U$4:$U$803,$B17&amp;"|"&amp;BV$5)=0,"",SUMIF('Competency Event Log'!$U$4:$U$803,$B17&amp;"|"&amp;BV$5,'Competency Event Log'!$D$4:$D$803)))</f>
        <v/>
      </c>
      <c r="BW17" s="8" t="str">
        <f>IF($B17="","",IF(COUNTIF('Competency Event Log'!$U$4:$U$803,$B17&amp;"|"&amp;BW$5)=0,"",SUMIF('Competency Event Log'!$U$4:$U$803,$B17&amp;"|"&amp;BW$5,'Competency Event Log'!$D$4:$D$803)))</f>
        <v/>
      </c>
      <c r="BX17" s="8" t="str">
        <f>IF($B17="","",IF(COUNTIF('Competency Event Log'!$U$4:$U$803,$B17&amp;"|"&amp;BX$5)=0,"",SUMIF('Competency Event Log'!$U$4:$U$803,$B17&amp;"|"&amp;BX$5,'Competency Event Log'!$D$4:$D$803)))</f>
        <v/>
      </c>
      <c r="BY17" s="8" t="str">
        <f>IF($B17="","",IF(COUNTIF('Competency Event Log'!$U$4:$U$803,$B17&amp;"|"&amp;BY$5)=0,"",SUMIF('Competency Event Log'!$U$4:$U$803,$B17&amp;"|"&amp;BY$5,'Competency Event Log'!$D$4:$D$803)))</f>
        <v/>
      </c>
      <c r="BZ17" s="8" t="str">
        <f>IF($B17="","",IF(COUNTIF('Competency Event Log'!$U$4:$U$803,$B17&amp;"|"&amp;BZ$5)=0,"",SUMIF('Competency Event Log'!$U$4:$U$803,$B17&amp;"|"&amp;BZ$5,'Competency Event Log'!$D$4:$D$803)))</f>
        <v/>
      </c>
      <c r="CA17" s="8" t="str">
        <f>IF($B17="","",IF(COUNTIF('Competency Event Log'!$U$4:$U$803,$B17&amp;"|"&amp;CA$5)=0,"",SUMIF('Competency Event Log'!$U$4:$U$803,$B17&amp;"|"&amp;CA$5,'Competency Event Log'!$D$4:$D$803)))</f>
        <v/>
      </c>
      <c r="CB17" s="8" t="str">
        <f>IF($B17="","",IF(COUNTIF('Competency Event Log'!$U$4:$U$803,$B17&amp;"|"&amp;CB$5)=0,"",SUMIF('Competency Event Log'!$U$4:$U$803,$B17&amp;"|"&amp;CB$5,'Competency Event Log'!$D$4:$D$803)))</f>
        <v/>
      </c>
      <c r="CC17" s="8" t="str">
        <f>IF($B17="","",IF(COUNTIF('Competency Event Log'!$U$4:$U$803,$B17&amp;"|"&amp;CC$5)=0,"",SUMIF('Competency Event Log'!$U$4:$U$803,$B17&amp;"|"&amp;CC$5,'Competency Event Log'!$D$4:$D$803)))</f>
        <v/>
      </c>
      <c r="CD17" s="8" t="str">
        <f>IF($B17="","",IF(COUNTIF('Competency Event Log'!$U$4:$U$803,$B17&amp;"|"&amp;CD$5)=0,"",SUMIF('Competency Event Log'!$U$4:$U$803,$B17&amp;"|"&amp;CD$5,'Competency Event Log'!$D$4:$D$803)))</f>
        <v/>
      </c>
      <c r="CE17" s="8" t="str">
        <f>IF($B17="","",IF(COUNTIF('Competency Event Log'!$U$4:$U$803,$B17&amp;"|"&amp;CE$5)=0,"",SUMIF('Competency Event Log'!$U$4:$U$803,$B17&amp;"|"&amp;CE$5,'Competency Event Log'!$D$4:$D$803)))</f>
        <v/>
      </c>
      <c r="CF17" s="8" t="str">
        <f>IF($B17="","",IF(COUNTIF('Competency Event Log'!$U$4:$U$803,$B17&amp;"|"&amp;CF$5)=0,"",SUMIF('Competency Event Log'!$U$4:$U$803,$B17&amp;"|"&amp;CF$5,'Competency Event Log'!$D$4:$D$803)))</f>
        <v/>
      </c>
      <c r="CG17" s="8" t="str">
        <f>IF($B17="","",IF(COUNTIF('Competency Event Log'!$U$4:$U$803,$B17&amp;"|"&amp;CG$5)=0,"",SUMIF('Competency Event Log'!$U$4:$U$803,$B17&amp;"|"&amp;CG$5,'Competency Event Log'!$D$4:$D$803)))</f>
        <v/>
      </c>
      <c r="CH17" s="8" t="str">
        <f>IF($B17="","",IF(COUNTIF('Competency Event Log'!$U$4:$U$803,$B17&amp;"|"&amp;CH$5)=0,"",SUMIF('Competency Event Log'!$U$4:$U$803,$B17&amp;"|"&amp;CH$5,'Competency Event Log'!$D$4:$D$803)))</f>
        <v/>
      </c>
      <c r="CI17" s="8" t="str">
        <f>IF($B17="","",IF(COUNTIF('Competency Event Log'!$U$4:$U$803,$B17&amp;"|"&amp;CI$5)=0,"",SUMIF('Competency Event Log'!$U$4:$U$803,$B17&amp;"|"&amp;CI$5,'Competency Event Log'!$D$4:$D$803)))</f>
        <v/>
      </c>
      <c r="CJ17" s="8" t="str">
        <f>IF($B17="","",IF(COUNTIF('Competency Event Log'!$U$4:$U$803,$B17&amp;"|"&amp;CJ$5)=0,"",SUMIF('Competency Event Log'!$U$4:$U$803,$B17&amp;"|"&amp;CJ$5,'Competency Event Log'!$D$4:$D$803)))</f>
        <v/>
      </c>
      <c r="CK17" s="8" t="str">
        <f>IF($B17="","",IF(COUNTIF('Competency Event Log'!$U$4:$U$803,$B17&amp;"|"&amp;CK$5)=0,"",SUMIF('Competency Event Log'!$U$4:$U$803,$B17&amp;"|"&amp;CK$5,'Competency Event Log'!$D$4:$D$803)))</f>
        <v/>
      </c>
      <c r="CL17" s="8" t="str">
        <f>IF($B17="","",IF(COUNTIF('Competency Event Log'!$U$4:$U$803,$B17&amp;"|"&amp;CL$5)=0,"",SUMIF('Competency Event Log'!$U$4:$U$803,$B17&amp;"|"&amp;CL$5,'Competency Event Log'!$D$4:$D$803)))</f>
        <v/>
      </c>
      <c r="CM17" s="8" t="str">
        <f>IF($B17="","",IF(COUNTIF('Competency Event Log'!$U$4:$U$803,$B17&amp;"|"&amp;CM$5)=0,"",SUMIF('Competency Event Log'!$U$4:$U$803,$B17&amp;"|"&amp;CM$5,'Competency Event Log'!$D$4:$D$803)))</f>
        <v/>
      </c>
      <c r="CN17" s="8" t="str">
        <f>IF($B17="","",IF(COUNTIF('Competency Event Log'!$U$4:$U$803,$B17&amp;"|"&amp;CN$5)=0,"",SUMIF('Competency Event Log'!$U$4:$U$803,$B17&amp;"|"&amp;CN$5,'Competency Event Log'!$D$4:$D$803)))</f>
        <v/>
      </c>
      <c r="CO17" s="8" t="str">
        <f>IF($B17="","",IF(COUNTIF('Competency Event Log'!$U$4:$U$803,$B17&amp;"|"&amp;CO$5)=0,"",SUMIF('Competency Event Log'!$U$4:$U$803,$B17&amp;"|"&amp;CO$5,'Competency Event Log'!$D$4:$D$803)))</f>
        <v/>
      </c>
      <c r="CP17" s="8" t="str">
        <f>IF($B17="","",IF(COUNTIF('Competency Event Log'!$U$4:$U$803,$B17&amp;"|"&amp;CP$5)=0,"",SUMIF('Competency Event Log'!$U$4:$U$803,$B17&amp;"|"&amp;CP$5,'Competency Event Log'!$D$4:$D$803)))</f>
        <v/>
      </c>
      <c r="CQ17" s="8" t="str">
        <f>IF($B17="","",IF(COUNTIF('Competency Event Log'!$U$4:$U$803,$B17&amp;"|"&amp;CQ$5)=0,"",SUMIF('Competency Event Log'!$U$4:$U$803,$B17&amp;"|"&amp;CQ$5,'Competency Event Log'!$D$4:$D$803)))</f>
        <v/>
      </c>
      <c r="CR17" s="8" t="str">
        <f>IF($B17="","",IF(COUNTIF('Competency Event Log'!$U$4:$U$803,$B17&amp;"|"&amp;CR$5)=0,"",SUMIF('Competency Event Log'!$U$4:$U$803,$B17&amp;"|"&amp;CR$5,'Competency Event Log'!$D$4:$D$803)))</f>
        <v/>
      </c>
      <c r="CS17" s="8" t="str">
        <f>IF($B17="","",IF(COUNTIF('Competency Event Log'!$U$4:$U$803,$B17&amp;"|"&amp;CS$5)=0,"",SUMIF('Competency Event Log'!$U$4:$U$803,$B17&amp;"|"&amp;CS$5,'Competency Event Log'!$D$4:$D$803)))</f>
        <v/>
      </c>
      <c r="CT17" s="8" t="str">
        <f>IF($B17="","",IF(COUNTIF('Competency Event Log'!$U$4:$U$803,$B17&amp;"|"&amp;CT$5)=0,"",SUMIF('Competency Event Log'!$U$4:$U$803,$B17&amp;"|"&amp;CT$5,'Competency Event Log'!$D$4:$D$803)))</f>
        <v/>
      </c>
      <c r="CU17" s="8" t="str">
        <f>IF($B17="","",IF(COUNTIF('Competency Event Log'!$U$4:$U$803,$B17&amp;"|"&amp;CU$5)=0,"",SUMIF('Competency Event Log'!$U$4:$U$803,$B17&amp;"|"&amp;CU$5,'Competency Event Log'!$D$4:$D$803)))</f>
        <v/>
      </c>
      <c r="CV17" s="8" t="str">
        <f>IF($B17="","",IF(COUNTIF('Competency Event Log'!$U$4:$U$803,$B17&amp;"|"&amp;CV$5)=0,"",SUMIF('Competency Event Log'!$U$4:$U$803,$B17&amp;"|"&amp;CV$5,'Competency Event Log'!$D$4:$D$803)))</f>
        <v/>
      </c>
      <c r="CW17" s="8" t="str">
        <f>IF($B17="","",IF(COUNTIF('Competency Event Log'!$U$4:$U$803,$B17&amp;"|"&amp;CW$5)=0,"",SUMIF('Competency Event Log'!$U$4:$U$803,$B17&amp;"|"&amp;CW$5,'Competency Event Log'!$D$4:$D$803)))</f>
        <v/>
      </c>
      <c r="CX17" s="8" t="str">
        <f>IF($B17="","",IF(COUNTIF('Competency Event Log'!$U$4:$U$803,$B17&amp;"|"&amp;CX$5)=0,"",SUMIF('Competency Event Log'!$U$4:$U$803,$B17&amp;"|"&amp;CX$5,'Competency Event Log'!$D$4:$D$803)))</f>
        <v/>
      </c>
      <c r="CY17" s="8" t="str">
        <f>IF($B17="","",IF(COUNTIF('Competency Event Log'!$U$4:$U$803,$B17&amp;"|"&amp;CY$5)=0,"",SUMIF('Competency Event Log'!$U$4:$U$803,$B17&amp;"|"&amp;CY$5,'Competency Event Log'!$D$4:$D$803)))</f>
        <v/>
      </c>
      <c r="CZ17" s="8" t="str">
        <f>IF($B17="","",IF(COUNTIF('Competency Event Log'!$U$4:$U$803,$B17&amp;"|"&amp;CZ$5)=0,"",SUMIF('Competency Event Log'!$U$4:$U$803,$B17&amp;"|"&amp;CZ$5,'Competency Event Log'!$D$4:$D$803)))</f>
        <v/>
      </c>
      <c r="DA17" s="8" t="str">
        <f>IF($B17="","",IF(COUNTIF('Competency Event Log'!$U$4:$U$803,$B17&amp;"|"&amp;DA$5)=0,"",SUMIF('Competency Event Log'!$U$4:$U$803,$B17&amp;"|"&amp;DA$5,'Competency Event Log'!$D$4:$D$803)))</f>
        <v/>
      </c>
      <c r="DB17" s="8" t="str">
        <f>IF($B17="","",IF(COUNTIF('Competency Event Log'!$U$4:$U$803,$B17&amp;"|"&amp;DB$5)=0,"",SUMIF('Competency Event Log'!$U$4:$U$803,$B17&amp;"|"&amp;DB$5,'Competency Event Log'!$D$4:$D$803)))</f>
        <v/>
      </c>
      <c r="DC17" s="8" t="str">
        <f>IF($B17="","",IF(COUNTIF('Competency Event Log'!$U$4:$U$803,$B17&amp;"|"&amp;DC$5)=0,"",SUMIF('Competency Event Log'!$U$4:$U$803,$B17&amp;"|"&amp;DC$5,'Competency Event Log'!$D$4:$D$803)))</f>
        <v/>
      </c>
      <c r="DD17" s="8" t="str">
        <f>IF($B17="","",IF(COUNTIF('Competency Event Log'!$U$4:$U$803,$B17&amp;"|"&amp;DD$5)=0,"",SUMIF('Competency Event Log'!$U$4:$U$803,$B17&amp;"|"&amp;DD$5,'Competency Event Log'!$D$4:$D$803)))</f>
        <v/>
      </c>
      <c r="DE17" s="8" t="str">
        <f>IF($B17="","",IF(COUNTIF('Competency Event Log'!$U$4:$U$803,$B17&amp;"|"&amp;DE$5)=0,"",SUMIF('Competency Event Log'!$U$4:$U$803,$B17&amp;"|"&amp;DE$5,'Competency Event Log'!$D$4:$D$803)))</f>
        <v/>
      </c>
      <c r="DF17" s="8">
        <f t="shared" si="0"/>
        <v>18</v>
      </c>
      <c r="DG17" s="8">
        <f t="shared" si="1"/>
        <v>8</v>
      </c>
      <c r="DH17" s="8">
        <f t="shared" si="2"/>
        <v>4</v>
      </c>
      <c r="DI17" s="11">
        <f t="shared" si="3"/>
        <v>0.5714285714285714</v>
      </c>
    </row>
    <row r="18" spans="1:113">
      <c r="A18" s="7" t="s">
        <v>306</v>
      </c>
      <c r="B18" s="7" t="s">
        <v>77</v>
      </c>
      <c r="C18" s="8">
        <v>1</v>
      </c>
      <c r="D18" s="9" t="s">
        <v>685</v>
      </c>
      <c r="E18" s="10">
        <v>43638</v>
      </c>
      <c r="F18" s="8" t="s">
        <v>683</v>
      </c>
      <c r="G18" s="8" t="str">
        <f>IF($B18="","",IF(COUNTIF('Competency Event Log'!$U$4:$U$803,$B18&amp;"|"&amp;G$5)=0,"",SUMIF('Competency Event Log'!$U$4:$U$803,$B18&amp;"|"&amp;G$5,'Competency Event Log'!$D$4:$D$803)))</f>
        <v/>
      </c>
      <c r="H18" s="8" t="str">
        <f>IF($B18="","",IF(COUNTIF('Competency Event Log'!$U$4:$U$803,$B18&amp;"|"&amp;H$5)=0,"",SUMIF('Competency Event Log'!$U$4:$U$803,$B18&amp;"|"&amp;H$5,'Competency Event Log'!$D$4:$D$803)))</f>
        <v/>
      </c>
      <c r="I18" s="8" t="str">
        <f>IF($B18="","",IF(COUNTIF('Competency Event Log'!$U$4:$U$803,$B18&amp;"|"&amp;I$5)=0,"",SUMIF('Competency Event Log'!$U$4:$U$803,$B18&amp;"|"&amp;I$5,'Competency Event Log'!$D$4:$D$803)))</f>
        <v/>
      </c>
      <c r="J18" s="8" t="str">
        <f>IF($B18="","",IF(COUNTIF('Competency Event Log'!$U$4:$U$803,$B18&amp;"|"&amp;J$5)=0,"",SUMIF('Competency Event Log'!$U$4:$U$803,$B18&amp;"|"&amp;J$5,'Competency Event Log'!$D$4:$D$803)))</f>
        <v/>
      </c>
      <c r="K18" s="8" t="str">
        <f>IF($B18="","",IF(COUNTIF('Competency Event Log'!$U$4:$U$803,$B18&amp;"|"&amp;K$5)=0,"",SUMIF('Competency Event Log'!$U$4:$U$803,$B18&amp;"|"&amp;K$5,'Competency Event Log'!$D$4:$D$803)))</f>
        <v/>
      </c>
      <c r="L18" s="8" t="str">
        <f>IF($B18="","",IF(COUNTIF('Competency Event Log'!$U$4:$U$803,$B18&amp;"|"&amp;L$5)=0,"",SUMIF('Competency Event Log'!$U$4:$U$803,$B18&amp;"|"&amp;L$5,'Competency Event Log'!$D$4:$D$803)))</f>
        <v/>
      </c>
      <c r="M18" s="8" t="str">
        <f>IF($B18="","",IF(COUNTIF('Competency Event Log'!$U$4:$U$803,$B18&amp;"|"&amp;M$5)=0,"",SUMIF('Competency Event Log'!$U$4:$U$803,$B18&amp;"|"&amp;M$5,'Competency Event Log'!$D$4:$D$803)))</f>
        <v/>
      </c>
      <c r="N18" s="8" t="str">
        <f>IF($B18="","",IF(COUNTIF('Competency Event Log'!$U$4:$U$803,$B18&amp;"|"&amp;N$5)=0,"",SUMIF('Competency Event Log'!$U$4:$U$803,$B18&amp;"|"&amp;N$5,'Competency Event Log'!$D$4:$D$803)))</f>
        <v/>
      </c>
      <c r="O18" s="8" t="str">
        <f>IF($B18="","",IF(COUNTIF('Competency Event Log'!$U$4:$U$803,$B18&amp;"|"&amp;O$5)=0,"",SUMIF('Competency Event Log'!$U$4:$U$803,$B18&amp;"|"&amp;O$5,'Competency Event Log'!$D$4:$D$803)))</f>
        <v/>
      </c>
      <c r="P18" s="8" t="str">
        <f>IF($B18="","",IF(COUNTIF('Competency Event Log'!$U$4:$U$803,$B18&amp;"|"&amp;P$5)=0,"",SUMIF('Competency Event Log'!$U$4:$U$803,$B18&amp;"|"&amp;P$5,'Competency Event Log'!$D$4:$D$803)))</f>
        <v/>
      </c>
      <c r="Q18" s="8" t="str">
        <f>IF($B18="","",IF(COUNTIF('Competency Event Log'!$U$4:$U$803,$B18&amp;"|"&amp;Q$5)=0,"",SUMIF('Competency Event Log'!$U$4:$U$803,$B18&amp;"|"&amp;Q$5,'Competency Event Log'!$D$4:$D$803)))</f>
        <v/>
      </c>
      <c r="R18" s="8" t="str">
        <f>IF($B18="","",IF(COUNTIF('Competency Event Log'!$U$4:$U$803,$B18&amp;"|"&amp;R$5)=0,"",SUMIF('Competency Event Log'!$U$4:$U$803,$B18&amp;"|"&amp;R$5,'Competency Event Log'!$D$4:$D$803)))</f>
        <v/>
      </c>
      <c r="S18" s="8" t="str">
        <f>IF($B18="","",IF(COUNTIF('Competency Event Log'!$U$4:$U$803,$B18&amp;"|"&amp;S$5)=0,"",SUMIF('Competency Event Log'!$U$4:$U$803,$B18&amp;"|"&amp;S$5,'Competency Event Log'!$D$4:$D$803)))</f>
        <v/>
      </c>
      <c r="T18" s="8" t="str">
        <f>IF($B18="","",IF(COUNTIF('Competency Event Log'!$U$4:$U$803,$B18&amp;"|"&amp;T$5)=0,"",SUMIF('Competency Event Log'!$U$4:$U$803,$B18&amp;"|"&amp;T$5,'Competency Event Log'!$D$4:$D$803)))</f>
        <v/>
      </c>
      <c r="U18" s="8" t="str">
        <f>IF($B18="","",IF(COUNTIF('Competency Event Log'!$U$4:$U$803,$B18&amp;"|"&amp;U$5)=0,"",SUMIF('Competency Event Log'!$U$4:$U$803,$B18&amp;"|"&amp;U$5,'Competency Event Log'!$D$4:$D$803)))</f>
        <v/>
      </c>
      <c r="V18" s="8" t="str">
        <f>IF($B18="","",IF(COUNTIF('Competency Event Log'!$U$4:$U$803,$B18&amp;"|"&amp;V$5)=0,"",SUMIF('Competency Event Log'!$U$4:$U$803,$B18&amp;"|"&amp;V$5,'Competency Event Log'!$D$4:$D$803)))</f>
        <v/>
      </c>
      <c r="W18" s="8" t="str">
        <f>IF($B18="","",IF(COUNTIF('Competency Event Log'!$U$4:$U$803,$B18&amp;"|"&amp;W$5)=0,"",SUMIF('Competency Event Log'!$U$4:$U$803,$B18&amp;"|"&amp;W$5,'Competency Event Log'!$D$4:$D$803)))</f>
        <v/>
      </c>
      <c r="X18" s="8" t="str">
        <f>IF($B18="","",IF(COUNTIF('Competency Event Log'!$U$4:$U$803,$B18&amp;"|"&amp;X$5)=0,"",SUMIF('Competency Event Log'!$U$4:$U$803,$B18&amp;"|"&amp;X$5,'Competency Event Log'!$D$4:$D$803)))</f>
        <v/>
      </c>
      <c r="Y18" s="8" t="str">
        <f>IF($B18="","",IF(COUNTIF('Competency Event Log'!$U$4:$U$803,$B18&amp;"|"&amp;Y$5)=0,"",SUMIF('Competency Event Log'!$U$4:$U$803,$B18&amp;"|"&amp;Y$5,'Competency Event Log'!$D$4:$D$803)))</f>
        <v/>
      </c>
      <c r="Z18" s="8" t="str">
        <f>IF($B18="","",IF(COUNTIF('Competency Event Log'!$U$4:$U$803,$B18&amp;"|"&amp;Z$5)=0,"",SUMIF('Competency Event Log'!$U$4:$U$803,$B18&amp;"|"&amp;Z$5,'Competency Event Log'!$D$4:$D$803)))</f>
        <v/>
      </c>
      <c r="AA18" s="8" t="str">
        <f>IF($B18="","",IF(COUNTIF('Competency Event Log'!$U$4:$U$803,$B18&amp;"|"&amp;AA$5)=0,"",SUMIF('Competency Event Log'!$U$4:$U$803,$B18&amp;"|"&amp;AA$5,'Competency Event Log'!$D$4:$D$803)))</f>
        <v/>
      </c>
      <c r="AB18" s="8" t="str">
        <f>IF($B18="","",IF(COUNTIF('Competency Event Log'!$U$4:$U$803,$B18&amp;"|"&amp;AB$5)=0,"",SUMIF('Competency Event Log'!$U$4:$U$803,$B18&amp;"|"&amp;AB$5,'Competency Event Log'!$D$4:$D$803)))</f>
        <v/>
      </c>
      <c r="AC18" s="8" t="str">
        <f>IF($B18="","",IF(COUNTIF('Competency Event Log'!$U$4:$U$803,$B18&amp;"|"&amp;AC$5)=0,"",SUMIF('Competency Event Log'!$U$4:$U$803,$B18&amp;"|"&amp;AC$5,'Competency Event Log'!$D$4:$D$803)))</f>
        <v/>
      </c>
      <c r="AD18" s="8" t="str">
        <f>IF($B18="","",IF(COUNTIF('Competency Event Log'!$U$4:$U$803,$B18&amp;"|"&amp;AD$5)=0,"",SUMIF('Competency Event Log'!$U$4:$U$803,$B18&amp;"|"&amp;AD$5,'Competency Event Log'!$D$4:$D$803)))</f>
        <v/>
      </c>
      <c r="AE18" s="8" t="str">
        <f>IF($B18="","",IF(COUNTIF('Competency Event Log'!$U$4:$U$803,$B18&amp;"|"&amp;AE$5)=0,"",SUMIF('Competency Event Log'!$U$4:$U$803,$B18&amp;"|"&amp;AE$5,'Competency Event Log'!$D$4:$D$803)))</f>
        <v/>
      </c>
      <c r="AF18" s="8" t="str">
        <f>IF($B18="","",IF(COUNTIF('Competency Event Log'!$U$4:$U$803,$B18&amp;"|"&amp;AF$5)=0,"",SUMIF('Competency Event Log'!$U$4:$U$803,$B18&amp;"|"&amp;AF$5,'Competency Event Log'!$D$4:$D$803)))</f>
        <v/>
      </c>
      <c r="AG18" s="8" t="str">
        <f>IF($B18="","",IF(COUNTIF('Competency Event Log'!$U$4:$U$803,$B18&amp;"|"&amp;AG$5)=0,"",SUMIF('Competency Event Log'!$U$4:$U$803,$B18&amp;"|"&amp;AG$5,'Competency Event Log'!$D$4:$D$803)))</f>
        <v/>
      </c>
      <c r="AH18" s="8" t="str">
        <f>IF($B18="","",IF(COUNTIF('Competency Event Log'!$U$4:$U$803,$B18&amp;"|"&amp;AH$5)=0,"",SUMIF('Competency Event Log'!$U$4:$U$803,$B18&amp;"|"&amp;AH$5,'Competency Event Log'!$D$4:$D$803)))</f>
        <v/>
      </c>
      <c r="AI18" s="8" t="str">
        <f>IF($B18="","",IF(COUNTIF('Competency Event Log'!$U$4:$U$803,$B18&amp;"|"&amp;AI$5)=0,"",SUMIF('Competency Event Log'!$U$4:$U$803,$B18&amp;"|"&amp;AI$5,'Competency Event Log'!$D$4:$D$803)))</f>
        <v/>
      </c>
      <c r="AJ18" s="8" t="str">
        <f>IF($B18="","",IF(COUNTIF('Competency Event Log'!$U$4:$U$803,$B18&amp;"|"&amp;AJ$5)=0,"",SUMIF('Competency Event Log'!$U$4:$U$803,$B18&amp;"|"&amp;AJ$5,'Competency Event Log'!$D$4:$D$803)))</f>
        <v/>
      </c>
      <c r="AK18" s="8">
        <f>IF($B18="","",IF(COUNTIF('Competency Event Log'!$U$4:$U$803,$B18&amp;"|"&amp;AK$5)=0,"",SUMIF('Competency Event Log'!$U$4:$U$803,$B18&amp;"|"&amp;AK$5,'Competency Event Log'!$D$4:$D$803)))</f>
        <v>3</v>
      </c>
      <c r="AL18" s="8" t="str">
        <f>IF($B18="","",IF(COUNTIF('Competency Event Log'!$U$4:$U$803,$B18&amp;"|"&amp;AL$5)=0,"",SUMIF('Competency Event Log'!$U$4:$U$803,$B18&amp;"|"&amp;AL$5,'Competency Event Log'!$D$4:$D$803)))</f>
        <v/>
      </c>
      <c r="AM18" s="8">
        <f>IF($B18="","",IF(COUNTIF('Competency Event Log'!$U$4:$U$803,$B18&amp;"|"&amp;AM$5)=0,"",SUMIF('Competency Event Log'!$U$4:$U$803,$B18&amp;"|"&amp;AM$5,'Competency Event Log'!$D$4:$D$803)))</f>
        <v>3</v>
      </c>
      <c r="AN18" s="8">
        <f>IF($B18="","",IF(COUNTIF('Competency Event Log'!$U$4:$U$803,$B18&amp;"|"&amp;AN$5)=0,"",SUMIF('Competency Event Log'!$U$4:$U$803,$B18&amp;"|"&amp;AN$5,'Competency Event Log'!$D$4:$D$803)))</f>
        <v>3</v>
      </c>
      <c r="AO18" s="8">
        <f>IF($B18="","",IF(COUNTIF('Competency Event Log'!$U$4:$U$803,$B18&amp;"|"&amp;AO$5)=0,"",SUMIF('Competency Event Log'!$U$4:$U$803,$B18&amp;"|"&amp;AO$5,'Competency Event Log'!$D$4:$D$803)))</f>
        <v>3</v>
      </c>
      <c r="AP18" s="8">
        <f>IF($B18="","",IF(COUNTIF('Competency Event Log'!$U$4:$U$803,$B18&amp;"|"&amp;AP$5)=0,"",SUMIF('Competency Event Log'!$U$4:$U$803,$B18&amp;"|"&amp;AP$5,'Competency Event Log'!$D$4:$D$803)))</f>
        <v>2</v>
      </c>
      <c r="AQ18" s="8">
        <f>IF($B18="","",IF(COUNTIF('Competency Event Log'!$U$4:$U$803,$B18&amp;"|"&amp;AQ$5)=0,"",SUMIF('Competency Event Log'!$U$4:$U$803,$B18&amp;"|"&amp;AQ$5,'Competency Event Log'!$D$4:$D$803)))</f>
        <v>3</v>
      </c>
      <c r="AR18" s="8" t="str">
        <f>IF($B18="","",IF(COUNTIF('Competency Event Log'!$U$4:$U$803,$B18&amp;"|"&amp;AR$5)=0,"",SUMIF('Competency Event Log'!$U$4:$U$803,$B18&amp;"|"&amp;AR$5,'Competency Event Log'!$D$4:$D$803)))</f>
        <v/>
      </c>
      <c r="AS18" s="8">
        <f>IF($B18="","",IF(COUNTIF('Competency Event Log'!$U$4:$U$803,$B18&amp;"|"&amp;AS$5)=0,"",SUMIF('Competency Event Log'!$U$4:$U$803,$B18&amp;"|"&amp;AS$5,'Competency Event Log'!$D$4:$D$803)))</f>
        <v>2</v>
      </c>
      <c r="AT18" s="8" t="str">
        <f>IF($B18="","",IF(COUNTIF('Competency Event Log'!$U$4:$U$803,$B18&amp;"|"&amp;AT$5)=0,"",SUMIF('Competency Event Log'!$U$4:$U$803,$B18&amp;"|"&amp;AT$5,'Competency Event Log'!$D$4:$D$803)))</f>
        <v/>
      </c>
      <c r="AU18" s="8" t="str">
        <f>IF($B18="","",IF(COUNTIF('Competency Event Log'!$U$4:$U$803,$B18&amp;"|"&amp;AU$5)=0,"",SUMIF('Competency Event Log'!$U$4:$U$803,$B18&amp;"|"&amp;AU$5,'Competency Event Log'!$D$4:$D$803)))</f>
        <v/>
      </c>
      <c r="AV18" s="8" t="str">
        <f>IF($B18="","",IF(COUNTIF('Competency Event Log'!$U$4:$U$803,$B18&amp;"|"&amp;AV$5)=0,"",SUMIF('Competency Event Log'!$U$4:$U$803,$B18&amp;"|"&amp;AV$5,'Competency Event Log'!$D$4:$D$803)))</f>
        <v/>
      </c>
      <c r="AW18" s="8" t="str">
        <f>IF($B18="","",IF(COUNTIF('Competency Event Log'!$U$4:$U$803,$B18&amp;"|"&amp;AW$5)=0,"",SUMIF('Competency Event Log'!$U$4:$U$803,$B18&amp;"|"&amp;AW$5,'Competency Event Log'!$D$4:$D$803)))</f>
        <v/>
      </c>
      <c r="AX18" s="8" t="str">
        <f>IF($B18="","",IF(COUNTIF('Competency Event Log'!$U$4:$U$803,$B18&amp;"|"&amp;AX$5)=0,"",SUMIF('Competency Event Log'!$U$4:$U$803,$B18&amp;"|"&amp;AX$5,'Competency Event Log'!$D$4:$D$803)))</f>
        <v/>
      </c>
      <c r="AY18" s="8" t="str">
        <f>IF($B18="","",IF(COUNTIF('Competency Event Log'!$U$4:$U$803,$B18&amp;"|"&amp;AY$5)=0,"",SUMIF('Competency Event Log'!$U$4:$U$803,$B18&amp;"|"&amp;AY$5,'Competency Event Log'!$D$4:$D$803)))</f>
        <v/>
      </c>
      <c r="AZ18" s="8" t="str">
        <f>IF($B18="","",IF(COUNTIF('Competency Event Log'!$U$4:$U$803,$B18&amp;"|"&amp;AZ$5)=0,"",SUMIF('Competency Event Log'!$U$4:$U$803,$B18&amp;"|"&amp;AZ$5,'Competency Event Log'!$D$4:$D$803)))</f>
        <v/>
      </c>
      <c r="BA18" s="8" t="str">
        <f>IF($B18="","",IF(COUNTIF('Competency Event Log'!$U$4:$U$803,$B18&amp;"|"&amp;BA$5)=0,"",SUMIF('Competency Event Log'!$U$4:$U$803,$B18&amp;"|"&amp;BA$5,'Competency Event Log'!$D$4:$D$803)))</f>
        <v/>
      </c>
      <c r="BB18" s="8" t="str">
        <f>IF($B18="","",IF(COUNTIF('Competency Event Log'!$U$4:$U$803,$B18&amp;"|"&amp;BB$5)=0,"",SUMIF('Competency Event Log'!$U$4:$U$803,$B18&amp;"|"&amp;BB$5,'Competency Event Log'!$D$4:$D$803)))</f>
        <v/>
      </c>
      <c r="BC18" s="8" t="str">
        <f>IF($B18="","",IF(COUNTIF('Competency Event Log'!$U$4:$U$803,$B18&amp;"|"&amp;BC$5)=0,"",SUMIF('Competency Event Log'!$U$4:$U$803,$B18&amp;"|"&amp;BC$5,'Competency Event Log'!$D$4:$D$803)))</f>
        <v/>
      </c>
      <c r="BD18" s="8" t="str">
        <f>IF($B18="","",IF(COUNTIF('Competency Event Log'!$U$4:$U$803,$B18&amp;"|"&amp;BD$5)=0,"",SUMIF('Competency Event Log'!$U$4:$U$803,$B18&amp;"|"&amp;BD$5,'Competency Event Log'!$D$4:$D$803)))</f>
        <v/>
      </c>
      <c r="BE18" s="8" t="str">
        <f>IF($B18="","",IF(COUNTIF('Competency Event Log'!$U$4:$U$803,$B18&amp;"|"&amp;BE$5)=0,"",SUMIF('Competency Event Log'!$U$4:$U$803,$B18&amp;"|"&amp;BE$5,'Competency Event Log'!$D$4:$D$803)))</f>
        <v/>
      </c>
      <c r="BF18" s="8" t="str">
        <f>IF($B18="","",IF(COUNTIF('Competency Event Log'!$U$4:$U$803,$B18&amp;"|"&amp;BF$5)=0,"",SUMIF('Competency Event Log'!$U$4:$U$803,$B18&amp;"|"&amp;BF$5,'Competency Event Log'!$D$4:$D$803)))</f>
        <v/>
      </c>
      <c r="BG18" s="8" t="str">
        <f>IF($B18="","",IF(COUNTIF('Competency Event Log'!$U$4:$U$803,$B18&amp;"|"&amp;BG$5)=0,"",SUMIF('Competency Event Log'!$U$4:$U$803,$B18&amp;"|"&amp;BG$5,'Competency Event Log'!$D$4:$D$803)))</f>
        <v/>
      </c>
      <c r="BH18" s="8" t="str">
        <f>IF($B18="","",IF(COUNTIF('Competency Event Log'!$U$4:$U$803,$B18&amp;"|"&amp;BH$5)=0,"",SUMIF('Competency Event Log'!$U$4:$U$803,$B18&amp;"|"&amp;BH$5,'Competency Event Log'!$D$4:$D$803)))</f>
        <v/>
      </c>
      <c r="BI18" s="8" t="str">
        <f>IF($B18="","",IF(COUNTIF('Competency Event Log'!$U$4:$U$803,$B18&amp;"|"&amp;BI$5)=0,"",SUMIF('Competency Event Log'!$U$4:$U$803,$B18&amp;"|"&amp;BI$5,'Competency Event Log'!$D$4:$D$803)))</f>
        <v/>
      </c>
      <c r="BJ18" s="8" t="str">
        <f>IF($B18="","",IF(COUNTIF('Competency Event Log'!$U$4:$U$803,$B18&amp;"|"&amp;BJ$5)=0,"",SUMIF('Competency Event Log'!$U$4:$U$803,$B18&amp;"|"&amp;BJ$5,'Competency Event Log'!$D$4:$D$803)))</f>
        <v/>
      </c>
      <c r="BK18" s="8" t="str">
        <f>IF($B18="","",IF(COUNTIF('Competency Event Log'!$U$4:$U$803,$B18&amp;"|"&amp;BK$5)=0,"",SUMIF('Competency Event Log'!$U$4:$U$803,$B18&amp;"|"&amp;BK$5,'Competency Event Log'!$D$4:$D$803)))</f>
        <v/>
      </c>
      <c r="BL18" s="8" t="str">
        <f>IF($B18="","",IF(COUNTIF('Competency Event Log'!$U$4:$U$803,$B18&amp;"|"&amp;BL$5)=0,"",SUMIF('Competency Event Log'!$U$4:$U$803,$B18&amp;"|"&amp;BL$5,'Competency Event Log'!$D$4:$D$803)))</f>
        <v/>
      </c>
      <c r="BM18" s="8" t="str">
        <f>IF($B18="","",IF(COUNTIF('Competency Event Log'!$U$4:$U$803,$B18&amp;"|"&amp;BM$5)=0,"",SUMIF('Competency Event Log'!$U$4:$U$803,$B18&amp;"|"&amp;BM$5,'Competency Event Log'!$D$4:$D$803)))</f>
        <v/>
      </c>
      <c r="BN18" s="8" t="str">
        <f>IF($B18="","",IF(COUNTIF('Competency Event Log'!$U$4:$U$803,$B18&amp;"|"&amp;BN$5)=0,"",SUMIF('Competency Event Log'!$U$4:$U$803,$B18&amp;"|"&amp;BN$5,'Competency Event Log'!$D$4:$D$803)))</f>
        <v/>
      </c>
      <c r="BO18" s="8" t="str">
        <f>IF($B18="","",IF(COUNTIF('Competency Event Log'!$U$4:$U$803,$B18&amp;"|"&amp;BO$5)=0,"",SUMIF('Competency Event Log'!$U$4:$U$803,$B18&amp;"|"&amp;BO$5,'Competency Event Log'!$D$4:$D$803)))</f>
        <v/>
      </c>
      <c r="BP18" s="8" t="str">
        <f>IF($B18="","",IF(COUNTIF('Competency Event Log'!$U$4:$U$803,$B18&amp;"|"&amp;BP$5)=0,"",SUMIF('Competency Event Log'!$U$4:$U$803,$B18&amp;"|"&amp;BP$5,'Competency Event Log'!$D$4:$D$803)))</f>
        <v/>
      </c>
      <c r="BQ18" s="8" t="str">
        <f>IF($B18="","",IF(COUNTIF('Competency Event Log'!$U$4:$U$803,$B18&amp;"|"&amp;BQ$5)=0,"",SUMIF('Competency Event Log'!$U$4:$U$803,$B18&amp;"|"&amp;BQ$5,'Competency Event Log'!$D$4:$D$803)))</f>
        <v/>
      </c>
      <c r="BR18" s="8" t="str">
        <f>IF($B18="","",IF(COUNTIF('Competency Event Log'!$U$4:$U$803,$B18&amp;"|"&amp;BR$5)=0,"",SUMIF('Competency Event Log'!$U$4:$U$803,$B18&amp;"|"&amp;BR$5,'Competency Event Log'!$D$4:$D$803)))</f>
        <v/>
      </c>
      <c r="BS18" s="8" t="str">
        <f>IF($B18="","",IF(COUNTIF('Competency Event Log'!$U$4:$U$803,$B18&amp;"|"&amp;BS$5)=0,"",SUMIF('Competency Event Log'!$U$4:$U$803,$B18&amp;"|"&amp;BS$5,'Competency Event Log'!$D$4:$D$803)))</f>
        <v/>
      </c>
      <c r="BT18" s="8" t="str">
        <f>IF($B18="","",IF(COUNTIF('Competency Event Log'!$U$4:$U$803,$B18&amp;"|"&amp;BT$5)=0,"",SUMIF('Competency Event Log'!$U$4:$U$803,$B18&amp;"|"&amp;BT$5,'Competency Event Log'!$D$4:$D$803)))</f>
        <v/>
      </c>
      <c r="BU18" s="8" t="str">
        <f>IF($B18="","",IF(COUNTIF('Competency Event Log'!$U$4:$U$803,$B18&amp;"|"&amp;BU$5)=0,"",SUMIF('Competency Event Log'!$U$4:$U$803,$B18&amp;"|"&amp;BU$5,'Competency Event Log'!$D$4:$D$803)))</f>
        <v/>
      </c>
      <c r="BV18" s="8" t="str">
        <f>IF($B18="","",IF(COUNTIF('Competency Event Log'!$U$4:$U$803,$B18&amp;"|"&amp;BV$5)=0,"",SUMIF('Competency Event Log'!$U$4:$U$803,$B18&amp;"|"&amp;BV$5,'Competency Event Log'!$D$4:$D$803)))</f>
        <v/>
      </c>
      <c r="BW18" s="8" t="str">
        <f>IF($B18="","",IF(COUNTIF('Competency Event Log'!$U$4:$U$803,$B18&amp;"|"&amp;BW$5)=0,"",SUMIF('Competency Event Log'!$U$4:$U$803,$B18&amp;"|"&amp;BW$5,'Competency Event Log'!$D$4:$D$803)))</f>
        <v/>
      </c>
      <c r="BX18" s="8" t="str">
        <f>IF($B18="","",IF(COUNTIF('Competency Event Log'!$U$4:$U$803,$B18&amp;"|"&amp;BX$5)=0,"",SUMIF('Competency Event Log'!$U$4:$U$803,$B18&amp;"|"&amp;BX$5,'Competency Event Log'!$D$4:$D$803)))</f>
        <v/>
      </c>
      <c r="BY18" s="8" t="str">
        <f>IF($B18="","",IF(COUNTIF('Competency Event Log'!$U$4:$U$803,$B18&amp;"|"&amp;BY$5)=0,"",SUMIF('Competency Event Log'!$U$4:$U$803,$B18&amp;"|"&amp;BY$5,'Competency Event Log'!$D$4:$D$803)))</f>
        <v/>
      </c>
      <c r="BZ18" s="8" t="str">
        <f>IF($B18="","",IF(COUNTIF('Competency Event Log'!$U$4:$U$803,$B18&amp;"|"&amp;BZ$5)=0,"",SUMIF('Competency Event Log'!$U$4:$U$803,$B18&amp;"|"&amp;BZ$5,'Competency Event Log'!$D$4:$D$803)))</f>
        <v/>
      </c>
      <c r="CA18" s="8" t="str">
        <f>IF($B18="","",IF(COUNTIF('Competency Event Log'!$U$4:$U$803,$B18&amp;"|"&amp;CA$5)=0,"",SUMIF('Competency Event Log'!$U$4:$U$803,$B18&amp;"|"&amp;CA$5,'Competency Event Log'!$D$4:$D$803)))</f>
        <v/>
      </c>
      <c r="CB18" s="8" t="str">
        <f>IF($B18="","",IF(COUNTIF('Competency Event Log'!$U$4:$U$803,$B18&amp;"|"&amp;CB$5)=0,"",SUMIF('Competency Event Log'!$U$4:$U$803,$B18&amp;"|"&amp;CB$5,'Competency Event Log'!$D$4:$D$803)))</f>
        <v/>
      </c>
      <c r="CC18" s="8" t="str">
        <f>IF($B18="","",IF(COUNTIF('Competency Event Log'!$U$4:$U$803,$B18&amp;"|"&amp;CC$5)=0,"",SUMIF('Competency Event Log'!$U$4:$U$803,$B18&amp;"|"&amp;CC$5,'Competency Event Log'!$D$4:$D$803)))</f>
        <v/>
      </c>
      <c r="CD18" s="8" t="str">
        <f>IF($B18="","",IF(COUNTIF('Competency Event Log'!$U$4:$U$803,$B18&amp;"|"&amp;CD$5)=0,"",SUMIF('Competency Event Log'!$U$4:$U$803,$B18&amp;"|"&amp;CD$5,'Competency Event Log'!$D$4:$D$803)))</f>
        <v/>
      </c>
      <c r="CE18" s="8" t="str">
        <f>IF($B18="","",IF(COUNTIF('Competency Event Log'!$U$4:$U$803,$B18&amp;"|"&amp;CE$5)=0,"",SUMIF('Competency Event Log'!$U$4:$U$803,$B18&amp;"|"&amp;CE$5,'Competency Event Log'!$D$4:$D$803)))</f>
        <v/>
      </c>
      <c r="CF18" s="8" t="str">
        <f>IF($B18="","",IF(COUNTIF('Competency Event Log'!$U$4:$U$803,$B18&amp;"|"&amp;CF$5)=0,"",SUMIF('Competency Event Log'!$U$4:$U$803,$B18&amp;"|"&amp;CF$5,'Competency Event Log'!$D$4:$D$803)))</f>
        <v/>
      </c>
      <c r="CG18" s="8" t="str">
        <f>IF($B18="","",IF(COUNTIF('Competency Event Log'!$U$4:$U$803,$B18&amp;"|"&amp;CG$5)=0,"",SUMIF('Competency Event Log'!$U$4:$U$803,$B18&amp;"|"&amp;CG$5,'Competency Event Log'!$D$4:$D$803)))</f>
        <v/>
      </c>
      <c r="CH18" s="8" t="str">
        <f>IF($B18="","",IF(COUNTIF('Competency Event Log'!$U$4:$U$803,$B18&amp;"|"&amp;CH$5)=0,"",SUMIF('Competency Event Log'!$U$4:$U$803,$B18&amp;"|"&amp;CH$5,'Competency Event Log'!$D$4:$D$803)))</f>
        <v/>
      </c>
      <c r="CI18" s="8" t="str">
        <f>IF($B18="","",IF(COUNTIF('Competency Event Log'!$U$4:$U$803,$B18&amp;"|"&amp;CI$5)=0,"",SUMIF('Competency Event Log'!$U$4:$U$803,$B18&amp;"|"&amp;CI$5,'Competency Event Log'!$D$4:$D$803)))</f>
        <v/>
      </c>
      <c r="CJ18" s="8" t="str">
        <f>IF($B18="","",IF(COUNTIF('Competency Event Log'!$U$4:$U$803,$B18&amp;"|"&amp;CJ$5)=0,"",SUMIF('Competency Event Log'!$U$4:$U$803,$B18&amp;"|"&amp;CJ$5,'Competency Event Log'!$D$4:$D$803)))</f>
        <v/>
      </c>
      <c r="CK18" s="8" t="str">
        <f>IF($B18="","",IF(COUNTIF('Competency Event Log'!$U$4:$U$803,$B18&amp;"|"&amp;CK$5)=0,"",SUMIF('Competency Event Log'!$U$4:$U$803,$B18&amp;"|"&amp;CK$5,'Competency Event Log'!$D$4:$D$803)))</f>
        <v/>
      </c>
      <c r="CL18" s="8" t="str">
        <f>IF($B18="","",IF(COUNTIF('Competency Event Log'!$U$4:$U$803,$B18&amp;"|"&amp;CL$5)=0,"",SUMIF('Competency Event Log'!$U$4:$U$803,$B18&amp;"|"&amp;CL$5,'Competency Event Log'!$D$4:$D$803)))</f>
        <v/>
      </c>
      <c r="CM18" s="8" t="str">
        <f>IF($B18="","",IF(COUNTIF('Competency Event Log'!$U$4:$U$803,$B18&amp;"|"&amp;CM$5)=0,"",SUMIF('Competency Event Log'!$U$4:$U$803,$B18&amp;"|"&amp;CM$5,'Competency Event Log'!$D$4:$D$803)))</f>
        <v/>
      </c>
      <c r="CN18" s="8" t="str">
        <f>IF($B18="","",IF(COUNTIF('Competency Event Log'!$U$4:$U$803,$B18&amp;"|"&amp;CN$5)=0,"",SUMIF('Competency Event Log'!$U$4:$U$803,$B18&amp;"|"&amp;CN$5,'Competency Event Log'!$D$4:$D$803)))</f>
        <v/>
      </c>
      <c r="CO18" s="8" t="str">
        <f>IF($B18="","",IF(COUNTIF('Competency Event Log'!$U$4:$U$803,$B18&amp;"|"&amp;CO$5)=0,"",SUMIF('Competency Event Log'!$U$4:$U$803,$B18&amp;"|"&amp;CO$5,'Competency Event Log'!$D$4:$D$803)))</f>
        <v/>
      </c>
      <c r="CP18" s="8" t="str">
        <f>IF($B18="","",IF(COUNTIF('Competency Event Log'!$U$4:$U$803,$B18&amp;"|"&amp;CP$5)=0,"",SUMIF('Competency Event Log'!$U$4:$U$803,$B18&amp;"|"&amp;CP$5,'Competency Event Log'!$D$4:$D$803)))</f>
        <v/>
      </c>
      <c r="CQ18" s="8" t="str">
        <f>IF($B18="","",IF(COUNTIF('Competency Event Log'!$U$4:$U$803,$B18&amp;"|"&amp;CQ$5)=0,"",SUMIF('Competency Event Log'!$U$4:$U$803,$B18&amp;"|"&amp;CQ$5,'Competency Event Log'!$D$4:$D$803)))</f>
        <v/>
      </c>
      <c r="CR18" s="8" t="str">
        <f>IF($B18="","",IF(COUNTIF('Competency Event Log'!$U$4:$U$803,$B18&amp;"|"&amp;CR$5)=0,"",SUMIF('Competency Event Log'!$U$4:$U$803,$B18&amp;"|"&amp;CR$5,'Competency Event Log'!$D$4:$D$803)))</f>
        <v/>
      </c>
      <c r="CS18" s="8" t="str">
        <f>IF($B18="","",IF(COUNTIF('Competency Event Log'!$U$4:$U$803,$B18&amp;"|"&amp;CS$5)=0,"",SUMIF('Competency Event Log'!$U$4:$U$803,$B18&amp;"|"&amp;CS$5,'Competency Event Log'!$D$4:$D$803)))</f>
        <v/>
      </c>
      <c r="CT18" s="8" t="str">
        <f>IF($B18="","",IF(COUNTIF('Competency Event Log'!$U$4:$U$803,$B18&amp;"|"&amp;CT$5)=0,"",SUMIF('Competency Event Log'!$U$4:$U$803,$B18&amp;"|"&amp;CT$5,'Competency Event Log'!$D$4:$D$803)))</f>
        <v/>
      </c>
      <c r="CU18" s="8" t="str">
        <f>IF($B18="","",IF(COUNTIF('Competency Event Log'!$U$4:$U$803,$B18&amp;"|"&amp;CU$5)=0,"",SUMIF('Competency Event Log'!$U$4:$U$803,$B18&amp;"|"&amp;CU$5,'Competency Event Log'!$D$4:$D$803)))</f>
        <v/>
      </c>
      <c r="CV18" s="8" t="str">
        <f>IF($B18="","",IF(COUNTIF('Competency Event Log'!$U$4:$U$803,$B18&amp;"|"&amp;CV$5)=0,"",SUMIF('Competency Event Log'!$U$4:$U$803,$B18&amp;"|"&amp;CV$5,'Competency Event Log'!$D$4:$D$803)))</f>
        <v/>
      </c>
      <c r="CW18" s="8" t="str">
        <f>IF($B18="","",IF(COUNTIF('Competency Event Log'!$U$4:$U$803,$B18&amp;"|"&amp;CW$5)=0,"",SUMIF('Competency Event Log'!$U$4:$U$803,$B18&amp;"|"&amp;CW$5,'Competency Event Log'!$D$4:$D$803)))</f>
        <v/>
      </c>
      <c r="CX18" s="8" t="str">
        <f>IF($B18="","",IF(COUNTIF('Competency Event Log'!$U$4:$U$803,$B18&amp;"|"&amp;CX$5)=0,"",SUMIF('Competency Event Log'!$U$4:$U$803,$B18&amp;"|"&amp;CX$5,'Competency Event Log'!$D$4:$D$803)))</f>
        <v/>
      </c>
      <c r="CY18" s="8" t="str">
        <f>IF($B18="","",IF(COUNTIF('Competency Event Log'!$U$4:$U$803,$B18&amp;"|"&amp;CY$5)=0,"",SUMIF('Competency Event Log'!$U$4:$U$803,$B18&amp;"|"&amp;CY$5,'Competency Event Log'!$D$4:$D$803)))</f>
        <v/>
      </c>
      <c r="CZ18" s="8" t="str">
        <f>IF($B18="","",IF(COUNTIF('Competency Event Log'!$U$4:$U$803,$B18&amp;"|"&amp;CZ$5)=0,"",SUMIF('Competency Event Log'!$U$4:$U$803,$B18&amp;"|"&amp;CZ$5,'Competency Event Log'!$D$4:$D$803)))</f>
        <v/>
      </c>
      <c r="DA18" s="8" t="str">
        <f>IF($B18="","",IF(COUNTIF('Competency Event Log'!$U$4:$U$803,$B18&amp;"|"&amp;DA$5)=0,"",SUMIF('Competency Event Log'!$U$4:$U$803,$B18&amp;"|"&amp;DA$5,'Competency Event Log'!$D$4:$D$803)))</f>
        <v/>
      </c>
      <c r="DB18" s="8" t="str">
        <f>IF($B18="","",IF(COUNTIF('Competency Event Log'!$U$4:$U$803,$B18&amp;"|"&amp;DB$5)=0,"",SUMIF('Competency Event Log'!$U$4:$U$803,$B18&amp;"|"&amp;DB$5,'Competency Event Log'!$D$4:$D$803)))</f>
        <v/>
      </c>
      <c r="DC18" s="8" t="str">
        <f>IF($B18="","",IF(COUNTIF('Competency Event Log'!$U$4:$U$803,$B18&amp;"|"&amp;DC$5)=0,"",SUMIF('Competency Event Log'!$U$4:$U$803,$B18&amp;"|"&amp;DC$5,'Competency Event Log'!$D$4:$D$803)))</f>
        <v/>
      </c>
      <c r="DD18" s="8">
        <f>IF($B18="","",IF(COUNTIF('Competency Event Log'!$U$4:$U$803,$B18&amp;"|"&amp;DD$5)=0,"",SUMIF('Competency Event Log'!$U$4:$U$803,$B18&amp;"|"&amp;DD$5,'Competency Event Log'!$D$4:$D$803)))</f>
        <v>2</v>
      </c>
      <c r="DE18" s="8" t="str">
        <f>IF($B18="","",IF(COUNTIF('Competency Event Log'!$U$4:$U$803,$B18&amp;"|"&amp;DE$5)=0,"",SUMIF('Competency Event Log'!$U$4:$U$803,$B18&amp;"|"&amp;DE$5,'Competency Event Log'!$D$4:$D$803)))</f>
        <v/>
      </c>
      <c r="DF18" s="8">
        <f t="shared" si="0"/>
        <v>21</v>
      </c>
      <c r="DG18" s="8">
        <f t="shared" si="1"/>
        <v>8</v>
      </c>
      <c r="DH18" s="8">
        <f t="shared" si="2"/>
        <v>5</v>
      </c>
      <c r="DI18" s="11">
        <f t="shared" si="3"/>
        <v>0.77777777777777779</v>
      </c>
    </row>
    <row r="19" spans="1:113">
      <c r="A19" s="7" t="s">
        <v>306</v>
      </c>
      <c r="B19" s="7" t="s">
        <v>80</v>
      </c>
      <c r="C19" s="8">
        <v>2</v>
      </c>
      <c r="D19" s="9" t="s">
        <v>716</v>
      </c>
      <c r="E19" s="10">
        <v>45149</v>
      </c>
      <c r="F19" s="8" t="s">
        <v>683</v>
      </c>
      <c r="G19" s="8" t="str">
        <f>IF($B19="","",IF(COUNTIF('Competency Event Log'!$U$4:$U$803,$B19&amp;"|"&amp;G$5)=0,"",SUMIF('Competency Event Log'!$U$4:$U$803,$B19&amp;"|"&amp;G$5,'Competency Event Log'!$D$4:$D$803)))</f>
        <v/>
      </c>
      <c r="H19" s="8" t="str">
        <f>IF($B19="","",IF(COUNTIF('Competency Event Log'!$U$4:$U$803,$B19&amp;"|"&amp;H$5)=0,"",SUMIF('Competency Event Log'!$U$4:$U$803,$B19&amp;"|"&amp;H$5,'Competency Event Log'!$D$4:$D$803)))</f>
        <v/>
      </c>
      <c r="I19" s="8" t="str">
        <f>IF($B19="","",IF(COUNTIF('Competency Event Log'!$U$4:$U$803,$B19&amp;"|"&amp;I$5)=0,"",SUMIF('Competency Event Log'!$U$4:$U$803,$B19&amp;"|"&amp;I$5,'Competency Event Log'!$D$4:$D$803)))</f>
        <v/>
      </c>
      <c r="J19" s="8" t="str">
        <f>IF($B19="","",IF(COUNTIF('Competency Event Log'!$U$4:$U$803,$B19&amp;"|"&amp;J$5)=0,"",SUMIF('Competency Event Log'!$U$4:$U$803,$B19&amp;"|"&amp;J$5,'Competency Event Log'!$D$4:$D$803)))</f>
        <v/>
      </c>
      <c r="K19" s="8" t="str">
        <f>IF($B19="","",IF(COUNTIF('Competency Event Log'!$U$4:$U$803,$B19&amp;"|"&amp;K$5)=0,"",SUMIF('Competency Event Log'!$U$4:$U$803,$B19&amp;"|"&amp;K$5,'Competency Event Log'!$D$4:$D$803)))</f>
        <v/>
      </c>
      <c r="L19" s="8" t="str">
        <f>IF($B19="","",IF(COUNTIF('Competency Event Log'!$U$4:$U$803,$B19&amp;"|"&amp;L$5)=0,"",SUMIF('Competency Event Log'!$U$4:$U$803,$B19&amp;"|"&amp;L$5,'Competency Event Log'!$D$4:$D$803)))</f>
        <v/>
      </c>
      <c r="M19" s="8" t="str">
        <f>IF($B19="","",IF(COUNTIF('Competency Event Log'!$U$4:$U$803,$B19&amp;"|"&amp;M$5)=0,"",SUMIF('Competency Event Log'!$U$4:$U$803,$B19&amp;"|"&amp;M$5,'Competency Event Log'!$D$4:$D$803)))</f>
        <v/>
      </c>
      <c r="N19" s="8" t="str">
        <f>IF($B19="","",IF(COUNTIF('Competency Event Log'!$U$4:$U$803,$B19&amp;"|"&amp;N$5)=0,"",SUMIF('Competency Event Log'!$U$4:$U$803,$B19&amp;"|"&amp;N$5,'Competency Event Log'!$D$4:$D$803)))</f>
        <v/>
      </c>
      <c r="O19" s="8" t="str">
        <f>IF($B19="","",IF(COUNTIF('Competency Event Log'!$U$4:$U$803,$B19&amp;"|"&amp;O$5)=0,"",SUMIF('Competency Event Log'!$U$4:$U$803,$B19&amp;"|"&amp;O$5,'Competency Event Log'!$D$4:$D$803)))</f>
        <v/>
      </c>
      <c r="P19" s="8" t="str">
        <f>IF($B19="","",IF(COUNTIF('Competency Event Log'!$U$4:$U$803,$B19&amp;"|"&amp;P$5)=0,"",SUMIF('Competency Event Log'!$U$4:$U$803,$B19&amp;"|"&amp;P$5,'Competency Event Log'!$D$4:$D$803)))</f>
        <v/>
      </c>
      <c r="Q19" s="8" t="str">
        <f>IF($B19="","",IF(COUNTIF('Competency Event Log'!$U$4:$U$803,$B19&amp;"|"&amp;Q$5)=0,"",SUMIF('Competency Event Log'!$U$4:$U$803,$B19&amp;"|"&amp;Q$5,'Competency Event Log'!$D$4:$D$803)))</f>
        <v/>
      </c>
      <c r="R19" s="8" t="str">
        <f>IF($B19="","",IF(COUNTIF('Competency Event Log'!$U$4:$U$803,$B19&amp;"|"&amp;R$5)=0,"",SUMIF('Competency Event Log'!$U$4:$U$803,$B19&amp;"|"&amp;R$5,'Competency Event Log'!$D$4:$D$803)))</f>
        <v/>
      </c>
      <c r="S19" s="8" t="str">
        <f>IF($B19="","",IF(COUNTIF('Competency Event Log'!$U$4:$U$803,$B19&amp;"|"&amp;S$5)=0,"",SUMIF('Competency Event Log'!$U$4:$U$803,$B19&amp;"|"&amp;S$5,'Competency Event Log'!$D$4:$D$803)))</f>
        <v/>
      </c>
      <c r="T19" s="8" t="str">
        <f>IF($B19="","",IF(COUNTIF('Competency Event Log'!$U$4:$U$803,$B19&amp;"|"&amp;T$5)=0,"",SUMIF('Competency Event Log'!$U$4:$U$803,$B19&amp;"|"&amp;T$5,'Competency Event Log'!$D$4:$D$803)))</f>
        <v/>
      </c>
      <c r="U19" s="8" t="str">
        <f>IF($B19="","",IF(COUNTIF('Competency Event Log'!$U$4:$U$803,$B19&amp;"|"&amp;U$5)=0,"",SUMIF('Competency Event Log'!$U$4:$U$803,$B19&amp;"|"&amp;U$5,'Competency Event Log'!$D$4:$D$803)))</f>
        <v/>
      </c>
      <c r="V19" s="8" t="str">
        <f>IF($B19="","",IF(COUNTIF('Competency Event Log'!$U$4:$U$803,$B19&amp;"|"&amp;V$5)=0,"",SUMIF('Competency Event Log'!$U$4:$U$803,$B19&amp;"|"&amp;V$5,'Competency Event Log'!$D$4:$D$803)))</f>
        <v/>
      </c>
      <c r="W19" s="8" t="str">
        <f>IF($B19="","",IF(COUNTIF('Competency Event Log'!$U$4:$U$803,$B19&amp;"|"&amp;W$5)=0,"",SUMIF('Competency Event Log'!$U$4:$U$803,$B19&amp;"|"&amp;W$5,'Competency Event Log'!$D$4:$D$803)))</f>
        <v/>
      </c>
      <c r="X19" s="8">
        <f>IF($B19="","",IF(COUNTIF('Competency Event Log'!$U$4:$U$803,$B19&amp;"|"&amp;X$5)=0,"",SUMIF('Competency Event Log'!$U$4:$U$803,$B19&amp;"|"&amp;X$5,'Competency Event Log'!$D$4:$D$803)))</f>
        <v>1</v>
      </c>
      <c r="Y19" s="8" t="str">
        <f>IF($B19="","",IF(COUNTIF('Competency Event Log'!$U$4:$U$803,$B19&amp;"|"&amp;Y$5)=0,"",SUMIF('Competency Event Log'!$U$4:$U$803,$B19&amp;"|"&amp;Y$5,'Competency Event Log'!$D$4:$D$803)))</f>
        <v/>
      </c>
      <c r="Z19" s="8" t="str">
        <f>IF($B19="","",IF(COUNTIF('Competency Event Log'!$U$4:$U$803,$B19&amp;"|"&amp;Z$5)=0,"",SUMIF('Competency Event Log'!$U$4:$U$803,$B19&amp;"|"&amp;Z$5,'Competency Event Log'!$D$4:$D$803)))</f>
        <v/>
      </c>
      <c r="AA19" s="8" t="str">
        <f>IF($B19="","",IF(COUNTIF('Competency Event Log'!$U$4:$U$803,$B19&amp;"|"&amp;AA$5)=0,"",SUMIF('Competency Event Log'!$U$4:$U$803,$B19&amp;"|"&amp;AA$5,'Competency Event Log'!$D$4:$D$803)))</f>
        <v/>
      </c>
      <c r="AB19" s="8" t="str">
        <f>IF($B19="","",IF(COUNTIF('Competency Event Log'!$U$4:$U$803,$B19&amp;"|"&amp;AB$5)=0,"",SUMIF('Competency Event Log'!$U$4:$U$803,$B19&amp;"|"&amp;AB$5,'Competency Event Log'!$D$4:$D$803)))</f>
        <v/>
      </c>
      <c r="AC19" s="8" t="str">
        <f>IF($B19="","",IF(COUNTIF('Competency Event Log'!$U$4:$U$803,$B19&amp;"|"&amp;AC$5)=0,"",SUMIF('Competency Event Log'!$U$4:$U$803,$B19&amp;"|"&amp;AC$5,'Competency Event Log'!$D$4:$D$803)))</f>
        <v/>
      </c>
      <c r="AD19" s="8" t="str">
        <f>IF($B19="","",IF(COUNTIF('Competency Event Log'!$U$4:$U$803,$B19&amp;"|"&amp;AD$5)=0,"",SUMIF('Competency Event Log'!$U$4:$U$803,$B19&amp;"|"&amp;AD$5,'Competency Event Log'!$D$4:$D$803)))</f>
        <v/>
      </c>
      <c r="AE19" s="8" t="str">
        <f>IF($B19="","",IF(COUNTIF('Competency Event Log'!$U$4:$U$803,$B19&amp;"|"&amp;AE$5)=0,"",SUMIF('Competency Event Log'!$U$4:$U$803,$B19&amp;"|"&amp;AE$5,'Competency Event Log'!$D$4:$D$803)))</f>
        <v/>
      </c>
      <c r="AF19" s="8" t="str">
        <f>IF($B19="","",IF(COUNTIF('Competency Event Log'!$U$4:$U$803,$B19&amp;"|"&amp;AF$5)=0,"",SUMIF('Competency Event Log'!$U$4:$U$803,$B19&amp;"|"&amp;AF$5,'Competency Event Log'!$D$4:$D$803)))</f>
        <v/>
      </c>
      <c r="AG19" s="8" t="str">
        <f>IF($B19="","",IF(COUNTIF('Competency Event Log'!$U$4:$U$803,$B19&amp;"|"&amp;AG$5)=0,"",SUMIF('Competency Event Log'!$U$4:$U$803,$B19&amp;"|"&amp;AG$5,'Competency Event Log'!$D$4:$D$803)))</f>
        <v/>
      </c>
      <c r="AH19" s="8" t="str">
        <f>IF($B19="","",IF(COUNTIF('Competency Event Log'!$U$4:$U$803,$B19&amp;"|"&amp;AH$5)=0,"",SUMIF('Competency Event Log'!$U$4:$U$803,$B19&amp;"|"&amp;AH$5,'Competency Event Log'!$D$4:$D$803)))</f>
        <v/>
      </c>
      <c r="AI19" s="8" t="str">
        <f>IF($B19="","",IF(COUNTIF('Competency Event Log'!$U$4:$U$803,$B19&amp;"|"&amp;AI$5)=0,"",SUMIF('Competency Event Log'!$U$4:$U$803,$B19&amp;"|"&amp;AI$5,'Competency Event Log'!$D$4:$D$803)))</f>
        <v/>
      </c>
      <c r="AJ19" s="8" t="str">
        <f>IF($B19="","",IF(COUNTIF('Competency Event Log'!$U$4:$U$803,$B19&amp;"|"&amp;AJ$5)=0,"",SUMIF('Competency Event Log'!$U$4:$U$803,$B19&amp;"|"&amp;AJ$5,'Competency Event Log'!$D$4:$D$803)))</f>
        <v/>
      </c>
      <c r="AK19" s="8" t="str">
        <f>IF($B19="","",IF(COUNTIF('Competency Event Log'!$U$4:$U$803,$B19&amp;"|"&amp;AK$5)=0,"",SUMIF('Competency Event Log'!$U$4:$U$803,$B19&amp;"|"&amp;AK$5,'Competency Event Log'!$D$4:$D$803)))</f>
        <v/>
      </c>
      <c r="AL19" s="8" t="str">
        <f>IF($B19="","",IF(COUNTIF('Competency Event Log'!$U$4:$U$803,$B19&amp;"|"&amp;AL$5)=0,"",SUMIF('Competency Event Log'!$U$4:$U$803,$B19&amp;"|"&amp;AL$5,'Competency Event Log'!$D$4:$D$803)))</f>
        <v/>
      </c>
      <c r="AM19" s="8">
        <f>IF($B19="","",IF(COUNTIF('Competency Event Log'!$U$4:$U$803,$B19&amp;"|"&amp;AM$5)=0,"",SUMIF('Competency Event Log'!$U$4:$U$803,$B19&amp;"|"&amp;AM$5,'Competency Event Log'!$D$4:$D$803)))</f>
        <v>3</v>
      </c>
      <c r="AN19" s="8">
        <f>IF($B19="","",IF(COUNTIF('Competency Event Log'!$U$4:$U$803,$B19&amp;"|"&amp;AN$5)=0,"",SUMIF('Competency Event Log'!$U$4:$U$803,$B19&amp;"|"&amp;AN$5,'Competency Event Log'!$D$4:$D$803)))</f>
        <v>3</v>
      </c>
      <c r="AO19" s="8">
        <f>IF($B19="","",IF(COUNTIF('Competency Event Log'!$U$4:$U$803,$B19&amp;"|"&amp;AO$5)=0,"",SUMIF('Competency Event Log'!$U$4:$U$803,$B19&amp;"|"&amp;AO$5,'Competency Event Log'!$D$4:$D$803)))</f>
        <v>3</v>
      </c>
      <c r="AP19" s="8">
        <f>IF($B19="","",IF(COUNTIF('Competency Event Log'!$U$4:$U$803,$B19&amp;"|"&amp;AP$5)=0,"",SUMIF('Competency Event Log'!$U$4:$U$803,$B19&amp;"|"&amp;AP$5,'Competency Event Log'!$D$4:$D$803)))</f>
        <v>2</v>
      </c>
      <c r="AQ19" s="8">
        <f>IF($B19="","",IF(COUNTIF('Competency Event Log'!$U$4:$U$803,$B19&amp;"|"&amp;AQ$5)=0,"",SUMIF('Competency Event Log'!$U$4:$U$803,$B19&amp;"|"&amp;AQ$5,'Competency Event Log'!$D$4:$D$803)))</f>
        <v>2</v>
      </c>
      <c r="AR19" s="8">
        <f>IF($B19="","",IF(COUNTIF('Competency Event Log'!$U$4:$U$803,$B19&amp;"|"&amp;AR$5)=0,"",SUMIF('Competency Event Log'!$U$4:$U$803,$B19&amp;"|"&amp;AR$5,'Competency Event Log'!$D$4:$D$803)))</f>
        <v>1</v>
      </c>
      <c r="AS19" s="8">
        <f>IF($B19="","",IF(COUNTIF('Competency Event Log'!$U$4:$U$803,$B19&amp;"|"&amp;AS$5)=0,"",SUMIF('Competency Event Log'!$U$4:$U$803,$B19&amp;"|"&amp;AS$5,'Competency Event Log'!$D$4:$D$803)))</f>
        <v>3</v>
      </c>
      <c r="AT19" s="8" t="str">
        <f>IF($B19="","",IF(COUNTIF('Competency Event Log'!$U$4:$U$803,$B19&amp;"|"&amp;AT$5)=0,"",SUMIF('Competency Event Log'!$U$4:$U$803,$B19&amp;"|"&amp;AT$5,'Competency Event Log'!$D$4:$D$803)))</f>
        <v/>
      </c>
      <c r="AU19" s="8" t="str">
        <f>IF($B19="","",IF(COUNTIF('Competency Event Log'!$U$4:$U$803,$B19&amp;"|"&amp;AU$5)=0,"",SUMIF('Competency Event Log'!$U$4:$U$803,$B19&amp;"|"&amp;AU$5,'Competency Event Log'!$D$4:$D$803)))</f>
        <v/>
      </c>
      <c r="AV19" s="8" t="str">
        <f>IF($B19="","",IF(COUNTIF('Competency Event Log'!$U$4:$U$803,$B19&amp;"|"&amp;AV$5)=0,"",SUMIF('Competency Event Log'!$U$4:$U$803,$B19&amp;"|"&amp;AV$5,'Competency Event Log'!$D$4:$D$803)))</f>
        <v/>
      </c>
      <c r="AW19" s="8" t="str">
        <f>IF($B19="","",IF(COUNTIF('Competency Event Log'!$U$4:$U$803,$B19&amp;"|"&amp;AW$5)=0,"",SUMIF('Competency Event Log'!$U$4:$U$803,$B19&amp;"|"&amp;AW$5,'Competency Event Log'!$D$4:$D$803)))</f>
        <v/>
      </c>
      <c r="AX19" s="8" t="str">
        <f>IF($B19="","",IF(COUNTIF('Competency Event Log'!$U$4:$U$803,$B19&amp;"|"&amp;AX$5)=0,"",SUMIF('Competency Event Log'!$U$4:$U$803,$B19&amp;"|"&amp;AX$5,'Competency Event Log'!$D$4:$D$803)))</f>
        <v/>
      </c>
      <c r="AY19" s="8" t="str">
        <f>IF($B19="","",IF(COUNTIF('Competency Event Log'!$U$4:$U$803,$B19&amp;"|"&amp;AY$5)=0,"",SUMIF('Competency Event Log'!$U$4:$U$803,$B19&amp;"|"&amp;AY$5,'Competency Event Log'!$D$4:$D$803)))</f>
        <v/>
      </c>
      <c r="AZ19" s="8" t="str">
        <f>IF($B19="","",IF(COUNTIF('Competency Event Log'!$U$4:$U$803,$B19&amp;"|"&amp;AZ$5)=0,"",SUMIF('Competency Event Log'!$U$4:$U$803,$B19&amp;"|"&amp;AZ$5,'Competency Event Log'!$D$4:$D$803)))</f>
        <v/>
      </c>
      <c r="BA19" s="8" t="str">
        <f>IF($B19="","",IF(COUNTIF('Competency Event Log'!$U$4:$U$803,$B19&amp;"|"&amp;BA$5)=0,"",SUMIF('Competency Event Log'!$U$4:$U$803,$B19&amp;"|"&amp;BA$5,'Competency Event Log'!$D$4:$D$803)))</f>
        <v/>
      </c>
      <c r="BB19" s="8" t="str">
        <f>IF($B19="","",IF(COUNTIF('Competency Event Log'!$U$4:$U$803,$B19&amp;"|"&amp;BB$5)=0,"",SUMIF('Competency Event Log'!$U$4:$U$803,$B19&amp;"|"&amp;BB$5,'Competency Event Log'!$D$4:$D$803)))</f>
        <v/>
      </c>
      <c r="BC19" s="8" t="str">
        <f>IF($B19="","",IF(COUNTIF('Competency Event Log'!$U$4:$U$803,$B19&amp;"|"&amp;BC$5)=0,"",SUMIF('Competency Event Log'!$U$4:$U$803,$B19&amp;"|"&amp;BC$5,'Competency Event Log'!$D$4:$D$803)))</f>
        <v/>
      </c>
      <c r="BD19" s="8" t="str">
        <f>IF($B19="","",IF(COUNTIF('Competency Event Log'!$U$4:$U$803,$B19&amp;"|"&amp;BD$5)=0,"",SUMIF('Competency Event Log'!$U$4:$U$803,$B19&amp;"|"&amp;BD$5,'Competency Event Log'!$D$4:$D$803)))</f>
        <v/>
      </c>
      <c r="BE19" s="8" t="str">
        <f>IF($B19="","",IF(COUNTIF('Competency Event Log'!$U$4:$U$803,$B19&amp;"|"&amp;BE$5)=0,"",SUMIF('Competency Event Log'!$U$4:$U$803,$B19&amp;"|"&amp;BE$5,'Competency Event Log'!$D$4:$D$803)))</f>
        <v/>
      </c>
      <c r="BF19" s="8" t="str">
        <f>IF($B19="","",IF(COUNTIF('Competency Event Log'!$U$4:$U$803,$B19&amp;"|"&amp;BF$5)=0,"",SUMIF('Competency Event Log'!$U$4:$U$803,$B19&amp;"|"&amp;BF$5,'Competency Event Log'!$D$4:$D$803)))</f>
        <v/>
      </c>
      <c r="BG19" s="8" t="str">
        <f>IF($B19="","",IF(COUNTIF('Competency Event Log'!$U$4:$U$803,$B19&amp;"|"&amp;BG$5)=0,"",SUMIF('Competency Event Log'!$U$4:$U$803,$B19&amp;"|"&amp;BG$5,'Competency Event Log'!$D$4:$D$803)))</f>
        <v/>
      </c>
      <c r="BH19" s="8" t="str">
        <f>IF($B19="","",IF(COUNTIF('Competency Event Log'!$U$4:$U$803,$B19&amp;"|"&amp;BH$5)=0,"",SUMIF('Competency Event Log'!$U$4:$U$803,$B19&amp;"|"&amp;BH$5,'Competency Event Log'!$D$4:$D$803)))</f>
        <v/>
      </c>
      <c r="BI19" s="8" t="str">
        <f>IF($B19="","",IF(COUNTIF('Competency Event Log'!$U$4:$U$803,$B19&amp;"|"&amp;BI$5)=0,"",SUMIF('Competency Event Log'!$U$4:$U$803,$B19&amp;"|"&amp;BI$5,'Competency Event Log'!$D$4:$D$803)))</f>
        <v/>
      </c>
      <c r="BJ19" s="8" t="str">
        <f>IF($B19="","",IF(COUNTIF('Competency Event Log'!$U$4:$U$803,$B19&amp;"|"&amp;BJ$5)=0,"",SUMIF('Competency Event Log'!$U$4:$U$803,$B19&amp;"|"&amp;BJ$5,'Competency Event Log'!$D$4:$D$803)))</f>
        <v/>
      </c>
      <c r="BK19" s="8" t="str">
        <f>IF($B19="","",IF(COUNTIF('Competency Event Log'!$U$4:$U$803,$B19&amp;"|"&amp;BK$5)=0,"",SUMIF('Competency Event Log'!$U$4:$U$803,$B19&amp;"|"&amp;BK$5,'Competency Event Log'!$D$4:$D$803)))</f>
        <v/>
      </c>
      <c r="BL19" s="8" t="str">
        <f>IF($B19="","",IF(COUNTIF('Competency Event Log'!$U$4:$U$803,$B19&amp;"|"&amp;BL$5)=0,"",SUMIF('Competency Event Log'!$U$4:$U$803,$B19&amp;"|"&amp;BL$5,'Competency Event Log'!$D$4:$D$803)))</f>
        <v/>
      </c>
      <c r="BM19" s="8" t="str">
        <f>IF($B19="","",IF(COUNTIF('Competency Event Log'!$U$4:$U$803,$B19&amp;"|"&amp;BM$5)=0,"",SUMIF('Competency Event Log'!$U$4:$U$803,$B19&amp;"|"&amp;BM$5,'Competency Event Log'!$D$4:$D$803)))</f>
        <v/>
      </c>
      <c r="BN19" s="8" t="str">
        <f>IF($B19="","",IF(COUNTIF('Competency Event Log'!$U$4:$U$803,$B19&amp;"|"&amp;BN$5)=0,"",SUMIF('Competency Event Log'!$U$4:$U$803,$B19&amp;"|"&amp;BN$5,'Competency Event Log'!$D$4:$D$803)))</f>
        <v/>
      </c>
      <c r="BO19" s="8" t="str">
        <f>IF($B19="","",IF(COUNTIF('Competency Event Log'!$U$4:$U$803,$B19&amp;"|"&amp;BO$5)=0,"",SUMIF('Competency Event Log'!$U$4:$U$803,$B19&amp;"|"&amp;BO$5,'Competency Event Log'!$D$4:$D$803)))</f>
        <v/>
      </c>
      <c r="BP19" s="8" t="str">
        <f>IF($B19="","",IF(COUNTIF('Competency Event Log'!$U$4:$U$803,$B19&amp;"|"&amp;BP$5)=0,"",SUMIF('Competency Event Log'!$U$4:$U$803,$B19&amp;"|"&amp;BP$5,'Competency Event Log'!$D$4:$D$803)))</f>
        <v/>
      </c>
      <c r="BQ19" s="8" t="str">
        <f>IF($B19="","",IF(COUNTIF('Competency Event Log'!$U$4:$U$803,$B19&amp;"|"&amp;BQ$5)=0,"",SUMIF('Competency Event Log'!$U$4:$U$803,$B19&amp;"|"&amp;BQ$5,'Competency Event Log'!$D$4:$D$803)))</f>
        <v/>
      </c>
      <c r="BR19" s="8" t="str">
        <f>IF($B19="","",IF(COUNTIF('Competency Event Log'!$U$4:$U$803,$B19&amp;"|"&amp;BR$5)=0,"",SUMIF('Competency Event Log'!$U$4:$U$803,$B19&amp;"|"&amp;BR$5,'Competency Event Log'!$D$4:$D$803)))</f>
        <v/>
      </c>
      <c r="BS19" s="8" t="str">
        <f>IF($B19="","",IF(COUNTIF('Competency Event Log'!$U$4:$U$803,$B19&amp;"|"&amp;BS$5)=0,"",SUMIF('Competency Event Log'!$U$4:$U$803,$B19&amp;"|"&amp;BS$5,'Competency Event Log'!$D$4:$D$803)))</f>
        <v/>
      </c>
      <c r="BT19" s="8" t="str">
        <f>IF($B19="","",IF(COUNTIF('Competency Event Log'!$U$4:$U$803,$B19&amp;"|"&amp;BT$5)=0,"",SUMIF('Competency Event Log'!$U$4:$U$803,$B19&amp;"|"&amp;BT$5,'Competency Event Log'!$D$4:$D$803)))</f>
        <v/>
      </c>
      <c r="BU19" s="8" t="str">
        <f>IF($B19="","",IF(COUNTIF('Competency Event Log'!$U$4:$U$803,$B19&amp;"|"&amp;BU$5)=0,"",SUMIF('Competency Event Log'!$U$4:$U$803,$B19&amp;"|"&amp;BU$5,'Competency Event Log'!$D$4:$D$803)))</f>
        <v/>
      </c>
      <c r="BV19" s="8" t="str">
        <f>IF($B19="","",IF(COUNTIF('Competency Event Log'!$U$4:$U$803,$B19&amp;"|"&amp;BV$5)=0,"",SUMIF('Competency Event Log'!$U$4:$U$803,$B19&amp;"|"&amp;BV$5,'Competency Event Log'!$D$4:$D$803)))</f>
        <v/>
      </c>
      <c r="BW19" s="8" t="str">
        <f>IF($B19="","",IF(COUNTIF('Competency Event Log'!$U$4:$U$803,$B19&amp;"|"&amp;BW$5)=0,"",SUMIF('Competency Event Log'!$U$4:$U$803,$B19&amp;"|"&amp;BW$5,'Competency Event Log'!$D$4:$D$803)))</f>
        <v/>
      </c>
      <c r="BX19" s="8" t="str">
        <f>IF($B19="","",IF(COUNTIF('Competency Event Log'!$U$4:$U$803,$B19&amp;"|"&amp;BX$5)=0,"",SUMIF('Competency Event Log'!$U$4:$U$803,$B19&amp;"|"&amp;BX$5,'Competency Event Log'!$D$4:$D$803)))</f>
        <v/>
      </c>
      <c r="BY19" s="8" t="str">
        <f>IF($B19="","",IF(COUNTIF('Competency Event Log'!$U$4:$U$803,$B19&amp;"|"&amp;BY$5)=0,"",SUMIF('Competency Event Log'!$U$4:$U$803,$B19&amp;"|"&amp;BY$5,'Competency Event Log'!$D$4:$D$803)))</f>
        <v/>
      </c>
      <c r="BZ19" s="8" t="str">
        <f>IF($B19="","",IF(COUNTIF('Competency Event Log'!$U$4:$U$803,$B19&amp;"|"&amp;BZ$5)=0,"",SUMIF('Competency Event Log'!$U$4:$U$803,$B19&amp;"|"&amp;BZ$5,'Competency Event Log'!$D$4:$D$803)))</f>
        <v/>
      </c>
      <c r="CA19" s="8" t="str">
        <f>IF($B19="","",IF(COUNTIF('Competency Event Log'!$U$4:$U$803,$B19&amp;"|"&amp;CA$5)=0,"",SUMIF('Competency Event Log'!$U$4:$U$803,$B19&amp;"|"&amp;CA$5,'Competency Event Log'!$D$4:$D$803)))</f>
        <v/>
      </c>
      <c r="CB19" s="8" t="str">
        <f>IF($B19="","",IF(COUNTIF('Competency Event Log'!$U$4:$U$803,$B19&amp;"|"&amp;CB$5)=0,"",SUMIF('Competency Event Log'!$U$4:$U$803,$B19&amp;"|"&amp;CB$5,'Competency Event Log'!$D$4:$D$803)))</f>
        <v/>
      </c>
      <c r="CC19" s="8" t="str">
        <f>IF($B19="","",IF(COUNTIF('Competency Event Log'!$U$4:$U$803,$B19&amp;"|"&amp;CC$5)=0,"",SUMIF('Competency Event Log'!$U$4:$U$803,$B19&amp;"|"&amp;CC$5,'Competency Event Log'!$D$4:$D$803)))</f>
        <v/>
      </c>
      <c r="CD19" s="8" t="str">
        <f>IF($B19="","",IF(COUNTIF('Competency Event Log'!$U$4:$U$803,$B19&amp;"|"&amp;CD$5)=0,"",SUMIF('Competency Event Log'!$U$4:$U$803,$B19&amp;"|"&amp;CD$5,'Competency Event Log'!$D$4:$D$803)))</f>
        <v/>
      </c>
      <c r="CE19" s="8" t="str">
        <f>IF($B19="","",IF(COUNTIF('Competency Event Log'!$U$4:$U$803,$B19&amp;"|"&amp;CE$5)=0,"",SUMIF('Competency Event Log'!$U$4:$U$803,$B19&amp;"|"&amp;CE$5,'Competency Event Log'!$D$4:$D$803)))</f>
        <v/>
      </c>
      <c r="CF19" s="8" t="str">
        <f>IF($B19="","",IF(COUNTIF('Competency Event Log'!$U$4:$U$803,$B19&amp;"|"&amp;CF$5)=0,"",SUMIF('Competency Event Log'!$U$4:$U$803,$B19&amp;"|"&amp;CF$5,'Competency Event Log'!$D$4:$D$803)))</f>
        <v/>
      </c>
      <c r="CG19" s="8" t="str">
        <f>IF($B19="","",IF(COUNTIF('Competency Event Log'!$U$4:$U$803,$B19&amp;"|"&amp;CG$5)=0,"",SUMIF('Competency Event Log'!$U$4:$U$803,$B19&amp;"|"&amp;CG$5,'Competency Event Log'!$D$4:$D$803)))</f>
        <v/>
      </c>
      <c r="CH19" s="8" t="str">
        <f>IF($B19="","",IF(COUNTIF('Competency Event Log'!$U$4:$U$803,$B19&amp;"|"&amp;CH$5)=0,"",SUMIF('Competency Event Log'!$U$4:$U$803,$B19&amp;"|"&amp;CH$5,'Competency Event Log'!$D$4:$D$803)))</f>
        <v/>
      </c>
      <c r="CI19" s="8" t="str">
        <f>IF($B19="","",IF(COUNTIF('Competency Event Log'!$U$4:$U$803,$B19&amp;"|"&amp;CI$5)=0,"",SUMIF('Competency Event Log'!$U$4:$U$803,$B19&amp;"|"&amp;CI$5,'Competency Event Log'!$D$4:$D$803)))</f>
        <v/>
      </c>
      <c r="CJ19" s="8" t="str">
        <f>IF($B19="","",IF(COUNTIF('Competency Event Log'!$U$4:$U$803,$B19&amp;"|"&amp;CJ$5)=0,"",SUMIF('Competency Event Log'!$U$4:$U$803,$B19&amp;"|"&amp;CJ$5,'Competency Event Log'!$D$4:$D$803)))</f>
        <v/>
      </c>
      <c r="CK19" s="8" t="str">
        <f>IF($B19="","",IF(COUNTIF('Competency Event Log'!$U$4:$U$803,$B19&amp;"|"&amp;CK$5)=0,"",SUMIF('Competency Event Log'!$U$4:$U$803,$B19&amp;"|"&amp;CK$5,'Competency Event Log'!$D$4:$D$803)))</f>
        <v/>
      </c>
      <c r="CL19" s="8" t="str">
        <f>IF($B19="","",IF(COUNTIF('Competency Event Log'!$U$4:$U$803,$B19&amp;"|"&amp;CL$5)=0,"",SUMIF('Competency Event Log'!$U$4:$U$803,$B19&amp;"|"&amp;CL$5,'Competency Event Log'!$D$4:$D$803)))</f>
        <v/>
      </c>
      <c r="CM19" s="8" t="str">
        <f>IF($B19="","",IF(COUNTIF('Competency Event Log'!$U$4:$U$803,$B19&amp;"|"&amp;CM$5)=0,"",SUMIF('Competency Event Log'!$U$4:$U$803,$B19&amp;"|"&amp;CM$5,'Competency Event Log'!$D$4:$D$803)))</f>
        <v/>
      </c>
      <c r="CN19" s="8" t="str">
        <f>IF($B19="","",IF(COUNTIF('Competency Event Log'!$U$4:$U$803,$B19&amp;"|"&amp;CN$5)=0,"",SUMIF('Competency Event Log'!$U$4:$U$803,$B19&amp;"|"&amp;CN$5,'Competency Event Log'!$D$4:$D$803)))</f>
        <v/>
      </c>
      <c r="CO19" s="8" t="str">
        <f>IF($B19="","",IF(COUNTIF('Competency Event Log'!$U$4:$U$803,$B19&amp;"|"&amp;CO$5)=0,"",SUMIF('Competency Event Log'!$U$4:$U$803,$B19&amp;"|"&amp;CO$5,'Competency Event Log'!$D$4:$D$803)))</f>
        <v/>
      </c>
      <c r="CP19" s="8" t="str">
        <f>IF($B19="","",IF(COUNTIF('Competency Event Log'!$U$4:$U$803,$B19&amp;"|"&amp;CP$5)=0,"",SUMIF('Competency Event Log'!$U$4:$U$803,$B19&amp;"|"&amp;CP$5,'Competency Event Log'!$D$4:$D$803)))</f>
        <v/>
      </c>
      <c r="CQ19" s="8" t="str">
        <f>IF($B19="","",IF(COUNTIF('Competency Event Log'!$U$4:$U$803,$B19&amp;"|"&amp;CQ$5)=0,"",SUMIF('Competency Event Log'!$U$4:$U$803,$B19&amp;"|"&amp;CQ$5,'Competency Event Log'!$D$4:$D$803)))</f>
        <v/>
      </c>
      <c r="CR19" s="8" t="str">
        <f>IF($B19="","",IF(COUNTIF('Competency Event Log'!$U$4:$U$803,$B19&amp;"|"&amp;CR$5)=0,"",SUMIF('Competency Event Log'!$U$4:$U$803,$B19&amp;"|"&amp;CR$5,'Competency Event Log'!$D$4:$D$803)))</f>
        <v/>
      </c>
      <c r="CS19" s="8" t="str">
        <f>IF($B19="","",IF(COUNTIF('Competency Event Log'!$U$4:$U$803,$B19&amp;"|"&amp;CS$5)=0,"",SUMIF('Competency Event Log'!$U$4:$U$803,$B19&amp;"|"&amp;CS$5,'Competency Event Log'!$D$4:$D$803)))</f>
        <v/>
      </c>
      <c r="CT19" s="8" t="str">
        <f>IF($B19="","",IF(COUNTIF('Competency Event Log'!$U$4:$U$803,$B19&amp;"|"&amp;CT$5)=0,"",SUMIF('Competency Event Log'!$U$4:$U$803,$B19&amp;"|"&amp;CT$5,'Competency Event Log'!$D$4:$D$803)))</f>
        <v/>
      </c>
      <c r="CU19" s="8" t="str">
        <f>IF($B19="","",IF(COUNTIF('Competency Event Log'!$U$4:$U$803,$B19&amp;"|"&amp;CU$5)=0,"",SUMIF('Competency Event Log'!$U$4:$U$803,$B19&amp;"|"&amp;CU$5,'Competency Event Log'!$D$4:$D$803)))</f>
        <v/>
      </c>
      <c r="CV19" s="8">
        <f>IF($B19="","",IF(COUNTIF('Competency Event Log'!$U$4:$U$803,$B19&amp;"|"&amp;CV$5)=0,"",SUMIF('Competency Event Log'!$U$4:$U$803,$B19&amp;"|"&amp;CV$5,'Competency Event Log'!$D$4:$D$803)))</f>
        <v>1</v>
      </c>
      <c r="CW19" s="8" t="str">
        <f>IF($B19="","",IF(COUNTIF('Competency Event Log'!$U$4:$U$803,$B19&amp;"|"&amp;CW$5)=0,"",SUMIF('Competency Event Log'!$U$4:$U$803,$B19&amp;"|"&amp;CW$5,'Competency Event Log'!$D$4:$D$803)))</f>
        <v/>
      </c>
      <c r="CX19" s="8" t="str">
        <f>IF($B19="","",IF(COUNTIF('Competency Event Log'!$U$4:$U$803,$B19&amp;"|"&amp;CX$5)=0,"",SUMIF('Competency Event Log'!$U$4:$U$803,$B19&amp;"|"&amp;CX$5,'Competency Event Log'!$D$4:$D$803)))</f>
        <v/>
      </c>
      <c r="CY19" s="8">
        <f>IF($B19="","",IF(COUNTIF('Competency Event Log'!$U$4:$U$803,$B19&amp;"|"&amp;CY$5)=0,"",SUMIF('Competency Event Log'!$U$4:$U$803,$B19&amp;"|"&amp;CY$5,'Competency Event Log'!$D$4:$D$803)))</f>
        <v>3</v>
      </c>
      <c r="CZ19" s="8" t="str">
        <f>IF($B19="","",IF(COUNTIF('Competency Event Log'!$U$4:$U$803,$B19&amp;"|"&amp;CZ$5)=0,"",SUMIF('Competency Event Log'!$U$4:$U$803,$B19&amp;"|"&amp;CZ$5,'Competency Event Log'!$D$4:$D$803)))</f>
        <v/>
      </c>
      <c r="DA19" s="8" t="str">
        <f>IF($B19="","",IF(COUNTIF('Competency Event Log'!$U$4:$U$803,$B19&amp;"|"&amp;DA$5)=0,"",SUMIF('Competency Event Log'!$U$4:$U$803,$B19&amp;"|"&amp;DA$5,'Competency Event Log'!$D$4:$D$803)))</f>
        <v/>
      </c>
      <c r="DB19" s="8" t="str">
        <f>IF($B19="","",IF(COUNTIF('Competency Event Log'!$U$4:$U$803,$B19&amp;"|"&amp;DB$5)=0,"",SUMIF('Competency Event Log'!$U$4:$U$803,$B19&amp;"|"&amp;DB$5,'Competency Event Log'!$D$4:$D$803)))</f>
        <v/>
      </c>
      <c r="DC19" s="8" t="str">
        <f>IF($B19="","",IF(COUNTIF('Competency Event Log'!$U$4:$U$803,$B19&amp;"|"&amp;DC$5)=0,"",SUMIF('Competency Event Log'!$U$4:$U$803,$B19&amp;"|"&amp;DC$5,'Competency Event Log'!$D$4:$D$803)))</f>
        <v/>
      </c>
      <c r="DD19" s="8" t="str">
        <f>IF($B19="","",IF(COUNTIF('Competency Event Log'!$U$4:$U$803,$B19&amp;"|"&amp;DD$5)=0,"",SUMIF('Competency Event Log'!$U$4:$U$803,$B19&amp;"|"&amp;DD$5,'Competency Event Log'!$D$4:$D$803)))</f>
        <v/>
      </c>
      <c r="DE19" s="8">
        <f>IF($B19="","",IF(COUNTIF('Competency Event Log'!$U$4:$U$803,$B19&amp;"|"&amp;DE$5)=0,"",SUMIF('Competency Event Log'!$U$4:$U$803,$B19&amp;"|"&amp;DE$5,'Competency Event Log'!$D$4:$D$803)))</f>
        <v>3</v>
      </c>
      <c r="DF19" s="8">
        <f t="shared" si="0"/>
        <v>25</v>
      </c>
      <c r="DG19" s="8">
        <f t="shared" si="1"/>
        <v>11</v>
      </c>
      <c r="DH19" s="8">
        <f t="shared" si="2"/>
        <v>6</v>
      </c>
      <c r="DI19" s="11">
        <f t="shared" si="3"/>
        <v>0.77777777777777779</v>
      </c>
    </row>
    <row r="20" spans="1:113">
      <c r="A20" s="7" t="s">
        <v>306</v>
      </c>
      <c r="B20" s="7" t="s">
        <v>83</v>
      </c>
      <c r="C20" s="8">
        <v>3</v>
      </c>
      <c r="D20" s="9" t="s">
        <v>741</v>
      </c>
      <c r="E20" s="10">
        <v>42762</v>
      </c>
      <c r="F20" s="8" t="s">
        <v>683</v>
      </c>
      <c r="G20" s="8" t="str">
        <f>IF($B20="","",IF(COUNTIF('Competency Event Log'!$U$4:$U$803,$B20&amp;"|"&amp;G$5)=0,"",SUMIF('Competency Event Log'!$U$4:$U$803,$B20&amp;"|"&amp;G$5,'Competency Event Log'!$D$4:$D$803)))</f>
        <v/>
      </c>
      <c r="H20" s="8" t="str">
        <f>IF($B20="","",IF(COUNTIF('Competency Event Log'!$U$4:$U$803,$B20&amp;"|"&amp;H$5)=0,"",SUMIF('Competency Event Log'!$U$4:$U$803,$B20&amp;"|"&amp;H$5,'Competency Event Log'!$D$4:$D$803)))</f>
        <v/>
      </c>
      <c r="I20" s="8" t="str">
        <f>IF($B20="","",IF(COUNTIF('Competency Event Log'!$U$4:$U$803,$B20&amp;"|"&amp;I$5)=0,"",SUMIF('Competency Event Log'!$U$4:$U$803,$B20&amp;"|"&amp;I$5,'Competency Event Log'!$D$4:$D$803)))</f>
        <v/>
      </c>
      <c r="J20" s="8" t="str">
        <f>IF($B20="","",IF(COUNTIF('Competency Event Log'!$U$4:$U$803,$B20&amp;"|"&amp;J$5)=0,"",SUMIF('Competency Event Log'!$U$4:$U$803,$B20&amp;"|"&amp;J$5,'Competency Event Log'!$D$4:$D$803)))</f>
        <v/>
      </c>
      <c r="K20" s="8" t="str">
        <f>IF($B20="","",IF(COUNTIF('Competency Event Log'!$U$4:$U$803,$B20&amp;"|"&amp;K$5)=0,"",SUMIF('Competency Event Log'!$U$4:$U$803,$B20&amp;"|"&amp;K$5,'Competency Event Log'!$D$4:$D$803)))</f>
        <v/>
      </c>
      <c r="L20" s="8" t="str">
        <f>IF($B20="","",IF(COUNTIF('Competency Event Log'!$U$4:$U$803,$B20&amp;"|"&amp;L$5)=0,"",SUMIF('Competency Event Log'!$U$4:$U$803,$B20&amp;"|"&amp;L$5,'Competency Event Log'!$D$4:$D$803)))</f>
        <v/>
      </c>
      <c r="M20" s="8" t="str">
        <f>IF($B20="","",IF(COUNTIF('Competency Event Log'!$U$4:$U$803,$B20&amp;"|"&amp;M$5)=0,"",SUMIF('Competency Event Log'!$U$4:$U$803,$B20&amp;"|"&amp;M$5,'Competency Event Log'!$D$4:$D$803)))</f>
        <v/>
      </c>
      <c r="N20" s="8" t="str">
        <f>IF($B20="","",IF(COUNTIF('Competency Event Log'!$U$4:$U$803,$B20&amp;"|"&amp;N$5)=0,"",SUMIF('Competency Event Log'!$U$4:$U$803,$B20&amp;"|"&amp;N$5,'Competency Event Log'!$D$4:$D$803)))</f>
        <v/>
      </c>
      <c r="O20" s="8" t="str">
        <f>IF($B20="","",IF(COUNTIF('Competency Event Log'!$U$4:$U$803,$B20&amp;"|"&amp;O$5)=0,"",SUMIF('Competency Event Log'!$U$4:$U$803,$B20&amp;"|"&amp;O$5,'Competency Event Log'!$D$4:$D$803)))</f>
        <v/>
      </c>
      <c r="P20" s="8" t="str">
        <f>IF($B20="","",IF(COUNTIF('Competency Event Log'!$U$4:$U$803,$B20&amp;"|"&amp;P$5)=0,"",SUMIF('Competency Event Log'!$U$4:$U$803,$B20&amp;"|"&amp;P$5,'Competency Event Log'!$D$4:$D$803)))</f>
        <v/>
      </c>
      <c r="Q20" s="8" t="str">
        <f>IF($B20="","",IF(COUNTIF('Competency Event Log'!$U$4:$U$803,$B20&amp;"|"&amp;Q$5)=0,"",SUMIF('Competency Event Log'!$U$4:$U$803,$B20&amp;"|"&amp;Q$5,'Competency Event Log'!$D$4:$D$803)))</f>
        <v/>
      </c>
      <c r="R20" s="8" t="str">
        <f>IF($B20="","",IF(COUNTIF('Competency Event Log'!$U$4:$U$803,$B20&amp;"|"&amp;R$5)=0,"",SUMIF('Competency Event Log'!$U$4:$U$803,$B20&amp;"|"&amp;R$5,'Competency Event Log'!$D$4:$D$803)))</f>
        <v/>
      </c>
      <c r="S20" s="8" t="str">
        <f>IF($B20="","",IF(COUNTIF('Competency Event Log'!$U$4:$U$803,$B20&amp;"|"&amp;S$5)=0,"",SUMIF('Competency Event Log'!$U$4:$U$803,$B20&amp;"|"&amp;S$5,'Competency Event Log'!$D$4:$D$803)))</f>
        <v/>
      </c>
      <c r="T20" s="8" t="str">
        <f>IF($B20="","",IF(COUNTIF('Competency Event Log'!$U$4:$U$803,$B20&amp;"|"&amp;T$5)=0,"",SUMIF('Competency Event Log'!$U$4:$U$803,$B20&amp;"|"&amp;T$5,'Competency Event Log'!$D$4:$D$803)))</f>
        <v/>
      </c>
      <c r="U20" s="8" t="str">
        <f>IF($B20="","",IF(COUNTIF('Competency Event Log'!$U$4:$U$803,$B20&amp;"|"&amp;U$5)=0,"",SUMIF('Competency Event Log'!$U$4:$U$803,$B20&amp;"|"&amp;U$5,'Competency Event Log'!$D$4:$D$803)))</f>
        <v/>
      </c>
      <c r="V20" s="8" t="str">
        <f>IF($B20="","",IF(COUNTIF('Competency Event Log'!$U$4:$U$803,$B20&amp;"|"&amp;V$5)=0,"",SUMIF('Competency Event Log'!$U$4:$U$803,$B20&amp;"|"&amp;V$5,'Competency Event Log'!$D$4:$D$803)))</f>
        <v/>
      </c>
      <c r="W20" s="8" t="str">
        <f>IF($B20="","",IF(COUNTIF('Competency Event Log'!$U$4:$U$803,$B20&amp;"|"&amp;W$5)=0,"",SUMIF('Competency Event Log'!$U$4:$U$803,$B20&amp;"|"&amp;W$5,'Competency Event Log'!$D$4:$D$803)))</f>
        <v/>
      </c>
      <c r="X20" s="8" t="str">
        <f>IF($B20="","",IF(COUNTIF('Competency Event Log'!$U$4:$U$803,$B20&amp;"|"&amp;X$5)=0,"",SUMIF('Competency Event Log'!$U$4:$U$803,$B20&amp;"|"&amp;X$5,'Competency Event Log'!$D$4:$D$803)))</f>
        <v/>
      </c>
      <c r="Y20" s="8" t="str">
        <f>IF($B20="","",IF(COUNTIF('Competency Event Log'!$U$4:$U$803,$B20&amp;"|"&amp;Y$5)=0,"",SUMIF('Competency Event Log'!$U$4:$U$803,$B20&amp;"|"&amp;Y$5,'Competency Event Log'!$D$4:$D$803)))</f>
        <v/>
      </c>
      <c r="Z20" s="8" t="str">
        <f>IF($B20="","",IF(COUNTIF('Competency Event Log'!$U$4:$U$803,$B20&amp;"|"&amp;Z$5)=0,"",SUMIF('Competency Event Log'!$U$4:$U$803,$B20&amp;"|"&amp;Z$5,'Competency Event Log'!$D$4:$D$803)))</f>
        <v/>
      </c>
      <c r="AA20" s="8" t="str">
        <f>IF($B20="","",IF(COUNTIF('Competency Event Log'!$U$4:$U$803,$B20&amp;"|"&amp;AA$5)=0,"",SUMIF('Competency Event Log'!$U$4:$U$803,$B20&amp;"|"&amp;AA$5,'Competency Event Log'!$D$4:$D$803)))</f>
        <v/>
      </c>
      <c r="AB20" s="8" t="str">
        <f>IF($B20="","",IF(COUNTIF('Competency Event Log'!$U$4:$U$803,$B20&amp;"|"&amp;AB$5)=0,"",SUMIF('Competency Event Log'!$U$4:$U$803,$B20&amp;"|"&amp;AB$5,'Competency Event Log'!$D$4:$D$803)))</f>
        <v/>
      </c>
      <c r="AC20" s="8" t="str">
        <f>IF($B20="","",IF(COUNTIF('Competency Event Log'!$U$4:$U$803,$B20&amp;"|"&amp;AC$5)=0,"",SUMIF('Competency Event Log'!$U$4:$U$803,$B20&amp;"|"&amp;AC$5,'Competency Event Log'!$D$4:$D$803)))</f>
        <v/>
      </c>
      <c r="AD20" s="8" t="str">
        <f>IF($B20="","",IF(COUNTIF('Competency Event Log'!$U$4:$U$803,$B20&amp;"|"&amp;AD$5)=0,"",SUMIF('Competency Event Log'!$U$4:$U$803,$B20&amp;"|"&amp;AD$5,'Competency Event Log'!$D$4:$D$803)))</f>
        <v/>
      </c>
      <c r="AE20" s="8" t="str">
        <f>IF($B20="","",IF(COUNTIF('Competency Event Log'!$U$4:$U$803,$B20&amp;"|"&amp;AE$5)=0,"",SUMIF('Competency Event Log'!$U$4:$U$803,$B20&amp;"|"&amp;AE$5,'Competency Event Log'!$D$4:$D$803)))</f>
        <v/>
      </c>
      <c r="AF20" s="8" t="str">
        <f>IF($B20="","",IF(COUNTIF('Competency Event Log'!$U$4:$U$803,$B20&amp;"|"&amp;AF$5)=0,"",SUMIF('Competency Event Log'!$U$4:$U$803,$B20&amp;"|"&amp;AF$5,'Competency Event Log'!$D$4:$D$803)))</f>
        <v/>
      </c>
      <c r="AG20" s="8" t="str">
        <f>IF($B20="","",IF(COUNTIF('Competency Event Log'!$U$4:$U$803,$B20&amp;"|"&amp;AG$5)=0,"",SUMIF('Competency Event Log'!$U$4:$U$803,$B20&amp;"|"&amp;AG$5,'Competency Event Log'!$D$4:$D$803)))</f>
        <v/>
      </c>
      <c r="AH20" s="8">
        <f>IF($B20="","",IF(COUNTIF('Competency Event Log'!$U$4:$U$803,$B20&amp;"|"&amp;AH$5)=0,"",SUMIF('Competency Event Log'!$U$4:$U$803,$B20&amp;"|"&amp;AH$5,'Competency Event Log'!$D$4:$D$803)))</f>
        <v>3</v>
      </c>
      <c r="AI20" s="8" t="str">
        <f>IF($B20="","",IF(COUNTIF('Competency Event Log'!$U$4:$U$803,$B20&amp;"|"&amp;AI$5)=0,"",SUMIF('Competency Event Log'!$U$4:$U$803,$B20&amp;"|"&amp;AI$5,'Competency Event Log'!$D$4:$D$803)))</f>
        <v/>
      </c>
      <c r="AJ20" s="8" t="str">
        <f>IF($B20="","",IF(COUNTIF('Competency Event Log'!$U$4:$U$803,$B20&amp;"|"&amp;AJ$5)=0,"",SUMIF('Competency Event Log'!$U$4:$U$803,$B20&amp;"|"&amp;AJ$5,'Competency Event Log'!$D$4:$D$803)))</f>
        <v/>
      </c>
      <c r="AK20" s="8">
        <f>IF($B20="","",IF(COUNTIF('Competency Event Log'!$U$4:$U$803,$B20&amp;"|"&amp;AK$5)=0,"",SUMIF('Competency Event Log'!$U$4:$U$803,$B20&amp;"|"&amp;AK$5,'Competency Event Log'!$D$4:$D$803)))</f>
        <v>3</v>
      </c>
      <c r="AL20" s="8" t="str">
        <f>IF($B20="","",IF(COUNTIF('Competency Event Log'!$U$4:$U$803,$B20&amp;"|"&amp;AL$5)=0,"",SUMIF('Competency Event Log'!$U$4:$U$803,$B20&amp;"|"&amp;AL$5,'Competency Event Log'!$D$4:$D$803)))</f>
        <v/>
      </c>
      <c r="AM20" s="8">
        <f>IF($B20="","",IF(COUNTIF('Competency Event Log'!$U$4:$U$803,$B20&amp;"|"&amp;AM$5)=0,"",SUMIF('Competency Event Log'!$U$4:$U$803,$B20&amp;"|"&amp;AM$5,'Competency Event Log'!$D$4:$D$803)))</f>
        <v>1</v>
      </c>
      <c r="AN20" s="8">
        <f>IF($B20="","",IF(COUNTIF('Competency Event Log'!$U$4:$U$803,$B20&amp;"|"&amp;AN$5)=0,"",SUMIF('Competency Event Log'!$U$4:$U$803,$B20&amp;"|"&amp;AN$5,'Competency Event Log'!$D$4:$D$803)))</f>
        <v>3</v>
      </c>
      <c r="AO20" s="8">
        <f>IF($B20="","",IF(COUNTIF('Competency Event Log'!$U$4:$U$803,$B20&amp;"|"&amp;AO$5)=0,"",SUMIF('Competency Event Log'!$U$4:$U$803,$B20&amp;"|"&amp;AO$5,'Competency Event Log'!$D$4:$D$803)))</f>
        <v>1</v>
      </c>
      <c r="AP20" s="8">
        <f>IF($B20="","",IF(COUNTIF('Competency Event Log'!$U$4:$U$803,$B20&amp;"|"&amp;AP$5)=0,"",SUMIF('Competency Event Log'!$U$4:$U$803,$B20&amp;"|"&amp;AP$5,'Competency Event Log'!$D$4:$D$803)))</f>
        <v>3</v>
      </c>
      <c r="AQ20" s="8">
        <f>IF($B20="","",IF(COUNTIF('Competency Event Log'!$U$4:$U$803,$B20&amp;"|"&amp;AQ$5)=0,"",SUMIF('Competency Event Log'!$U$4:$U$803,$B20&amp;"|"&amp;AQ$5,'Competency Event Log'!$D$4:$D$803)))</f>
        <v>1</v>
      </c>
      <c r="AR20" s="8">
        <f>IF($B20="","",IF(COUNTIF('Competency Event Log'!$U$4:$U$803,$B20&amp;"|"&amp;AR$5)=0,"",SUMIF('Competency Event Log'!$U$4:$U$803,$B20&amp;"|"&amp;AR$5,'Competency Event Log'!$D$4:$D$803)))</f>
        <v>2</v>
      </c>
      <c r="AS20" s="8">
        <f>IF($B20="","",IF(COUNTIF('Competency Event Log'!$U$4:$U$803,$B20&amp;"|"&amp;AS$5)=0,"",SUMIF('Competency Event Log'!$U$4:$U$803,$B20&amp;"|"&amp;AS$5,'Competency Event Log'!$D$4:$D$803)))</f>
        <v>3</v>
      </c>
      <c r="AT20" s="8" t="str">
        <f>IF($B20="","",IF(COUNTIF('Competency Event Log'!$U$4:$U$803,$B20&amp;"|"&amp;AT$5)=0,"",SUMIF('Competency Event Log'!$U$4:$U$803,$B20&amp;"|"&amp;AT$5,'Competency Event Log'!$D$4:$D$803)))</f>
        <v/>
      </c>
      <c r="AU20" s="8" t="str">
        <f>IF($B20="","",IF(COUNTIF('Competency Event Log'!$U$4:$U$803,$B20&amp;"|"&amp;AU$5)=0,"",SUMIF('Competency Event Log'!$U$4:$U$803,$B20&amp;"|"&amp;AU$5,'Competency Event Log'!$D$4:$D$803)))</f>
        <v/>
      </c>
      <c r="AV20" s="8" t="str">
        <f>IF($B20="","",IF(COUNTIF('Competency Event Log'!$U$4:$U$803,$B20&amp;"|"&amp;AV$5)=0,"",SUMIF('Competency Event Log'!$U$4:$U$803,$B20&amp;"|"&amp;AV$5,'Competency Event Log'!$D$4:$D$803)))</f>
        <v/>
      </c>
      <c r="AW20" s="8" t="str">
        <f>IF($B20="","",IF(COUNTIF('Competency Event Log'!$U$4:$U$803,$B20&amp;"|"&amp;AW$5)=0,"",SUMIF('Competency Event Log'!$U$4:$U$803,$B20&amp;"|"&amp;AW$5,'Competency Event Log'!$D$4:$D$803)))</f>
        <v/>
      </c>
      <c r="AX20" s="8" t="str">
        <f>IF($B20="","",IF(COUNTIF('Competency Event Log'!$U$4:$U$803,$B20&amp;"|"&amp;AX$5)=0,"",SUMIF('Competency Event Log'!$U$4:$U$803,$B20&amp;"|"&amp;AX$5,'Competency Event Log'!$D$4:$D$803)))</f>
        <v/>
      </c>
      <c r="AY20" s="8" t="str">
        <f>IF($B20="","",IF(COUNTIF('Competency Event Log'!$U$4:$U$803,$B20&amp;"|"&amp;AY$5)=0,"",SUMIF('Competency Event Log'!$U$4:$U$803,$B20&amp;"|"&amp;AY$5,'Competency Event Log'!$D$4:$D$803)))</f>
        <v/>
      </c>
      <c r="AZ20" s="8" t="str">
        <f>IF($B20="","",IF(COUNTIF('Competency Event Log'!$U$4:$U$803,$B20&amp;"|"&amp;AZ$5)=0,"",SUMIF('Competency Event Log'!$U$4:$U$803,$B20&amp;"|"&amp;AZ$5,'Competency Event Log'!$D$4:$D$803)))</f>
        <v/>
      </c>
      <c r="BA20" s="8" t="str">
        <f>IF($B20="","",IF(COUNTIF('Competency Event Log'!$U$4:$U$803,$B20&amp;"|"&amp;BA$5)=0,"",SUMIF('Competency Event Log'!$U$4:$U$803,$B20&amp;"|"&amp;BA$5,'Competency Event Log'!$D$4:$D$803)))</f>
        <v/>
      </c>
      <c r="BB20" s="8" t="str">
        <f>IF($B20="","",IF(COUNTIF('Competency Event Log'!$U$4:$U$803,$B20&amp;"|"&amp;BB$5)=0,"",SUMIF('Competency Event Log'!$U$4:$U$803,$B20&amp;"|"&amp;BB$5,'Competency Event Log'!$D$4:$D$803)))</f>
        <v/>
      </c>
      <c r="BC20" s="8" t="str">
        <f>IF($B20="","",IF(COUNTIF('Competency Event Log'!$U$4:$U$803,$B20&amp;"|"&amp;BC$5)=0,"",SUMIF('Competency Event Log'!$U$4:$U$803,$B20&amp;"|"&amp;BC$5,'Competency Event Log'!$D$4:$D$803)))</f>
        <v/>
      </c>
      <c r="BD20" s="8" t="str">
        <f>IF($B20="","",IF(COUNTIF('Competency Event Log'!$U$4:$U$803,$B20&amp;"|"&amp;BD$5)=0,"",SUMIF('Competency Event Log'!$U$4:$U$803,$B20&amp;"|"&amp;BD$5,'Competency Event Log'!$D$4:$D$803)))</f>
        <v/>
      </c>
      <c r="BE20" s="8" t="str">
        <f>IF($B20="","",IF(COUNTIF('Competency Event Log'!$U$4:$U$803,$B20&amp;"|"&amp;BE$5)=0,"",SUMIF('Competency Event Log'!$U$4:$U$803,$B20&amp;"|"&amp;BE$5,'Competency Event Log'!$D$4:$D$803)))</f>
        <v/>
      </c>
      <c r="BF20" s="8">
        <f>IF($B20="","",IF(COUNTIF('Competency Event Log'!$U$4:$U$803,$B20&amp;"|"&amp;BF$5)=0,"",SUMIF('Competency Event Log'!$U$4:$U$803,$B20&amp;"|"&amp;BF$5,'Competency Event Log'!$D$4:$D$803)))</f>
        <v>1</v>
      </c>
      <c r="BG20" s="8" t="str">
        <f>IF($B20="","",IF(COUNTIF('Competency Event Log'!$U$4:$U$803,$B20&amp;"|"&amp;BG$5)=0,"",SUMIF('Competency Event Log'!$U$4:$U$803,$B20&amp;"|"&amp;BG$5,'Competency Event Log'!$D$4:$D$803)))</f>
        <v/>
      </c>
      <c r="BH20" s="8" t="str">
        <f>IF($B20="","",IF(COUNTIF('Competency Event Log'!$U$4:$U$803,$B20&amp;"|"&amp;BH$5)=0,"",SUMIF('Competency Event Log'!$U$4:$U$803,$B20&amp;"|"&amp;BH$5,'Competency Event Log'!$D$4:$D$803)))</f>
        <v/>
      </c>
      <c r="BI20" s="8" t="str">
        <f>IF($B20="","",IF(COUNTIF('Competency Event Log'!$U$4:$U$803,$B20&amp;"|"&amp;BI$5)=0,"",SUMIF('Competency Event Log'!$U$4:$U$803,$B20&amp;"|"&amp;BI$5,'Competency Event Log'!$D$4:$D$803)))</f>
        <v/>
      </c>
      <c r="BJ20" s="8" t="str">
        <f>IF($B20="","",IF(COUNTIF('Competency Event Log'!$U$4:$U$803,$B20&amp;"|"&amp;BJ$5)=0,"",SUMIF('Competency Event Log'!$U$4:$U$803,$B20&amp;"|"&amp;BJ$5,'Competency Event Log'!$D$4:$D$803)))</f>
        <v/>
      </c>
      <c r="BK20" s="8" t="str">
        <f>IF($B20="","",IF(COUNTIF('Competency Event Log'!$U$4:$U$803,$B20&amp;"|"&amp;BK$5)=0,"",SUMIF('Competency Event Log'!$U$4:$U$803,$B20&amp;"|"&amp;BK$5,'Competency Event Log'!$D$4:$D$803)))</f>
        <v/>
      </c>
      <c r="BL20" s="8" t="str">
        <f>IF($B20="","",IF(COUNTIF('Competency Event Log'!$U$4:$U$803,$B20&amp;"|"&amp;BL$5)=0,"",SUMIF('Competency Event Log'!$U$4:$U$803,$B20&amp;"|"&amp;BL$5,'Competency Event Log'!$D$4:$D$803)))</f>
        <v/>
      </c>
      <c r="BM20" s="8" t="str">
        <f>IF($B20="","",IF(COUNTIF('Competency Event Log'!$U$4:$U$803,$B20&amp;"|"&amp;BM$5)=0,"",SUMIF('Competency Event Log'!$U$4:$U$803,$B20&amp;"|"&amp;BM$5,'Competency Event Log'!$D$4:$D$803)))</f>
        <v/>
      </c>
      <c r="BN20" s="8" t="str">
        <f>IF($B20="","",IF(COUNTIF('Competency Event Log'!$U$4:$U$803,$B20&amp;"|"&amp;BN$5)=0,"",SUMIF('Competency Event Log'!$U$4:$U$803,$B20&amp;"|"&amp;BN$5,'Competency Event Log'!$D$4:$D$803)))</f>
        <v/>
      </c>
      <c r="BO20" s="8" t="str">
        <f>IF($B20="","",IF(COUNTIF('Competency Event Log'!$U$4:$U$803,$B20&amp;"|"&amp;BO$5)=0,"",SUMIF('Competency Event Log'!$U$4:$U$803,$B20&amp;"|"&amp;BO$5,'Competency Event Log'!$D$4:$D$803)))</f>
        <v/>
      </c>
      <c r="BP20" s="8" t="str">
        <f>IF($B20="","",IF(COUNTIF('Competency Event Log'!$U$4:$U$803,$B20&amp;"|"&amp;BP$5)=0,"",SUMIF('Competency Event Log'!$U$4:$U$803,$B20&amp;"|"&amp;BP$5,'Competency Event Log'!$D$4:$D$803)))</f>
        <v/>
      </c>
      <c r="BQ20" s="8" t="str">
        <f>IF($B20="","",IF(COUNTIF('Competency Event Log'!$U$4:$U$803,$B20&amp;"|"&amp;BQ$5)=0,"",SUMIF('Competency Event Log'!$U$4:$U$803,$B20&amp;"|"&amp;BQ$5,'Competency Event Log'!$D$4:$D$803)))</f>
        <v/>
      </c>
      <c r="BR20" s="8" t="str">
        <f>IF($B20="","",IF(COUNTIF('Competency Event Log'!$U$4:$U$803,$B20&amp;"|"&amp;BR$5)=0,"",SUMIF('Competency Event Log'!$U$4:$U$803,$B20&amp;"|"&amp;BR$5,'Competency Event Log'!$D$4:$D$803)))</f>
        <v/>
      </c>
      <c r="BS20" s="8" t="str">
        <f>IF($B20="","",IF(COUNTIF('Competency Event Log'!$U$4:$U$803,$B20&amp;"|"&amp;BS$5)=0,"",SUMIF('Competency Event Log'!$U$4:$U$803,$B20&amp;"|"&amp;BS$5,'Competency Event Log'!$D$4:$D$803)))</f>
        <v/>
      </c>
      <c r="BT20" s="8">
        <f>IF($B20="","",IF(COUNTIF('Competency Event Log'!$U$4:$U$803,$B20&amp;"|"&amp;BT$5)=0,"",SUMIF('Competency Event Log'!$U$4:$U$803,$B20&amp;"|"&amp;BT$5,'Competency Event Log'!$D$4:$D$803)))</f>
        <v>2</v>
      </c>
      <c r="BU20" s="8" t="str">
        <f>IF($B20="","",IF(COUNTIF('Competency Event Log'!$U$4:$U$803,$B20&amp;"|"&amp;BU$5)=0,"",SUMIF('Competency Event Log'!$U$4:$U$803,$B20&amp;"|"&amp;BU$5,'Competency Event Log'!$D$4:$D$803)))</f>
        <v/>
      </c>
      <c r="BV20" s="8" t="str">
        <f>IF($B20="","",IF(COUNTIF('Competency Event Log'!$U$4:$U$803,$B20&amp;"|"&amp;BV$5)=0,"",SUMIF('Competency Event Log'!$U$4:$U$803,$B20&amp;"|"&amp;BV$5,'Competency Event Log'!$D$4:$D$803)))</f>
        <v/>
      </c>
      <c r="BW20" s="8" t="str">
        <f>IF($B20="","",IF(COUNTIF('Competency Event Log'!$U$4:$U$803,$B20&amp;"|"&amp;BW$5)=0,"",SUMIF('Competency Event Log'!$U$4:$U$803,$B20&amp;"|"&amp;BW$5,'Competency Event Log'!$D$4:$D$803)))</f>
        <v/>
      </c>
      <c r="BX20" s="8" t="str">
        <f>IF($B20="","",IF(COUNTIF('Competency Event Log'!$U$4:$U$803,$B20&amp;"|"&amp;BX$5)=0,"",SUMIF('Competency Event Log'!$U$4:$U$803,$B20&amp;"|"&amp;BX$5,'Competency Event Log'!$D$4:$D$803)))</f>
        <v/>
      </c>
      <c r="BY20" s="8" t="str">
        <f>IF($B20="","",IF(COUNTIF('Competency Event Log'!$U$4:$U$803,$B20&amp;"|"&amp;BY$5)=0,"",SUMIF('Competency Event Log'!$U$4:$U$803,$B20&amp;"|"&amp;BY$5,'Competency Event Log'!$D$4:$D$803)))</f>
        <v/>
      </c>
      <c r="BZ20" s="8" t="str">
        <f>IF($B20="","",IF(COUNTIF('Competency Event Log'!$U$4:$U$803,$B20&amp;"|"&amp;BZ$5)=0,"",SUMIF('Competency Event Log'!$U$4:$U$803,$B20&amp;"|"&amp;BZ$5,'Competency Event Log'!$D$4:$D$803)))</f>
        <v/>
      </c>
      <c r="CA20" s="8" t="str">
        <f>IF($B20="","",IF(COUNTIF('Competency Event Log'!$U$4:$U$803,$B20&amp;"|"&amp;CA$5)=0,"",SUMIF('Competency Event Log'!$U$4:$U$803,$B20&amp;"|"&amp;CA$5,'Competency Event Log'!$D$4:$D$803)))</f>
        <v/>
      </c>
      <c r="CB20" s="8" t="str">
        <f>IF($B20="","",IF(COUNTIF('Competency Event Log'!$U$4:$U$803,$B20&amp;"|"&amp;CB$5)=0,"",SUMIF('Competency Event Log'!$U$4:$U$803,$B20&amp;"|"&amp;CB$5,'Competency Event Log'!$D$4:$D$803)))</f>
        <v/>
      </c>
      <c r="CC20" s="8" t="str">
        <f>IF($B20="","",IF(COUNTIF('Competency Event Log'!$U$4:$U$803,$B20&amp;"|"&amp;CC$5)=0,"",SUMIF('Competency Event Log'!$U$4:$U$803,$B20&amp;"|"&amp;CC$5,'Competency Event Log'!$D$4:$D$803)))</f>
        <v/>
      </c>
      <c r="CD20" s="8" t="str">
        <f>IF($B20="","",IF(COUNTIF('Competency Event Log'!$U$4:$U$803,$B20&amp;"|"&amp;CD$5)=0,"",SUMIF('Competency Event Log'!$U$4:$U$803,$B20&amp;"|"&amp;CD$5,'Competency Event Log'!$D$4:$D$803)))</f>
        <v/>
      </c>
      <c r="CE20" s="8" t="str">
        <f>IF($B20="","",IF(COUNTIF('Competency Event Log'!$U$4:$U$803,$B20&amp;"|"&amp;CE$5)=0,"",SUMIF('Competency Event Log'!$U$4:$U$803,$B20&amp;"|"&amp;CE$5,'Competency Event Log'!$D$4:$D$803)))</f>
        <v/>
      </c>
      <c r="CF20" s="8" t="str">
        <f>IF($B20="","",IF(COUNTIF('Competency Event Log'!$U$4:$U$803,$B20&amp;"|"&amp;CF$5)=0,"",SUMIF('Competency Event Log'!$U$4:$U$803,$B20&amp;"|"&amp;CF$5,'Competency Event Log'!$D$4:$D$803)))</f>
        <v/>
      </c>
      <c r="CG20" s="8" t="str">
        <f>IF($B20="","",IF(COUNTIF('Competency Event Log'!$U$4:$U$803,$B20&amp;"|"&amp;CG$5)=0,"",SUMIF('Competency Event Log'!$U$4:$U$803,$B20&amp;"|"&amp;CG$5,'Competency Event Log'!$D$4:$D$803)))</f>
        <v/>
      </c>
      <c r="CH20" s="8" t="str">
        <f>IF($B20="","",IF(COUNTIF('Competency Event Log'!$U$4:$U$803,$B20&amp;"|"&amp;CH$5)=0,"",SUMIF('Competency Event Log'!$U$4:$U$803,$B20&amp;"|"&amp;CH$5,'Competency Event Log'!$D$4:$D$803)))</f>
        <v/>
      </c>
      <c r="CI20" s="8" t="str">
        <f>IF($B20="","",IF(COUNTIF('Competency Event Log'!$U$4:$U$803,$B20&amp;"|"&amp;CI$5)=0,"",SUMIF('Competency Event Log'!$U$4:$U$803,$B20&amp;"|"&amp;CI$5,'Competency Event Log'!$D$4:$D$803)))</f>
        <v/>
      </c>
      <c r="CJ20" s="8" t="str">
        <f>IF($B20="","",IF(COUNTIF('Competency Event Log'!$U$4:$U$803,$B20&amp;"|"&amp;CJ$5)=0,"",SUMIF('Competency Event Log'!$U$4:$U$803,$B20&amp;"|"&amp;CJ$5,'Competency Event Log'!$D$4:$D$803)))</f>
        <v/>
      </c>
      <c r="CK20" s="8" t="str">
        <f>IF($B20="","",IF(COUNTIF('Competency Event Log'!$U$4:$U$803,$B20&amp;"|"&amp;CK$5)=0,"",SUMIF('Competency Event Log'!$U$4:$U$803,$B20&amp;"|"&amp;CK$5,'Competency Event Log'!$D$4:$D$803)))</f>
        <v/>
      </c>
      <c r="CL20" s="8" t="str">
        <f>IF($B20="","",IF(COUNTIF('Competency Event Log'!$U$4:$U$803,$B20&amp;"|"&amp;CL$5)=0,"",SUMIF('Competency Event Log'!$U$4:$U$803,$B20&amp;"|"&amp;CL$5,'Competency Event Log'!$D$4:$D$803)))</f>
        <v/>
      </c>
      <c r="CM20" s="8" t="str">
        <f>IF($B20="","",IF(COUNTIF('Competency Event Log'!$U$4:$U$803,$B20&amp;"|"&amp;CM$5)=0,"",SUMIF('Competency Event Log'!$U$4:$U$803,$B20&amp;"|"&amp;CM$5,'Competency Event Log'!$D$4:$D$803)))</f>
        <v/>
      </c>
      <c r="CN20" s="8" t="str">
        <f>IF($B20="","",IF(COUNTIF('Competency Event Log'!$U$4:$U$803,$B20&amp;"|"&amp;CN$5)=0,"",SUMIF('Competency Event Log'!$U$4:$U$803,$B20&amp;"|"&amp;CN$5,'Competency Event Log'!$D$4:$D$803)))</f>
        <v/>
      </c>
      <c r="CO20" s="8" t="str">
        <f>IF($B20="","",IF(COUNTIF('Competency Event Log'!$U$4:$U$803,$B20&amp;"|"&amp;CO$5)=0,"",SUMIF('Competency Event Log'!$U$4:$U$803,$B20&amp;"|"&amp;CO$5,'Competency Event Log'!$D$4:$D$803)))</f>
        <v/>
      </c>
      <c r="CP20" s="8" t="str">
        <f>IF($B20="","",IF(COUNTIF('Competency Event Log'!$U$4:$U$803,$B20&amp;"|"&amp;CP$5)=0,"",SUMIF('Competency Event Log'!$U$4:$U$803,$B20&amp;"|"&amp;CP$5,'Competency Event Log'!$D$4:$D$803)))</f>
        <v/>
      </c>
      <c r="CQ20" s="8" t="str">
        <f>IF($B20="","",IF(COUNTIF('Competency Event Log'!$U$4:$U$803,$B20&amp;"|"&amp;CQ$5)=0,"",SUMIF('Competency Event Log'!$U$4:$U$803,$B20&amp;"|"&amp;CQ$5,'Competency Event Log'!$D$4:$D$803)))</f>
        <v/>
      </c>
      <c r="CR20" s="8" t="str">
        <f>IF($B20="","",IF(COUNTIF('Competency Event Log'!$U$4:$U$803,$B20&amp;"|"&amp;CR$5)=0,"",SUMIF('Competency Event Log'!$U$4:$U$803,$B20&amp;"|"&amp;CR$5,'Competency Event Log'!$D$4:$D$803)))</f>
        <v/>
      </c>
      <c r="CS20" s="8" t="str">
        <f>IF($B20="","",IF(COUNTIF('Competency Event Log'!$U$4:$U$803,$B20&amp;"|"&amp;CS$5)=0,"",SUMIF('Competency Event Log'!$U$4:$U$803,$B20&amp;"|"&amp;CS$5,'Competency Event Log'!$D$4:$D$803)))</f>
        <v/>
      </c>
      <c r="CT20" s="8" t="str">
        <f>IF($B20="","",IF(COUNTIF('Competency Event Log'!$U$4:$U$803,$B20&amp;"|"&amp;CT$5)=0,"",SUMIF('Competency Event Log'!$U$4:$U$803,$B20&amp;"|"&amp;CT$5,'Competency Event Log'!$D$4:$D$803)))</f>
        <v/>
      </c>
      <c r="CU20" s="8" t="str">
        <f>IF($B20="","",IF(COUNTIF('Competency Event Log'!$U$4:$U$803,$B20&amp;"|"&amp;CU$5)=0,"",SUMIF('Competency Event Log'!$U$4:$U$803,$B20&amp;"|"&amp;CU$5,'Competency Event Log'!$D$4:$D$803)))</f>
        <v/>
      </c>
      <c r="CV20" s="8" t="str">
        <f>IF($B20="","",IF(COUNTIF('Competency Event Log'!$U$4:$U$803,$B20&amp;"|"&amp;CV$5)=0,"",SUMIF('Competency Event Log'!$U$4:$U$803,$B20&amp;"|"&amp;CV$5,'Competency Event Log'!$D$4:$D$803)))</f>
        <v/>
      </c>
      <c r="CW20" s="8" t="str">
        <f>IF($B20="","",IF(COUNTIF('Competency Event Log'!$U$4:$U$803,$B20&amp;"|"&amp;CW$5)=0,"",SUMIF('Competency Event Log'!$U$4:$U$803,$B20&amp;"|"&amp;CW$5,'Competency Event Log'!$D$4:$D$803)))</f>
        <v/>
      </c>
      <c r="CX20" s="8" t="str">
        <f>IF($B20="","",IF(COUNTIF('Competency Event Log'!$U$4:$U$803,$B20&amp;"|"&amp;CX$5)=0,"",SUMIF('Competency Event Log'!$U$4:$U$803,$B20&amp;"|"&amp;CX$5,'Competency Event Log'!$D$4:$D$803)))</f>
        <v/>
      </c>
      <c r="CY20" s="8" t="str">
        <f>IF($B20="","",IF(COUNTIF('Competency Event Log'!$U$4:$U$803,$B20&amp;"|"&amp;CY$5)=0,"",SUMIF('Competency Event Log'!$U$4:$U$803,$B20&amp;"|"&amp;CY$5,'Competency Event Log'!$D$4:$D$803)))</f>
        <v/>
      </c>
      <c r="CZ20" s="8" t="str">
        <f>IF($B20="","",IF(COUNTIF('Competency Event Log'!$U$4:$U$803,$B20&amp;"|"&amp;CZ$5)=0,"",SUMIF('Competency Event Log'!$U$4:$U$803,$B20&amp;"|"&amp;CZ$5,'Competency Event Log'!$D$4:$D$803)))</f>
        <v/>
      </c>
      <c r="DA20" s="8" t="str">
        <f>IF($B20="","",IF(COUNTIF('Competency Event Log'!$U$4:$U$803,$B20&amp;"|"&amp;DA$5)=0,"",SUMIF('Competency Event Log'!$U$4:$U$803,$B20&amp;"|"&amp;DA$5,'Competency Event Log'!$D$4:$D$803)))</f>
        <v/>
      </c>
      <c r="DB20" s="8" t="str">
        <f>IF($B20="","",IF(COUNTIF('Competency Event Log'!$U$4:$U$803,$B20&amp;"|"&amp;DB$5)=0,"",SUMIF('Competency Event Log'!$U$4:$U$803,$B20&amp;"|"&amp;DB$5,'Competency Event Log'!$D$4:$D$803)))</f>
        <v/>
      </c>
      <c r="DC20" s="8" t="str">
        <f>IF($B20="","",IF(COUNTIF('Competency Event Log'!$U$4:$U$803,$B20&amp;"|"&amp;DC$5)=0,"",SUMIF('Competency Event Log'!$U$4:$U$803,$B20&amp;"|"&amp;DC$5,'Competency Event Log'!$D$4:$D$803)))</f>
        <v/>
      </c>
      <c r="DD20" s="8" t="str">
        <f>IF($B20="","",IF(COUNTIF('Competency Event Log'!$U$4:$U$803,$B20&amp;"|"&amp;DD$5)=0,"",SUMIF('Competency Event Log'!$U$4:$U$803,$B20&amp;"|"&amp;DD$5,'Competency Event Log'!$D$4:$D$803)))</f>
        <v/>
      </c>
      <c r="DE20" s="8" t="str">
        <f>IF($B20="","",IF(COUNTIF('Competency Event Log'!$U$4:$U$803,$B20&amp;"|"&amp;DE$5)=0,"",SUMIF('Competency Event Log'!$U$4:$U$803,$B20&amp;"|"&amp;DE$5,'Competency Event Log'!$D$4:$D$803)))</f>
        <v/>
      </c>
      <c r="DF20" s="8">
        <f t="shared" si="0"/>
        <v>23</v>
      </c>
      <c r="DG20" s="8">
        <f t="shared" si="1"/>
        <v>11</v>
      </c>
      <c r="DH20" s="8">
        <f t="shared" si="2"/>
        <v>5</v>
      </c>
      <c r="DI20" s="11">
        <f t="shared" si="3"/>
        <v>0.88888888888888884</v>
      </c>
    </row>
    <row r="21" spans="1:113">
      <c r="A21" s="7" t="s">
        <v>306</v>
      </c>
      <c r="B21" s="7" t="s">
        <v>86</v>
      </c>
      <c r="C21" s="8">
        <v>1</v>
      </c>
      <c r="D21" s="9" t="s">
        <v>765</v>
      </c>
      <c r="E21" s="10">
        <v>45595</v>
      </c>
      <c r="F21" s="8" t="s">
        <v>683</v>
      </c>
      <c r="G21" s="8" t="str">
        <f>IF($B21="","",IF(COUNTIF('Competency Event Log'!$U$4:$U$803,$B21&amp;"|"&amp;G$5)=0,"",SUMIF('Competency Event Log'!$U$4:$U$803,$B21&amp;"|"&amp;G$5,'Competency Event Log'!$D$4:$D$803)))</f>
        <v/>
      </c>
      <c r="H21" s="8" t="str">
        <f>IF($B21="","",IF(COUNTIF('Competency Event Log'!$U$4:$U$803,$B21&amp;"|"&amp;H$5)=0,"",SUMIF('Competency Event Log'!$U$4:$U$803,$B21&amp;"|"&amp;H$5,'Competency Event Log'!$D$4:$D$803)))</f>
        <v/>
      </c>
      <c r="I21" s="8" t="str">
        <f>IF($B21="","",IF(COUNTIF('Competency Event Log'!$U$4:$U$803,$B21&amp;"|"&amp;I$5)=0,"",SUMIF('Competency Event Log'!$U$4:$U$803,$B21&amp;"|"&amp;I$5,'Competency Event Log'!$D$4:$D$803)))</f>
        <v/>
      </c>
      <c r="J21" s="8" t="str">
        <f>IF($B21="","",IF(COUNTIF('Competency Event Log'!$U$4:$U$803,$B21&amp;"|"&amp;J$5)=0,"",SUMIF('Competency Event Log'!$U$4:$U$803,$B21&amp;"|"&amp;J$5,'Competency Event Log'!$D$4:$D$803)))</f>
        <v/>
      </c>
      <c r="K21" s="8" t="str">
        <f>IF($B21="","",IF(COUNTIF('Competency Event Log'!$U$4:$U$803,$B21&amp;"|"&amp;K$5)=0,"",SUMIF('Competency Event Log'!$U$4:$U$803,$B21&amp;"|"&amp;K$5,'Competency Event Log'!$D$4:$D$803)))</f>
        <v/>
      </c>
      <c r="L21" s="8" t="str">
        <f>IF($B21="","",IF(COUNTIF('Competency Event Log'!$U$4:$U$803,$B21&amp;"|"&amp;L$5)=0,"",SUMIF('Competency Event Log'!$U$4:$U$803,$B21&amp;"|"&amp;L$5,'Competency Event Log'!$D$4:$D$803)))</f>
        <v/>
      </c>
      <c r="M21" s="8" t="str">
        <f>IF($B21="","",IF(COUNTIF('Competency Event Log'!$U$4:$U$803,$B21&amp;"|"&amp;M$5)=0,"",SUMIF('Competency Event Log'!$U$4:$U$803,$B21&amp;"|"&amp;M$5,'Competency Event Log'!$D$4:$D$803)))</f>
        <v/>
      </c>
      <c r="N21" s="8" t="str">
        <f>IF($B21="","",IF(COUNTIF('Competency Event Log'!$U$4:$U$803,$B21&amp;"|"&amp;N$5)=0,"",SUMIF('Competency Event Log'!$U$4:$U$803,$B21&amp;"|"&amp;N$5,'Competency Event Log'!$D$4:$D$803)))</f>
        <v/>
      </c>
      <c r="O21" s="8" t="str">
        <f>IF($B21="","",IF(COUNTIF('Competency Event Log'!$U$4:$U$803,$B21&amp;"|"&amp;O$5)=0,"",SUMIF('Competency Event Log'!$U$4:$U$803,$B21&amp;"|"&amp;O$5,'Competency Event Log'!$D$4:$D$803)))</f>
        <v/>
      </c>
      <c r="P21" s="8" t="str">
        <f>IF($B21="","",IF(COUNTIF('Competency Event Log'!$U$4:$U$803,$B21&amp;"|"&amp;P$5)=0,"",SUMIF('Competency Event Log'!$U$4:$U$803,$B21&amp;"|"&amp;P$5,'Competency Event Log'!$D$4:$D$803)))</f>
        <v/>
      </c>
      <c r="Q21" s="8" t="str">
        <f>IF($B21="","",IF(COUNTIF('Competency Event Log'!$U$4:$U$803,$B21&amp;"|"&amp;Q$5)=0,"",SUMIF('Competency Event Log'!$U$4:$U$803,$B21&amp;"|"&amp;Q$5,'Competency Event Log'!$D$4:$D$803)))</f>
        <v/>
      </c>
      <c r="R21" s="8" t="str">
        <f>IF($B21="","",IF(COUNTIF('Competency Event Log'!$U$4:$U$803,$B21&amp;"|"&amp;R$5)=0,"",SUMIF('Competency Event Log'!$U$4:$U$803,$B21&amp;"|"&amp;R$5,'Competency Event Log'!$D$4:$D$803)))</f>
        <v/>
      </c>
      <c r="S21" s="8" t="str">
        <f>IF($B21="","",IF(COUNTIF('Competency Event Log'!$U$4:$U$803,$B21&amp;"|"&amp;S$5)=0,"",SUMIF('Competency Event Log'!$U$4:$U$803,$B21&amp;"|"&amp;S$5,'Competency Event Log'!$D$4:$D$803)))</f>
        <v/>
      </c>
      <c r="T21" s="8" t="str">
        <f>IF($B21="","",IF(COUNTIF('Competency Event Log'!$U$4:$U$803,$B21&amp;"|"&amp;T$5)=0,"",SUMIF('Competency Event Log'!$U$4:$U$803,$B21&amp;"|"&amp;T$5,'Competency Event Log'!$D$4:$D$803)))</f>
        <v/>
      </c>
      <c r="U21" s="8" t="str">
        <f>IF($B21="","",IF(COUNTIF('Competency Event Log'!$U$4:$U$803,$B21&amp;"|"&amp;U$5)=0,"",SUMIF('Competency Event Log'!$U$4:$U$803,$B21&amp;"|"&amp;U$5,'Competency Event Log'!$D$4:$D$803)))</f>
        <v/>
      </c>
      <c r="V21" s="8" t="str">
        <f>IF($B21="","",IF(COUNTIF('Competency Event Log'!$U$4:$U$803,$B21&amp;"|"&amp;V$5)=0,"",SUMIF('Competency Event Log'!$U$4:$U$803,$B21&amp;"|"&amp;V$5,'Competency Event Log'!$D$4:$D$803)))</f>
        <v/>
      </c>
      <c r="W21" s="8" t="str">
        <f>IF($B21="","",IF(COUNTIF('Competency Event Log'!$U$4:$U$803,$B21&amp;"|"&amp;W$5)=0,"",SUMIF('Competency Event Log'!$U$4:$U$803,$B21&amp;"|"&amp;W$5,'Competency Event Log'!$D$4:$D$803)))</f>
        <v/>
      </c>
      <c r="X21" s="8" t="str">
        <f>IF($B21="","",IF(COUNTIF('Competency Event Log'!$U$4:$U$803,$B21&amp;"|"&amp;X$5)=0,"",SUMIF('Competency Event Log'!$U$4:$U$803,$B21&amp;"|"&amp;X$5,'Competency Event Log'!$D$4:$D$803)))</f>
        <v/>
      </c>
      <c r="Y21" s="8" t="str">
        <f>IF($B21="","",IF(COUNTIF('Competency Event Log'!$U$4:$U$803,$B21&amp;"|"&amp;Y$5)=0,"",SUMIF('Competency Event Log'!$U$4:$U$803,$B21&amp;"|"&amp;Y$5,'Competency Event Log'!$D$4:$D$803)))</f>
        <v/>
      </c>
      <c r="Z21" s="8" t="str">
        <f>IF($B21="","",IF(COUNTIF('Competency Event Log'!$U$4:$U$803,$B21&amp;"|"&amp;Z$5)=0,"",SUMIF('Competency Event Log'!$U$4:$U$803,$B21&amp;"|"&amp;Z$5,'Competency Event Log'!$D$4:$D$803)))</f>
        <v/>
      </c>
      <c r="AA21" s="8" t="str">
        <f>IF($B21="","",IF(COUNTIF('Competency Event Log'!$U$4:$U$803,$B21&amp;"|"&amp;AA$5)=0,"",SUMIF('Competency Event Log'!$U$4:$U$803,$B21&amp;"|"&amp;AA$5,'Competency Event Log'!$D$4:$D$803)))</f>
        <v/>
      </c>
      <c r="AB21" s="8" t="str">
        <f>IF($B21="","",IF(COUNTIF('Competency Event Log'!$U$4:$U$803,$B21&amp;"|"&amp;AB$5)=0,"",SUMIF('Competency Event Log'!$U$4:$U$803,$B21&amp;"|"&amp;AB$5,'Competency Event Log'!$D$4:$D$803)))</f>
        <v/>
      </c>
      <c r="AC21" s="8" t="str">
        <f>IF($B21="","",IF(COUNTIF('Competency Event Log'!$U$4:$U$803,$B21&amp;"|"&amp;AC$5)=0,"",SUMIF('Competency Event Log'!$U$4:$U$803,$B21&amp;"|"&amp;AC$5,'Competency Event Log'!$D$4:$D$803)))</f>
        <v/>
      </c>
      <c r="AD21" s="8" t="str">
        <f>IF($B21="","",IF(COUNTIF('Competency Event Log'!$U$4:$U$803,$B21&amp;"|"&amp;AD$5)=0,"",SUMIF('Competency Event Log'!$U$4:$U$803,$B21&amp;"|"&amp;AD$5,'Competency Event Log'!$D$4:$D$803)))</f>
        <v/>
      </c>
      <c r="AE21" s="8" t="str">
        <f>IF($B21="","",IF(COUNTIF('Competency Event Log'!$U$4:$U$803,$B21&amp;"|"&amp;AE$5)=0,"",SUMIF('Competency Event Log'!$U$4:$U$803,$B21&amp;"|"&amp;AE$5,'Competency Event Log'!$D$4:$D$803)))</f>
        <v/>
      </c>
      <c r="AF21" s="8" t="str">
        <f>IF($B21="","",IF(COUNTIF('Competency Event Log'!$U$4:$U$803,$B21&amp;"|"&amp;AF$5)=0,"",SUMIF('Competency Event Log'!$U$4:$U$803,$B21&amp;"|"&amp;AF$5,'Competency Event Log'!$D$4:$D$803)))</f>
        <v/>
      </c>
      <c r="AG21" s="8" t="str">
        <f>IF($B21="","",IF(COUNTIF('Competency Event Log'!$U$4:$U$803,$B21&amp;"|"&amp;AG$5)=0,"",SUMIF('Competency Event Log'!$U$4:$U$803,$B21&amp;"|"&amp;AG$5,'Competency Event Log'!$D$4:$D$803)))</f>
        <v/>
      </c>
      <c r="AH21" s="8" t="str">
        <f>IF($B21="","",IF(COUNTIF('Competency Event Log'!$U$4:$U$803,$B21&amp;"|"&amp;AH$5)=0,"",SUMIF('Competency Event Log'!$U$4:$U$803,$B21&amp;"|"&amp;AH$5,'Competency Event Log'!$D$4:$D$803)))</f>
        <v/>
      </c>
      <c r="AI21" s="8" t="str">
        <f>IF($B21="","",IF(COUNTIF('Competency Event Log'!$U$4:$U$803,$B21&amp;"|"&amp;AI$5)=0,"",SUMIF('Competency Event Log'!$U$4:$U$803,$B21&amp;"|"&amp;AI$5,'Competency Event Log'!$D$4:$D$803)))</f>
        <v/>
      </c>
      <c r="AJ21" s="8" t="str">
        <f>IF($B21="","",IF(COUNTIF('Competency Event Log'!$U$4:$U$803,$B21&amp;"|"&amp;AJ$5)=0,"",SUMIF('Competency Event Log'!$U$4:$U$803,$B21&amp;"|"&amp;AJ$5,'Competency Event Log'!$D$4:$D$803)))</f>
        <v/>
      </c>
      <c r="AK21" s="8">
        <f>IF($B21="","",IF(COUNTIF('Competency Event Log'!$U$4:$U$803,$B21&amp;"|"&amp;AK$5)=0,"",SUMIF('Competency Event Log'!$U$4:$U$803,$B21&amp;"|"&amp;AK$5,'Competency Event Log'!$D$4:$D$803)))</f>
        <v>1</v>
      </c>
      <c r="AL21" s="8" t="str">
        <f>IF($B21="","",IF(COUNTIF('Competency Event Log'!$U$4:$U$803,$B21&amp;"|"&amp;AL$5)=0,"",SUMIF('Competency Event Log'!$U$4:$U$803,$B21&amp;"|"&amp;AL$5,'Competency Event Log'!$D$4:$D$803)))</f>
        <v/>
      </c>
      <c r="AM21" s="8">
        <f>IF($B21="","",IF(COUNTIF('Competency Event Log'!$U$4:$U$803,$B21&amp;"|"&amp;AM$5)=0,"",SUMIF('Competency Event Log'!$U$4:$U$803,$B21&amp;"|"&amp;AM$5,'Competency Event Log'!$D$4:$D$803)))</f>
        <v>1</v>
      </c>
      <c r="AN21" s="8">
        <f>IF($B21="","",IF(COUNTIF('Competency Event Log'!$U$4:$U$803,$B21&amp;"|"&amp;AN$5)=0,"",SUMIF('Competency Event Log'!$U$4:$U$803,$B21&amp;"|"&amp;AN$5,'Competency Event Log'!$D$4:$D$803)))</f>
        <v>3</v>
      </c>
      <c r="AO21" s="8">
        <f>IF($B21="","",IF(COUNTIF('Competency Event Log'!$U$4:$U$803,$B21&amp;"|"&amp;AO$5)=0,"",SUMIF('Competency Event Log'!$U$4:$U$803,$B21&amp;"|"&amp;AO$5,'Competency Event Log'!$D$4:$D$803)))</f>
        <v>3</v>
      </c>
      <c r="AP21" s="8">
        <f>IF($B21="","",IF(COUNTIF('Competency Event Log'!$U$4:$U$803,$B21&amp;"|"&amp;AP$5)=0,"",SUMIF('Competency Event Log'!$U$4:$U$803,$B21&amp;"|"&amp;AP$5,'Competency Event Log'!$D$4:$D$803)))</f>
        <v>2</v>
      </c>
      <c r="AQ21" s="8">
        <f>IF($B21="","",IF(COUNTIF('Competency Event Log'!$U$4:$U$803,$B21&amp;"|"&amp;AQ$5)=0,"",SUMIF('Competency Event Log'!$U$4:$U$803,$B21&amp;"|"&amp;AQ$5,'Competency Event Log'!$D$4:$D$803)))</f>
        <v>2</v>
      </c>
      <c r="AR21" s="8">
        <f>IF($B21="","",IF(COUNTIF('Competency Event Log'!$U$4:$U$803,$B21&amp;"|"&amp;AR$5)=0,"",SUMIF('Competency Event Log'!$U$4:$U$803,$B21&amp;"|"&amp;AR$5,'Competency Event Log'!$D$4:$D$803)))</f>
        <v>3</v>
      </c>
      <c r="AS21" s="8">
        <f>IF($B21="","",IF(COUNTIF('Competency Event Log'!$U$4:$U$803,$B21&amp;"|"&amp;AS$5)=0,"",SUMIF('Competency Event Log'!$U$4:$U$803,$B21&amp;"|"&amp;AS$5,'Competency Event Log'!$D$4:$D$803)))</f>
        <v>3</v>
      </c>
      <c r="AT21" s="8" t="str">
        <f>IF($B21="","",IF(COUNTIF('Competency Event Log'!$U$4:$U$803,$B21&amp;"|"&amp;AT$5)=0,"",SUMIF('Competency Event Log'!$U$4:$U$803,$B21&amp;"|"&amp;AT$5,'Competency Event Log'!$D$4:$D$803)))</f>
        <v/>
      </c>
      <c r="AU21" s="8" t="str">
        <f>IF($B21="","",IF(COUNTIF('Competency Event Log'!$U$4:$U$803,$B21&amp;"|"&amp;AU$5)=0,"",SUMIF('Competency Event Log'!$U$4:$U$803,$B21&amp;"|"&amp;AU$5,'Competency Event Log'!$D$4:$D$803)))</f>
        <v/>
      </c>
      <c r="AV21" s="8" t="str">
        <f>IF($B21="","",IF(COUNTIF('Competency Event Log'!$U$4:$U$803,$B21&amp;"|"&amp;AV$5)=0,"",SUMIF('Competency Event Log'!$U$4:$U$803,$B21&amp;"|"&amp;AV$5,'Competency Event Log'!$D$4:$D$803)))</f>
        <v/>
      </c>
      <c r="AW21" s="8" t="str">
        <f>IF($B21="","",IF(COUNTIF('Competency Event Log'!$U$4:$U$803,$B21&amp;"|"&amp;AW$5)=0,"",SUMIF('Competency Event Log'!$U$4:$U$803,$B21&amp;"|"&amp;AW$5,'Competency Event Log'!$D$4:$D$803)))</f>
        <v/>
      </c>
      <c r="AX21" s="8" t="str">
        <f>IF($B21="","",IF(COUNTIF('Competency Event Log'!$U$4:$U$803,$B21&amp;"|"&amp;AX$5)=0,"",SUMIF('Competency Event Log'!$U$4:$U$803,$B21&amp;"|"&amp;AX$5,'Competency Event Log'!$D$4:$D$803)))</f>
        <v/>
      </c>
      <c r="AY21" s="8" t="str">
        <f>IF($B21="","",IF(COUNTIF('Competency Event Log'!$U$4:$U$803,$B21&amp;"|"&amp;AY$5)=0,"",SUMIF('Competency Event Log'!$U$4:$U$803,$B21&amp;"|"&amp;AY$5,'Competency Event Log'!$D$4:$D$803)))</f>
        <v/>
      </c>
      <c r="AZ21" s="8" t="str">
        <f>IF($B21="","",IF(COUNTIF('Competency Event Log'!$U$4:$U$803,$B21&amp;"|"&amp;AZ$5)=0,"",SUMIF('Competency Event Log'!$U$4:$U$803,$B21&amp;"|"&amp;AZ$5,'Competency Event Log'!$D$4:$D$803)))</f>
        <v/>
      </c>
      <c r="BA21" s="8" t="str">
        <f>IF($B21="","",IF(COUNTIF('Competency Event Log'!$U$4:$U$803,$B21&amp;"|"&amp;BA$5)=0,"",SUMIF('Competency Event Log'!$U$4:$U$803,$B21&amp;"|"&amp;BA$5,'Competency Event Log'!$D$4:$D$803)))</f>
        <v/>
      </c>
      <c r="BB21" s="8" t="str">
        <f>IF($B21="","",IF(COUNTIF('Competency Event Log'!$U$4:$U$803,$B21&amp;"|"&amp;BB$5)=0,"",SUMIF('Competency Event Log'!$U$4:$U$803,$B21&amp;"|"&amp;BB$5,'Competency Event Log'!$D$4:$D$803)))</f>
        <v/>
      </c>
      <c r="BC21" s="8" t="str">
        <f>IF($B21="","",IF(COUNTIF('Competency Event Log'!$U$4:$U$803,$B21&amp;"|"&amp;BC$5)=0,"",SUMIF('Competency Event Log'!$U$4:$U$803,$B21&amp;"|"&amp;BC$5,'Competency Event Log'!$D$4:$D$803)))</f>
        <v/>
      </c>
      <c r="BD21" s="8" t="str">
        <f>IF($B21="","",IF(COUNTIF('Competency Event Log'!$U$4:$U$803,$B21&amp;"|"&amp;BD$5)=0,"",SUMIF('Competency Event Log'!$U$4:$U$803,$B21&amp;"|"&amp;BD$5,'Competency Event Log'!$D$4:$D$803)))</f>
        <v/>
      </c>
      <c r="BE21" s="8" t="str">
        <f>IF($B21="","",IF(COUNTIF('Competency Event Log'!$U$4:$U$803,$B21&amp;"|"&amp;BE$5)=0,"",SUMIF('Competency Event Log'!$U$4:$U$803,$B21&amp;"|"&amp;BE$5,'Competency Event Log'!$D$4:$D$803)))</f>
        <v/>
      </c>
      <c r="BF21" s="8" t="str">
        <f>IF($B21="","",IF(COUNTIF('Competency Event Log'!$U$4:$U$803,$B21&amp;"|"&amp;BF$5)=0,"",SUMIF('Competency Event Log'!$U$4:$U$803,$B21&amp;"|"&amp;BF$5,'Competency Event Log'!$D$4:$D$803)))</f>
        <v/>
      </c>
      <c r="BG21" s="8" t="str">
        <f>IF($B21="","",IF(COUNTIF('Competency Event Log'!$U$4:$U$803,$B21&amp;"|"&amp;BG$5)=0,"",SUMIF('Competency Event Log'!$U$4:$U$803,$B21&amp;"|"&amp;BG$5,'Competency Event Log'!$D$4:$D$803)))</f>
        <v/>
      </c>
      <c r="BH21" s="8" t="str">
        <f>IF($B21="","",IF(COUNTIF('Competency Event Log'!$U$4:$U$803,$B21&amp;"|"&amp;BH$5)=0,"",SUMIF('Competency Event Log'!$U$4:$U$803,$B21&amp;"|"&amp;BH$5,'Competency Event Log'!$D$4:$D$803)))</f>
        <v/>
      </c>
      <c r="BI21" s="8" t="str">
        <f>IF($B21="","",IF(COUNTIF('Competency Event Log'!$U$4:$U$803,$B21&amp;"|"&amp;BI$5)=0,"",SUMIF('Competency Event Log'!$U$4:$U$803,$B21&amp;"|"&amp;BI$5,'Competency Event Log'!$D$4:$D$803)))</f>
        <v/>
      </c>
      <c r="BJ21" s="8" t="str">
        <f>IF($B21="","",IF(COUNTIF('Competency Event Log'!$U$4:$U$803,$B21&amp;"|"&amp;BJ$5)=0,"",SUMIF('Competency Event Log'!$U$4:$U$803,$B21&amp;"|"&amp;BJ$5,'Competency Event Log'!$D$4:$D$803)))</f>
        <v/>
      </c>
      <c r="BK21" s="8" t="str">
        <f>IF($B21="","",IF(COUNTIF('Competency Event Log'!$U$4:$U$803,$B21&amp;"|"&amp;BK$5)=0,"",SUMIF('Competency Event Log'!$U$4:$U$803,$B21&amp;"|"&amp;BK$5,'Competency Event Log'!$D$4:$D$803)))</f>
        <v/>
      </c>
      <c r="BL21" s="8" t="str">
        <f>IF($B21="","",IF(COUNTIF('Competency Event Log'!$U$4:$U$803,$B21&amp;"|"&amp;BL$5)=0,"",SUMIF('Competency Event Log'!$U$4:$U$803,$B21&amp;"|"&amp;BL$5,'Competency Event Log'!$D$4:$D$803)))</f>
        <v/>
      </c>
      <c r="BM21" s="8" t="str">
        <f>IF($B21="","",IF(COUNTIF('Competency Event Log'!$U$4:$U$803,$B21&amp;"|"&amp;BM$5)=0,"",SUMIF('Competency Event Log'!$U$4:$U$803,$B21&amp;"|"&amp;BM$5,'Competency Event Log'!$D$4:$D$803)))</f>
        <v/>
      </c>
      <c r="BN21" s="8" t="str">
        <f>IF($B21="","",IF(COUNTIF('Competency Event Log'!$U$4:$U$803,$B21&amp;"|"&amp;BN$5)=0,"",SUMIF('Competency Event Log'!$U$4:$U$803,$B21&amp;"|"&amp;BN$5,'Competency Event Log'!$D$4:$D$803)))</f>
        <v/>
      </c>
      <c r="BO21" s="8" t="str">
        <f>IF($B21="","",IF(COUNTIF('Competency Event Log'!$U$4:$U$803,$B21&amp;"|"&amp;BO$5)=0,"",SUMIF('Competency Event Log'!$U$4:$U$803,$B21&amp;"|"&amp;BO$5,'Competency Event Log'!$D$4:$D$803)))</f>
        <v/>
      </c>
      <c r="BP21" s="8">
        <f>IF($B21="","",IF(COUNTIF('Competency Event Log'!$U$4:$U$803,$B21&amp;"|"&amp;BP$5)=0,"",SUMIF('Competency Event Log'!$U$4:$U$803,$B21&amp;"|"&amp;BP$5,'Competency Event Log'!$D$4:$D$803)))</f>
        <v>2</v>
      </c>
      <c r="BQ21" s="8" t="str">
        <f>IF($B21="","",IF(COUNTIF('Competency Event Log'!$U$4:$U$803,$B21&amp;"|"&amp;BQ$5)=0,"",SUMIF('Competency Event Log'!$U$4:$U$803,$B21&amp;"|"&amp;BQ$5,'Competency Event Log'!$D$4:$D$803)))</f>
        <v/>
      </c>
      <c r="BR21" s="8" t="str">
        <f>IF($B21="","",IF(COUNTIF('Competency Event Log'!$U$4:$U$803,$B21&amp;"|"&amp;BR$5)=0,"",SUMIF('Competency Event Log'!$U$4:$U$803,$B21&amp;"|"&amp;BR$5,'Competency Event Log'!$D$4:$D$803)))</f>
        <v/>
      </c>
      <c r="BS21" s="8" t="str">
        <f>IF($B21="","",IF(COUNTIF('Competency Event Log'!$U$4:$U$803,$B21&amp;"|"&amp;BS$5)=0,"",SUMIF('Competency Event Log'!$U$4:$U$803,$B21&amp;"|"&amp;BS$5,'Competency Event Log'!$D$4:$D$803)))</f>
        <v/>
      </c>
      <c r="BT21" s="8" t="str">
        <f>IF($B21="","",IF(COUNTIF('Competency Event Log'!$U$4:$U$803,$B21&amp;"|"&amp;BT$5)=0,"",SUMIF('Competency Event Log'!$U$4:$U$803,$B21&amp;"|"&amp;BT$5,'Competency Event Log'!$D$4:$D$803)))</f>
        <v/>
      </c>
      <c r="BU21" s="8" t="str">
        <f>IF($B21="","",IF(COUNTIF('Competency Event Log'!$U$4:$U$803,$B21&amp;"|"&amp;BU$5)=0,"",SUMIF('Competency Event Log'!$U$4:$U$803,$B21&amp;"|"&amp;BU$5,'Competency Event Log'!$D$4:$D$803)))</f>
        <v/>
      </c>
      <c r="BV21" s="8" t="str">
        <f>IF($B21="","",IF(COUNTIF('Competency Event Log'!$U$4:$U$803,$B21&amp;"|"&amp;BV$5)=0,"",SUMIF('Competency Event Log'!$U$4:$U$803,$B21&amp;"|"&amp;BV$5,'Competency Event Log'!$D$4:$D$803)))</f>
        <v/>
      </c>
      <c r="BW21" s="8" t="str">
        <f>IF($B21="","",IF(COUNTIF('Competency Event Log'!$U$4:$U$803,$B21&amp;"|"&amp;BW$5)=0,"",SUMIF('Competency Event Log'!$U$4:$U$803,$B21&amp;"|"&amp;BW$5,'Competency Event Log'!$D$4:$D$803)))</f>
        <v/>
      </c>
      <c r="BX21" s="8" t="str">
        <f>IF($B21="","",IF(COUNTIF('Competency Event Log'!$U$4:$U$803,$B21&amp;"|"&amp;BX$5)=0,"",SUMIF('Competency Event Log'!$U$4:$U$803,$B21&amp;"|"&amp;BX$5,'Competency Event Log'!$D$4:$D$803)))</f>
        <v/>
      </c>
      <c r="BY21" s="8" t="str">
        <f>IF($B21="","",IF(COUNTIF('Competency Event Log'!$U$4:$U$803,$B21&amp;"|"&amp;BY$5)=0,"",SUMIF('Competency Event Log'!$U$4:$U$803,$B21&amp;"|"&amp;BY$5,'Competency Event Log'!$D$4:$D$803)))</f>
        <v/>
      </c>
      <c r="BZ21" s="8" t="str">
        <f>IF($B21="","",IF(COUNTIF('Competency Event Log'!$U$4:$U$803,$B21&amp;"|"&amp;BZ$5)=0,"",SUMIF('Competency Event Log'!$U$4:$U$803,$B21&amp;"|"&amp;BZ$5,'Competency Event Log'!$D$4:$D$803)))</f>
        <v/>
      </c>
      <c r="CA21" s="8" t="str">
        <f>IF($B21="","",IF(COUNTIF('Competency Event Log'!$U$4:$U$803,$B21&amp;"|"&amp;CA$5)=0,"",SUMIF('Competency Event Log'!$U$4:$U$803,$B21&amp;"|"&amp;CA$5,'Competency Event Log'!$D$4:$D$803)))</f>
        <v/>
      </c>
      <c r="CB21" s="8" t="str">
        <f>IF($B21="","",IF(COUNTIF('Competency Event Log'!$U$4:$U$803,$B21&amp;"|"&amp;CB$5)=0,"",SUMIF('Competency Event Log'!$U$4:$U$803,$B21&amp;"|"&amp;CB$5,'Competency Event Log'!$D$4:$D$803)))</f>
        <v/>
      </c>
      <c r="CC21" s="8" t="str">
        <f>IF($B21="","",IF(COUNTIF('Competency Event Log'!$U$4:$U$803,$B21&amp;"|"&amp;CC$5)=0,"",SUMIF('Competency Event Log'!$U$4:$U$803,$B21&amp;"|"&amp;CC$5,'Competency Event Log'!$D$4:$D$803)))</f>
        <v/>
      </c>
      <c r="CD21" s="8" t="str">
        <f>IF($B21="","",IF(COUNTIF('Competency Event Log'!$U$4:$U$803,$B21&amp;"|"&amp;CD$5)=0,"",SUMIF('Competency Event Log'!$U$4:$U$803,$B21&amp;"|"&amp;CD$5,'Competency Event Log'!$D$4:$D$803)))</f>
        <v/>
      </c>
      <c r="CE21" s="8" t="str">
        <f>IF($B21="","",IF(COUNTIF('Competency Event Log'!$U$4:$U$803,$B21&amp;"|"&amp;CE$5)=0,"",SUMIF('Competency Event Log'!$U$4:$U$803,$B21&amp;"|"&amp;CE$5,'Competency Event Log'!$D$4:$D$803)))</f>
        <v/>
      </c>
      <c r="CF21" s="8" t="str">
        <f>IF($B21="","",IF(COUNTIF('Competency Event Log'!$U$4:$U$803,$B21&amp;"|"&amp;CF$5)=0,"",SUMIF('Competency Event Log'!$U$4:$U$803,$B21&amp;"|"&amp;CF$5,'Competency Event Log'!$D$4:$D$803)))</f>
        <v/>
      </c>
      <c r="CG21" s="8" t="str">
        <f>IF($B21="","",IF(COUNTIF('Competency Event Log'!$U$4:$U$803,$B21&amp;"|"&amp;CG$5)=0,"",SUMIF('Competency Event Log'!$U$4:$U$803,$B21&amp;"|"&amp;CG$5,'Competency Event Log'!$D$4:$D$803)))</f>
        <v/>
      </c>
      <c r="CH21" s="8" t="str">
        <f>IF($B21="","",IF(COUNTIF('Competency Event Log'!$U$4:$U$803,$B21&amp;"|"&amp;CH$5)=0,"",SUMIF('Competency Event Log'!$U$4:$U$803,$B21&amp;"|"&amp;CH$5,'Competency Event Log'!$D$4:$D$803)))</f>
        <v/>
      </c>
      <c r="CI21" s="8" t="str">
        <f>IF($B21="","",IF(COUNTIF('Competency Event Log'!$U$4:$U$803,$B21&amp;"|"&amp;CI$5)=0,"",SUMIF('Competency Event Log'!$U$4:$U$803,$B21&amp;"|"&amp;CI$5,'Competency Event Log'!$D$4:$D$803)))</f>
        <v/>
      </c>
      <c r="CJ21" s="8" t="str">
        <f>IF($B21="","",IF(COUNTIF('Competency Event Log'!$U$4:$U$803,$B21&amp;"|"&amp;CJ$5)=0,"",SUMIF('Competency Event Log'!$U$4:$U$803,$B21&amp;"|"&amp;CJ$5,'Competency Event Log'!$D$4:$D$803)))</f>
        <v/>
      </c>
      <c r="CK21" s="8" t="str">
        <f>IF($B21="","",IF(COUNTIF('Competency Event Log'!$U$4:$U$803,$B21&amp;"|"&amp;CK$5)=0,"",SUMIF('Competency Event Log'!$U$4:$U$803,$B21&amp;"|"&amp;CK$5,'Competency Event Log'!$D$4:$D$803)))</f>
        <v/>
      </c>
      <c r="CL21" s="8" t="str">
        <f>IF($B21="","",IF(COUNTIF('Competency Event Log'!$U$4:$U$803,$B21&amp;"|"&amp;CL$5)=0,"",SUMIF('Competency Event Log'!$U$4:$U$803,$B21&amp;"|"&amp;CL$5,'Competency Event Log'!$D$4:$D$803)))</f>
        <v/>
      </c>
      <c r="CM21" s="8" t="str">
        <f>IF($B21="","",IF(COUNTIF('Competency Event Log'!$U$4:$U$803,$B21&amp;"|"&amp;CM$5)=0,"",SUMIF('Competency Event Log'!$U$4:$U$803,$B21&amp;"|"&amp;CM$5,'Competency Event Log'!$D$4:$D$803)))</f>
        <v/>
      </c>
      <c r="CN21" s="8" t="str">
        <f>IF($B21="","",IF(COUNTIF('Competency Event Log'!$U$4:$U$803,$B21&amp;"|"&amp;CN$5)=0,"",SUMIF('Competency Event Log'!$U$4:$U$803,$B21&amp;"|"&amp;CN$5,'Competency Event Log'!$D$4:$D$803)))</f>
        <v/>
      </c>
      <c r="CO21" s="8" t="str">
        <f>IF($B21="","",IF(COUNTIF('Competency Event Log'!$U$4:$U$803,$B21&amp;"|"&amp;CO$5)=0,"",SUMIF('Competency Event Log'!$U$4:$U$803,$B21&amp;"|"&amp;CO$5,'Competency Event Log'!$D$4:$D$803)))</f>
        <v/>
      </c>
      <c r="CP21" s="8" t="str">
        <f>IF($B21="","",IF(COUNTIF('Competency Event Log'!$U$4:$U$803,$B21&amp;"|"&amp;CP$5)=0,"",SUMIF('Competency Event Log'!$U$4:$U$803,$B21&amp;"|"&amp;CP$5,'Competency Event Log'!$D$4:$D$803)))</f>
        <v/>
      </c>
      <c r="CQ21" s="8" t="str">
        <f>IF($B21="","",IF(COUNTIF('Competency Event Log'!$U$4:$U$803,$B21&amp;"|"&amp;CQ$5)=0,"",SUMIF('Competency Event Log'!$U$4:$U$803,$B21&amp;"|"&amp;CQ$5,'Competency Event Log'!$D$4:$D$803)))</f>
        <v/>
      </c>
      <c r="CR21" s="8" t="str">
        <f>IF($B21="","",IF(COUNTIF('Competency Event Log'!$U$4:$U$803,$B21&amp;"|"&amp;CR$5)=0,"",SUMIF('Competency Event Log'!$U$4:$U$803,$B21&amp;"|"&amp;CR$5,'Competency Event Log'!$D$4:$D$803)))</f>
        <v/>
      </c>
      <c r="CS21" s="8" t="str">
        <f>IF($B21="","",IF(COUNTIF('Competency Event Log'!$U$4:$U$803,$B21&amp;"|"&amp;CS$5)=0,"",SUMIF('Competency Event Log'!$U$4:$U$803,$B21&amp;"|"&amp;CS$5,'Competency Event Log'!$D$4:$D$803)))</f>
        <v/>
      </c>
      <c r="CT21" s="8" t="str">
        <f>IF($B21="","",IF(COUNTIF('Competency Event Log'!$U$4:$U$803,$B21&amp;"|"&amp;CT$5)=0,"",SUMIF('Competency Event Log'!$U$4:$U$803,$B21&amp;"|"&amp;CT$5,'Competency Event Log'!$D$4:$D$803)))</f>
        <v/>
      </c>
      <c r="CU21" s="8" t="str">
        <f>IF($B21="","",IF(COUNTIF('Competency Event Log'!$U$4:$U$803,$B21&amp;"|"&amp;CU$5)=0,"",SUMIF('Competency Event Log'!$U$4:$U$803,$B21&amp;"|"&amp;CU$5,'Competency Event Log'!$D$4:$D$803)))</f>
        <v/>
      </c>
      <c r="CV21" s="8" t="str">
        <f>IF($B21="","",IF(COUNTIF('Competency Event Log'!$U$4:$U$803,$B21&amp;"|"&amp;CV$5)=0,"",SUMIF('Competency Event Log'!$U$4:$U$803,$B21&amp;"|"&amp;CV$5,'Competency Event Log'!$D$4:$D$803)))</f>
        <v/>
      </c>
      <c r="CW21" s="8" t="str">
        <f>IF($B21="","",IF(COUNTIF('Competency Event Log'!$U$4:$U$803,$B21&amp;"|"&amp;CW$5)=0,"",SUMIF('Competency Event Log'!$U$4:$U$803,$B21&amp;"|"&amp;CW$5,'Competency Event Log'!$D$4:$D$803)))</f>
        <v/>
      </c>
      <c r="CX21" s="8" t="str">
        <f>IF($B21="","",IF(COUNTIF('Competency Event Log'!$U$4:$U$803,$B21&amp;"|"&amp;CX$5)=0,"",SUMIF('Competency Event Log'!$U$4:$U$803,$B21&amp;"|"&amp;CX$5,'Competency Event Log'!$D$4:$D$803)))</f>
        <v/>
      </c>
      <c r="CY21" s="8" t="str">
        <f>IF($B21="","",IF(COUNTIF('Competency Event Log'!$U$4:$U$803,$B21&amp;"|"&amp;CY$5)=0,"",SUMIF('Competency Event Log'!$U$4:$U$803,$B21&amp;"|"&amp;CY$5,'Competency Event Log'!$D$4:$D$803)))</f>
        <v/>
      </c>
      <c r="CZ21" s="8" t="str">
        <f>IF($B21="","",IF(COUNTIF('Competency Event Log'!$U$4:$U$803,$B21&amp;"|"&amp;CZ$5)=0,"",SUMIF('Competency Event Log'!$U$4:$U$803,$B21&amp;"|"&amp;CZ$5,'Competency Event Log'!$D$4:$D$803)))</f>
        <v/>
      </c>
      <c r="DA21" s="8" t="str">
        <f>IF($B21="","",IF(COUNTIF('Competency Event Log'!$U$4:$U$803,$B21&amp;"|"&amp;DA$5)=0,"",SUMIF('Competency Event Log'!$U$4:$U$803,$B21&amp;"|"&amp;DA$5,'Competency Event Log'!$D$4:$D$803)))</f>
        <v/>
      </c>
      <c r="DB21" s="8" t="str">
        <f>IF($B21="","",IF(COUNTIF('Competency Event Log'!$U$4:$U$803,$B21&amp;"|"&amp;DB$5)=0,"",SUMIF('Competency Event Log'!$U$4:$U$803,$B21&amp;"|"&amp;DB$5,'Competency Event Log'!$D$4:$D$803)))</f>
        <v/>
      </c>
      <c r="DC21" s="8" t="str">
        <f>IF($B21="","",IF(COUNTIF('Competency Event Log'!$U$4:$U$803,$B21&amp;"|"&amp;DC$5)=0,"",SUMIF('Competency Event Log'!$U$4:$U$803,$B21&amp;"|"&amp;DC$5,'Competency Event Log'!$D$4:$D$803)))</f>
        <v/>
      </c>
      <c r="DD21" s="8">
        <f>IF($B21="","",IF(COUNTIF('Competency Event Log'!$U$4:$U$803,$B21&amp;"|"&amp;DD$5)=0,"",SUMIF('Competency Event Log'!$U$4:$U$803,$B21&amp;"|"&amp;DD$5,'Competency Event Log'!$D$4:$D$803)))</f>
        <v>1</v>
      </c>
      <c r="DE21" s="8" t="str">
        <f>IF($B21="","",IF(COUNTIF('Competency Event Log'!$U$4:$U$803,$B21&amp;"|"&amp;DE$5)=0,"",SUMIF('Competency Event Log'!$U$4:$U$803,$B21&amp;"|"&amp;DE$5,'Competency Event Log'!$D$4:$D$803)))</f>
        <v/>
      </c>
      <c r="DF21" s="8">
        <f t="shared" si="0"/>
        <v>21</v>
      </c>
      <c r="DG21" s="8">
        <f t="shared" si="1"/>
        <v>10</v>
      </c>
      <c r="DH21" s="8">
        <f t="shared" si="2"/>
        <v>4</v>
      </c>
      <c r="DI21" s="11">
        <f t="shared" si="3"/>
        <v>0.88888888888888884</v>
      </c>
    </row>
    <row r="22" spans="1:113">
      <c r="A22" s="7" t="s">
        <v>306</v>
      </c>
      <c r="B22" s="7" t="s">
        <v>91</v>
      </c>
      <c r="C22" s="8">
        <v>2</v>
      </c>
      <c r="D22" s="9" t="s">
        <v>783</v>
      </c>
      <c r="E22" s="10">
        <v>44129</v>
      </c>
      <c r="F22" s="8" t="s">
        <v>683</v>
      </c>
      <c r="G22" s="8" t="str">
        <f>IF($B22="","",IF(COUNTIF('Competency Event Log'!$U$4:$U$803,$B22&amp;"|"&amp;G$5)=0,"",SUMIF('Competency Event Log'!$U$4:$U$803,$B22&amp;"|"&amp;G$5,'Competency Event Log'!$D$4:$D$803)))</f>
        <v/>
      </c>
      <c r="H22" s="8" t="str">
        <f>IF($B22="","",IF(COUNTIF('Competency Event Log'!$U$4:$U$803,$B22&amp;"|"&amp;H$5)=0,"",SUMIF('Competency Event Log'!$U$4:$U$803,$B22&amp;"|"&amp;H$5,'Competency Event Log'!$D$4:$D$803)))</f>
        <v/>
      </c>
      <c r="I22" s="8" t="str">
        <f>IF($B22="","",IF(COUNTIF('Competency Event Log'!$U$4:$U$803,$B22&amp;"|"&amp;I$5)=0,"",SUMIF('Competency Event Log'!$U$4:$U$803,$B22&amp;"|"&amp;I$5,'Competency Event Log'!$D$4:$D$803)))</f>
        <v/>
      </c>
      <c r="J22" s="8" t="str">
        <f>IF($B22="","",IF(COUNTIF('Competency Event Log'!$U$4:$U$803,$B22&amp;"|"&amp;J$5)=0,"",SUMIF('Competency Event Log'!$U$4:$U$803,$B22&amp;"|"&amp;J$5,'Competency Event Log'!$D$4:$D$803)))</f>
        <v/>
      </c>
      <c r="K22" s="8" t="str">
        <f>IF($B22="","",IF(COUNTIF('Competency Event Log'!$U$4:$U$803,$B22&amp;"|"&amp;K$5)=0,"",SUMIF('Competency Event Log'!$U$4:$U$803,$B22&amp;"|"&amp;K$5,'Competency Event Log'!$D$4:$D$803)))</f>
        <v/>
      </c>
      <c r="L22" s="8" t="str">
        <f>IF($B22="","",IF(COUNTIF('Competency Event Log'!$U$4:$U$803,$B22&amp;"|"&amp;L$5)=0,"",SUMIF('Competency Event Log'!$U$4:$U$803,$B22&amp;"|"&amp;L$5,'Competency Event Log'!$D$4:$D$803)))</f>
        <v/>
      </c>
      <c r="M22" s="8" t="str">
        <f>IF($B22="","",IF(COUNTIF('Competency Event Log'!$U$4:$U$803,$B22&amp;"|"&amp;M$5)=0,"",SUMIF('Competency Event Log'!$U$4:$U$803,$B22&amp;"|"&amp;M$5,'Competency Event Log'!$D$4:$D$803)))</f>
        <v/>
      </c>
      <c r="N22" s="8" t="str">
        <f>IF($B22="","",IF(COUNTIF('Competency Event Log'!$U$4:$U$803,$B22&amp;"|"&amp;N$5)=0,"",SUMIF('Competency Event Log'!$U$4:$U$803,$B22&amp;"|"&amp;N$5,'Competency Event Log'!$D$4:$D$803)))</f>
        <v/>
      </c>
      <c r="O22" s="8" t="str">
        <f>IF($B22="","",IF(COUNTIF('Competency Event Log'!$U$4:$U$803,$B22&amp;"|"&amp;O$5)=0,"",SUMIF('Competency Event Log'!$U$4:$U$803,$B22&amp;"|"&amp;O$5,'Competency Event Log'!$D$4:$D$803)))</f>
        <v/>
      </c>
      <c r="P22" s="8" t="str">
        <f>IF($B22="","",IF(COUNTIF('Competency Event Log'!$U$4:$U$803,$B22&amp;"|"&amp;P$5)=0,"",SUMIF('Competency Event Log'!$U$4:$U$803,$B22&amp;"|"&amp;P$5,'Competency Event Log'!$D$4:$D$803)))</f>
        <v/>
      </c>
      <c r="Q22" s="8" t="str">
        <f>IF($B22="","",IF(COUNTIF('Competency Event Log'!$U$4:$U$803,$B22&amp;"|"&amp;Q$5)=0,"",SUMIF('Competency Event Log'!$U$4:$U$803,$B22&amp;"|"&amp;Q$5,'Competency Event Log'!$D$4:$D$803)))</f>
        <v/>
      </c>
      <c r="R22" s="8" t="str">
        <f>IF($B22="","",IF(COUNTIF('Competency Event Log'!$U$4:$U$803,$B22&amp;"|"&amp;R$5)=0,"",SUMIF('Competency Event Log'!$U$4:$U$803,$B22&amp;"|"&amp;R$5,'Competency Event Log'!$D$4:$D$803)))</f>
        <v/>
      </c>
      <c r="S22" s="8" t="str">
        <f>IF($B22="","",IF(COUNTIF('Competency Event Log'!$U$4:$U$803,$B22&amp;"|"&amp;S$5)=0,"",SUMIF('Competency Event Log'!$U$4:$U$803,$B22&amp;"|"&amp;S$5,'Competency Event Log'!$D$4:$D$803)))</f>
        <v/>
      </c>
      <c r="T22" s="8" t="str">
        <f>IF($B22="","",IF(COUNTIF('Competency Event Log'!$U$4:$U$803,$B22&amp;"|"&amp;T$5)=0,"",SUMIF('Competency Event Log'!$U$4:$U$803,$B22&amp;"|"&amp;T$5,'Competency Event Log'!$D$4:$D$803)))</f>
        <v/>
      </c>
      <c r="U22" s="8" t="str">
        <f>IF($B22="","",IF(COUNTIF('Competency Event Log'!$U$4:$U$803,$B22&amp;"|"&amp;U$5)=0,"",SUMIF('Competency Event Log'!$U$4:$U$803,$B22&amp;"|"&amp;U$5,'Competency Event Log'!$D$4:$D$803)))</f>
        <v/>
      </c>
      <c r="V22" s="8" t="str">
        <f>IF($B22="","",IF(COUNTIF('Competency Event Log'!$U$4:$U$803,$B22&amp;"|"&amp;V$5)=0,"",SUMIF('Competency Event Log'!$U$4:$U$803,$B22&amp;"|"&amp;V$5,'Competency Event Log'!$D$4:$D$803)))</f>
        <v/>
      </c>
      <c r="W22" s="8" t="str">
        <f>IF($B22="","",IF(COUNTIF('Competency Event Log'!$U$4:$U$803,$B22&amp;"|"&amp;W$5)=0,"",SUMIF('Competency Event Log'!$U$4:$U$803,$B22&amp;"|"&amp;W$5,'Competency Event Log'!$D$4:$D$803)))</f>
        <v/>
      </c>
      <c r="X22" s="8" t="str">
        <f>IF($B22="","",IF(COUNTIF('Competency Event Log'!$U$4:$U$803,$B22&amp;"|"&amp;X$5)=0,"",SUMIF('Competency Event Log'!$U$4:$U$803,$B22&amp;"|"&amp;X$5,'Competency Event Log'!$D$4:$D$803)))</f>
        <v/>
      </c>
      <c r="Y22" s="8" t="str">
        <f>IF($B22="","",IF(COUNTIF('Competency Event Log'!$U$4:$U$803,$B22&amp;"|"&amp;Y$5)=0,"",SUMIF('Competency Event Log'!$U$4:$U$803,$B22&amp;"|"&amp;Y$5,'Competency Event Log'!$D$4:$D$803)))</f>
        <v/>
      </c>
      <c r="Z22" s="8" t="str">
        <f>IF($B22="","",IF(COUNTIF('Competency Event Log'!$U$4:$U$803,$B22&amp;"|"&amp;Z$5)=0,"",SUMIF('Competency Event Log'!$U$4:$U$803,$B22&amp;"|"&amp;Z$5,'Competency Event Log'!$D$4:$D$803)))</f>
        <v/>
      </c>
      <c r="AA22" s="8" t="str">
        <f>IF($B22="","",IF(COUNTIF('Competency Event Log'!$U$4:$U$803,$B22&amp;"|"&amp;AA$5)=0,"",SUMIF('Competency Event Log'!$U$4:$U$803,$B22&amp;"|"&amp;AA$5,'Competency Event Log'!$D$4:$D$803)))</f>
        <v/>
      </c>
      <c r="AB22" s="8" t="str">
        <f>IF($B22="","",IF(COUNTIF('Competency Event Log'!$U$4:$U$803,$B22&amp;"|"&amp;AB$5)=0,"",SUMIF('Competency Event Log'!$U$4:$U$803,$B22&amp;"|"&amp;AB$5,'Competency Event Log'!$D$4:$D$803)))</f>
        <v/>
      </c>
      <c r="AC22" s="8" t="str">
        <f>IF($B22="","",IF(COUNTIF('Competency Event Log'!$U$4:$U$803,$B22&amp;"|"&amp;AC$5)=0,"",SUMIF('Competency Event Log'!$U$4:$U$803,$B22&amp;"|"&amp;AC$5,'Competency Event Log'!$D$4:$D$803)))</f>
        <v/>
      </c>
      <c r="AD22" s="8" t="str">
        <f>IF($B22="","",IF(COUNTIF('Competency Event Log'!$U$4:$U$803,$B22&amp;"|"&amp;AD$5)=0,"",SUMIF('Competency Event Log'!$U$4:$U$803,$B22&amp;"|"&amp;AD$5,'Competency Event Log'!$D$4:$D$803)))</f>
        <v/>
      </c>
      <c r="AE22" s="8" t="str">
        <f>IF($B22="","",IF(COUNTIF('Competency Event Log'!$U$4:$U$803,$B22&amp;"|"&amp;AE$5)=0,"",SUMIF('Competency Event Log'!$U$4:$U$803,$B22&amp;"|"&amp;AE$5,'Competency Event Log'!$D$4:$D$803)))</f>
        <v/>
      </c>
      <c r="AF22" s="8" t="str">
        <f>IF($B22="","",IF(COUNTIF('Competency Event Log'!$U$4:$U$803,$B22&amp;"|"&amp;AF$5)=0,"",SUMIF('Competency Event Log'!$U$4:$U$803,$B22&amp;"|"&amp;AF$5,'Competency Event Log'!$D$4:$D$803)))</f>
        <v/>
      </c>
      <c r="AG22" s="8" t="str">
        <f>IF($B22="","",IF(COUNTIF('Competency Event Log'!$U$4:$U$803,$B22&amp;"|"&amp;AG$5)=0,"",SUMIF('Competency Event Log'!$U$4:$U$803,$B22&amp;"|"&amp;AG$5,'Competency Event Log'!$D$4:$D$803)))</f>
        <v/>
      </c>
      <c r="AH22" s="8" t="str">
        <f>IF($B22="","",IF(COUNTIF('Competency Event Log'!$U$4:$U$803,$B22&amp;"|"&amp;AH$5)=0,"",SUMIF('Competency Event Log'!$U$4:$U$803,$B22&amp;"|"&amp;AH$5,'Competency Event Log'!$D$4:$D$803)))</f>
        <v/>
      </c>
      <c r="AI22" s="8" t="str">
        <f>IF($B22="","",IF(COUNTIF('Competency Event Log'!$U$4:$U$803,$B22&amp;"|"&amp;AI$5)=0,"",SUMIF('Competency Event Log'!$U$4:$U$803,$B22&amp;"|"&amp;AI$5,'Competency Event Log'!$D$4:$D$803)))</f>
        <v/>
      </c>
      <c r="AJ22" s="8" t="str">
        <f>IF($B22="","",IF(COUNTIF('Competency Event Log'!$U$4:$U$803,$B22&amp;"|"&amp;AJ$5)=0,"",SUMIF('Competency Event Log'!$U$4:$U$803,$B22&amp;"|"&amp;AJ$5,'Competency Event Log'!$D$4:$D$803)))</f>
        <v/>
      </c>
      <c r="AK22" s="8">
        <f>IF($B22="","",IF(COUNTIF('Competency Event Log'!$U$4:$U$803,$B22&amp;"|"&amp;AK$5)=0,"",SUMIF('Competency Event Log'!$U$4:$U$803,$B22&amp;"|"&amp;AK$5,'Competency Event Log'!$D$4:$D$803)))</f>
        <v>3</v>
      </c>
      <c r="AL22" s="8" t="str">
        <f>IF($B22="","",IF(COUNTIF('Competency Event Log'!$U$4:$U$803,$B22&amp;"|"&amp;AL$5)=0,"",SUMIF('Competency Event Log'!$U$4:$U$803,$B22&amp;"|"&amp;AL$5,'Competency Event Log'!$D$4:$D$803)))</f>
        <v/>
      </c>
      <c r="AM22" s="8">
        <f>IF($B22="","",IF(COUNTIF('Competency Event Log'!$U$4:$U$803,$B22&amp;"|"&amp;AM$5)=0,"",SUMIF('Competency Event Log'!$U$4:$U$803,$B22&amp;"|"&amp;AM$5,'Competency Event Log'!$D$4:$D$803)))</f>
        <v>2</v>
      </c>
      <c r="AN22" s="8">
        <f>IF($B22="","",IF(COUNTIF('Competency Event Log'!$U$4:$U$803,$B22&amp;"|"&amp;AN$5)=0,"",SUMIF('Competency Event Log'!$U$4:$U$803,$B22&amp;"|"&amp;AN$5,'Competency Event Log'!$D$4:$D$803)))</f>
        <v>3</v>
      </c>
      <c r="AO22" s="8">
        <f>IF($B22="","",IF(COUNTIF('Competency Event Log'!$U$4:$U$803,$B22&amp;"|"&amp;AO$5)=0,"",SUMIF('Competency Event Log'!$U$4:$U$803,$B22&amp;"|"&amp;AO$5,'Competency Event Log'!$D$4:$D$803)))</f>
        <v>3</v>
      </c>
      <c r="AP22" s="8">
        <f>IF($B22="","",IF(COUNTIF('Competency Event Log'!$U$4:$U$803,$B22&amp;"|"&amp;AP$5)=0,"",SUMIF('Competency Event Log'!$U$4:$U$803,$B22&amp;"|"&amp;AP$5,'Competency Event Log'!$D$4:$D$803)))</f>
        <v>1</v>
      </c>
      <c r="AQ22" s="8">
        <f>IF($B22="","",IF(COUNTIF('Competency Event Log'!$U$4:$U$803,$B22&amp;"|"&amp;AQ$5)=0,"",SUMIF('Competency Event Log'!$U$4:$U$803,$B22&amp;"|"&amp;AQ$5,'Competency Event Log'!$D$4:$D$803)))</f>
        <v>3</v>
      </c>
      <c r="AR22" s="8">
        <f>IF($B22="","",IF(COUNTIF('Competency Event Log'!$U$4:$U$803,$B22&amp;"|"&amp;AR$5)=0,"",SUMIF('Competency Event Log'!$U$4:$U$803,$B22&amp;"|"&amp;AR$5,'Competency Event Log'!$D$4:$D$803)))</f>
        <v>1</v>
      </c>
      <c r="AS22" s="8">
        <f>IF($B22="","",IF(COUNTIF('Competency Event Log'!$U$4:$U$803,$B22&amp;"|"&amp;AS$5)=0,"",SUMIF('Competency Event Log'!$U$4:$U$803,$B22&amp;"|"&amp;AS$5,'Competency Event Log'!$D$4:$D$803)))</f>
        <v>1</v>
      </c>
      <c r="AT22" s="8" t="str">
        <f>IF($B22="","",IF(COUNTIF('Competency Event Log'!$U$4:$U$803,$B22&amp;"|"&amp;AT$5)=0,"",SUMIF('Competency Event Log'!$U$4:$U$803,$B22&amp;"|"&amp;AT$5,'Competency Event Log'!$D$4:$D$803)))</f>
        <v/>
      </c>
      <c r="AU22" s="8" t="str">
        <f>IF($B22="","",IF(COUNTIF('Competency Event Log'!$U$4:$U$803,$B22&amp;"|"&amp;AU$5)=0,"",SUMIF('Competency Event Log'!$U$4:$U$803,$B22&amp;"|"&amp;AU$5,'Competency Event Log'!$D$4:$D$803)))</f>
        <v/>
      </c>
      <c r="AV22" s="8" t="str">
        <f>IF($B22="","",IF(COUNTIF('Competency Event Log'!$U$4:$U$803,$B22&amp;"|"&amp;AV$5)=0,"",SUMIF('Competency Event Log'!$U$4:$U$803,$B22&amp;"|"&amp;AV$5,'Competency Event Log'!$D$4:$D$803)))</f>
        <v/>
      </c>
      <c r="AW22" s="8" t="str">
        <f>IF($B22="","",IF(COUNTIF('Competency Event Log'!$U$4:$U$803,$B22&amp;"|"&amp;AW$5)=0,"",SUMIF('Competency Event Log'!$U$4:$U$803,$B22&amp;"|"&amp;AW$5,'Competency Event Log'!$D$4:$D$803)))</f>
        <v/>
      </c>
      <c r="AX22" s="8" t="str">
        <f>IF($B22="","",IF(COUNTIF('Competency Event Log'!$U$4:$U$803,$B22&amp;"|"&amp;AX$5)=0,"",SUMIF('Competency Event Log'!$U$4:$U$803,$B22&amp;"|"&amp;AX$5,'Competency Event Log'!$D$4:$D$803)))</f>
        <v/>
      </c>
      <c r="AY22" s="8" t="str">
        <f>IF($B22="","",IF(COUNTIF('Competency Event Log'!$U$4:$U$803,$B22&amp;"|"&amp;AY$5)=0,"",SUMIF('Competency Event Log'!$U$4:$U$803,$B22&amp;"|"&amp;AY$5,'Competency Event Log'!$D$4:$D$803)))</f>
        <v/>
      </c>
      <c r="AZ22" s="8" t="str">
        <f>IF($B22="","",IF(COUNTIF('Competency Event Log'!$U$4:$U$803,$B22&amp;"|"&amp;AZ$5)=0,"",SUMIF('Competency Event Log'!$U$4:$U$803,$B22&amp;"|"&amp;AZ$5,'Competency Event Log'!$D$4:$D$803)))</f>
        <v/>
      </c>
      <c r="BA22" s="8" t="str">
        <f>IF($B22="","",IF(COUNTIF('Competency Event Log'!$U$4:$U$803,$B22&amp;"|"&amp;BA$5)=0,"",SUMIF('Competency Event Log'!$U$4:$U$803,$B22&amp;"|"&amp;BA$5,'Competency Event Log'!$D$4:$D$803)))</f>
        <v/>
      </c>
      <c r="BB22" s="8" t="str">
        <f>IF($B22="","",IF(COUNTIF('Competency Event Log'!$U$4:$U$803,$B22&amp;"|"&amp;BB$5)=0,"",SUMIF('Competency Event Log'!$U$4:$U$803,$B22&amp;"|"&amp;BB$5,'Competency Event Log'!$D$4:$D$803)))</f>
        <v/>
      </c>
      <c r="BC22" s="8" t="str">
        <f>IF($B22="","",IF(COUNTIF('Competency Event Log'!$U$4:$U$803,$B22&amp;"|"&amp;BC$5)=0,"",SUMIF('Competency Event Log'!$U$4:$U$803,$B22&amp;"|"&amp;BC$5,'Competency Event Log'!$D$4:$D$803)))</f>
        <v/>
      </c>
      <c r="BD22" s="8" t="str">
        <f>IF($B22="","",IF(COUNTIF('Competency Event Log'!$U$4:$U$803,$B22&amp;"|"&amp;BD$5)=0,"",SUMIF('Competency Event Log'!$U$4:$U$803,$B22&amp;"|"&amp;BD$5,'Competency Event Log'!$D$4:$D$803)))</f>
        <v/>
      </c>
      <c r="BE22" s="8" t="str">
        <f>IF($B22="","",IF(COUNTIF('Competency Event Log'!$U$4:$U$803,$B22&amp;"|"&amp;BE$5)=0,"",SUMIF('Competency Event Log'!$U$4:$U$803,$B22&amp;"|"&amp;BE$5,'Competency Event Log'!$D$4:$D$803)))</f>
        <v/>
      </c>
      <c r="BF22" s="8" t="str">
        <f>IF($B22="","",IF(COUNTIF('Competency Event Log'!$U$4:$U$803,$B22&amp;"|"&amp;BF$5)=0,"",SUMIF('Competency Event Log'!$U$4:$U$803,$B22&amp;"|"&amp;BF$5,'Competency Event Log'!$D$4:$D$803)))</f>
        <v/>
      </c>
      <c r="BG22" s="8" t="str">
        <f>IF($B22="","",IF(COUNTIF('Competency Event Log'!$U$4:$U$803,$B22&amp;"|"&amp;BG$5)=0,"",SUMIF('Competency Event Log'!$U$4:$U$803,$B22&amp;"|"&amp;BG$5,'Competency Event Log'!$D$4:$D$803)))</f>
        <v/>
      </c>
      <c r="BH22" s="8" t="str">
        <f>IF($B22="","",IF(COUNTIF('Competency Event Log'!$U$4:$U$803,$B22&amp;"|"&amp;BH$5)=0,"",SUMIF('Competency Event Log'!$U$4:$U$803,$B22&amp;"|"&amp;BH$5,'Competency Event Log'!$D$4:$D$803)))</f>
        <v/>
      </c>
      <c r="BI22" s="8" t="str">
        <f>IF($B22="","",IF(COUNTIF('Competency Event Log'!$U$4:$U$803,$B22&amp;"|"&amp;BI$5)=0,"",SUMIF('Competency Event Log'!$U$4:$U$803,$B22&amp;"|"&amp;BI$5,'Competency Event Log'!$D$4:$D$803)))</f>
        <v/>
      </c>
      <c r="BJ22" s="8" t="str">
        <f>IF($B22="","",IF(COUNTIF('Competency Event Log'!$U$4:$U$803,$B22&amp;"|"&amp;BJ$5)=0,"",SUMIF('Competency Event Log'!$U$4:$U$803,$B22&amp;"|"&amp;BJ$5,'Competency Event Log'!$D$4:$D$803)))</f>
        <v/>
      </c>
      <c r="BK22" s="8" t="str">
        <f>IF($B22="","",IF(COUNTIF('Competency Event Log'!$U$4:$U$803,$B22&amp;"|"&amp;BK$5)=0,"",SUMIF('Competency Event Log'!$U$4:$U$803,$B22&amp;"|"&amp;BK$5,'Competency Event Log'!$D$4:$D$803)))</f>
        <v/>
      </c>
      <c r="BL22" s="8" t="str">
        <f>IF($B22="","",IF(COUNTIF('Competency Event Log'!$U$4:$U$803,$B22&amp;"|"&amp;BL$5)=0,"",SUMIF('Competency Event Log'!$U$4:$U$803,$B22&amp;"|"&amp;BL$5,'Competency Event Log'!$D$4:$D$803)))</f>
        <v/>
      </c>
      <c r="BM22" s="8" t="str">
        <f>IF($B22="","",IF(COUNTIF('Competency Event Log'!$U$4:$U$803,$B22&amp;"|"&amp;BM$5)=0,"",SUMIF('Competency Event Log'!$U$4:$U$803,$B22&amp;"|"&amp;BM$5,'Competency Event Log'!$D$4:$D$803)))</f>
        <v/>
      </c>
      <c r="BN22" s="8" t="str">
        <f>IF($B22="","",IF(COUNTIF('Competency Event Log'!$U$4:$U$803,$B22&amp;"|"&amp;BN$5)=0,"",SUMIF('Competency Event Log'!$U$4:$U$803,$B22&amp;"|"&amp;BN$5,'Competency Event Log'!$D$4:$D$803)))</f>
        <v/>
      </c>
      <c r="BO22" s="8" t="str">
        <f>IF($B22="","",IF(COUNTIF('Competency Event Log'!$U$4:$U$803,$B22&amp;"|"&amp;BO$5)=0,"",SUMIF('Competency Event Log'!$U$4:$U$803,$B22&amp;"|"&amp;BO$5,'Competency Event Log'!$D$4:$D$803)))</f>
        <v/>
      </c>
      <c r="BP22" s="8" t="str">
        <f>IF($B22="","",IF(COUNTIF('Competency Event Log'!$U$4:$U$803,$B22&amp;"|"&amp;BP$5)=0,"",SUMIF('Competency Event Log'!$U$4:$U$803,$B22&amp;"|"&amp;BP$5,'Competency Event Log'!$D$4:$D$803)))</f>
        <v/>
      </c>
      <c r="BQ22" s="8" t="str">
        <f>IF($B22="","",IF(COUNTIF('Competency Event Log'!$U$4:$U$803,$B22&amp;"|"&amp;BQ$5)=0,"",SUMIF('Competency Event Log'!$U$4:$U$803,$B22&amp;"|"&amp;BQ$5,'Competency Event Log'!$D$4:$D$803)))</f>
        <v/>
      </c>
      <c r="BR22" s="8" t="str">
        <f>IF($B22="","",IF(COUNTIF('Competency Event Log'!$U$4:$U$803,$B22&amp;"|"&amp;BR$5)=0,"",SUMIF('Competency Event Log'!$U$4:$U$803,$B22&amp;"|"&amp;BR$5,'Competency Event Log'!$D$4:$D$803)))</f>
        <v/>
      </c>
      <c r="BS22" s="8" t="str">
        <f>IF($B22="","",IF(COUNTIF('Competency Event Log'!$U$4:$U$803,$B22&amp;"|"&amp;BS$5)=0,"",SUMIF('Competency Event Log'!$U$4:$U$803,$B22&amp;"|"&amp;BS$5,'Competency Event Log'!$D$4:$D$803)))</f>
        <v/>
      </c>
      <c r="BT22" s="8" t="str">
        <f>IF($B22="","",IF(COUNTIF('Competency Event Log'!$U$4:$U$803,$B22&amp;"|"&amp;BT$5)=0,"",SUMIF('Competency Event Log'!$U$4:$U$803,$B22&amp;"|"&amp;BT$5,'Competency Event Log'!$D$4:$D$803)))</f>
        <v/>
      </c>
      <c r="BU22" s="8" t="str">
        <f>IF($B22="","",IF(COUNTIF('Competency Event Log'!$U$4:$U$803,$B22&amp;"|"&amp;BU$5)=0,"",SUMIF('Competency Event Log'!$U$4:$U$803,$B22&amp;"|"&amp;BU$5,'Competency Event Log'!$D$4:$D$803)))</f>
        <v/>
      </c>
      <c r="BV22" s="8" t="str">
        <f>IF($B22="","",IF(COUNTIF('Competency Event Log'!$U$4:$U$803,$B22&amp;"|"&amp;BV$5)=0,"",SUMIF('Competency Event Log'!$U$4:$U$803,$B22&amp;"|"&amp;BV$5,'Competency Event Log'!$D$4:$D$803)))</f>
        <v/>
      </c>
      <c r="BW22" s="8" t="str">
        <f>IF($B22="","",IF(COUNTIF('Competency Event Log'!$U$4:$U$803,$B22&amp;"|"&amp;BW$5)=0,"",SUMIF('Competency Event Log'!$U$4:$U$803,$B22&amp;"|"&amp;BW$5,'Competency Event Log'!$D$4:$D$803)))</f>
        <v/>
      </c>
      <c r="BX22" s="8" t="str">
        <f>IF($B22="","",IF(COUNTIF('Competency Event Log'!$U$4:$U$803,$B22&amp;"|"&amp;BX$5)=0,"",SUMIF('Competency Event Log'!$U$4:$U$803,$B22&amp;"|"&amp;BX$5,'Competency Event Log'!$D$4:$D$803)))</f>
        <v/>
      </c>
      <c r="BY22" s="8" t="str">
        <f>IF($B22="","",IF(COUNTIF('Competency Event Log'!$U$4:$U$803,$B22&amp;"|"&amp;BY$5)=0,"",SUMIF('Competency Event Log'!$U$4:$U$803,$B22&amp;"|"&amp;BY$5,'Competency Event Log'!$D$4:$D$803)))</f>
        <v/>
      </c>
      <c r="BZ22" s="8" t="str">
        <f>IF($B22="","",IF(COUNTIF('Competency Event Log'!$U$4:$U$803,$B22&amp;"|"&amp;BZ$5)=0,"",SUMIF('Competency Event Log'!$U$4:$U$803,$B22&amp;"|"&amp;BZ$5,'Competency Event Log'!$D$4:$D$803)))</f>
        <v/>
      </c>
      <c r="CA22" s="8" t="str">
        <f>IF($B22="","",IF(COUNTIF('Competency Event Log'!$U$4:$U$803,$B22&amp;"|"&amp;CA$5)=0,"",SUMIF('Competency Event Log'!$U$4:$U$803,$B22&amp;"|"&amp;CA$5,'Competency Event Log'!$D$4:$D$803)))</f>
        <v/>
      </c>
      <c r="CB22" s="8" t="str">
        <f>IF($B22="","",IF(COUNTIF('Competency Event Log'!$U$4:$U$803,$B22&amp;"|"&amp;CB$5)=0,"",SUMIF('Competency Event Log'!$U$4:$U$803,$B22&amp;"|"&amp;CB$5,'Competency Event Log'!$D$4:$D$803)))</f>
        <v/>
      </c>
      <c r="CC22" s="8" t="str">
        <f>IF($B22="","",IF(COUNTIF('Competency Event Log'!$U$4:$U$803,$B22&amp;"|"&amp;CC$5)=0,"",SUMIF('Competency Event Log'!$U$4:$U$803,$B22&amp;"|"&amp;CC$5,'Competency Event Log'!$D$4:$D$803)))</f>
        <v/>
      </c>
      <c r="CD22" s="8" t="str">
        <f>IF($B22="","",IF(COUNTIF('Competency Event Log'!$U$4:$U$803,$B22&amp;"|"&amp;CD$5)=0,"",SUMIF('Competency Event Log'!$U$4:$U$803,$B22&amp;"|"&amp;CD$5,'Competency Event Log'!$D$4:$D$803)))</f>
        <v/>
      </c>
      <c r="CE22" s="8" t="str">
        <f>IF($B22="","",IF(COUNTIF('Competency Event Log'!$U$4:$U$803,$B22&amp;"|"&amp;CE$5)=0,"",SUMIF('Competency Event Log'!$U$4:$U$803,$B22&amp;"|"&amp;CE$5,'Competency Event Log'!$D$4:$D$803)))</f>
        <v/>
      </c>
      <c r="CF22" s="8" t="str">
        <f>IF($B22="","",IF(COUNTIF('Competency Event Log'!$U$4:$U$803,$B22&amp;"|"&amp;CF$5)=0,"",SUMIF('Competency Event Log'!$U$4:$U$803,$B22&amp;"|"&amp;CF$5,'Competency Event Log'!$D$4:$D$803)))</f>
        <v/>
      </c>
      <c r="CG22" s="8" t="str">
        <f>IF($B22="","",IF(COUNTIF('Competency Event Log'!$U$4:$U$803,$B22&amp;"|"&amp;CG$5)=0,"",SUMIF('Competency Event Log'!$U$4:$U$803,$B22&amp;"|"&amp;CG$5,'Competency Event Log'!$D$4:$D$803)))</f>
        <v/>
      </c>
      <c r="CH22" s="8" t="str">
        <f>IF($B22="","",IF(COUNTIF('Competency Event Log'!$U$4:$U$803,$B22&amp;"|"&amp;CH$5)=0,"",SUMIF('Competency Event Log'!$U$4:$U$803,$B22&amp;"|"&amp;CH$5,'Competency Event Log'!$D$4:$D$803)))</f>
        <v/>
      </c>
      <c r="CI22" s="8" t="str">
        <f>IF($B22="","",IF(COUNTIF('Competency Event Log'!$U$4:$U$803,$B22&amp;"|"&amp;CI$5)=0,"",SUMIF('Competency Event Log'!$U$4:$U$803,$B22&amp;"|"&amp;CI$5,'Competency Event Log'!$D$4:$D$803)))</f>
        <v/>
      </c>
      <c r="CJ22" s="8" t="str">
        <f>IF($B22="","",IF(COUNTIF('Competency Event Log'!$U$4:$U$803,$B22&amp;"|"&amp;CJ$5)=0,"",SUMIF('Competency Event Log'!$U$4:$U$803,$B22&amp;"|"&amp;CJ$5,'Competency Event Log'!$D$4:$D$803)))</f>
        <v/>
      </c>
      <c r="CK22" s="8" t="str">
        <f>IF($B22="","",IF(COUNTIF('Competency Event Log'!$U$4:$U$803,$B22&amp;"|"&amp;CK$5)=0,"",SUMIF('Competency Event Log'!$U$4:$U$803,$B22&amp;"|"&amp;CK$5,'Competency Event Log'!$D$4:$D$803)))</f>
        <v/>
      </c>
      <c r="CL22" s="8" t="str">
        <f>IF($B22="","",IF(COUNTIF('Competency Event Log'!$U$4:$U$803,$B22&amp;"|"&amp;CL$5)=0,"",SUMIF('Competency Event Log'!$U$4:$U$803,$B22&amp;"|"&amp;CL$5,'Competency Event Log'!$D$4:$D$803)))</f>
        <v/>
      </c>
      <c r="CM22" s="8" t="str">
        <f>IF($B22="","",IF(COUNTIF('Competency Event Log'!$U$4:$U$803,$B22&amp;"|"&amp;CM$5)=0,"",SUMIF('Competency Event Log'!$U$4:$U$803,$B22&amp;"|"&amp;CM$5,'Competency Event Log'!$D$4:$D$803)))</f>
        <v/>
      </c>
      <c r="CN22" s="8" t="str">
        <f>IF($B22="","",IF(COUNTIF('Competency Event Log'!$U$4:$U$803,$B22&amp;"|"&amp;CN$5)=0,"",SUMIF('Competency Event Log'!$U$4:$U$803,$B22&amp;"|"&amp;CN$5,'Competency Event Log'!$D$4:$D$803)))</f>
        <v/>
      </c>
      <c r="CO22" s="8" t="str">
        <f>IF($B22="","",IF(COUNTIF('Competency Event Log'!$U$4:$U$803,$B22&amp;"|"&amp;CO$5)=0,"",SUMIF('Competency Event Log'!$U$4:$U$803,$B22&amp;"|"&amp;CO$5,'Competency Event Log'!$D$4:$D$803)))</f>
        <v/>
      </c>
      <c r="CP22" s="8" t="str">
        <f>IF($B22="","",IF(COUNTIF('Competency Event Log'!$U$4:$U$803,$B22&amp;"|"&amp;CP$5)=0,"",SUMIF('Competency Event Log'!$U$4:$U$803,$B22&amp;"|"&amp;CP$5,'Competency Event Log'!$D$4:$D$803)))</f>
        <v/>
      </c>
      <c r="CQ22" s="8" t="str">
        <f>IF($B22="","",IF(COUNTIF('Competency Event Log'!$U$4:$U$803,$B22&amp;"|"&amp;CQ$5)=0,"",SUMIF('Competency Event Log'!$U$4:$U$803,$B22&amp;"|"&amp;CQ$5,'Competency Event Log'!$D$4:$D$803)))</f>
        <v/>
      </c>
      <c r="CR22" s="8" t="str">
        <f>IF($B22="","",IF(COUNTIF('Competency Event Log'!$U$4:$U$803,$B22&amp;"|"&amp;CR$5)=0,"",SUMIF('Competency Event Log'!$U$4:$U$803,$B22&amp;"|"&amp;CR$5,'Competency Event Log'!$D$4:$D$803)))</f>
        <v/>
      </c>
      <c r="CS22" s="8" t="str">
        <f>IF($B22="","",IF(COUNTIF('Competency Event Log'!$U$4:$U$803,$B22&amp;"|"&amp;CS$5)=0,"",SUMIF('Competency Event Log'!$U$4:$U$803,$B22&amp;"|"&amp;CS$5,'Competency Event Log'!$D$4:$D$803)))</f>
        <v/>
      </c>
      <c r="CT22" s="8" t="str">
        <f>IF($B22="","",IF(COUNTIF('Competency Event Log'!$U$4:$U$803,$B22&amp;"|"&amp;CT$5)=0,"",SUMIF('Competency Event Log'!$U$4:$U$803,$B22&amp;"|"&amp;CT$5,'Competency Event Log'!$D$4:$D$803)))</f>
        <v/>
      </c>
      <c r="CU22" s="8" t="str">
        <f>IF($B22="","",IF(COUNTIF('Competency Event Log'!$U$4:$U$803,$B22&amp;"|"&amp;CU$5)=0,"",SUMIF('Competency Event Log'!$U$4:$U$803,$B22&amp;"|"&amp;CU$5,'Competency Event Log'!$D$4:$D$803)))</f>
        <v/>
      </c>
      <c r="CV22" s="8" t="str">
        <f>IF($B22="","",IF(COUNTIF('Competency Event Log'!$U$4:$U$803,$B22&amp;"|"&amp;CV$5)=0,"",SUMIF('Competency Event Log'!$U$4:$U$803,$B22&amp;"|"&amp;CV$5,'Competency Event Log'!$D$4:$D$803)))</f>
        <v/>
      </c>
      <c r="CW22" s="8" t="str">
        <f>IF($B22="","",IF(COUNTIF('Competency Event Log'!$U$4:$U$803,$B22&amp;"|"&amp;CW$5)=0,"",SUMIF('Competency Event Log'!$U$4:$U$803,$B22&amp;"|"&amp;CW$5,'Competency Event Log'!$D$4:$D$803)))</f>
        <v/>
      </c>
      <c r="CX22" s="8" t="str">
        <f>IF($B22="","",IF(COUNTIF('Competency Event Log'!$U$4:$U$803,$B22&amp;"|"&amp;CX$5)=0,"",SUMIF('Competency Event Log'!$U$4:$U$803,$B22&amp;"|"&amp;CX$5,'Competency Event Log'!$D$4:$D$803)))</f>
        <v/>
      </c>
      <c r="CY22" s="8" t="str">
        <f>IF($B22="","",IF(COUNTIF('Competency Event Log'!$U$4:$U$803,$B22&amp;"|"&amp;CY$5)=0,"",SUMIF('Competency Event Log'!$U$4:$U$803,$B22&amp;"|"&amp;CY$5,'Competency Event Log'!$D$4:$D$803)))</f>
        <v/>
      </c>
      <c r="CZ22" s="8" t="str">
        <f>IF($B22="","",IF(COUNTIF('Competency Event Log'!$U$4:$U$803,$B22&amp;"|"&amp;CZ$5)=0,"",SUMIF('Competency Event Log'!$U$4:$U$803,$B22&amp;"|"&amp;CZ$5,'Competency Event Log'!$D$4:$D$803)))</f>
        <v/>
      </c>
      <c r="DA22" s="8" t="str">
        <f>IF($B22="","",IF(COUNTIF('Competency Event Log'!$U$4:$U$803,$B22&amp;"|"&amp;DA$5)=0,"",SUMIF('Competency Event Log'!$U$4:$U$803,$B22&amp;"|"&amp;DA$5,'Competency Event Log'!$D$4:$D$803)))</f>
        <v/>
      </c>
      <c r="DB22" s="8" t="str">
        <f>IF($B22="","",IF(COUNTIF('Competency Event Log'!$U$4:$U$803,$B22&amp;"|"&amp;DB$5)=0,"",SUMIF('Competency Event Log'!$U$4:$U$803,$B22&amp;"|"&amp;DB$5,'Competency Event Log'!$D$4:$D$803)))</f>
        <v/>
      </c>
      <c r="DC22" s="8" t="str">
        <f>IF($B22="","",IF(COUNTIF('Competency Event Log'!$U$4:$U$803,$B22&amp;"|"&amp;DC$5)=0,"",SUMIF('Competency Event Log'!$U$4:$U$803,$B22&amp;"|"&amp;DC$5,'Competency Event Log'!$D$4:$D$803)))</f>
        <v/>
      </c>
      <c r="DD22" s="8" t="str">
        <f>IF($B22="","",IF(COUNTIF('Competency Event Log'!$U$4:$U$803,$B22&amp;"|"&amp;DD$5)=0,"",SUMIF('Competency Event Log'!$U$4:$U$803,$B22&amp;"|"&amp;DD$5,'Competency Event Log'!$D$4:$D$803)))</f>
        <v/>
      </c>
      <c r="DE22" s="8">
        <f>IF($B22="","",IF(COUNTIF('Competency Event Log'!$U$4:$U$803,$B22&amp;"|"&amp;DE$5)=0,"",SUMIF('Competency Event Log'!$U$4:$U$803,$B22&amp;"|"&amp;DE$5,'Competency Event Log'!$D$4:$D$803)))</f>
        <v>2</v>
      </c>
      <c r="DF22" s="8">
        <f t="shared" si="0"/>
        <v>19</v>
      </c>
      <c r="DG22" s="8">
        <f t="shared" si="1"/>
        <v>9</v>
      </c>
      <c r="DH22" s="8">
        <f t="shared" si="2"/>
        <v>4</v>
      </c>
      <c r="DI22" s="11">
        <f t="shared" si="3"/>
        <v>0.88888888888888884</v>
      </c>
    </row>
    <row r="23" spans="1:113">
      <c r="A23" s="7" t="s">
        <v>306</v>
      </c>
      <c r="B23" s="7" t="s">
        <v>94</v>
      </c>
      <c r="C23" s="8">
        <v>3</v>
      </c>
      <c r="D23" s="9" t="s">
        <v>800</v>
      </c>
      <c r="E23" s="10">
        <v>43372</v>
      </c>
      <c r="F23" s="8" t="s">
        <v>683</v>
      </c>
      <c r="G23" s="8" t="str">
        <f>IF($B23="","",IF(COUNTIF('Competency Event Log'!$U$4:$U$803,$B23&amp;"|"&amp;G$5)=0,"",SUMIF('Competency Event Log'!$U$4:$U$803,$B23&amp;"|"&amp;G$5,'Competency Event Log'!$D$4:$D$803)))</f>
        <v/>
      </c>
      <c r="H23" s="8" t="str">
        <f>IF($B23="","",IF(COUNTIF('Competency Event Log'!$U$4:$U$803,$B23&amp;"|"&amp;H$5)=0,"",SUMIF('Competency Event Log'!$U$4:$U$803,$B23&amp;"|"&amp;H$5,'Competency Event Log'!$D$4:$D$803)))</f>
        <v/>
      </c>
      <c r="I23" s="8" t="str">
        <f>IF($B23="","",IF(COUNTIF('Competency Event Log'!$U$4:$U$803,$B23&amp;"|"&amp;I$5)=0,"",SUMIF('Competency Event Log'!$U$4:$U$803,$B23&amp;"|"&amp;I$5,'Competency Event Log'!$D$4:$D$803)))</f>
        <v/>
      </c>
      <c r="J23" s="8" t="str">
        <f>IF($B23="","",IF(COUNTIF('Competency Event Log'!$U$4:$U$803,$B23&amp;"|"&amp;J$5)=0,"",SUMIF('Competency Event Log'!$U$4:$U$803,$B23&amp;"|"&amp;J$5,'Competency Event Log'!$D$4:$D$803)))</f>
        <v/>
      </c>
      <c r="K23" s="8" t="str">
        <f>IF($B23="","",IF(COUNTIF('Competency Event Log'!$U$4:$U$803,$B23&amp;"|"&amp;K$5)=0,"",SUMIF('Competency Event Log'!$U$4:$U$803,$B23&amp;"|"&amp;K$5,'Competency Event Log'!$D$4:$D$803)))</f>
        <v/>
      </c>
      <c r="L23" s="8" t="str">
        <f>IF($B23="","",IF(COUNTIF('Competency Event Log'!$U$4:$U$803,$B23&amp;"|"&amp;L$5)=0,"",SUMIF('Competency Event Log'!$U$4:$U$803,$B23&amp;"|"&amp;L$5,'Competency Event Log'!$D$4:$D$803)))</f>
        <v/>
      </c>
      <c r="M23" s="8" t="str">
        <f>IF($B23="","",IF(COUNTIF('Competency Event Log'!$U$4:$U$803,$B23&amp;"|"&amp;M$5)=0,"",SUMIF('Competency Event Log'!$U$4:$U$803,$B23&amp;"|"&amp;M$5,'Competency Event Log'!$D$4:$D$803)))</f>
        <v/>
      </c>
      <c r="N23" s="8" t="str">
        <f>IF($B23="","",IF(COUNTIF('Competency Event Log'!$U$4:$U$803,$B23&amp;"|"&amp;N$5)=0,"",SUMIF('Competency Event Log'!$U$4:$U$803,$B23&amp;"|"&amp;N$5,'Competency Event Log'!$D$4:$D$803)))</f>
        <v/>
      </c>
      <c r="O23" s="8" t="str">
        <f>IF($B23="","",IF(COUNTIF('Competency Event Log'!$U$4:$U$803,$B23&amp;"|"&amp;O$5)=0,"",SUMIF('Competency Event Log'!$U$4:$U$803,$B23&amp;"|"&amp;O$5,'Competency Event Log'!$D$4:$D$803)))</f>
        <v/>
      </c>
      <c r="P23" s="8" t="str">
        <f>IF($B23="","",IF(COUNTIF('Competency Event Log'!$U$4:$U$803,$B23&amp;"|"&amp;P$5)=0,"",SUMIF('Competency Event Log'!$U$4:$U$803,$B23&amp;"|"&amp;P$5,'Competency Event Log'!$D$4:$D$803)))</f>
        <v/>
      </c>
      <c r="Q23" s="8" t="str">
        <f>IF($B23="","",IF(COUNTIF('Competency Event Log'!$U$4:$U$803,$B23&amp;"|"&amp;Q$5)=0,"",SUMIF('Competency Event Log'!$U$4:$U$803,$B23&amp;"|"&amp;Q$5,'Competency Event Log'!$D$4:$D$803)))</f>
        <v/>
      </c>
      <c r="R23" s="8" t="str">
        <f>IF($B23="","",IF(COUNTIF('Competency Event Log'!$U$4:$U$803,$B23&amp;"|"&amp;R$5)=0,"",SUMIF('Competency Event Log'!$U$4:$U$803,$B23&amp;"|"&amp;R$5,'Competency Event Log'!$D$4:$D$803)))</f>
        <v/>
      </c>
      <c r="S23" s="8" t="str">
        <f>IF($B23="","",IF(COUNTIF('Competency Event Log'!$U$4:$U$803,$B23&amp;"|"&amp;S$5)=0,"",SUMIF('Competency Event Log'!$U$4:$U$803,$B23&amp;"|"&amp;S$5,'Competency Event Log'!$D$4:$D$803)))</f>
        <v/>
      </c>
      <c r="T23" s="8" t="str">
        <f>IF($B23="","",IF(COUNTIF('Competency Event Log'!$U$4:$U$803,$B23&amp;"|"&amp;T$5)=0,"",SUMIF('Competency Event Log'!$U$4:$U$803,$B23&amp;"|"&amp;T$5,'Competency Event Log'!$D$4:$D$803)))</f>
        <v/>
      </c>
      <c r="U23" s="8" t="str">
        <f>IF($B23="","",IF(COUNTIF('Competency Event Log'!$U$4:$U$803,$B23&amp;"|"&amp;U$5)=0,"",SUMIF('Competency Event Log'!$U$4:$U$803,$B23&amp;"|"&amp;U$5,'Competency Event Log'!$D$4:$D$803)))</f>
        <v/>
      </c>
      <c r="V23" s="8" t="str">
        <f>IF($B23="","",IF(COUNTIF('Competency Event Log'!$U$4:$U$803,$B23&amp;"|"&amp;V$5)=0,"",SUMIF('Competency Event Log'!$U$4:$U$803,$B23&amp;"|"&amp;V$5,'Competency Event Log'!$D$4:$D$803)))</f>
        <v/>
      </c>
      <c r="W23" s="8" t="str">
        <f>IF($B23="","",IF(COUNTIF('Competency Event Log'!$U$4:$U$803,$B23&amp;"|"&amp;W$5)=0,"",SUMIF('Competency Event Log'!$U$4:$U$803,$B23&amp;"|"&amp;W$5,'Competency Event Log'!$D$4:$D$803)))</f>
        <v/>
      </c>
      <c r="X23" s="8" t="str">
        <f>IF($B23="","",IF(COUNTIF('Competency Event Log'!$U$4:$U$803,$B23&amp;"|"&amp;X$5)=0,"",SUMIF('Competency Event Log'!$U$4:$U$803,$B23&amp;"|"&amp;X$5,'Competency Event Log'!$D$4:$D$803)))</f>
        <v/>
      </c>
      <c r="Y23" s="8" t="str">
        <f>IF($B23="","",IF(COUNTIF('Competency Event Log'!$U$4:$U$803,$B23&amp;"|"&amp;Y$5)=0,"",SUMIF('Competency Event Log'!$U$4:$U$803,$B23&amp;"|"&amp;Y$5,'Competency Event Log'!$D$4:$D$803)))</f>
        <v/>
      </c>
      <c r="Z23" s="8" t="str">
        <f>IF($B23="","",IF(COUNTIF('Competency Event Log'!$U$4:$U$803,$B23&amp;"|"&amp;Z$5)=0,"",SUMIF('Competency Event Log'!$U$4:$U$803,$B23&amp;"|"&amp;Z$5,'Competency Event Log'!$D$4:$D$803)))</f>
        <v/>
      </c>
      <c r="AA23" s="8" t="str">
        <f>IF($B23="","",IF(COUNTIF('Competency Event Log'!$U$4:$U$803,$B23&amp;"|"&amp;AA$5)=0,"",SUMIF('Competency Event Log'!$U$4:$U$803,$B23&amp;"|"&amp;AA$5,'Competency Event Log'!$D$4:$D$803)))</f>
        <v/>
      </c>
      <c r="AB23" s="8" t="str">
        <f>IF($B23="","",IF(COUNTIF('Competency Event Log'!$U$4:$U$803,$B23&amp;"|"&amp;AB$5)=0,"",SUMIF('Competency Event Log'!$U$4:$U$803,$B23&amp;"|"&amp;AB$5,'Competency Event Log'!$D$4:$D$803)))</f>
        <v/>
      </c>
      <c r="AC23" s="8" t="str">
        <f>IF($B23="","",IF(COUNTIF('Competency Event Log'!$U$4:$U$803,$B23&amp;"|"&amp;AC$5)=0,"",SUMIF('Competency Event Log'!$U$4:$U$803,$B23&amp;"|"&amp;AC$5,'Competency Event Log'!$D$4:$D$803)))</f>
        <v/>
      </c>
      <c r="AD23" s="8" t="str">
        <f>IF($B23="","",IF(COUNTIF('Competency Event Log'!$U$4:$U$803,$B23&amp;"|"&amp;AD$5)=0,"",SUMIF('Competency Event Log'!$U$4:$U$803,$B23&amp;"|"&amp;AD$5,'Competency Event Log'!$D$4:$D$803)))</f>
        <v/>
      </c>
      <c r="AE23" s="8" t="str">
        <f>IF($B23="","",IF(COUNTIF('Competency Event Log'!$U$4:$U$803,$B23&amp;"|"&amp;AE$5)=0,"",SUMIF('Competency Event Log'!$U$4:$U$803,$B23&amp;"|"&amp;AE$5,'Competency Event Log'!$D$4:$D$803)))</f>
        <v/>
      </c>
      <c r="AF23" s="8" t="str">
        <f>IF($B23="","",IF(COUNTIF('Competency Event Log'!$U$4:$U$803,$B23&amp;"|"&amp;AF$5)=0,"",SUMIF('Competency Event Log'!$U$4:$U$803,$B23&amp;"|"&amp;AF$5,'Competency Event Log'!$D$4:$D$803)))</f>
        <v/>
      </c>
      <c r="AG23" s="8" t="str">
        <f>IF($B23="","",IF(COUNTIF('Competency Event Log'!$U$4:$U$803,$B23&amp;"|"&amp;AG$5)=0,"",SUMIF('Competency Event Log'!$U$4:$U$803,$B23&amp;"|"&amp;AG$5,'Competency Event Log'!$D$4:$D$803)))</f>
        <v/>
      </c>
      <c r="AH23" s="8" t="str">
        <f>IF($B23="","",IF(COUNTIF('Competency Event Log'!$U$4:$U$803,$B23&amp;"|"&amp;AH$5)=0,"",SUMIF('Competency Event Log'!$U$4:$U$803,$B23&amp;"|"&amp;AH$5,'Competency Event Log'!$D$4:$D$803)))</f>
        <v/>
      </c>
      <c r="AI23" s="8" t="str">
        <f>IF($B23="","",IF(COUNTIF('Competency Event Log'!$U$4:$U$803,$B23&amp;"|"&amp;AI$5)=0,"",SUMIF('Competency Event Log'!$U$4:$U$803,$B23&amp;"|"&amp;AI$5,'Competency Event Log'!$D$4:$D$803)))</f>
        <v/>
      </c>
      <c r="AJ23" s="8" t="str">
        <f>IF($B23="","",IF(COUNTIF('Competency Event Log'!$U$4:$U$803,$B23&amp;"|"&amp;AJ$5)=0,"",SUMIF('Competency Event Log'!$U$4:$U$803,$B23&amp;"|"&amp;AJ$5,'Competency Event Log'!$D$4:$D$803)))</f>
        <v/>
      </c>
      <c r="AK23" s="8">
        <f>IF($B23="","",IF(COUNTIF('Competency Event Log'!$U$4:$U$803,$B23&amp;"|"&amp;AK$5)=0,"",SUMIF('Competency Event Log'!$U$4:$U$803,$B23&amp;"|"&amp;AK$5,'Competency Event Log'!$D$4:$D$803)))</f>
        <v>2</v>
      </c>
      <c r="AL23" s="8" t="str">
        <f>IF($B23="","",IF(COUNTIF('Competency Event Log'!$U$4:$U$803,$B23&amp;"|"&amp;AL$5)=0,"",SUMIF('Competency Event Log'!$U$4:$U$803,$B23&amp;"|"&amp;AL$5,'Competency Event Log'!$D$4:$D$803)))</f>
        <v/>
      </c>
      <c r="AM23" s="8">
        <f>IF($B23="","",IF(COUNTIF('Competency Event Log'!$U$4:$U$803,$B23&amp;"|"&amp;AM$5)=0,"",SUMIF('Competency Event Log'!$U$4:$U$803,$B23&amp;"|"&amp;AM$5,'Competency Event Log'!$D$4:$D$803)))</f>
        <v>2</v>
      </c>
      <c r="AN23" s="8">
        <f>IF($B23="","",IF(COUNTIF('Competency Event Log'!$U$4:$U$803,$B23&amp;"|"&amp;AN$5)=0,"",SUMIF('Competency Event Log'!$U$4:$U$803,$B23&amp;"|"&amp;AN$5,'Competency Event Log'!$D$4:$D$803)))</f>
        <v>3</v>
      </c>
      <c r="AO23" s="8">
        <f>IF($B23="","",IF(COUNTIF('Competency Event Log'!$U$4:$U$803,$B23&amp;"|"&amp;AO$5)=0,"",SUMIF('Competency Event Log'!$U$4:$U$803,$B23&amp;"|"&amp;AO$5,'Competency Event Log'!$D$4:$D$803)))</f>
        <v>3</v>
      </c>
      <c r="AP23" s="8">
        <f>IF($B23="","",IF(COUNTIF('Competency Event Log'!$U$4:$U$803,$B23&amp;"|"&amp;AP$5)=0,"",SUMIF('Competency Event Log'!$U$4:$U$803,$B23&amp;"|"&amp;AP$5,'Competency Event Log'!$D$4:$D$803)))</f>
        <v>3</v>
      </c>
      <c r="AQ23" s="8">
        <f>IF($B23="","",IF(COUNTIF('Competency Event Log'!$U$4:$U$803,$B23&amp;"|"&amp;AQ$5)=0,"",SUMIF('Competency Event Log'!$U$4:$U$803,$B23&amp;"|"&amp;AQ$5,'Competency Event Log'!$D$4:$D$803)))</f>
        <v>3</v>
      </c>
      <c r="AR23" s="8">
        <f>IF($B23="","",IF(COUNTIF('Competency Event Log'!$U$4:$U$803,$B23&amp;"|"&amp;AR$5)=0,"",SUMIF('Competency Event Log'!$U$4:$U$803,$B23&amp;"|"&amp;AR$5,'Competency Event Log'!$D$4:$D$803)))</f>
        <v>1</v>
      </c>
      <c r="AS23" s="8">
        <f>IF($B23="","",IF(COUNTIF('Competency Event Log'!$U$4:$U$803,$B23&amp;"|"&amp;AS$5)=0,"",SUMIF('Competency Event Log'!$U$4:$U$803,$B23&amp;"|"&amp;AS$5,'Competency Event Log'!$D$4:$D$803)))</f>
        <v>3</v>
      </c>
      <c r="AT23" s="8" t="str">
        <f>IF($B23="","",IF(COUNTIF('Competency Event Log'!$U$4:$U$803,$B23&amp;"|"&amp;AT$5)=0,"",SUMIF('Competency Event Log'!$U$4:$U$803,$B23&amp;"|"&amp;AT$5,'Competency Event Log'!$D$4:$D$803)))</f>
        <v/>
      </c>
      <c r="AU23" s="8" t="str">
        <f>IF($B23="","",IF(COUNTIF('Competency Event Log'!$U$4:$U$803,$B23&amp;"|"&amp;AU$5)=0,"",SUMIF('Competency Event Log'!$U$4:$U$803,$B23&amp;"|"&amp;AU$5,'Competency Event Log'!$D$4:$D$803)))</f>
        <v/>
      </c>
      <c r="AV23" s="8" t="str">
        <f>IF($B23="","",IF(COUNTIF('Competency Event Log'!$U$4:$U$803,$B23&amp;"|"&amp;AV$5)=0,"",SUMIF('Competency Event Log'!$U$4:$U$803,$B23&amp;"|"&amp;AV$5,'Competency Event Log'!$D$4:$D$803)))</f>
        <v/>
      </c>
      <c r="AW23" s="8" t="str">
        <f>IF($B23="","",IF(COUNTIF('Competency Event Log'!$U$4:$U$803,$B23&amp;"|"&amp;AW$5)=0,"",SUMIF('Competency Event Log'!$U$4:$U$803,$B23&amp;"|"&amp;AW$5,'Competency Event Log'!$D$4:$D$803)))</f>
        <v/>
      </c>
      <c r="AX23" s="8" t="str">
        <f>IF($B23="","",IF(COUNTIF('Competency Event Log'!$U$4:$U$803,$B23&amp;"|"&amp;AX$5)=0,"",SUMIF('Competency Event Log'!$U$4:$U$803,$B23&amp;"|"&amp;AX$5,'Competency Event Log'!$D$4:$D$803)))</f>
        <v/>
      </c>
      <c r="AY23" s="8" t="str">
        <f>IF($B23="","",IF(COUNTIF('Competency Event Log'!$U$4:$U$803,$B23&amp;"|"&amp;AY$5)=0,"",SUMIF('Competency Event Log'!$U$4:$U$803,$B23&amp;"|"&amp;AY$5,'Competency Event Log'!$D$4:$D$803)))</f>
        <v/>
      </c>
      <c r="AZ23" s="8" t="str">
        <f>IF($B23="","",IF(COUNTIF('Competency Event Log'!$U$4:$U$803,$B23&amp;"|"&amp;AZ$5)=0,"",SUMIF('Competency Event Log'!$U$4:$U$803,$B23&amp;"|"&amp;AZ$5,'Competency Event Log'!$D$4:$D$803)))</f>
        <v/>
      </c>
      <c r="BA23" s="8" t="str">
        <f>IF($B23="","",IF(COUNTIF('Competency Event Log'!$U$4:$U$803,$B23&amp;"|"&amp;BA$5)=0,"",SUMIF('Competency Event Log'!$U$4:$U$803,$B23&amp;"|"&amp;BA$5,'Competency Event Log'!$D$4:$D$803)))</f>
        <v/>
      </c>
      <c r="BB23" s="8" t="str">
        <f>IF($B23="","",IF(COUNTIF('Competency Event Log'!$U$4:$U$803,$B23&amp;"|"&amp;BB$5)=0,"",SUMIF('Competency Event Log'!$U$4:$U$803,$B23&amp;"|"&amp;BB$5,'Competency Event Log'!$D$4:$D$803)))</f>
        <v/>
      </c>
      <c r="BC23" s="8" t="str">
        <f>IF($B23="","",IF(COUNTIF('Competency Event Log'!$U$4:$U$803,$B23&amp;"|"&amp;BC$5)=0,"",SUMIF('Competency Event Log'!$U$4:$U$803,$B23&amp;"|"&amp;BC$5,'Competency Event Log'!$D$4:$D$803)))</f>
        <v/>
      </c>
      <c r="BD23" s="8" t="str">
        <f>IF($B23="","",IF(COUNTIF('Competency Event Log'!$U$4:$U$803,$B23&amp;"|"&amp;BD$5)=0,"",SUMIF('Competency Event Log'!$U$4:$U$803,$B23&amp;"|"&amp;BD$5,'Competency Event Log'!$D$4:$D$803)))</f>
        <v/>
      </c>
      <c r="BE23" s="8" t="str">
        <f>IF($B23="","",IF(COUNTIF('Competency Event Log'!$U$4:$U$803,$B23&amp;"|"&amp;BE$5)=0,"",SUMIF('Competency Event Log'!$U$4:$U$803,$B23&amp;"|"&amp;BE$5,'Competency Event Log'!$D$4:$D$803)))</f>
        <v/>
      </c>
      <c r="BF23" s="8" t="str">
        <f>IF($B23="","",IF(COUNTIF('Competency Event Log'!$U$4:$U$803,$B23&amp;"|"&amp;BF$5)=0,"",SUMIF('Competency Event Log'!$U$4:$U$803,$B23&amp;"|"&amp;BF$5,'Competency Event Log'!$D$4:$D$803)))</f>
        <v/>
      </c>
      <c r="BG23" s="8" t="str">
        <f>IF($B23="","",IF(COUNTIF('Competency Event Log'!$U$4:$U$803,$B23&amp;"|"&amp;BG$5)=0,"",SUMIF('Competency Event Log'!$U$4:$U$803,$B23&amp;"|"&amp;BG$5,'Competency Event Log'!$D$4:$D$803)))</f>
        <v/>
      </c>
      <c r="BH23" s="8" t="str">
        <f>IF($B23="","",IF(COUNTIF('Competency Event Log'!$U$4:$U$803,$B23&amp;"|"&amp;BH$5)=0,"",SUMIF('Competency Event Log'!$U$4:$U$803,$B23&amp;"|"&amp;BH$5,'Competency Event Log'!$D$4:$D$803)))</f>
        <v/>
      </c>
      <c r="BI23" s="8" t="str">
        <f>IF($B23="","",IF(COUNTIF('Competency Event Log'!$U$4:$U$803,$B23&amp;"|"&amp;BI$5)=0,"",SUMIF('Competency Event Log'!$U$4:$U$803,$B23&amp;"|"&amp;BI$5,'Competency Event Log'!$D$4:$D$803)))</f>
        <v/>
      </c>
      <c r="BJ23" s="8" t="str">
        <f>IF($B23="","",IF(COUNTIF('Competency Event Log'!$U$4:$U$803,$B23&amp;"|"&amp;BJ$5)=0,"",SUMIF('Competency Event Log'!$U$4:$U$803,$B23&amp;"|"&amp;BJ$5,'Competency Event Log'!$D$4:$D$803)))</f>
        <v/>
      </c>
      <c r="BK23" s="8" t="str">
        <f>IF($B23="","",IF(COUNTIF('Competency Event Log'!$U$4:$U$803,$B23&amp;"|"&amp;BK$5)=0,"",SUMIF('Competency Event Log'!$U$4:$U$803,$B23&amp;"|"&amp;BK$5,'Competency Event Log'!$D$4:$D$803)))</f>
        <v/>
      </c>
      <c r="BL23" s="8" t="str">
        <f>IF($B23="","",IF(COUNTIF('Competency Event Log'!$U$4:$U$803,$B23&amp;"|"&amp;BL$5)=0,"",SUMIF('Competency Event Log'!$U$4:$U$803,$B23&amp;"|"&amp;BL$5,'Competency Event Log'!$D$4:$D$803)))</f>
        <v/>
      </c>
      <c r="BM23" s="8" t="str">
        <f>IF($B23="","",IF(COUNTIF('Competency Event Log'!$U$4:$U$803,$B23&amp;"|"&amp;BM$5)=0,"",SUMIF('Competency Event Log'!$U$4:$U$803,$B23&amp;"|"&amp;BM$5,'Competency Event Log'!$D$4:$D$803)))</f>
        <v/>
      </c>
      <c r="BN23" s="8" t="str">
        <f>IF($B23="","",IF(COUNTIF('Competency Event Log'!$U$4:$U$803,$B23&amp;"|"&amp;BN$5)=0,"",SUMIF('Competency Event Log'!$U$4:$U$803,$B23&amp;"|"&amp;BN$5,'Competency Event Log'!$D$4:$D$803)))</f>
        <v/>
      </c>
      <c r="BO23" s="8" t="str">
        <f>IF($B23="","",IF(COUNTIF('Competency Event Log'!$U$4:$U$803,$B23&amp;"|"&amp;BO$5)=0,"",SUMIF('Competency Event Log'!$U$4:$U$803,$B23&amp;"|"&amp;BO$5,'Competency Event Log'!$D$4:$D$803)))</f>
        <v/>
      </c>
      <c r="BP23" s="8" t="str">
        <f>IF($B23="","",IF(COUNTIF('Competency Event Log'!$U$4:$U$803,$B23&amp;"|"&amp;BP$5)=0,"",SUMIF('Competency Event Log'!$U$4:$U$803,$B23&amp;"|"&amp;BP$5,'Competency Event Log'!$D$4:$D$803)))</f>
        <v/>
      </c>
      <c r="BQ23" s="8" t="str">
        <f>IF($B23="","",IF(COUNTIF('Competency Event Log'!$U$4:$U$803,$B23&amp;"|"&amp;BQ$5)=0,"",SUMIF('Competency Event Log'!$U$4:$U$803,$B23&amp;"|"&amp;BQ$5,'Competency Event Log'!$D$4:$D$803)))</f>
        <v/>
      </c>
      <c r="BR23" s="8" t="str">
        <f>IF($B23="","",IF(COUNTIF('Competency Event Log'!$U$4:$U$803,$B23&amp;"|"&amp;BR$5)=0,"",SUMIF('Competency Event Log'!$U$4:$U$803,$B23&amp;"|"&amp;BR$5,'Competency Event Log'!$D$4:$D$803)))</f>
        <v/>
      </c>
      <c r="BS23" s="8" t="str">
        <f>IF($B23="","",IF(COUNTIF('Competency Event Log'!$U$4:$U$803,$B23&amp;"|"&amp;BS$5)=0,"",SUMIF('Competency Event Log'!$U$4:$U$803,$B23&amp;"|"&amp;BS$5,'Competency Event Log'!$D$4:$D$803)))</f>
        <v/>
      </c>
      <c r="BT23" s="8" t="str">
        <f>IF($B23="","",IF(COUNTIF('Competency Event Log'!$U$4:$U$803,$B23&amp;"|"&amp;BT$5)=0,"",SUMIF('Competency Event Log'!$U$4:$U$803,$B23&amp;"|"&amp;BT$5,'Competency Event Log'!$D$4:$D$803)))</f>
        <v/>
      </c>
      <c r="BU23" s="8" t="str">
        <f>IF($B23="","",IF(COUNTIF('Competency Event Log'!$U$4:$U$803,$B23&amp;"|"&amp;BU$5)=0,"",SUMIF('Competency Event Log'!$U$4:$U$803,$B23&amp;"|"&amp;BU$5,'Competency Event Log'!$D$4:$D$803)))</f>
        <v/>
      </c>
      <c r="BV23" s="8" t="str">
        <f>IF($B23="","",IF(COUNTIF('Competency Event Log'!$U$4:$U$803,$B23&amp;"|"&amp;BV$5)=0,"",SUMIF('Competency Event Log'!$U$4:$U$803,$B23&amp;"|"&amp;BV$5,'Competency Event Log'!$D$4:$D$803)))</f>
        <v/>
      </c>
      <c r="BW23" s="8" t="str">
        <f>IF($B23="","",IF(COUNTIF('Competency Event Log'!$U$4:$U$803,$B23&amp;"|"&amp;BW$5)=0,"",SUMIF('Competency Event Log'!$U$4:$U$803,$B23&amp;"|"&amp;BW$5,'Competency Event Log'!$D$4:$D$803)))</f>
        <v/>
      </c>
      <c r="BX23" s="8" t="str">
        <f>IF($B23="","",IF(COUNTIF('Competency Event Log'!$U$4:$U$803,$B23&amp;"|"&amp;BX$5)=0,"",SUMIF('Competency Event Log'!$U$4:$U$803,$B23&amp;"|"&amp;BX$5,'Competency Event Log'!$D$4:$D$803)))</f>
        <v/>
      </c>
      <c r="BY23" s="8" t="str">
        <f>IF($B23="","",IF(COUNTIF('Competency Event Log'!$U$4:$U$803,$B23&amp;"|"&amp;BY$5)=0,"",SUMIF('Competency Event Log'!$U$4:$U$803,$B23&amp;"|"&amp;BY$5,'Competency Event Log'!$D$4:$D$803)))</f>
        <v/>
      </c>
      <c r="BZ23" s="8" t="str">
        <f>IF($B23="","",IF(COUNTIF('Competency Event Log'!$U$4:$U$803,$B23&amp;"|"&amp;BZ$5)=0,"",SUMIF('Competency Event Log'!$U$4:$U$803,$B23&amp;"|"&amp;BZ$5,'Competency Event Log'!$D$4:$D$803)))</f>
        <v/>
      </c>
      <c r="CA23" s="8" t="str">
        <f>IF($B23="","",IF(COUNTIF('Competency Event Log'!$U$4:$U$803,$B23&amp;"|"&amp;CA$5)=0,"",SUMIF('Competency Event Log'!$U$4:$U$803,$B23&amp;"|"&amp;CA$5,'Competency Event Log'!$D$4:$D$803)))</f>
        <v/>
      </c>
      <c r="CB23" s="8" t="str">
        <f>IF($B23="","",IF(COUNTIF('Competency Event Log'!$U$4:$U$803,$B23&amp;"|"&amp;CB$5)=0,"",SUMIF('Competency Event Log'!$U$4:$U$803,$B23&amp;"|"&amp;CB$5,'Competency Event Log'!$D$4:$D$803)))</f>
        <v/>
      </c>
      <c r="CC23" s="8" t="str">
        <f>IF($B23="","",IF(COUNTIF('Competency Event Log'!$U$4:$U$803,$B23&amp;"|"&amp;CC$5)=0,"",SUMIF('Competency Event Log'!$U$4:$U$803,$B23&amp;"|"&amp;CC$5,'Competency Event Log'!$D$4:$D$803)))</f>
        <v/>
      </c>
      <c r="CD23" s="8" t="str">
        <f>IF($B23="","",IF(COUNTIF('Competency Event Log'!$U$4:$U$803,$B23&amp;"|"&amp;CD$5)=0,"",SUMIF('Competency Event Log'!$U$4:$U$803,$B23&amp;"|"&amp;CD$5,'Competency Event Log'!$D$4:$D$803)))</f>
        <v/>
      </c>
      <c r="CE23" s="8" t="str">
        <f>IF($B23="","",IF(COUNTIF('Competency Event Log'!$U$4:$U$803,$B23&amp;"|"&amp;CE$5)=0,"",SUMIF('Competency Event Log'!$U$4:$U$803,$B23&amp;"|"&amp;CE$5,'Competency Event Log'!$D$4:$D$803)))</f>
        <v/>
      </c>
      <c r="CF23" s="8" t="str">
        <f>IF($B23="","",IF(COUNTIF('Competency Event Log'!$U$4:$U$803,$B23&amp;"|"&amp;CF$5)=0,"",SUMIF('Competency Event Log'!$U$4:$U$803,$B23&amp;"|"&amp;CF$5,'Competency Event Log'!$D$4:$D$803)))</f>
        <v/>
      </c>
      <c r="CG23" s="8" t="str">
        <f>IF($B23="","",IF(COUNTIF('Competency Event Log'!$U$4:$U$803,$B23&amp;"|"&amp;CG$5)=0,"",SUMIF('Competency Event Log'!$U$4:$U$803,$B23&amp;"|"&amp;CG$5,'Competency Event Log'!$D$4:$D$803)))</f>
        <v/>
      </c>
      <c r="CH23" s="8" t="str">
        <f>IF($B23="","",IF(COUNTIF('Competency Event Log'!$U$4:$U$803,$B23&amp;"|"&amp;CH$5)=0,"",SUMIF('Competency Event Log'!$U$4:$U$803,$B23&amp;"|"&amp;CH$5,'Competency Event Log'!$D$4:$D$803)))</f>
        <v/>
      </c>
      <c r="CI23" s="8" t="str">
        <f>IF($B23="","",IF(COUNTIF('Competency Event Log'!$U$4:$U$803,$B23&amp;"|"&amp;CI$5)=0,"",SUMIF('Competency Event Log'!$U$4:$U$803,$B23&amp;"|"&amp;CI$5,'Competency Event Log'!$D$4:$D$803)))</f>
        <v/>
      </c>
      <c r="CJ23" s="8" t="str">
        <f>IF($B23="","",IF(COUNTIF('Competency Event Log'!$U$4:$U$803,$B23&amp;"|"&amp;CJ$5)=0,"",SUMIF('Competency Event Log'!$U$4:$U$803,$B23&amp;"|"&amp;CJ$5,'Competency Event Log'!$D$4:$D$803)))</f>
        <v/>
      </c>
      <c r="CK23" s="8" t="str">
        <f>IF($B23="","",IF(COUNTIF('Competency Event Log'!$U$4:$U$803,$B23&amp;"|"&amp;CK$5)=0,"",SUMIF('Competency Event Log'!$U$4:$U$803,$B23&amp;"|"&amp;CK$5,'Competency Event Log'!$D$4:$D$803)))</f>
        <v/>
      </c>
      <c r="CL23" s="8" t="str">
        <f>IF($B23="","",IF(COUNTIF('Competency Event Log'!$U$4:$U$803,$B23&amp;"|"&amp;CL$5)=0,"",SUMIF('Competency Event Log'!$U$4:$U$803,$B23&amp;"|"&amp;CL$5,'Competency Event Log'!$D$4:$D$803)))</f>
        <v/>
      </c>
      <c r="CM23" s="8" t="str">
        <f>IF($B23="","",IF(COUNTIF('Competency Event Log'!$U$4:$U$803,$B23&amp;"|"&amp;CM$5)=0,"",SUMIF('Competency Event Log'!$U$4:$U$803,$B23&amp;"|"&amp;CM$5,'Competency Event Log'!$D$4:$D$803)))</f>
        <v/>
      </c>
      <c r="CN23" s="8" t="str">
        <f>IF($B23="","",IF(COUNTIF('Competency Event Log'!$U$4:$U$803,$B23&amp;"|"&amp;CN$5)=0,"",SUMIF('Competency Event Log'!$U$4:$U$803,$B23&amp;"|"&amp;CN$5,'Competency Event Log'!$D$4:$D$803)))</f>
        <v/>
      </c>
      <c r="CO23" s="8" t="str">
        <f>IF($B23="","",IF(COUNTIF('Competency Event Log'!$U$4:$U$803,$B23&amp;"|"&amp;CO$5)=0,"",SUMIF('Competency Event Log'!$U$4:$U$803,$B23&amp;"|"&amp;CO$5,'Competency Event Log'!$D$4:$D$803)))</f>
        <v/>
      </c>
      <c r="CP23" s="8" t="str">
        <f>IF($B23="","",IF(COUNTIF('Competency Event Log'!$U$4:$U$803,$B23&amp;"|"&amp;CP$5)=0,"",SUMIF('Competency Event Log'!$U$4:$U$803,$B23&amp;"|"&amp;CP$5,'Competency Event Log'!$D$4:$D$803)))</f>
        <v/>
      </c>
      <c r="CQ23" s="8" t="str">
        <f>IF($B23="","",IF(COUNTIF('Competency Event Log'!$U$4:$U$803,$B23&amp;"|"&amp;CQ$5)=0,"",SUMIF('Competency Event Log'!$U$4:$U$803,$B23&amp;"|"&amp;CQ$5,'Competency Event Log'!$D$4:$D$803)))</f>
        <v/>
      </c>
      <c r="CR23" s="8" t="str">
        <f>IF($B23="","",IF(COUNTIF('Competency Event Log'!$U$4:$U$803,$B23&amp;"|"&amp;CR$5)=0,"",SUMIF('Competency Event Log'!$U$4:$U$803,$B23&amp;"|"&amp;CR$5,'Competency Event Log'!$D$4:$D$803)))</f>
        <v/>
      </c>
      <c r="CS23" s="8" t="str">
        <f>IF($B23="","",IF(COUNTIF('Competency Event Log'!$U$4:$U$803,$B23&amp;"|"&amp;CS$5)=0,"",SUMIF('Competency Event Log'!$U$4:$U$803,$B23&amp;"|"&amp;CS$5,'Competency Event Log'!$D$4:$D$803)))</f>
        <v/>
      </c>
      <c r="CT23" s="8" t="str">
        <f>IF($B23="","",IF(COUNTIF('Competency Event Log'!$U$4:$U$803,$B23&amp;"|"&amp;CT$5)=0,"",SUMIF('Competency Event Log'!$U$4:$U$803,$B23&amp;"|"&amp;CT$5,'Competency Event Log'!$D$4:$D$803)))</f>
        <v/>
      </c>
      <c r="CU23" s="8" t="str">
        <f>IF($B23="","",IF(COUNTIF('Competency Event Log'!$U$4:$U$803,$B23&amp;"|"&amp;CU$5)=0,"",SUMIF('Competency Event Log'!$U$4:$U$803,$B23&amp;"|"&amp;CU$5,'Competency Event Log'!$D$4:$D$803)))</f>
        <v/>
      </c>
      <c r="CV23" s="8" t="str">
        <f>IF($B23="","",IF(COUNTIF('Competency Event Log'!$U$4:$U$803,$B23&amp;"|"&amp;CV$5)=0,"",SUMIF('Competency Event Log'!$U$4:$U$803,$B23&amp;"|"&amp;CV$5,'Competency Event Log'!$D$4:$D$803)))</f>
        <v/>
      </c>
      <c r="CW23" s="8" t="str">
        <f>IF($B23="","",IF(COUNTIF('Competency Event Log'!$U$4:$U$803,$B23&amp;"|"&amp;CW$5)=0,"",SUMIF('Competency Event Log'!$U$4:$U$803,$B23&amp;"|"&amp;CW$5,'Competency Event Log'!$D$4:$D$803)))</f>
        <v/>
      </c>
      <c r="CX23" s="8" t="str">
        <f>IF($B23="","",IF(COUNTIF('Competency Event Log'!$U$4:$U$803,$B23&amp;"|"&amp;CX$5)=0,"",SUMIF('Competency Event Log'!$U$4:$U$803,$B23&amp;"|"&amp;CX$5,'Competency Event Log'!$D$4:$D$803)))</f>
        <v/>
      </c>
      <c r="CY23" s="8" t="str">
        <f>IF($B23="","",IF(COUNTIF('Competency Event Log'!$U$4:$U$803,$B23&amp;"|"&amp;CY$5)=0,"",SUMIF('Competency Event Log'!$U$4:$U$803,$B23&amp;"|"&amp;CY$5,'Competency Event Log'!$D$4:$D$803)))</f>
        <v/>
      </c>
      <c r="CZ23" s="8" t="str">
        <f>IF($B23="","",IF(COUNTIF('Competency Event Log'!$U$4:$U$803,$B23&amp;"|"&amp;CZ$5)=0,"",SUMIF('Competency Event Log'!$U$4:$U$803,$B23&amp;"|"&amp;CZ$5,'Competency Event Log'!$D$4:$D$803)))</f>
        <v/>
      </c>
      <c r="DA23" s="8" t="str">
        <f>IF($B23="","",IF(COUNTIF('Competency Event Log'!$U$4:$U$803,$B23&amp;"|"&amp;DA$5)=0,"",SUMIF('Competency Event Log'!$U$4:$U$803,$B23&amp;"|"&amp;DA$5,'Competency Event Log'!$D$4:$D$803)))</f>
        <v/>
      </c>
      <c r="DB23" s="8" t="str">
        <f>IF($B23="","",IF(COUNTIF('Competency Event Log'!$U$4:$U$803,$B23&amp;"|"&amp;DB$5)=0,"",SUMIF('Competency Event Log'!$U$4:$U$803,$B23&amp;"|"&amp;DB$5,'Competency Event Log'!$D$4:$D$803)))</f>
        <v/>
      </c>
      <c r="DC23" s="8" t="str">
        <f>IF($B23="","",IF(COUNTIF('Competency Event Log'!$U$4:$U$803,$B23&amp;"|"&amp;DC$5)=0,"",SUMIF('Competency Event Log'!$U$4:$U$803,$B23&amp;"|"&amp;DC$5,'Competency Event Log'!$D$4:$D$803)))</f>
        <v/>
      </c>
      <c r="DD23" s="8" t="str">
        <f>IF($B23="","",IF(COUNTIF('Competency Event Log'!$U$4:$U$803,$B23&amp;"|"&amp;DD$5)=0,"",SUMIF('Competency Event Log'!$U$4:$U$803,$B23&amp;"|"&amp;DD$5,'Competency Event Log'!$D$4:$D$803)))</f>
        <v/>
      </c>
      <c r="DE23" s="8" t="str">
        <f>IF($B23="","",IF(COUNTIF('Competency Event Log'!$U$4:$U$803,$B23&amp;"|"&amp;DE$5)=0,"",SUMIF('Competency Event Log'!$U$4:$U$803,$B23&amp;"|"&amp;DE$5,'Competency Event Log'!$D$4:$D$803)))</f>
        <v/>
      </c>
      <c r="DF23" s="8">
        <f t="shared" si="0"/>
        <v>20</v>
      </c>
      <c r="DG23" s="8">
        <f t="shared" si="1"/>
        <v>8</v>
      </c>
      <c r="DH23" s="8">
        <f t="shared" si="2"/>
        <v>5</v>
      </c>
      <c r="DI23" s="11">
        <f t="shared" si="3"/>
        <v>0.88888888888888884</v>
      </c>
    </row>
    <row r="24" spans="1:113">
      <c r="A24" s="7" t="s">
        <v>307</v>
      </c>
      <c r="B24" s="7" t="s">
        <v>97</v>
      </c>
      <c r="C24" s="8">
        <v>1</v>
      </c>
      <c r="D24" s="9" t="s">
        <v>814</v>
      </c>
      <c r="E24" s="10">
        <v>45863</v>
      </c>
      <c r="F24" s="8" t="s">
        <v>812</v>
      </c>
      <c r="G24" s="8" t="str">
        <f>IF($B24="","",IF(COUNTIF('Competency Event Log'!$U$4:$U$803,$B24&amp;"|"&amp;G$5)=0,"",SUMIF('Competency Event Log'!$U$4:$U$803,$B24&amp;"|"&amp;G$5,'Competency Event Log'!$D$4:$D$803)))</f>
        <v/>
      </c>
      <c r="H24" s="8" t="str">
        <f>IF($B24="","",IF(COUNTIF('Competency Event Log'!$U$4:$U$803,$B24&amp;"|"&amp;H$5)=0,"",SUMIF('Competency Event Log'!$U$4:$U$803,$B24&amp;"|"&amp;H$5,'Competency Event Log'!$D$4:$D$803)))</f>
        <v/>
      </c>
      <c r="I24" s="8" t="str">
        <f>IF($B24="","",IF(COUNTIF('Competency Event Log'!$U$4:$U$803,$B24&amp;"|"&amp;I$5)=0,"",SUMIF('Competency Event Log'!$U$4:$U$803,$B24&amp;"|"&amp;I$5,'Competency Event Log'!$D$4:$D$803)))</f>
        <v/>
      </c>
      <c r="J24" s="8" t="str">
        <f>IF($B24="","",IF(COUNTIF('Competency Event Log'!$U$4:$U$803,$B24&amp;"|"&amp;J$5)=0,"",SUMIF('Competency Event Log'!$U$4:$U$803,$B24&amp;"|"&amp;J$5,'Competency Event Log'!$D$4:$D$803)))</f>
        <v/>
      </c>
      <c r="K24" s="8" t="str">
        <f>IF($B24="","",IF(COUNTIF('Competency Event Log'!$U$4:$U$803,$B24&amp;"|"&amp;K$5)=0,"",SUMIF('Competency Event Log'!$U$4:$U$803,$B24&amp;"|"&amp;K$5,'Competency Event Log'!$D$4:$D$803)))</f>
        <v/>
      </c>
      <c r="L24" s="8" t="str">
        <f>IF($B24="","",IF(COUNTIF('Competency Event Log'!$U$4:$U$803,$B24&amp;"|"&amp;L$5)=0,"",SUMIF('Competency Event Log'!$U$4:$U$803,$B24&amp;"|"&amp;L$5,'Competency Event Log'!$D$4:$D$803)))</f>
        <v/>
      </c>
      <c r="M24" s="8" t="str">
        <f>IF($B24="","",IF(COUNTIF('Competency Event Log'!$U$4:$U$803,$B24&amp;"|"&amp;M$5)=0,"",SUMIF('Competency Event Log'!$U$4:$U$803,$B24&amp;"|"&amp;M$5,'Competency Event Log'!$D$4:$D$803)))</f>
        <v/>
      </c>
      <c r="N24" s="8">
        <f>IF($B24="","",IF(COUNTIF('Competency Event Log'!$U$4:$U$803,$B24&amp;"|"&amp;N$5)=0,"",SUMIF('Competency Event Log'!$U$4:$U$803,$B24&amp;"|"&amp;N$5,'Competency Event Log'!$D$4:$D$803)))</f>
        <v>1</v>
      </c>
      <c r="O24" s="8" t="str">
        <f>IF($B24="","",IF(COUNTIF('Competency Event Log'!$U$4:$U$803,$B24&amp;"|"&amp;O$5)=0,"",SUMIF('Competency Event Log'!$U$4:$U$803,$B24&amp;"|"&amp;O$5,'Competency Event Log'!$D$4:$D$803)))</f>
        <v/>
      </c>
      <c r="P24" s="8" t="str">
        <f>IF($B24="","",IF(COUNTIF('Competency Event Log'!$U$4:$U$803,$B24&amp;"|"&amp;P$5)=0,"",SUMIF('Competency Event Log'!$U$4:$U$803,$B24&amp;"|"&amp;P$5,'Competency Event Log'!$D$4:$D$803)))</f>
        <v/>
      </c>
      <c r="Q24" s="8" t="str">
        <f>IF($B24="","",IF(COUNTIF('Competency Event Log'!$U$4:$U$803,$B24&amp;"|"&amp;Q$5)=0,"",SUMIF('Competency Event Log'!$U$4:$U$803,$B24&amp;"|"&amp;Q$5,'Competency Event Log'!$D$4:$D$803)))</f>
        <v/>
      </c>
      <c r="R24" s="8" t="str">
        <f>IF($B24="","",IF(COUNTIF('Competency Event Log'!$U$4:$U$803,$B24&amp;"|"&amp;R$5)=0,"",SUMIF('Competency Event Log'!$U$4:$U$803,$B24&amp;"|"&amp;R$5,'Competency Event Log'!$D$4:$D$803)))</f>
        <v/>
      </c>
      <c r="S24" s="8" t="str">
        <f>IF($B24="","",IF(COUNTIF('Competency Event Log'!$U$4:$U$803,$B24&amp;"|"&amp;S$5)=0,"",SUMIF('Competency Event Log'!$U$4:$U$803,$B24&amp;"|"&amp;S$5,'Competency Event Log'!$D$4:$D$803)))</f>
        <v/>
      </c>
      <c r="T24" s="8" t="str">
        <f>IF($B24="","",IF(COUNTIF('Competency Event Log'!$U$4:$U$803,$B24&amp;"|"&amp;T$5)=0,"",SUMIF('Competency Event Log'!$U$4:$U$803,$B24&amp;"|"&amp;T$5,'Competency Event Log'!$D$4:$D$803)))</f>
        <v/>
      </c>
      <c r="U24" s="8" t="str">
        <f>IF($B24="","",IF(COUNTIF('Competency Event Log'!$U$4:$U$803,$B24&amp;"|"&amp;U$5)=0,"",SUMIF('Competency Event Log'!$U$4:$U$803,$B24&amp;"|"&amp;U$5,'Competency Event Log'!$D$4:$D$803)))</f>
        <v/>
      </c>
      <c r="V24" s="8" t="str">
        <f>IF($B24="","",IF(COUNTIF('Competency Event Log'!$U$4:$U$803,$B24&amp;"|"&amp;V$5)=0,"",SUMIF('Competency Event Log'!$U$4:$U$803,$B24&amp;"|"&amp;V$5,'Competency Event Log'!$D$4:$D$803)))</f>
        <v/>
      </c>
      <c r="W24" s="8" t="str">
        <f>IF($B24="","",IF(COUNTIF('Competency Event Log'!$U$4:$U$803,$B24&amp;"|"&amp;W$5)=0,"",SUMIF('Competency Event Log'!$U$4:$U$803,$B24&amp;"|"&amp;W$5,'Competency Event Log'!$D$4:$D$803)))</f>
        <v/>
      </c>
      <c r="X24" s="8" t="str">
        <f>IF($B24="","",IF(COUNTIF('Competency Event Log'!$U$4:$U$803,$B24&amp;"|"&amp;X$5)=0,"",SUMIF('Competency Event Log'!$U$4:$U$803,$B24&amp;"|"&amp;X$5,'Competency Event Log'!$D$4:$D$803)))</f>
        <v/>
      </c>
      <c r="Y24" s="8" t="str">
        <f>IF($B24="","",IF(COUNTIF('Competency Event Log'!$U$4:$U$803,$B24&amp;"|"&amp;Y$5)=0,"",SUMIF('Competency Event Log'!$U$4:$U$803,$B24&amp;"|"&amp;Y$5,'Competency Event Log'!$D$4:$D$803)))</f>
        <v/>
      </c>
      <c r="Z24" s="8" t="str">
        <f>IF($B24="","",IF(COUNTIF('Competency Event Log'!$U$4:$U$803,$B24&amp;"|"&amp;Z$5)=0,"",SUMIF('Competency Event Log'!$U$4:$U$803,$B24&amp;"|"&amp;Z$5,'Competency Event Log'!$D$4:$D$803)))</f>
        <v/>
      </c>
      <c r="AA24" s="8" t="str">
        <f>IF($B24="","",IF(COUNTIF('Competency Event Log'!$U$4:$U$803,$B24&amp;"|"&amp;AA$5)=0,"",SUMIF('Competency Event Log'!$U$4:$U$803,$B24&amp;"|"&amp;AA$5,'Competency Event Log'!$D$4:$D$803)))</f>
        <v/>
      </c>
      <c r="AB24" s="8" t="str">
        <f>IF($B24="","",IF(COUNTIF('Competency Event Log'!$U$4:$U$803,$B24&amp;"|"&amp;AB$5)=0,"",SUMIF('Competency Event Log'!$U$4:$U$803,$B24&amp;"|"&amp;AB$5,'Competency Event Log'!$D$4:$D$803)))</f>
        <v/>
      </c>
      <c r="AC24" s="8" t="str">
        <f>IF($B24="","",IF(COUNTIF('Competency Event Log'!$U$4:$U$803,$B24&amp;"|"&amp;AC$5)=0,"",SUMIF('Competency Event Log'!$U$4:$U$803,$B24&amp;"|"&amp;AC$5,'Competency Event Log'!$D$4:$D$803)))</f>
        <v/>
      </c>
      <c r="AD24" s="8" t="str">
        <f>IF($B24="","",IF(COUNTIF('Competency Event Log'!$U$4:$U$803,$B24&amp;"|"&amp;AD$5)=0,"",SUMIF('Competency Event Log'!$U$4:$U$803,$B24&amp;"|"&amp;AD$5,'Competency Event Log'!$D$4:$D$803)))</f>
        <v/>
      </c>
      <c r="AE24" s="8" t="str">
        <f>IF($B24="","",IF(COUNTIF('Competency Event Log'!$U$4:$U$803,$B24&amp;"|"&amp;AE$5)=0,"",SUMIF('Competency Event Log'!$U$4:$U$803,$B24&amp;"|"&amp;AE$5,'Competency Event Log'!$D$4:$D$803)))</f>
        <v/>
      </c>
      <c r="AF24" s="8" t="str">
        <f>IF($B24="","",IF(COUNTIF('Competency Event Log'!$U$4:$U$803,$B24&amp;"|"&amp;AF$5)=0,"",SUMIF('Competency Event Log'!$U$4:$U$803,$B24&amp;"|"&amp;AF$5,'Competency Event Log'!$D$4:$D$803)))</f>
        <v/>
      </c>
      <c r="AG24" s="8" t="str">
        <f>IF($B24="","",IF(COUNTIF('Competency Event Log'!$U$4:$U$803,$B24&amp;"|"&amp;AG$5)=0,"",SUMIF('Competency Event Log'!$U$4:$U$803,$B24&amp;"|"&amp;AG$5,'Competency Event Log'!$D$4:$D$803)))</f>
        <v/>
      </c>
      <c r="AH24" s="8" t="str">
        <f>IF($B24="","",IF(COUNTIF('Competency Event Log'!$U$4:$U$803,$B24&amp;"|"&amp;AH$5)=0,"",SUMIF('Competency Event Log'!$U$4:$U$803,$B24&amp;"|"&amp;AH$5,'Competency Event Log'!$D$4:$D$803)))</f>
        <v/>
      </c>
      <c r="AI24" s="8" t="str">
        <f>IF($B24="","",IF(COUNTIF('Competency Event Log'!$U$4:$U$803,$B24&amp;"|"&amp;AI$5)=0,"",SUMIF('Competency Event Log'!$U$4:$U$803,$B24&amp;"|"&amp;AI$5,'Competency Event Log'!$D$4:$D$803)))</f>
        <v/>
      </c>
      <c r="AJ24" s="8" t="str">
        <f>IF($B24="","",IF(COUNTIF('Competency Event Log'!$U$4:$U$803,$B24&amp;"|"&amp;AJ$5)=0,"",SUMIF('Competency Event Log'!$U$4:$U$803,$B24&amp;"|"&amp;AJ$5,'Competency Event Log'!$D$4:$D$803)))</f>
        <v/>
      </c>
      <c r="AK24" s="8" t="str">
        <f>IF($B24="","",IF(COUNTIF('Competency Event Log'!$U$4:$U$803,$B24&amp;"|"&amp;AK$5)=0,"",SUMIF('Competency Event Log'!$U$4:$U$803,$B24&amp;"|"&amp;AK$5,'Competency Event Log'!$D$4:$D$803)))</f>
        <v/>
      </c>
      <c r="AL24" s="8">
        <f>IF($B24="","",IF(COUNTIF('Competency Event Log'!$U$4:$U$803,$B24&amp;"|"&amp;AL$5)=0,"",SUMIF('Competency Event Log'!$U$4:$U$803,$B24&amp;"|"&amp;AL$5,'Competency Event Log'!$D$4:$D$803)))</f>
        <v>3</v>
      </c>
      <c r="AM24" s="8" t="str">
        <f>IF($B24="","",IF(COUNTIF('Competency Event Log'!$U$4:$U$803,$B24&amp;"|"&amp;AM$5)=0,"",SUMIF('Competency Event Log'!$U$4:$U$803,$B24&amp;"|"&amp;AM$5,'Competency Event Log'!$D$4:$D$803)))</f>
        <v/>
      </c>
      <c r="AN24" s="8" t="str">
        <f>IF($B24="","",IF(COUNTIF('Competency Event Log'!$U$4:$U$803,$B24&amp;"|"&amp;AN$5)=0,"",SUMIF('Competency Event Log'!$U$4:$U$803,$B24&amp;"|"&amp;AN$5,'Competency Event Log'!$D$4:$D$803)))</f>
        <v/>
      </c>
      <c r="AO24" s="8" t="str">
        <f>IF($B24="","",IF(COUNTIF('Competency Event Log'!$U$4:$U$803,$B24&amp;"|"&amp;AO$5)=0,"",SUMIF('Competency Event Log'!$U$4:$U$803,$B24&amp;"|"&amp;AO$5,'Competency Event Log'!$D$4:$D$803)))</f>
        <v/>
      </c>
      <c r="AP24" s="8" t="str">
        <f>IF($B24="","",IF(COUNTIF('Competency Event Log'!$U$4:$U$803,$B24&amp;"|"&amp;AP$5)=0,"",SUMIF('Competency Event Log'!$U$4:$U$803,$B24&amp;"|"&amp;AP$5,'Competency Event Log'!$D$4:$D$803)))</f>
        <v/>
      </c>
      <c r="AQ24" s="8" t="str">
        <f>IF($B24="","",IF(COUNTIF('Competency Event Log'!$U$4:$U$803,$B24&amp;"|"&amp;AQ$5)=0,"",SUMIF('Competency Event Log'!$U$4:$U$803,$B24&amp;"|"&amp;AQ$5,'Competency Event Log'!$D$4:$D$803)))</f>
        <v/>
      </c>
      <c r="AR24" s="8" t="str">
        <f>IF($B24="","",IF(COUNTIF('Competency Event Log'!$U$4:$U$803,$B24&amp;"|"&amp;AR$5)=0,"",SUMIF('Competency Event Log'!$U$4:$U$803,$B24&amp;"|"&amp;AR$5,'Competency Event Log'!$D$4:$D$803)))</f>
        <v/>
      </c>
      <c r="AS24" s="8" t="str">
        <f>IF($B24="","",IF(COUNTIF('Competency Event Log'!$U$4:$U$803,$B24&amp;"|"&amp;AS$5)=0,"",SUMIF('Competency Event Log'!$U$4:$U$803,$B24&amp;"|"&amp;AS$5,'Competency Event Log'!$D$4:$D$803)))</f>
        <v/>
      </c>
      <c r="AT24" s="8">
        <f>IF($B24="","",IF(COUNTIF('Competency Event Log'!$U$4:$U$803,$B24&amp;"|"&amp;AT$5)=0,"",SUMIF('Competency Event Log'!$U$4:$U$803,$B24&amp;"|"&amp;AT$5,'Competency Event Log'!$D$4:$D$803)))</f>
        <v>2</v>
      </c>
      <c r="AU24" s="8">
        <f>IF($B24="","",IF(COUNTIF('Competency Event Log'!$U$4:$U$803,$B24&amp;"|"&amp;AU$5)=0,"",SUMIF('Competency Event Log'!$U$4:$U$803,$B24&amp;"|"&amp;AU$5,'Competency Event Log'!$D$4:$D$803)))</f>
        <v>1</v>
      </c>
      <c r="AV24" s="8">
        <f>IF($B24="","",IF(COUNTIF('Competency Event Log'!$U$4:$U$803,$B24&amp;"|"&amp;AV$5)=0,"",SUMIF('Competency Event Log'!$U$4:$U$803,$B24&amp;"|"&amp;AV$5,'Competency Event Log'!$D$4:$D$803)))</f>
        <v>2</v>
      </c>
      <c r="AW24" s="8">
        <f>IF($B24="","",IF(COUNTIF('Competency Event Log'!$U$4:$U$803,$B24&amp;"|"&amp;AW$5)=0,"",SUMIF('Competency Event Log'!$U$4:$U$803,$B24&amp;"|"&amp;AW$5,'Competency Event Log'!$D$4:$D$803)))</f>
        <v>3</v>
      </c>
      <c r="AX24" s="8" t="str">
        <f>IF($B24="","",IF(COUNTIF('Competency Event Log'!$U$4:$U$803,$B24&amp;"|"&amp;AX$5)=0,"",SUMIF('Competency Event Log'!$U$4:$U$803,$B24&amp;"|"&amp;AX$5,'Competency Event Log'!$D$4:$D$803)))</f>
        <v/>
      </c>
      <c r="AY24" s="8">
        <f>IF($B24="","",IF(COUNTIF('Competency Event Log'!$U$4:$U$803,$B24&amp;"|"&amp;AY$5)=0,"",SUMIF('Competency Event Log'!$U$4:$U$803,$B24&amp;"|"&amp;AY$5,'Competency Event Log'!$D$4:$D$803)))</f>
        <v>2</v>
      </c>
      <c r="AZ24" s="8" t="str">
        <f>IF($B24="","",IF(COUNTIF('Competency Event Log'!$U$4:$U$803,$B24&amp;"|"&amp;AZ$5)=0,"",SUMIF('Competency Event Log'!$U$4:$U$803,$B24&amp;"|"&amp;AZ$5,'Competency Event Log'!$D$4:$D$803)))</f>
        <v/>
      </c>
      <c r="BA24" s="8">
        <f>IF($B24="","",IF(COUNTIF('Competency Event Log'!$U$4:$U$803,$B24&amp;"|"&amp;BA$5)=0,"",SUMIF('Competency Event Log'!$U$4:$U$803,$B24&amp;"|"&amp;BA$5,'Competency Event Log'!$D$4:$D$803)))</f>
        <v>2</v>
      </c>
      <c r="BB24" s="8" t="str">
        <f>IF($B24="","",IF(COUNTIF('Competency Event Log'!$U$4:$U$803,$B24&amp;"|"&amp;BB$5)=0,"",SUMIF('Competency Event Log'!$U$4:$U$803,$B24&amp;"|"&amp;BB$5,'Competency Event Log'!$D$4:$D$803)))</f>
        <v/>
      </c>
      <c r="BC24" s="8" t="str">
        <f>IF($B24="","",IF(COUNTIF('Competency Event Log'!$U$4:$U$803,$B24&amp;"|"&amp;BC$5)=0,"",SUMIF('Competency Event Log'!$U$4:$U$803,$B24&amp;"|"&amp;BC$5,'Competency Event Log'!$D$4:$D$803)))</f>
        <v/>
      </c>
      <c r="BD24" s="8" t="str">
        <f>IF($B24="","",IF(COUNTIF('Competency Event Log'!$U$4:$U$803,$B24&amp;"|"&amp;BD$5)=0,"",SUMIF('Competency Event Log'!$U$4:$U$803,$B24&amp;"|"&amp;BD$5,'Competency Event Log'!$D$4:$D$803)))</f>
        <v/>
      </c>
      <c r="BE24" s="8" t="str">
        <f>IF($B24="","",IF(COUNTIF('Competency Event Log'!$U$4:$U$803,$B24&amp;"|"&amp;BE$5)=0,"",SUMIF('Competency Event Log'!$U$4:$U$803,$B24&amp;"|"&amp;BE$5,'Competency Event Log'!$D$4:$D$803)))</f>
        <v/>
      </c>
      <c r="BF24" s="8" t="str">
        <f>IF($B24="","",IF(COUNTIF('Competency Event Log'!$U$4:$U$803,$B24&amp;"|"&amp;BF$5)=0,"",SUMIF('Competency Event Log'!$U$4:$U$803,$B24&amp;"|"&amp;BF$5,'Competency Event Log'!$D$4:$D$803)))</f>
        <v/>
      </c>
      <c r="BG24" s="8" t="str">
        <f>IF($B24="","",IF(COUNTIF('Competency Event Log'!$U$4:$U$803,$B24&amp;"|"&amp;BG$5)=0,"",SUMIF('Competency Event Log'!$U$4:$U$803,$B24&amp;"|"&amp;BG$5,'Competency Event Log'!$D$4:$D$803)))</f>
        <v/>
      </c>
      <c r="BH24" s="8" t="str">
        <f>IF($B24="","",IF(COUNTIF('Competency Event Log'!$U$4:$U$803,$B24&amp;"|"&amp;BH$5)=0,"",SUMIF('Competency Event Log'!$U$4:$U$803,$B24&amp;"|"&amp;BH$5,'Competency Event Log'!$D$4:$D$803)))</f>
        <v/>
      </c>
      <c r="BI24" s="8" t="str">
        <f>IF($B24="","",IF(COUNTIF('Competency Event Log'!$U$4:$U$803,$B24&amp;"|"&amp;BI$5)=0,"",SUMIF('Competency Event Log'!$U$4:$U$803,$B24&amp;"|"&amp;BI$5,'Competency Event Log'!$D$4:$D$803)))</f>
        <v/>
      </c>
      <c r="BJ24" s="8" t="str">
        <f>IF($B24="","",IF(COUNTIF('Competency Event Log'!$U$4:$U$803,$B24&amp;"|"&amp;BJ$5)=0,"",SUMIF('Competency Event Log'!$U$4:$U$803,$B24&amp;"|"&amp;BJ$5,'Competency Event Log'!$D$4:$D$803)))</f>
        <v/>
      </c>
      <c r="BK24" s="8" t="str">
        <f>IF($B24="","",IF(COUNTIF('Competency Event Log'!$U$4:$U$803,$B24&amp;"|"&amp;BK$5)=0,"",SUMIF('Competency Event Log'!$U$4:$U$803,$B24&amp;"|"&amp;BK$5,'Competency Event Log'!$D$4:$D$803)))</f>
        <v/>
      </c>
      <c r="BL24" s="8" t="str">
        <f>IF($B24="","",IF(COUNTIF('Competency Event Log'!$U$4:$U$803,$B24&amp;"|"&amp;BL$5)=0,"",SUMIF('Competency Event Log'!$U$4:$U$803,$B24&amp;"|"&amp;BL$5,'Competency Event Log'!$D$4:$D$803)))</f>
        <v/>
      </c>
      <c r="BM24" s="8" t="str">
        <f>IF($B24="","",IF(COUNTIF('Competency Event Log'!$U$4:$U$803,$B24&amp;"|"&amp;BM$5)=0,"",SUMIF('Competency Event Log'!$U$4:$U$803,$B24&amp;"|"&amp;BM$5,'Competency Event Log'!$D$4:$D$803)))</f>
        <v/>
      </c>
      <c r="BN24" s="8" t="str">
        <f>IF($B24="","",IF(COUNTIF('Competency Event Log'!$U$4:$U$803,$B24&amp;"|"&amp;BN$5)=0,"",SUMIF('Competency Event Log'!$U$4:$U$803,$B24&amp;"|"&amp;BN$5,'Competency Event Log'!$D$4:$D$803)))</f>
        <v/>
      </c>
      <c r="BO24" s="8" t="str">
        <f>IF($B24="","",IF(COUNTIF('Competency Event Log'!$U$4:$U$803,$B24&amp;"|"&amp;BO$5)=0,"",SUMIF('Competency Event Log'!$U$4:$U$803,$B24&amp;"|"&amp;BO$5,'Competency Event Log'!$D$4:$D$803)))</f>
        <v/>
      </c>
      <c r="BP24" s="8" t="str">
        <f>IF($B24="","",IF(COUNTIF('Competency Event Log'!$U$4:$U$803,$B24&amp;"|"&amp;BP$5)=0,"",SUMIF('Competency Event Log'!$U$4:$U$803,$B24&amp;"|"&amp;BP$5,'Competency Event Log'!$D$4:$D$803)))</f>
        <v/>
      </c>
      <c r="BQ24" s="8" t="str">
        <f>IF($B24="","",IF(COUNTIF('Competency Event Log'!$U$4:$U$803,$B24&amp;"|"&amp;BQ$5)=0,"",SUMIF('Competency Event Log'!$U$4:$U$803,$B24&amp;"|"&amp;BQ$5,'Competency Event Log'!$D$4:$D$803)))</f>
        <v/>
      </c>
      <c r="BR24" s="8" t="str">
        <f>IF($B24="","",IF(COUNTIF('Competency Event Log'!$U$4:$U$803,$B24&amp;"|"&amp;BR$5)=0,"",SUMIF('Competency Event Log'!$U$4:$U$803,$B24&amp;"|"&amp;BR$5,'Competency Event Log'!$D$4:$D$803)))</f>
        <v/>
      </c>
      <c r="BS24" s="8" t="str">
        <f>IF($B24="","",IF(COUNTIF('Competency Event Log'!$U$4:$U$803,$B24&amp;"|"&amp;BS$5)=0,"",SUMIF('Competency Event Log'!$U$4:$U$803,$B24&amp;"|"&amp;BS$5,'Competency Event Log'!$D$4:$D$803)))</f>
        <v/>
      </c>
      <c r="BT24" s="8" t="str">
        <f>IF($B24="","",IF(COUNTIF('Competency Event Log'!$U$4:$U$803,$B24&amp;"|"&amp;BT$5)=0,"",SUMIF('Competency Event Log'!$U$4:$U$803,$B24&amp;"|"&amp;BT$5,'Competency Event Log'!$D$4:$D$803)))</f>
        <v/>
      </c>
      <c r="BU24" s="8" t="str">
        <f>IF($B24="","",IF(COUNTIF('Competency Event Log'!$U$4:$U$803,$B24&amp;"|"&amp;BU$5)=0,"",SUMIF('Competency Event Log'!$U$4:$U$803,$B24&amp;"|"&amp;BU$5,'Competency Event Log'!$D$4:$D$803)))</f>
        <v/>
      </c>
      <c r="BV24" s="8" t="str">
        <f>IF($B24="","",IF(COUNTIF('Competency Event Log'!$U$4:$U$803,$B24&amp;"|"&amp;BV$5)=0,"",SUMIF('Competency Event Log'!$U$4:$U$803,$B24&amp;"|"&amp;BV$5,'Competency Event Log'!$D$4:$D$803)))</f>
        <v/>
      </c>
      <c r="BW24" s="8" t="str">
        <f>IF($B24="","",IF(COUNTIF('Competency Event Log'!$U$4:$U$803,$B24&amp;"|"&amp;BW$5)=0,"",SUMIF('Competency Event Log'!$U$4:$U$803,$B24&amp;"|"&amp;BW$5,'Competency Event Log'!$D$4:$D$803)))</f>
        <v/>
      </c>
      <c r="BX24" s="8" t="str">
        <f>IF($B24="","",IF(COUNTIF('Competency Event Log'!$U$4:$U$803,$B24&amp;"|"&amp;BX$5)=0,"",SUMIF('Competency Event Log'!$U$4:$U$803,$B24&amp;"|"&amp;BX$5,'Competency Event Log'!$D$4:$D$803)))</f>
        <v/>
      </c>
      <c r="BY24" s="8" t="str">
        <f>IF($B24="","",IF(COUNTIF('Competency Event Log'!$U$4:$U$803,$B24&amp;"|"&amp;BY$5)=0,"",SUMIF('Competency Event Log'!$U$4:$U$803,$B24&amp;"|"&amp;BY$5,'Competency Event Log'!$D$4:$D$803)))</f>
        <v/>
      </c>
      <c r="BZ24" s="8" t="str">
        <f>IF($B24="","",IF(COUNTIF('Competency Event Log'!$U$4:$U$803,$B24&amp;"|"&amp;BZ$5)=0,"",SUMIF('Competency Event Log'!$U$4:$U$803,$B24&amp;"|"&amp;BZ$5,'Competency Event Log'!$D$4:$D$803)))</f>
        <v/>
      </c>
      <c r="CA24" s="8" t="str">
        <f>IF($B24="","",IF(COUNTIF('Competency Event Log'!$U$4:$U$803,$B24&amp;"|"&amp;CA$5)=0,"",SUMIF('Competency Event Log'!$U$4:$U$803,$B24&amp;"|"&amp;CA$5,'Competency Event Log'!$D$4:$D$803)))</f>
        <v/>
      </c>
      <c r="CB24" s="8" t="str">
        <f>IF($B24="","",IF(COUNTIF('Competency Event Log'!$U$4:$U$803,$B24&amp;"|"&amp;CB$5)=0,"",SUMIF('Competency Event Log'!$U$4:$U$803,$B24&amp;"|"&amp;CB$5,'Competency Event Log'!$D$4:$D$803)))</f>
        <v/>
      </c>
      <c r="CC24" s="8" t="str">
        <f>IF($B24="","",IF(COUNTIF('Competency Event Log'!$U$4:$U$803,$B24&amp;"|"&amp;CC$5)=0,"",SUMIF('Competency Event Log'!$U$4:$U$803,$B24&amp;"|"&amp;CC$5,'Competency Event Log'!$D$4:$D$803)))</f>
        <v/>
      </c>
      <c r="CD24" s="8" t="str">
        <f>IF($B24="","",IF(COUNTIF('Competency Event Log'!$U$4:$U$803,$B24&amp;"|"&amp;CD$5)=0,"",SUMIF('Competency Event Log'!$U$4:$U$803,$B24&amp;"|"&amp;CD$5,'Competency Event Log'!$D$4:$D$803)))</f>
        <v/>
      </c>
      <c r="CE24" s="8" t="str">
        <f>IF($B24="","",IF(COUNTIF('Competency Event Log'!$U$4:$U$803,$B24&amp;"|"&amp;CE$5)=0,"",SUMIF('Competency Event Log'!$U$4:$U$803,$B24&amp;"|"&amp;CE$5,'Competency Event Log'!$D$4:$D$803)))</f>
        <v/>
      </c>
      <c r="CF24" s="8" t="str">
        <f>IF($B24="","",IF(COUNTIF('Competency Event Log'!$U$4:$U$803,$B24&amp;"|"&amp;CF$5)=0,"",SUMIF('Competency Event Log'!$U$4:$U$803,$B24&amp;"|"&amp;CF$5,'Competency Event Log'!$D$4:$D$803)))</f>
        <v/>
      </c>
      <c r="CG24" s="8" t="str">
        <f>IF($B24="","",IF(COUNTIF('Competency Event Log'!$U$4:$U$803,$B24&amp;"|"&amp;CG$5)=0,"",SUMIF('Competency Event Log'!$U$4:$U$803,$B24&amp;"|"&amp;CG$5,'Competency Event Log'!$D$4:$D$803)))</f>
        <v/>
      </c>
      <c r="CH24" s="8" t="str">
        <f>IF($B24="","",IF(COUNTIF('Competency Event Log'!$U$4:$U$803,$B24&amp;"|"&amp;CH$5)=0,"",SUMIF('Competency Event Log'!$U$4:$U$803,$B24&amp;"|"&amp;CH$5,'Competency Event Log'!$D$4:$D$803)))</f>
        <v/>
      </c>
      <c r="CI24" s="8" t="str">
        <f>IF($B24="","",IF(COUNTIF('Competency Event Log'!$U$4:$U$803,$B24&amp;"|"&amp;CI$5)=0,"",SUMIF('Competency Event Log'!$U$4:$U$803,$B24&amp;"|"&amp;CI$5,'Competency Event Log'!$D$4:$D$803)))</f>
        <v/>
      </c>
      <c r="CJ24" s="8" t="str">
        <f>IF($B24="","",IF(COUNTIF('Competency Event Log'!$U$4:$U$803,$B24&amp;"|"&amp;CJ$5)=0,"",SUMIF('Competency Event Log'!$U$4:$U$803,$B24&amp;"|"&amp;CJ$5,'Competency Event Log'!$D$4:$D$803)))</f>
        <v/>
      </c>
      <c r="CK24" s="8" t="str">
        <f>IF($B24="","",IF(COUNTIF('Competency Event Log'!$U$4:$U$803,$B24&amp;"|"&amp;CK$5)=0,"",SUMIF('Competency Event Log'!$U$4:$U$803,$B24&amp;"|"&amp;CK$5,'Competency Event Log'!$D$4:$D$803)))</f>
        <v/>
      </c>
      <c r="CL24" s="8" t="str">
        <f>IF($B24="","",IF(COUNTIF('Competency Event Log'!$U$4:$U$803,$B24&amp;"|"&amp;CL$5)=0,"",SUMIF('Competency Event Log'!$U$4:$U$803,$B24&amp;"|"&amp;CL$5,'Competency Event Log'!$D$4:$D$803)))</f>
        <v/>
      </c>
      <c r="CM24" s="8" t="str">
        <f>IF($B24="","",IF(COUNTIF('Competency Event Log'!$U$4:$U$803,$B24&amp;"|"&amp;CM$5)=0,"",SUMIF('Competency Event Log'!$U$4:$U$803,$B24&amp;"|"&amp;CM$5,'Competency Event Log'!$D$4:$D$803)))</f>
        <v/>
      </c>
      <c r="CN24" s="8" t="str">
        <f>IF($B24="","",IF(COUNTIF('Competency Event Log'!$U$4:$U$803,$B24&amp;"|"&amp;CN$5)=0,"",SUMIF('Competency Event Log'!$U$4:$U$803,$B24&amp;"|"&amp;CN$5,'Competency Event Log'!$D$4:$D$803)))</f>
        <v/>
      </c>
      <c r="CO24" s="8" t="str">
        <f>IF($B24="","",IF(COUNTIF('Competency Event Log'!$U$4:$U$803,$B24&amp;"|"&amp;CO$5)=0,"",SUMIF('Competency Event Log'!$U$4:$U$803,$B24&amp;"|"&amp;CO$5,'Competency Event Log'!$D$4:$D$803)))</f>
        <v/>
      </c>
      <c r="CP24" s="8" t="str">
        <f>IF($B24="","",IF(COUNTIF('Competency Event Log'!$U$4:$U$803,$B24&amp;"|"&amp;CP$5)=0,"",SUMIF('Competency Event Log'!$U$4:$U$803,$B24&amp;"|"&amp;CP$5,'Competency Event Log'!$D$4:$D$803)))</f>
        <v/>
      </c>
      <c r="CQ24" s="8" t="str">
        <f>IF($B24="","",IF(COUNTIF('Competency Event Log'!$U$4:$U$803,$B24&amp;"|"&amp;CQ$5)=0,"",SUMIF('Competency Event Log'!$U$4:$U$803,$B24&amp;"|"&amp;CQ$5,'Competency Event Log'!$D$4:$D$803)))</f>
        <v/>
      </c>
      <c r="CR24" s="8" t="str">
        <f>IF($B24="","",IF(COUNTIF('Competency Event Log'!$U$4:$U$803,$B24&amp;"|"&amp;CR$5)=0,"",SUMIF('Competency Event Log'!$U$4:$U$803,$B24&amp;"|"&amp;CR$5,'Competency Event Log'!$D$4:$D$803)))</f>
        <v/>
      </c>
      <c r="CS24" s="8" t="str">
        <f>IF($B24="","",IF(COUNTIF('Competency Event Log'!$U$4:$U$803,$B24&amp;"|"&amp;CS$5)=0,"",SUMIF('Competency Event Log'!$U$4:$U$803,$B24&amp;"|"&amp;CS$5,'Competency Event Log'!$D$4:$D$803)))</f>
        <v/>
      </c>
      <c r="CT24" s="8" t="str">
        <f>IF($B24="","",IF(COUNTIF('Competency Event Log'!$U$4:$U$803,$B24&amp;"|"&amp;CT$5)=0,"",SUMIF('Competency Event Log'!$U$4:$U$803,$B24&amp;"|"&amp;CT$5,'Competency Event Log'!$D$4:$D$803)))</f>
        <v/>
      </c>
      <c r="CU24" s="8" t="str">
        <f>IF($B24="","",IF(COUNTIF('Competency Event Log'!$U$4:$U$803,$B24&amp;"|"&amp;CU$5)=0,"",SUMIF('Competency Event Log'!$U$4:$U$803,$B24&amp;"|"&amp;CU$5,'Competency Event Log'!$D$4:$D$803)))</f>
        <v/>
      </c>
      <c r="CV24" s="8" t="str">
        <f>IF($B24="","",IF(COUNTIF('Competency Event Log'!$U$4:$U$803,$B24&amp;"|"&amp;CV$5)=0,"",SUMIF('Competency Event Log'!$U$4:$U$803,$B24&amp;"|"&amp;CV$5,'Competency Event Log'!$D$4:$D$803)))</f>
        <v/>
      </c>
      <c r="CW24" s="8" t="str">
        <f>IF($B24="","",IF(COUNTIF('Competency Event Log'!$U$4:$U$803,$B24&amp;"|"&amp;CW$5)=0,"",SUMIF('Competency Event Log'!$U$4:$U$803,$B24&amp;"|"&amp;CW$5,'Competency Event Log'!$D$4:$D$803)))</f>
        <v/>
      </c>
      <c r="CX24" s="8" t="str">
        <f>IF($B24="","",IF(COUNTIF('Competency Event Log'!$U$4:$U$803,$B24&amp;"|"&amp;CX$5)=0,"",SUMIF('Competency Event Log'!$U$4:$U$803,$B24&amp;"|"&amp;CX$5,'Competency Event Log'!$D$4:$D$803)))</f>
        <v/>
      </c>
      <c r="CY24" s="8" t="str">
        <f>IF($B24="","",IF(COUNTIF('Competency Event Log'!$U$4:$U$803,$B24&amp;"|"&amp;CY$5)=0,"",SUMIF('Competency Event Log'!$U$4:$U$803,$B24&amp;"|"&amp;CY$5,'Competency Event Log'!$D$4:$D$803)))</f>
        <v/>
      </c>
      <c r="CZ24" s="8" t="str">
        <f>IF($B24="","",IF(COUNTIF('Competency Event Log'!$U$4:$U$803,$B24&amp;"|"&amp;CZ$5)=0,"",SUMIF('Competency Event Log'!$U$4:$U$803,$B24&amp;"|"&amp;CZ$5,'Competency Event Log'!$D$4:$D$803)))</f>
        <v/>
      </c>
      <c r="DA24" s="8" t="str">
        <f>IF($B24="","",IF(COUNTIF('Competency Event Log'!$U$4:$U$803,$B24&amp;"|"&amp;DA$5)=0,"",SUMIF('Competency Event Log'!$U$4:$U$803,$B24&amp;"|"&amp;DA$5,'Competency Event Log'!$D$4:$D$803)))</f>
        <v/>
      </c>
      <c r="DB24" s="8" t="str">
        <f>IF($B24="","",IF(COUNTIF('Competency Event Log'!$U$4:$U$803,$B24&amp;"|"&amp;DB$5)=0,"",SUMIF('Competency Event Log'!$U$4:$U$803,$B24&amp;"|"&amp;DB$5,'Competency Event Log'!$D$4:$D$803)))</f>
        <v/>
      </c>
      <c r="DC24" s="8" t="str">
        <f>IF($B24="","",IF(COUNTIF('Competency Event Log'!$U$4:$U$803,$B24&amp;"|"&amp;DC$5)=0,"",SUMIF('Competency Event Log'!$U$4:$U$803,$B24&amp;"|"&amp;DC$5,'Competency Event Log'!$D$4:$D$803)))</f>
        <v/>
      </c>
      <c r="DD24" s="8">
        <f>IF($B24="","",IF(COUNTIF('Competency Event Log'!$U$4:$U$803,$B24&amp;"|"&amp;DD$5)=0,"",SUMIF('Competency Event Log'!$U$4:$U$803,$B24&amp;"|"&amp;DD$5,'Competency Event Log'!$D$4:$D$803)))</f>
        <v>3</v>
      </c>
      <c r="DE24" s="8" t="str">
        <f>IF($B24="","",IF(COUNTIF('Competency Event Log'!$U$4:$U$803,$B24&amp;"|"&amp;DE$5)=0,"",SUMIF('Competency Event Log'!$U$4:$U$803,$B24&amp;"|"&amp;DE$5,'Competency Event Log'!$D$4:$D$803)))</f>
        <v/>
      </c>
      <c r="DF24" s="8">
        <f t="shared" si="0"/>
        <v>19</v>
      </c>
      <c r="DG24" s="8">
        <f t="shared" si="1"/>
        <v>9</v>
      </c>
      <c r="DH24" s="8">
        <f t="shared" si="2"/>
        <v>3</v>
      </c>
      <c r="DI24" s="11">
        <f t="shared" si="3"/>
        <v>0.75</v>
      </c>
    </row>
    <row r="25" spans="1:113">
      <c r="A25" s="7" t="s">
        <v>307</v>
      </c>
      <c r="B25" s="7" t="s">
        <v>100</v>
      </c>
      <c r="C25" s="8">
        <v>2</v>
      </c>
      <c r="D25" s="9" t="s">
        <v>845</v>
      </c>
      <c r="E25" s="10">
        <v>43154</v>
      </c>
      <c r="F25" s="8" t="s">
        <v>812</v>
      </c>
      <c r="G25" s="8" t="str">
        <f>IF($B25="","",IF(COUNTIF('Competency Event Log'!$U$4:$U$803,$B25&amp;"|"&amp;G$5)=0,"",SUMIF('Competency Event Log'!$U$4:$U$803,$B25&amp;"|"&amp;G$5,'Competency Event Log'!$D$4:$D$803)))</f>
        <v/>
      </c>
      <c r="H25" s="8" t="str">
        <f>IF($B25="","",IF(COUNTIF('Competency Event Log'!$U$4:$U$803,$B25&amp;"|"&amp;H$5)=0,"",SUMIF('Competency Event Log'!$U$4:$U$803,$B25&amp;"|"&amp;H$5,'Competency Event Log'!$D$4:$D$803)))</f>
        <v/>
      </c>
      <c r="I25" s="8" t="str">
        <f>IF($B25="","",IF(COUNTIF('Competency Event Log'!$U$4:$U$803,$B25&amp;"|"&amp;I$5)=0,"",SUMIF('Competency Event Log'!$U$4:$U$803,$B25&amp;"|"&amp;I$5,'Competency Event Log'!$D$4:$D$803)))</f>
        <v/>
      </c>
      <c r="J25" s="8" t="str">
        <f>IF($B25="","",IF(COUNTIF('Competency Event Log'!$U$4:$U$803,$B25&amp;"|"&amp;J$5)=0,"",SUMIF('Competency Event Log'!$U$4:$U$803,$B25&amp;"|"&amp;J$5,'Competency Event Log'!$D$4:$D$803)))</f>
        <v/>
      </c>
      <c r="K25" s="8" t="str">
        <f>IF($B25="","",IF(COUNTIF('Competency Event Log'!$U$4:$U$803,$B25&amp;"|"&amp;K$5)=0,"",SUMIF('Competency Event Log'!$U$4:$U$803,$B25&amp;"|"&amp;K$5,'Competency Event Log'!$D$4:$D$803)))</f>
        <v/>
      </c>
      <c r="L25" s="8" t="str">
        <f>IF($B25="","",IF(COUNTIF('Competency Event Log'!$U$4:$U$803,$B25&amp;"|"&amp;L$5)=0,"",SUMIF('Competency Event Log'!$U$4:$U$803,$B25&amp;"|"&amp;L$5,'Competency Event Log'!$D$4:$D$803)))</f>
        <v/>
      </c>
      <c r="M25" s="8" t="str">
        <f>IF($B25="","",IF(COUNTIF('Competency Event Log'!$U$4:$U$803,$B25&amp;"|"&amp;M$5)=0,"",SUMIF('Competency Event Log'!$U$4:$U$803,$B25&amp;"|"&amp;M$5,'Competency Event Log'!$D$4:$D$803)))</f>
        <v/>
      </c>
      <c r="N25" s="8" t="str">
        <f>IF($B25="","",IF(COUNTIF('Competency Event Log'!$U$4:$U$803,$B25&amp;"|"&amp;N$5)=0,"",SUMIF('Competency Event Log'!$U$4:$U$803,$B25&amp;"|"&amp;N$5,'Competency Event Log'!$D$4:$D$803)))</f>
        <v/>
      </c>
      <c r="O25" s="8" t="str">
        <f>IF($B25="","",IF(COUNTIF('Competency Event Log'!$U$4:$U$803,$B25&amp;"|"&amp;O$5)=0,"",SUMIF('Competency Event Log'!$U$4:$U$803,$B25&amp;"|"&amp;O$5,'Competency Event Log'!$D$4:$D$803)))</f>
        <v/>
      </c>
      <c r="P25" s="8" t="str">
        <f>IF($B25="","",IF(COUNTIF('Competency Event Log'!$U$4:$U$803,$B25&amp;"|"&amp;P$5)=0,"",SUMIF('Competency Event Log'!$U$4:$U$803,$B25&amp;"|"&amp;P$5,'Competency Event Log'!$D$4:$D$803)))</f>
        <v/>
      </c>
      <c r="Q25" s="8" t="str">
        <f>IF($B25="","",IF(COUNTIF('Competency Event Log'!$U$4:$U$803,$B25&amp;"|"&amp;Q$5)=0,"",SUMIF('Competency Event Log'!$U$4:$U$803,$B25&amp;"|"&amp;Q$5,'Competency Event Log'!$D$4:$D$803)))</f>
        <v/>
      </c>
      <c r="R25" s="8" t="str">
        <f>IF($B25="","",IF(COUNTIF('Competency Event Log'!$U$4:$U$803,$B25&amp;"|"&amp;R$5)=0,"",SUMIF('Competency Event Log'!$U$4:$U$803,$B25&amp;"|"&amp;R$5,'Competency Event Log'!$D$4:$D$803)))</f>
        <v/>
      </c>
      <c r="S25" s="8" t="str">
        <f>IF($B25="","",IF(COUNTIF('Competency Event Log'!$U$4:$U$803,$B25&amp;"|"&amp;S$5)=0,"",SUMIF('Competency Event Log'!$U$4:$U$803,$B25&amp;"|"&amp;S$5,'Competency Event Log'!$D$4:$D$803)))</f>
        <v/>
      </c>
      <c r="T25" s="8" t="str">
        <f>IF($B25="","",IF(COUNTIF('Competency Event Log'!$U$4:$U$803,$B25&amp;"|"&amp;T$5)=0,"",SUMIF('Competency Event Log'!$U$4:$U$803,$B25&amp;"|"&amp;T$5,'Competency Event Log'!$D$4:$D$803)))</f>
        <v/>
      </c>
      <c r="U25" s="8" t="str">
        <f>IF($B25="","",IF(COUNTIF('Competency Event Log'!$U$4:$U$803,$B25&amp;"|"&amp;U$5)=0,"",SUMIF('Competency Event Log'!$U$4:$U$803,$B25&amp;"|"&amp;U$5,'Competency Event Log'!$D$4:$D$803)))</f>
        <v/>
      </c>
      <c r="V25" s="8" t="str">
        <f>IF($B25="","",IF(COUNTIF('Competency Event Log'!$U$4:$U$803,$B25&amp;"|"&amp;V$5)=0,"",SUMIF('Competency Event Log'!$U$4:$U$803,$B25&amp;"|"&amp;V$5,'Competency Event Log'!$D$4:$D$803)))</f>
        <v/>
      </c>
      <c r="W25" s="8" t="str">
        <f>IF($B25="","",IF(COUNTIF('Competency Event Log'!$U$4:$U$803,$B25&amp;"|"&amp;W$5)=0,"",SUMIF('Competency Event Log'!$U$4:$U$803,$B25&amp;"|"&amp;W$5,'Competency Event Log'!$D$4:$D$803)))</f>
        <v/>
      </c>
      <c r="X25" s="8" t="str">
        <f>IF($B25="","",IF(COUNTIF('Competency Event Log'!$U$4:$U$803,$B25&amp;"|"&amp;X$5)=0,"",SUMIF('Competency Event Log'!$U$4:$U$803,$B25&amp;"|"&amp;X$5,'Competency Event Log'!$D$4:$D$803)))</f>
        <v/>
      </c>
      <c r="Y25" s="8" t="str">
        <f>IF($B25="","",IF(COUNTIF('Competency Event Log'!$U$4:$U$803,$B25&amp;"|"&amp;Y$5)=0,"",SUMIF('Competency Event Log'!$U$4:$U$803,$B25&amp;"|"&amp;Y$5,'Competency Event Log'!$D$4:$D$803)))</f>
        <v/>
      </c>
      <c r="Z25" s="8" t="str">
        <f>IF($B25="","",IF(COUNTIF('Competency Event Log'!$U$4:$U$803,$B25&amp;"|"&amp;Z$5)=0,"",SUMIF('Competency Event Log'!$U$4:$U$803,$B25&amp;"|"&amp;Z$5,'Competency Event Log'!$D$4:$D$803)))</f>
        <v/>
      </c>
      <c r="AA25" s="8" t="str">
        <f>IF($B25="","",IF(COUNTIF('Competency Event Log'!$U$4:$U$803,$B25&amp;"|"&amp;AA$5)=0,"",SUMIF('Competency Event Log'!$U$4:$U$803,$B25&amp;"|"&amp;AA$5,'Competency Event Log'!$D$4:$D$803)))</f>
        <v/>
      </c>
      <c r="AB25" s="8" t="str">
        <f>IF($B25="","",IF(COUNTIF('Competency Event Log'!$U$4:$U$803,$B25&amp;"|"&amp;AB$5)=0,"",SUMIF('Competency Event Log'!$U$4:$U$803,$B25&amp;"|"&amp;AB$5,'Competency Event Log'!$D$4:$D$803)))</f>
        <v/>
      </c>
      <c r="AC25" s="8" t="str">
        <f>IF($B25="","",IF(COUNTIF('Competency Event Log'!$U$4:$U$803,$B25&amp;"|"&amp;AC$5)=0,"",SUMIF('Competency Event Log'!$U$4:$U$803,$B25&amp;"|"&amp;AC$5,'Competency Event Log'!$D$4:$D$803)))</f>
        <v/>
      </c>
      <c r="AD25" s="8" t="str">
        <f>IF($B25="","",IF(COUNTIF('Competency Event Log'!$U$4:$U$803,$B25&amp;"|"&amp;AD$5)=0,"",SUMIF('Competency Event Log'!$U$4:$U$803,$B25&amp;"|"&amp;AD$5,'Competency Event Log'!$D$4:$D$803)))</f>
        <v/>
      </c>
      <c r="AE25" s="8" t="str">
        <f>IF($B25="","",IF(COUNTIF('Competency Event Log'!$U$4:$U$803,$B25&amp;"|"&amp;AE$5)=0,"",SUMIF('Competency Event Log'!$U$4:$U$803,$B25&amp;"|"&amp;AE$5,'Competency Event Log'!$D$4:$D$803)))</f>
        <v/>
      </c>
      <c r="AF25" s="8" t="str">
        <f>IF($B25="","",IF(COUNTIF('Competency Event Log'!$U$4:$U$803,$B25&amp;"|"&amp;AF$5)=0,"",SUMIF('Competency Event Log'!$U$4:$U$803,$B25&amp;"|"&amp;AF$5,'Competency Event Log'!$D$4:$D$803)))</f>
        <v/>
      </c>
      <c r="AG25" s="8" t="str">
        <f>IF($B25="","",IF(COUNTIF('Competency Event Log'!$U$4:$U$803,$B25&amp;"|"&amp;AG$5)=0,"",SUMIF('Competency Event Log'!$U$4:$U$803,$B25&amp;"|"&amp;AG$5,'Competency Event Log'!$D$4:$D$803)))</f>
        <v/>
      </c>
      <c r="AH25" s="8" t="str">
        <f>IF($B25="","",IF(COUNTIF('Competency Event Log'!$U$4:$U$803,$B25&amp;"|"&amp;AH$5)=0,"",SUMIF('Competency Event Log'!$U$4:$U$803,$B25&amp;"|"&amp;AH$5,'Competency Event Log'!$D$4:$D$803)))</f>
        <v/>
      </c>
      <c r="AI25" s="8" t="str">
        <f>IF($B25="","",IF(COUNTIF('Competency Event Log'!$U$4:$U$803,$B25&amp;"|"&amp;AI$5)=0,"",SUMIF('Competency Event Log'!$U$4:$U$803,$B25&amp;"|"&amp;AI$5,'Competency Event Log'!$D$4:$D$803)))</f>
        <v/>
      </c>
      <c r="AJ25" s="8" t="str">
        <f>IF($B25="","",IF(COUNTIF('Competency Event Log'!$U$4:$U$803,$B25&amp;"|"&amp;AJ$5)=0,"",SUMIF('Competency Event Log'!$U$4:$U$803,$B25&amp;"|"&amp;AJ$5,'Competency Event Log'!$D$4:$D$803)))</f>
        <v/>
      </c>
      <c r="AK25" s="8">
        <f>IF($B25="","",IF(COUNTIF('Competency Event Log'!$U$4:$U$803,$B25&amp;"|"&amp;AK$5)=0,"",SUMIF('Competency Event Log'!$U$4:$U$803,$B25&amp;"|"&amp;AK$5,'Competency Event Log'!$D$4:$D$803)))</f>
        <v>1</v>
      </c>
      <c r="AL25" s="8">
        <f>IF($B25="","",IF(COUNTIF('Competency Event Log'!$U$4:$U$803,$B25&amp;"|"&amp;AL$5)=0,"",SUMIF('Competency Event Log'!$U$4:$U$803,$B25&amp;"|"&amp;AL$5,'Competency Event Log'!$D$4:$D$803)))</f>
        <v>2</v>
      </c>
      <c r="AM25" s="8" t="str">
        <f>IF($B25="","",IF(COUNTIF('Competency Event Log'!$U$4:$U$803,$B25&amp;"|"&amp;AM$5)=0,"",SUMIF('Competency Event Log'!$U$4:$U$803,$B25&amp;"|"&amp;AM$5,'Competency Event Log'!$D$4:$D$803)))</f>
        <v/>
      </c>
      <c r="AN25" s="8" t="str">
        <f>IF($B25="","",IF(COUNTIF('Competency Event Log'!$U$4:$U$803,$B25&amp;"|"&amp;AN$5)=0,"",SUMIF('Competency Event Log'!$U$4:$U$803,$B25&amp;"|"&amp;AN$5,'Competency Event Log'!$D$4:$D$803)))</f>
        <v/>
      </c>
      <c r="AO25" s="8" t="str">
        <f>IF($B25="","",IF(COUNTIF('Competency Event Log'!$U$4:$U$803,$B25&amp;"|"&amp;AO$5)=0,"",SUMIF('Competency Event Log'!$U$4:$U$803,$B25&amp;"|"&amp;AO$5,'Competency Event Log'!$D$4:$D$803)))</f>
        <v/>
      </c>
      <c r="AP25" s="8" t="str">
        <f>IF($B25="","",IF(COUNTIF('Competency Event Log'!$U$4:$U$803,$B25&amp;"|"&amp;AP$5)=0,"",SUMIF('Competency Event Log'!$U$4:$U$803,$B25&amp;"|"&amp;AP$5,'Competency Event Log'!$D$4:$D$803)))</f>
        <v/>
      </c>
      <c r="AQ25" s="8" t="str">
        <f>IF($B25="","",IF(COUNTIF('Competency Event Log'!$U$4:$U$803,$B25&amp;"|"&amp;AQ$5)=0,"",SUMIF('Competency Event Log'!$U$4:$U$803,$B25&amp;"|"&amp;AQ$5,'Competency Event Log'!$D$4:$D$803)))</f>
        <v/>
      </c>
      <c r="AR25" s="8" t="str">
        <f>IF($B25="","",IF(COUNTIF('Competency Event Log'!$U$4:$U$803,$B25&amp;"|"&amp;AR$5)=0,"",SUMIF('Competency Event Log'!$U$4:$U$803,$B25&amp;"|"&amp;AR$5,'Competency Event Log'!$D$4:$D$803)))</f>
        <v/>
      </c>
      <c r="AS25" s="8" t="str">
        <f>IF($B25="","",IF(COUNTIF('Competency Event Log'!$U$4:$U$803,$B25&amp;"|"&amp;AS$5)=0,"",SUMIF('Competency Event Log'!$U$4:$U$803,$B25&amp;"|"&amp;AS$5,'Competency Event Log'!$D$4:$D$803)))</f>
        <v/>
      </c>
      <c r="AT25" s="8" t="str">
        <f>IF($B25="","",IF(COUNTIF('Competency Event Log'!$U$4:$U$803,$B25&amp;"|"&amp;AT$5)=0,"",SUMIF('Competency Event Log'!$U$4:$U$803,$B25&amp;"|"&amp;AT$5,'Competency Event Log'!$D$4:$D$803)))</f>
        <v/>
      </c>
      <c r="AU25" s="8">
        <f>IF($B25="","",IF(COUNTIF('Competency Event Log'!$U$4:$U$803,$B25&amp;"|"&amp;AU$5)=0,"",SUMIF('Competency Event Log'!$U$4:$U$803,$B25&amp;"|"&amp;AU$5,'Competency Event Log'!$D$4:$D$803)))</f>
        <v>3</v>
      </c>
      <c r="AV25" s="8">
        <f>IF($B25="","",IF(COUNTIF('Competency Event Log'!$U$4:$U$803,$B25&amp;"|"&amp;AV$5)=0,"",SUMIF('Competency Event Log'!$U$4:$U$803,$B25&amp;"|"&amp;AV$5,'Competency Event Log'!$D$4:$D$803)))</f>
        <v>1</v>
      </c>
      <c r="AW25" s="8" t="str">
        <f>IF($B25="","",IF(COUNTIF('Competency Event Log'!$U$4:$U$803,$B25&amp;"|"&amp;AW$5)=0,"",SUMIF('Competency Event Log'!$U$4:$U$803,$B25&amp;"|"&amp;AW$5,'Competency Event Log'!$D$4:$D$803)))</f>
        <v/>
      </c>
      <c r="AX25" s="8">
        <f>IF($B25="","",IF(COUNTIF('Competency Event Log'!$U$4:$U$803,$B25&amp;"|"&amp;AX$5)=0,"",SUMIF('Competency Event Log'!$U$4:$U$803,$B25&amp;"|"&amp;AX$5,'Competency Event Log'!$D$4:$D$803)))</f>
        <v>3</v>
      </c>
      <c r="AY25" s="8" t="str">
        <f>IF($B25="","",IF(COUNTIF('Competency Event Log'!$U$4:$U$803,$B25&amp;"|"&amp;AY$5)=0,"",SUMIF('Competency Event Log'!$U$4:$U$803,$B25&amp;"|"&amp;AY$5,'Competency Event Log'!$D$4:$D$803)))</f>
        <v/>
      </c>
      <c r="AZ25" s="8" t="str">
        <f>IF($B25="","",IF(COUNTIF('Competency Event Log'!$U$4:$U$803,$B25&amp;"|"&amp;AZ$5)=0,"",SUMIF('Competency Event Log'!$U$4:$U$803,$B25&amp;"|"&amp;AZ$5,'Competency Event Log'!$D$4:$D$803)))</f>
        <v/>
      </c>
      <c r="BA25" s="8">
        <f>IF($B25="","",IF(COUNTIF('Competency Event Log'!$U$4:$U$803,$B25&amp;"|"&amp;BA$5)=0,"",SUMIF('Competency Event Log'!$U$4:$U$803,$B25&amp;"|"&amp;BA$5,'Competency Event Log'!$D$4:$D$803)))</f>
        <v>3</v>
      </c>
      <c r="BB25" s="8" t="str">
        <f>IF($B25="","",IF(COUNTIF('Competency Event Log'!$U$4:$U$803,$B25&amp;"|"&amp;BB$5)=0,"",SUMIF('Competency Event Log'!$U$4:$U$803,$B25&amp;"|"&amp;BB$5,'Competency Event Log'!$D$4:$D$803)))</f>
        <v/>
      </c>
      <c r="BC25" s="8" t="str">
        <f>IF($B25="","",IF(COUNTIF('Competency Event Log'!$U$4:$U$803,$B25&amp;"|"&amp;BC$5)=0,"",SUMIF('Competency Event Log'!$U$4:$U$803,$B25&amp;"|"&amp;BC$5,'Competency Event Log'!$D$4:$D$803)))</f>
        <v/>
      </c>
      <c r="BD25" s="8" t="str">
        <f>IF($B25="","",IF(COUNTIF('Competency Event Log'!$U$4:$U$803,$B25&amp;"|"&amp;BD$5)=0,"",SUMIF('Competency Event Log'!$U$4:$U$803,$B25&amp;"|"&amp;BD$5,'Competency Event Log'!$D$4:$D$803)))</f>
        <v/>
      </c>
      <c r="BE25" s="8" t="str">
        <f>IF($B25="","",IF(COUNTIF('Competency Event Log'!$U$4:$U$803,$B25&amp;"|"&amp;BE$5)=0,"",SUMIF('Competency Event Log'!$U$4:$U$803,$B25&amp;"|"&amp;BE$5,'Competency Event Log'!$D$4:$D$803)))</f>
        <v/>
      </c>
      <c r="BF25" s="8" t="str">
        <f>IF($B25="","",IF(COUNTIF('Competency Event Log'!$U$4:$U$803,$B25&amp;"|"&amp;BF$5)=0,"",SUMIF('Competency Event Log'!$U$4:$U$803,$B25&amp;"|"&amp;BF$5,'Competency Event Log'!$D$4:$D$803)))</f>
        <v/>
      </c>
      <c r="BG25" s="8" t="str">
        <f>IF($B25="","",IF(COUNTIF('Competency Event Log'!$U$4:$U$803,$B25&amp;"|"&amp;BG$5)=0,"",SUMIF('Competency Event Log'!$U$4:$U$803,$B25&amp;"|"&amp;BG$5,'Competency Event Log'!$D$4:$D$803)))</f>
        <v/>
      </c>
      <c r="BH25" s="8" t="str">
        <f>IF($B25="","",IF(COUNTIF('Competency Event Log'!$U$4:$U$803,$B25&amp;"|"&amp;BH$5)=0,"",SUMIF('Competency Event Log'!$U$4:$U$803,$B25&amp;"|"&amp;BH$5,'Competency Event Log'!$D$4:$D$803)))</f>
        <v/>
      </c>
      <c r="BI25" s="8" t="str">
        <f>IF($B25="","",IF(COUNTIF('Competency Event Log'!$U$4:$U$803,$B25&amp;"|"&amp;BI$5)=0,"",SUMIF('Competency Event Log'!$U$4:$U$803,$B25&amp;"|"&amp;BI$5,'Competency Event Log'!$D$4:$D$803)))</f>
        <v/>
      </c>
      <c r="BJ25" s="8" t="str">
        <f>IF($B25="","",IF(COUNTIF('Competency Event Log'!$U$4:$U$803,$B25&amp;"|"&amp;BJ$5)=0,"",SUMIF('Competency Event Log'!$U$4:$U$803,$B25&amp;"|"&amp;BJ$5,'Competency Event Log'!$D$4:$D$803)))</f>
        <v/>
      </c>
      <c r="BK25" s="8" t="str">
        <f>IF($B25="","",IF(COUNTIF('Competency Event Log'!$U$4:$U$803,$B25&amp;"|"&amp;BK$5)=0,"",SUMIF('Competency Event Log'!$U$4:$U$803,$B25&amp;"|"&amp;BK$5,'Competency Event Log'!$D$4:$D$803)))</f>
        <v/>
      </c>
      <c r="BL25" s="8" t="str">
        <f>IF($B25="","",IF(COUNTIF('Competency Event Log'!$U$4:$U$803,$B25&amp;"|"&amp;BL$5)=0,"",SUMIF('Competency Event Log'!$U$4:$U$803,$B25&amp;"|"&amp;BL$5,'Competency Event Log'!$D$4:$D$803)))</f>
        <v/>
      </c>
      <c r="BM25" s="8" t="str">
        <f>IF($B25="","",IF(COUNTIF('Competency Event Log'!$U$4:$U$803,$B25&amp;"|"&amp;BM$5)=0,"",SUMIF('Competency Event Log'!$U$4:$U$803,$B25&amp;"|"&amp;BM$5,'Competency Event Log'!$D$4:$D$803)))</f>
        <v/>
      </c>
      <c r="BN25" s="8" t="str">
        <f>IF($B25="","",IF(COUNTIF('Competency Event Log'!$U$4:$U$803,$B25&amp;"|"&amp;BN$5)=0,"",SUMIF('Competency Event Log'!$U$4:$U$803,$B25&amp;"|"&amp;BN$5,'Competency Event Log'!$D$4:$D$803)))</f>
        <v/>
      </c>
      <c r="BO25" s="8" t="str">
        <f>IF($B25="","",IF(COUNTIF('Competency Event Log'!$U$4:$U$803,$B25&amp;"|"&amp;BO$5)=0,"",SUMIF('Competency Event Log'!$U$4:$U$803,$B25&amp;"|"&amp;BO$5,'Competency Event Log'!$D$4:$D$803)))</f>
        <v/>
      </c>
      <c r="BP25" s="8" t="str">
        <f>IF($B25="","",IF(COUNTIF('Competency Event Log'!$U$4:$U$803,$B25&amp;"|"&amp;BP$5)=0,"",SUMIF('Competency Event Log'!$U$4:$U$803,$B25&amp;"|"&amp;BP$5,'Competency Event Log'!$D$4:$D$803)))</f>
        <v/>
      </c>
      <c r="BQ25" s="8" t="str">
        <f>IF($B25="","",IF(COUNTIF('Competency Event Log'!$U$4:$U$803,$B25&amp;"|"&amp;BQ$5)=0,"",SUMIF('Competency Event Log'!$U$4:$U$803,$B25&amp;"|"&amp;BQ$5,'Competency Event Log'!$D$4:$D$803)))</f>
        <v/>
      </c>
      <c r="BR25" s="8" t="str">
        <f>IF($B25="","",IF(COUNTIF('Competency Event Log'!$U$4:$U$803,$B25&amp;"|"&amp;BR$5)=0,"",SUMIF('Competency Event Log'!$U$4:$U$803,$B25&amp;"|"&amp;BR$5,'Competency Event Log'!$D$4:$D$803)))</f>
        <v/>
      </c>
      <c r="BS25" s="8" t="str">
        <f>IF($B25="","",IF(COUNTIF('Competency Event Log'!$U$4:$U$803,$B25&amp;"|"&amp;BS$5)=0,"",SUMIF('Competency Event Log'!$U$4:$U$803,$B25&amp;"|"&amp;BS$5,'Competency Event Log'!$D$4:$D$803)))</f>
        <v/>
      </c>
      <c r="BT25" s="8" t="str">
        <f>IF($B25="","",IF(COUNTIF('Competency Event Log'!$U$4:$U$803,$B25&amp;"|"&amp;BT$5)=0,"",SUMIF('Competency Event Log'!$U$4:$U$803,$B25&amp;"|"&amp;BT$5,'Competency Event Log'!$D$4:$D$803)))</f>
        <v/>
      </c>
      <c r="BU25" s="8">
        <f>IF($B25="","",IF(COUNTIF('Competency Event Log'!$U$4:$U$803,$B25&amp;"|"&amp;BU$5)=0,"",SUMIF('Competency Event Log'!$U$4:$U$803,$B25&amp;"|"&amp;BU$5,'Competency Event Log'!$D$4:$D$803)))</f>
        <v>3</v>
      </c>
      <c r="BV25" s="8" t="str">
        <f>IF($B25="","",IF(COUNTIF('Competency Event Log'!$U$4:$U$803,$B25&amp;"|"&amp;BV$5)=0,"",SUMIF('Competency Event Log'!$U$4:$U$803,$B25&amp;"|"&amp;BV$5,'Competency Event Log'!$D$4:$D$803)))</f>
        <v/>
      </c>
      <c r="BW25" s="8" t="str">
        <f>IF($B25="","",IF(COUNTIF('Competency Event Log'!$U$4:$U$803,$B25&amp;"|"&amp;BW$5)=0,"",SUMIF('Competency Event Log'!$U$4:$U$803,$B25&amp;"|"&amp;BW$5,'Competency Event Log'!$D$4:$D$803)))</f>
        <v/>
      </c>
      <c r="BX25" s="8" t="str">
        <f>IF($B25="","",IF(COUNTIF('Competency Event Log'!$U$4:$U$803,$B25&amp;"|"&amp;BX$5)=0,"",SUMIF('Competency Event Log'!$U$4:$U$803,$B25&amp;"|"&amp;BX$5,'Competency Event Log'!$D$4:$D$803)))</f>
        <v/>
      </c>
      <c r="BY25" s="8" t="str">
        <f>IF($B25="","",IF(COUNTIF('Competency Event Log'!$U$4:$U$803,$B25&amp;"|"&amp;BY$5)=0,"",SUMIF('Competency Event Log'!$U$4:$U$803,$B25&amp;"|"&amp;BY$5,'Competency Event Log'!$D$4:$D$803)))</f>
        <v/>
      </c>
      <c r="BZ25" s="8" t="str">
        <f>IF($B25="","",IF(COUNTIF('Competency Event Log'!$U$4:$U$803,$B25&amp;"|"&amp;BZ$5)=0,"",SUMIF('Competency Event Log'!$U$4:$U$803,$B25&amp;"|"&amp;BZ$5,'Competency Event Log'!$D$4:$D$803)))</f>
        <v/>
      </c>
      <c r="CA25" s="8" t="str">
        <f>IF($B25="","",IF(COUNTIF('Competency Event Log'!$U$4:$U$803,$B25&amp;"|"&amp;CA$5)=0,"",SUMIF('Competency Event Log'!$U$4:$U$803,$B25&amp;"|"&amp;CA$5,'Competency Event Log'!$D$4:$D$803)))</f>
        <v/>
      </c>
      <c r="CB25" s="8" t="str">
        <f>IF($B25="","",IF(COUNTIF('Competency Event Log'!$U$4:$U$803,$B25&amp;"|"&amp;CB$5)=0,"",SUMIF('Competency Event Log'!$U$4:$U$803,$B25&amp;"|"&amp;CB$5,'Competency Event Log'!$D$4:$D$803)))</f>
        <v/>
      </c>
      <c r="CC25" s="8" t="str">
        <f>IF($B25="","",IF(COUNTIF('Competency Event Log'!$U$4:$U$803,$B25&amp;"|"&amp;CC$5)=0,"",SUMIF('Competency Event Log'!$U$4:$U$803,$B25&amp;"|"&amp;CC$5,'Competency Event Log'!$D$4:$D$803)))</f>
        <v/>
      </c>
      <c r="CD25" s="8" t="str">
        <f>IF($B25="","",IF(COUNTIF('Competency Event Log'!$U$4:$U$803,$B25&amp;"|"&amp;CD$5)=0,"",SUMIF('Competency Event Log'!$U$4:$U$803,$B25&amp;"|"&amp;CD$5,'Competency Event Log'!$D$4:$D$803)))</f>
        <v/>
      </c>
      <c r="CE25" s="8" t="str">
        <f>IF($B25="","",IF(COUNTIF('Competency Event Log'!$U$4:$U$803,$B25&amp;"|"&amp;CE$5)=0,"",SUMIF('Competency Event Log'!$U$4:$U$803,$B25&amp;"|"&amp;CE$5,'Competency Event Log'!$D$4:$D$803)))</f>
        <v/>
      </c>
      <c r="CF25" s="8" t="str">
        <f>IF($B25="","",IF(COUNTIF('Competency Event Log'!$U$4:$U$803,$B25&amp;"|"&amp;CF$5)=0,"",SUMIF('Competency Event Log'!$U$4:$U$803,$B25&amp;"|"&amp;CF$5,'Competency Event Log'!$D$4:$D$803)))</f>
        <v/>
      </c>
      <c r="CG25" s="8" t="str">
        <f>IF($B25="","",IF(COUNTIF('Competency Event Log'!$U$4:$U$803,$B25&amp;"|"&amp;CG$5)=0,"",SUMIF('Competency Event Log'!$U$4:$U$803,$B25&amp;"|"&amp;CG$5,'Competency Event Log'!$D$4:$D$803)))</f>
        <v/>
      </c>
      <c r="CH25" s="8" t="str">
        <f>IF($B25="","",IF(COUNTIF('Competency Event Log'!$U$4:$U$803,$B25&amp;"|"&amp;CH$5)=0,"",SUMIF('Competency Event Log'!$U$4:$U$803,$B25&amp;"|"&amp;CH$5,'Competency Event Log'!$D$4:$D$803)))</f>
        <v/>
      </c>
      <c r="CI25" s="8" t="str">
        <f>IF($B25="","",IF(COUNTIF('Competency Event Log'!$U$4:$U$803,$B25&amp;"|"&amp;CI$5)=0,"",SUMIF('Competency Event Log'!$U$4:$U$803,$B25&amp;"|"&amp;CI$5,'Competency Event Log'!$D$4:$D$803)))</f>
        <v/>
      </c>
      <c r="CJ25" s="8" t="str">
        <f>IF($B25="","",IF(COUNTIF('Competency Event Log'!$U$4:$U$803,$B25&amp;"|"&amp;CJ$5)=0,"",SUMIF('Competency Event Log'!$U$4:$U$803,$B25&amp;"|"&amp;CJ$5,'Competency Event Log'!$D$4:$D$803)))</f>
        <v/>
      </c>
      <c r="CK25" s="8" t="str">
        <f>IF($B25="","",IF(COUNTIF('Competency Event Log'!$U$4:$U$803,$B25&amp;"|"&amp;CK$5)=0,"",SUMIF('Competency Event Log'!$U$4:$U$803,$B25&amp;"|"&amp;CK$5,'Competency Event Log'!$D$4:$D$803)))</f>
        <v/>
      </c>
      <c r="CL25" s="8" t="str">
        <f>IF($B25="","",IF(COUNTIF('Competency Event Log'!$U$4:$U$803,$B25&amp;"|"&amp;CL$5)=0,"",SUMIF('Competency Event Log'!$U$4:$U$803,$B25&amp;"|"&amp;CL$5,'Competency Event Log'!$D$4:$D$803)))</f>
        <v/>
      </c>
      <c r="CM25" s="8" t="str">
        <f>IF($B25="","",IF(COUNTIF('Competency Event Log'!$U$4:$U$803,$B25&amp;"|"&amp;CM$5)=0,"",SUMIF('Competency Event Log'!$U$4:$U$803,$B25&amp;"|"&amp;CM$5,'Competency Event Log'!$D$4:$D$803)))</f>
        <v/>
      </c>
      <c r="CN25" s="8" t="str">
        <f>IF($B25="","",IF(COUNTIF('Competency Event Log'!$U$4:$U$803,$B25&amp;"|"&amp;CN$5)=0,"",SUMIF('Competency Event Log'!$U$4:$U$803,$B25&amp;"|"&amp;CN$5,'Competency Event Log'!$D$4:$D$803)))</f>
        <v/>
      </c>
      <c r="CO25" s="8" t="str">
        <f>IF($B25="","",IF(COUNTIF('Competency Event Log'!$U$4:$U$803,$B25&amp;"|"&amp;CO$5)=0,"",SUMIF('Competency Event Log'!$U$4:$U$803,$B25&amp;"|"&amp;CO$5,'Competency Event Log'!$D$4:$D$803)))</f>
        <v/>
      </c>
      <c r="CP25" s="8" t="str">
        <f>IF($B25="","",IF(COUNTIF('Competency Event Log'!$U$4:$U$803,$B25&amp;"|"&amp;CP$5)=0,"",SUMIF('Competency Event Log'!$U$4:$U$803,$B25&amp;"|"&amp;CP$5,'Competency Event Log'!$D$4:$D$803)))</f>
        <v/>
      </c>
      <c r="CQ25" s="8">
        <f>IF($B25="","",IF(COUNTIF('Competency Event Log'!$U$4:$U$803,$B25&amp;"|"&amp;CQ$5)=0,"",SUMIF('Competency Event Log'!$U$4:$U$803,$B25&amp;"|"&amp;CQ$5,'Competency Event Log'!$D$4:$D$803)))</f>
        <v>1</v>
      </c>
      <c r="CR25" s="8" t="str">
        <f>IF($B25="","",IF(COUNTIF('Competency Event Log'!$U$4:$U$803,$B25&amp;"|"&amp;CR$5)=0,"",SUMIF('Competency Event Log'!$U$4:$U$803,$B25&amp;"|"&amp;CR$5,'Competency Event Log'!$D$4:$D$803)))</f>
        <v/>
      </c>
      <c r="CS25" s="8" t="str">
        <f>IF($B25="","",IF(COUNTIF('Competency Event Log'!$U$4:$U$803,$B25&amp;"|"&amp;CS$5)=0,"",SUMIF('Competency Event Log'!$U$4:$U$803,$B25&amp;"|"&amp;CS$5,'Competency Event Log'!$D$4:$D$803)))</f>
        <v/>
      </c>
      <c r="CT25" s="8" t="str">
        <f>IF($B25="","",IF(COUNTIF('Competency Event Log'!$U$4:$U$803,$B25&amp;"|"&amp;CT$5)=0,"",SUMIF('Competency Event Log'!$U$4:$U$803,$B25&amp;"|"&amp;CT$5,'Competency Event Log'!$D$4:$D$803)))</f>
        <v/>
      </c>
      <c r="CU25" s="8" t="str">
        <f>IF($B25="","",IF(COUNTIF('Competency Event Log'!$U$4:$U$803,$B25&amp;"|"&amp;CU$5)=0,"",SUMIF('Competency Event Log'!$U$4:$U$803,$B25&amp;"|"&amp;CU$5,'Competency Event Log'!$D$4:$D$803)))</f>
        <v/>
      </c>
      <c r="CV25" s="8" t="str">
        <f>IF($B25="","",IF(COUNTIF('Competency Event Log'!$U$4:$U$803,$B25&amp;"|"&amp;CV$5)=0,"",SUMIF('Competency Event Log'!$U$4:$U$803,$B25&amp;"|"&amp;CV$5,'Competency Event Log'!$D$4:$D$803)))</f>
        <v/>
      </c>
      <c r="CW25" s="8" t="str">
        <f>IF($B25="","",IF(COUNTIF('Competency Event Log'!$U$4:$U$803,$B25&amp;"|"&amp;CW$5)=0,"",SUMIF('Competency Event Log'!$U$4:$U$803,$B25&amp;"|"&amp;CW$5,'Competency Event Log'!$D$4:$D$803)))</f>
        <v/>
      </c>
      <c r="CX25" s="8" t="str">
        <f>IF($B25="","",IF(COUNTIF('Competency Event Log'!$U$4:$U$803,$B25&amp;"|"&amp;CX$5)=0,"",SUMIF('Competency Event Log'!$U$4:$U$803,$B25&amp;"|"&amp;CX$5,'Competency Event Log'!$D$4:$D$803)))</f>
        <v/>
      </c>
      <c r="CY25" s="8" t="str">
        <f>IF($B25="","",IF(COUNTIF('Competency Event Log'!$U$4:$U$803,$B25&amp;"|"&amp;CY$5)=0,"",SUMIF('Competency Event Log'!$U$4:$U$803,$B25&amp;"|"&amp;CY$5,'Competency Event Log'!$D$4:$D$803)))</f>
        <v/>
      </c>
      <c r="CZ25" s="8" t="str">
        <f>IF($B25="","",IF(COUNTIF('Competency Event Log'!$U$4:$U$803,$B25&amp;"|"&amp;CZ$5)=0,"",SUMIF('Competency Event Log'!$U$4:$U$803,$B25&amp;"|"&amp;CZ$5,'Competency Event Log'!$D$4:$D$803)))</f>
        <v/>
      </c>
      <c r="DA25" s="8" t="str">
        <f>IF($B25="","",IF(COUNTIF('Competency Event Log'!$U$4:$U$803,$B25&amp;"|"&amp;DA$5)=0,"",SUMIF('Competency Event Log'!$U$4:$U$803,$B25&amp;"|"&amp;DA$5,'Competency Event Log'!$D$4:$D$803)))</f>
        <v/>
      </c>
      <c r="DB25" s="8" t="str">
        <f>IF($B25="","",IF(COUNTIF('Competency Event Log'!$U$4:$U$803,$B25&amp;"|"&amp;DB$5)=0,"",SUMIF('Competency Event Log'!$U$4:$U$803,$B25&amp;"|"&amp;DB$5,'Competency Event Log'!$D$4:$D$803)))</f>
        <v/>
      </c>
      <c r="DC25" s="8" t="str">
        <f>IF($B25="","",IF(COUNTIF('Competency Event Log'!$U$4:$U$803,$B25&amp;"|"&amp;DC$5)=0,"",SUMIF('Competency Event Log'!$U$4:$U$803,$B25&amp;"|"&amp;DC$5,'Competency Event Log'!$D$4:$D$803)))</f>
        <v/>
      </c>
      <c r="DD25" s="8" t="str">
        <f>IF($B25="","",IF(COUNTIF('Competency Event Log'!$U$4:$U$803,$B25&amp;"|"&amp;DD$5)=0,"",SUMIF('Competency Event Log'!$U$4:$U$803,$B25&amp;"|"&amp;DD$5,'Competency Event Log'!$D$4:$D$803)))</f>
        <v/>
      </c>
      <c r="DE25" s="8">
        <f>IF($B25="","",IF(COUNTIF('Competency Event Log'!$U$4:$U$803,$B25&amp;"|"&amp;DE$5)=0,"",SUMIF('Competency Event Log'!$U$4:$U$803,$B25&amp;"|"&amp;DE$5,'Competency Event Log'!$D$4:$D$803)))</f>
        <v>1</v>
      </c>
      <c r="DF25" s="8">
        <f t="shared" si="0"/>
        <v>18</v>
      </c>
      <c r="DG25" s="8">
        <f t="shared" si="1"/>
        <v>9</v>
      </c>
      <c r="DH25" s="8">
        <f t="shared" si="2"/>
        <v>4</v>
      </c>
      <c r="DI25" s="11">
        <f t="shared" si="3"/>
        <v>0.5</v>
      </c>
    </row>
    <row r="26" spans="1:113">
      <c r="A26" s="7" t="s">
        <v>307</v>
      </c>
      <c r="B26" s="7" t="s">
        <v>103</v>
      </c>
      <c r="C26" s="8">
        <v>3</v>
      </c>
      <c r="D26" s="9" t="s">
        <v>869</v>
      </c>
      <c r="E26" s="10">
        <v>44292</v>
      </c>
      <c r="F26" s="8" t="s">
        <v>812</v>
      </c>
      <c r="G26" s="8" t="str">
        <f>IF($B26="","",IF(COUNTIF('Competency Event Log'!$U$4:$U$803,$B26&amp;"|"&amp;G$5)=0,"",SUMIF('Competency Event Log'!$U$4:$U$803,$B26&amp;"|"&amp;G$5,'Competency Event Log'!$D$4:$D$803)))</f>
        <v/>
      </c>
      <c r="H26" s="8" t="str">
        <f>IF($B26="","",IF(COUNTIF('Competency Event Log'!$U$4:$U$803,$B26&amp;"|"&amp;H$5)=0,"",SUMIF('Competency Event Log'!$U$4:$U$803,$B26&amp;"|"&amp;H$5,'Competency Event Log'!$D$4:$D$803)))</f>
        <v/>
      </c>
      <c r="I26" s="8" t="str">
        <f>IF($B26="","",IF(COUNTIF('Competency Event Log'!$U$4:$U$803,$B26&amp;"|"&amp;I$5)=0,"",SUMIF('Competency Event Log'!$U$4:$U$803,$B26&amp;"|"&amp;I$5,'Competency Event Log'!$D$4:$D$803)))</f>
        <v/>
      </c>
      <c r="J26" s="8" t="str">
        <f>IF($B26="","",IF(COUNTIF('Competency Event Log'!$U$4:$U$803,$B26&amp;"|"&amp;J$5)=0,"",SUMIF('Competency Event Log'!$U$4:$U$803,$B26&amp;"|"&amp;J$5,'Competency Event Log'!$D$4:$D$803)))</f>
        <v/>
      </c>
      <c r="K26" s="8" t="str">
        <f>IF($B26="","",IF(COUNTIF('Competency Event Log'!$U$4:$U$803,$B26&amp;"|"&amp;K$5)=0,"",SUMIF('Competency Event Log'!$U$4:$U$803,$B26&amp;"|"&amp;K$5,'Competency Event Log'!$D$4:$D$803)))</f>
        <v/>
      </c>
      <c r="L26" s="8" t="str">
        <f>IF($B26="","",IF(COUNTIF('Competency Event Log'!$U$4:$U$803,$B26&amp;"|"&amp;L$5)=0,"",SUMIF('Competency Event Log'!$U$4:$U$803,$B26&amp;"|"&amp;L$5,'Competency Event Log'!$D$4:$D$803)))</f>
        <v/>
      </c>
      <c r="M26" s="8" t="str">
        <f>IF($B26="","",IF(COUNTIF('Competency Event Log'!$U$4:$U$803,$B26&amp;"|"&amp;M$5)=0,"",SUMIF('Competency Event Log'!$U$4:$U$803,$B26&amp;"|"&amp;M$5,'Competency Event Log'!$D$4:$D$803)))</f>
        <v/>
      </c>
      <c r="N26" s="8" t="str">
        <f>IF($B26="","",IF(COUNTIF('Competency Event Log'!$U$4:$U$803,$B26&amp;"|"&amp;N$5)=0,"",SUMIF('Competency Event Log'!$U$4:$U$803,$B26&amp;"|"&amp;N$5,'Competency Event Log'!$D$4:$D$803)))</f>
        <v/>
      </c>
      <c r="O26" s="8" t="str">
        <f>IF($B26="","",IF(COUNTIF('Competency Event Log'!$U$4:$U$803,$B26&amp;"|"&amp;O$5)=0,"",SUMIF('Competency Event Log'!$U$4:$U$803,$B26&amp;"|"&amp;O$5,'Competency Event Log'!$D$4:$D$803)))</f>
        <v/>
      </c>
      <c r="P26" s="8" t="str">
        <f>IF($B26="","",IF(COUNTIF('Competency Event Log'!$U$4:$U$803,$B26&amp;"|"&amp;P$5)=0,"",SUMIF('Competency Event Log'!$U$4:$U$803,$B26&amp;"|"&amp;P$5,'Competency Event Log'!$D$4:$D$803)))</f>
        <v/>
      </c>
      <c r="Q26" s="8" t="str">
        <f>IF($B26="","",IF(COUNTIF('Competency Event Log'!$U$4:$U$803,$B26&amp;"|"&amp;Q$5)=0,"",SUMIF('Competency Event Log'!$U$4:$U$803,$B26&amp;"|"&amp;Q$5,'Competency Event Log'!$D$4:$D$803)))</f>
        <v/>
      </c>
      <c r="R26" s="8" t="str">
        <f>IF($B26="","",IF(COUNTIF('Competency Event Log'!$U$4:$U$803,$B26&amp;"|"&amp;R$5)=0,"",SUMIF('Competency Event Log'!$U$4:$U$803,$B26&amp;"|"&amp;R$5,'Competency Event Log'!$D$4:$D$803)))</f>
        <v/>
      </c>
      <c r="S26" s="8" t="str">
        <f>IF($B26="","",IF(COUNTIF('Competency Event Log'!$U$4:$U$803,$B26&amp;"|"&amp;S$5)=0,"",SUMIF('Competency Event Log'!$U$4:$U$803,$B26&amp;"|"&amp;S$5,'Competency Event Log'!$D$4:$D$803)))</f>
        <v/>
      </c>
      <c r="T26" s="8" t="str">
        <f>IF($B26="","",IF(COUNTIF('Competency Event Log'!$U$4:$U$803,$B26&amp;"|"&amp;T$5)=0,"",SUMIF('Competency Event Log'!$U$4:$U$803,$B26&amp;"|"&amp;T$5,'Competency Event Log'!$D$4:$D$803)))</f>
        <v/>
      </c>
      <c r="U26" s="8" t="str">
        <f>IF($B26="","",IF(COUNTIF('Competency Event Log'!$U$4:$U$803,$B26&amp;"|"&amp;U$5)=0,"",SUMIF('Competency Event Log'!$U$4:$U$803,$B26&amp;"|"&amp;U$5,'Competency Event Log'!$D$4:$D$803)))</f>
        <v/>
      </c>
      <c r="V26" s="8" t="str">
        <f>IF($B26="","",IF(COUNTIF('Competency Event Log'!$U$4:$U$803,$B26&amp;"|"&amp;V$5)=0,"",SUMIF('Competency Event Log'!$U$4:$U$803,$B26&amp;"|"&amp;V$5,'Competency Event Log'!$D$4:$D$803)))</f>
        <v/>
      </c>
      <c r="W26" s="8" t="str">
        <f>IF($B26="","",IF(COUNTIF('Competency Event Log'!$U$4:$U$803,$B26&amp;"|"&amp;W$5)=0,"",SUMIF('Competency Event Log'!$U$4:$U$803,$B26&amp;"|"&amp;W$5,'Competency Event Log'!$D$4:$D$803)))</f>
        <v/>
      </c>
      <c r="X26" s="8" t="str">
        <f>IF($B26="","",IF(COUNTIF('Competency Event Log'!$U$4:$U$803,$B26&amp;"|"&amp;X$5)=0,"",SUMIF('Competency Event Log'!$U$4:$U$803,$B26&amp;"|"&amp;X$5,'Competency Event Log'!$D$4:$D$803)))</f>
        <v/>
      </c>
      <c r="Y26" s="8">
        <f>IF($B26="","",IF(COUNTIF('Competency Event Log'!$U$4:$U$803,$B26&amp;"|"&amp;Y$5)=0,"",SUMIF('Competency Event Log'!$U$4:$U$803,$B26&amp;"|"&amp;Y$5,'Competency Event Log'!$D$4:$D$803)))</f>
        <v>2</v>
      </c>
      <c r="Z26" s="8" t="str">
        <f>IF($B26="","",IF(COUNTIF('Competency Event Log'!$U$4:$U$803,$B26&amp;"|"&amp;Z$5)=0,"",SUMIF('Competency Event Log'!$U$4:$U$803,$B26&amp;"|"&amp;Z$5,'Competency Event Log'!$D$4:$D$803)))</f>
        <v/>
      </c>
      <c r="AA26" s="8" t="str">
        <f>IF($B26="","",IF(COUNTIF('Competency Event Log'!$U$4:$U$803,$B26&amp;"|"&amp;AA$5)=0,"",SUMIF('Competency Event Log'!$U$4:$U$803,$B26&amp;"|"&amp;AA$5,'Competency Event Log'!$D$4:$D$803)))</f>
        <v/>
      </c>
      <c r="AB26" s="8" t="str">
        <f>IF($B26="","",IF(COUNTIF('Competency Event Log'!$U$4:$U$803,$B26&amp;"|"&amp;AB$5)=0,"",SUMIF('Competency Event Log'!$U$4:$U$803,$B26&amp;"|"&amp;AB$5,'Competency Event Log'!$D$4:$D$803)))</f>
        <v/>
      </c>
      <c r="AC26" s="8" t="str">
        <f>IF($B26="","",IF(COUNTIF('Competency Event Log'!$U$4:$U$803,$B26&amp;"|"&amp;AC$5)=0,"",SUMIF('Competency Event Log'!$U$4:$U$803,$B26&amp;"|"&amp;AC$5,'Competency Event Log'!$D$4:$D$803)))</f>
        <v/>
      </c>
      <c r="AD26" s="8" t="str">
        <f>IF($B26="","",IF(COUNTIF('Competency Event Log'!$U$4:$U$803,$B26&amp;"|"&amp;AD$5)=0,"",SUMIF('Competency Event Log'!$U$4:$U$803,$B26&amp;"|"&amp;AD$5,'Competency Event Log'!$D$4:$D$803)))</f>
        <v/>
      </c>
      <c r="AE26" s="8" t="str">
        <f>IF($B26="","",IF(COUNTIF('Competency Event Log'!$U$4:$U$803,$B26&amp;"|"&amp;AE$5)=0,"",SUMIF('Competency Event Log'!$U$4:$U$803,$B26&amp;"|"&amp;AE$5,'Competency Event Log'!$D$4:$D$803)))</f>
        <v/>
      </c>
      <c r="AF26" s="8" t="str">
        <f>IF($B26="","",IF(COUNTIF('Competency Event Log'!$U$4:$U$803,$B26&amp;"|"&amp;AF$5)=0,"",SUMIF('Competency Event Log'!$U$4:$U$803,$B26&amp;"|"&amp;AF$5,'Competency Event Log'!$D$4:$D$803)))</f>
        <v/>
      </c>
      <c r="AG26" s="8" t="str">
        <f>IF($B26="","",IF(COUNTIF('Competency Event Log'!$U$4:$U$803,$B26&amp;"|"&amp;AG$5)=0,"",SUMIF('Competency Event Log'!$U$4:$U$803,$B26&amp;"|"&amp;AG$5,'Competency Event Log'!$D$4:$D$803)))</f>
        <v/>
      </c>
      <c r="AH26" s="8" t="str">
        <f>IF($B26="","",IF(COUNTIF('Competency Event Log'!$U$4:$U$803,$B26&amp;"|"&amp;AH$5)=0,"",SUMIF('Competency Event Log'!$U$4:$U$803,$B26&amp;"|"&amp;AH$5,'Competency Event Log'!$D$4:$D$803)))</f>
        <v/>
      </c>
      <c r="AI26" s="8" t="str">
        <f>IF($B26="","",IF(COUNTIF('Competency Event Log'!$U$4:$U$803,$B26&amp;"|"&amp;AI$5)=0,"",SUMIF('Competency Event Log'!$U$4:$U$803,$B26&amp;"|"&amp;AI$5,'Competency Event Log'!$D$4:$D$803)))</f>
        <v/>
      </c>
      <c r="AJ26" s="8" t="str">
        <f>IF($B26="","",IF(COUNTIF('Competency Event Log'!$U$4:$U$803,$B26&amp;"|"&amp;AJ$5)=0,"",SUMIF('Competency Event Log'!$U$4:$U$803,$B26&amp;"|"&amp;AJ$5,'Competency Event Log'!$D$4:$D$803)))</f>
        <v/>
      </c>
      <c r="AK26" s="8" t="str">
        <f>IF($B26="","",IF(COUNTIF('Competency Event Log'!$U$4:$U$803,$B26&amp;"|"&amp;AK$5)=0,"",SUMIF('Competency Event Log'!$U$4:$U$803,$B26&amp;"|"&amp;AK$5,'Competency Event Log'!$D$4:$D$803)))</f>
        <v/>
      </c>
      <c r="AL26" s="8">
        <f>IF($B26="","",IF(COUNTIF('Competency Event Log'!$U$4:$U$803,$B26&amp;"|"&amp;AL$5)=0,"",SUMIF('Competency Event Log'!$U$4:$U$803,$B26&amp;"|"&amp;AL$5,'Competency Event Log'!$D$4:$D$803)))</f>
        <v>3</v>
      </c>
      <c r="AM26" s="8" t="str">
        <f>IF($B26="","",IF(COUNTIF('Competency Event Log'!$U$4:$U$803,$B26&amp;"|"&amp;AM$5)=0,"",SUMIF('Competency Event Log'!$U$4:$U$803,$B26&amp;"|"&amp;AM$5,'Competency Event Log'!$D$4:$D$803)))</f>
        <v/>
      </c>
      <c r="AN26" s="8" t="str">
        <f>IF($B26="","",IF(COUNTIF('Competency Event Log'!$U$4:$U$803,$B26&amp;"|"&amp;AN$5)=0,"",SUMIF('Competency Event Log'!$U$4:$U$803,$B26&amp;"|"&amp;AN$5,'Competency Event Log'!$D$4:$D$803)))</f>
        <v/>
      </c>
      <c r="AO26" s="8" t="str">
        <f>IF($B26="","",IF(COUNTIF('Competency Event Log'!$U$4:$U$803,$B26&amp;"|"&amp;AO$5)=0,"",SUMIF('Competency Event Log'!$U$4:$U$803,$B26&amp;"|"&amp;AO$5,'Competency Event Log'!$D$4:$D$803)))</f>
        <v/>
      </c>
      <c r="AP26" s="8" t="str">
        <f>IF($B26="","",IF(COUNTIF('Competency Event Log'!$U$4:$U$803,$B26&amp;"|"&amp;AP$5)=0,"",SUMIF('Competency Event Log'!$U$4:$U$803,$B26&amp;"|"&amp;AP$5,'Competency Event Log'!$D$4:$D$803)))</f>
        <v/>
      </c>
      <c r="AQ26" s="8" t="str">
        <f>IF($B26="","",IF(COUNTIF('Competency Event Log'!$U$4:$U$803,$B26&amp;"|"&amp;AQ$5)=0,"",SUMIF('Competency Event Log'!$U$4:$U$803,$B26&amp;"|"&amp;AQ$5,'Competency Event Log'!$D$4:$D$803)))</f>
        <v/>
      </c>
      <c r="AR26" s="8" t="str">
        <f>IF($B26="","",IF(COUNTIF('Competency Event Log'!$U$4:$U$803,$B26&amp;"|"&amp;AR$5)=0,"",SUMIF('Competency Event Log'!$U$4:$U$803,$B26&amp;"|"&amp;AR$5,'Competency Event Log'!$D$4:$D$803)))</f>
        <v/>
      </c>
      <c r="AS26" s="8">
        <f>IF($B26="","",IF(COUNTIF('Competency Event Log'!$U$4:$U$803,$B26&amp;"|"&amp;AS$5)=0,"",SUMIF('Competency Event Log'!$U$4:$U$803,$B26&amp;"|"&amp;AS$5,'Competency Event Log'!$D$4:$D$803)))</f>
        <v>3</v>
      </c>
      <c r="AT26" s="8">
        <f>IF($B26="","",IF(COUNTIF('Competency Event Log'!$U$4:$U$803,$B26&amp;"|"&amp;AT$5)=0,"",SUMIF('Competency Event Log'!$U$4:$U$803,$B26&amp;"|"&amp;AT$5,'Competency Event Log'!$D$4:$D$803)))</f>
        <v>2</v>
      </c>
      <c r="AU26" s="8" t="str">
        <f>IF($B26="","",IF(COUNTIF('Competency Event Log'!$U$4:$U$803,$B26&amp;"|"&amp;AU$5)=0,"",SUMIF('Competency Event Log'!$U$4:$U$803,$B26&amp;"|"&amp;AU$5,'Competency Event Log'!$D$4:$D$803)))</f>
        <v/>
      </c>
      <c r="AV26" s="8" t="str">
        <f>IF($B26="","",IF(COUNTIF('Competency Event Log'!$U$4:$U$803,$B26&amp;"|"&amp;AV$5)=0,"",SUMIF('Competency Event Log'!$U$4:$U$803,$B26&amp;"|"&amp;AV$5,'Competency Event Log'!$D$4:$D$803)))</f>
        <v/>
      </c>
      <c r="AW26" s="8">
        <f>IF($B26="","",IF(COUNTIF('Competency Event Log'!$U$4:$U$803,$B26&amp;"|"&amp;AW$5)=0,"",SUMIF('Competency Event Log'!$U$4:$U$803,$B26&amp;"|"&amp;AW$5,'Competency Event Log'!$D$4:$D$803)))</f>
        <v>1</v>
      </c>
      <c r="AX26" s="8">
        <f>IF($B26="","",IF(COUNTIF('Competency Event Log'!$U$4:$U$803,$B26&amp;"|"&amp;AX$5)=0,"",SUMIF('Competency Event Log'!$U$4:$U$803,$B26&amp;"|"&amp;AX$5,'Competency Event Log'!$D$4:$D$803)))</f>
        <v>3</v>
      </c>
      <c r="AY26" s="8" t="str">
        <f>IF($B26="","",IF(COUNTIF('Competency Event Log'!$U$4:$U$803,$B26&amp;"|"&amp;AY$5)=0,"",SUMIF('Competency Event Log'!$U$4:$U$803,$B26&amp;"|"&amp;AY$5,'Competency Event Log'!$D$4:$D$803)))</f>
        <v/>
      </c>
      <c r="AZ26" s="8" t="str">
        <f>IF($B26="","",IF(COUNTIF('Competency Event Log'!$U$4:$U$803,$B26&amp;"|"&amp;AZ$5)=0,"",SUMIF('Competency Event Log'!$U$4:$U$803,$B26&amp;"|"&amp;AZ$5,'Competency Event Log'!$D$4:$D$803)))</f>
        <v/>
      </c>
      <c r="BA26" s="8" t="str">
        <f>IF($B26="","",IF(COUNTIF('Competency Event Log'!$U$4:$U$803,$B26&amp;"|"&amp;BA$5)=0,"",SUMIF('Competency Event Log'!$U$4:$U$803,$B26&amp;"|"&amp;BA$5,'Competency Event Log'!$D$4:$D$803)))</f>
        <v/>
      </c>
      <c r="BB26" s="8" t="str">
        <f>IF($B26="","",IF(COUNTIF('Competency Event Log'!$U$4:$U$803,$B26&amp;"|"&amp;BB$5)=0,"",SUMIF('Competency Event Log'!$U$4:$U$803,$B26&amp;"|"&amp;BB$5,'Competency Event Log'!$D$4:$D$803)))</f>
        <v/>
      </c>
      <c r="BC26" s="8" t="str">
        <f>IF($B26="","",IF(COUNTIF('Competency Event Log'!$U$4:$U$803,$B26&amp;"|"&amp;BC$5)=0,"",SUMIF('Competency Event Log'!$U$4:$U$803,$B26&amp;"|"&amp;BC$5,'Competency Event Log'!$D$4:$D$803)))</f>
        <v/>
      </c>
      <c r="BD26" s="8" t="str">
        <f>IF($B26="","",IF(COUNTIF('Competency Event Log'!$U$4:$U$803,$B26&amp;"|"&amp;BD$5)=0,"",SUMIF('Competency Event Log'!$U$4:$U$803,$B26&amp;"|"&amp;BD$5,'Competency Event Log'!$D$4:$D$803)))</f>
        <v/>
      </c>
      <c r="BE26" s="8" t="str">
        <f>IF($B26="","",IF(COUNTIF('Competency Event Log'!$U$4:$U$803,$B26&amp;"|"&amp;BE$5)=0,"",SUMIF('Competency Event Log'!$U$4:$U$803,$B26&amp;"|"&amp;BE$5,'Competency Event Log'!$D$4:$D$803)))</f>
        <v/>
      </c>
      <c r="BF26" s="8" t="str">
        <f>IF($B26="","",IF(COUNTIF('Competency Event Log'!$U$4:$U$803,$B26&amp;"|"&amp;BF$5)=0,"",SUMIF('Competency Event Log'!$U$4:$U$803,$B26&amp;"|"&amp;BF$5,'Competency Event Log'!$D$4:$D$803)))</f>
        <v/>
      </c>
      <c r="BG26" s="8" t="str">
        <f>IF($B26="","",IF(COUNTIF('Competency Event Log'!$U$4:$U$803,$B26&amp;"|"&amp;BG$5)=0,"",SUMIF('Competency Event Log'!$U$4:$U$803,$B26&amp;"|"&amp;BG$5,'Competency Event Log'!$D$4:$D$803)))</f>
        <v/>
      </c>
      <c r="BH26" s="8" t="str">
        <f>IF($B26="","",IF(COUNTIF('Competency Event Log'!$U$4:$U$803,$B26&amp;"|"&amp;BH$5)=0,"",SUMIF('Competency Event Log'!$U$4:$U$803,$B26&amp;"|"&amp;BH$5,'Competency Event Log'!$D$4:$D$803)))</f>
        <v/>
      </c>
      <c r="BI26" s="8" t="str">
        <f>IF($B26="","",IF(COUNTIF('Competency Event Log'!$U$4:$U$803,$B26&amp;"|"&amp;BI$5)=0,"",SUMIF('Competency Event Log'!$U$4:$U$803,$B26&amp;"|"&amp;BI$5,'Competency Event Log'!$D$4:$D$803)))</f>
        <v/>
      </c>
      <c r="BJ26" s="8" t="str">
        <f>IF($B26="","",IF(COUNTIF('Competency Event Log'!$U$4:$U$803,$B26&amp;"|"&amp;BJ$5)=0,"",SUMIF('Competency Event Log'!$U$4:$U$803,$B26&amp;"|"&amp;BJ$5,'Competency Event Log'!$D$4:$D$803)))</f>
        <v/>
      </c>
      <c r="BK26" s="8" t="str">
        <f>IF($B26="","",IF(COUNTIF('Competency Event Log'!$U$4:$U$803,$B26&amp;"|"&amp;BK$5)=0,"",SUMIF('Competency Event Log'!$U$4:$U$803,$B26&amp;"|"&amp;BK$5,'Competency Event Log'!$D$4:$D$803)))</f>
        <v/>
      </c>
      <c r="BL26" s="8" t="str">
        <f>IF($B26="","",IF(COUNTIF('Competency Event Log'!$U$4:$U$803,$B26&amp;"|"&amp;BL$5)=0,"",SUMIF('Competency Event Log'!$U$4:$U$803,$B26&amp;"|"&amp;BL$5,'Competency Event Log'!$D$4:$D$803)))</f>
        <v/>
      </c>
      <c r="BM26" s="8" t="str">
        <f>IF($B26="","",IF(COUNTIF('Competency Event Log'!$U$4:$U$803,$B26&amp;"|"&amp;BM$5)=0,"",SUMIF('Competency Event Log'!$U$4:$U$803,$B26&amp;"|"&amp;BM$5,'Competency Event Log'!$D$4:$D$803)))</f>
        <v/>
      </c>
      <c r="BN26" s="8" t="str">
        <f>IF($B26="","",IF(COUNTIF('Competency Event Log'!$U$4:$U$803,$B26&amp;"|"&amp;BN$5)=0,"",SUMIF('Competency Event Log'!$U$4:$U$803,$B26&amp;"|"&amp;BN$5,'Competency Event Log'!$D$4:$D$803)))</f>
        <v/>
      </c>
      <c r="BO26" s="8" t="str">
        <f>IF($B26="","",IF(COUNTIF('Competency Event Log'!$U$4:$U$803,$B26&amp;"|"&amp;BO$5)=0,"",SUMIF('Competency Event Log'!$U$4:$U$803,$B26&amp;"|"&amp;BO$5,'Competency Event Log'!$D$4:$D$803)))</f>
        <v/>
      </c>
      <c r="BP26" s="8" t="str">
        <f>IF($B26="","",IF(COUNTIF('Competency Event Log'!$U$4:$U$803,$B26&amp;"|"&amp;BP$5)=0,"",SUMIF('Competency Event Log'!$U$4:$U$803,$B26&amp;"|"&amp;BP$5,'Competency Event Log'!$D$4:$D$803)))</f>
        <v/>
      </c>
      <c r="BQ26" s="8" t="str">
        <f>IF($B26="","",IF(COUNTIF('Competency Event Log'!$U$4:$U$803,$B26&amp;"|"&amp;BQ$5)=0,"",SUMIF('Competency Event Log'!$U$4:$U$803,$B26&amp;"|"&amp;BQ$5,'Competency Event Log'!$D$4:$D$803)))</f>
        <v/>
      </c>
      <c r="BR26" s="8" t="str">
        <f>IF($B26="","",IF(COUNTIF('Competency Event Log'!$U$4:$U$803,$B26&amp;"|"&amp;BR$5)=0,"",SUMIF('Competency Event Log'!$U$4:$U$803,$B26&amp;"|"&amp;BR$5,'Competency Event Log'!$D$4:$D$803)))</f>
        <v/>
      </c>
      <c r="BS26" s="8">
        <f>IF($B26="","",IF(COUNTIF('Competency Event Log'!$U$4:$U$803,$B26&amp;"|"&amp;BS$5)=0,"",SUMIF('Competency Event Log'!$U$4:$U$803,$B26&amp;"|"&amp;BS$5,'Competency Event Log'!$D$4:$D$803)))</f>
        <v>1</v>
      </c>
      <c r="BT26" s="8" t="str">
        <f>IF($B26="","",IF(COUNTIF('Competency Event Log'!$U$4:$U$803,$B26&amp;"|"&amp;BT$5)=0,"",SUMIF('Competency Event Log'!$U$4:$U$803,$B26&amp;"|"&amp;BT$5,'Competency Event Log'!$D$4:$D$803)))</f>
        <v/>
      </c>
      <c r="BU26" s="8" t="str">
        <f>IF($B26="","",IF(COUNTIF('Competency Event Log'!$U$4:$U$803,$B26&amp;"|"&amp;BU$5)=0,"",SUMIF('Competency Event Log'!$U$4:$U$803,$B26&amp;"|"&amp;BU$5,'Competency Event Log'!$D$4:$D$803)))</f>
        <v/>
      </c>
      <c r="BV26" s="8" t="str">
        <f>IF($B26="","",IF(COUNTIF('Competency Event Log'!$U$4:$U$803,$B26&amp;"|"&amp;BV$5)=0,"",SUMIF('Competency Event Log'!$U$4:$U$803,$B26&amp;"|"&amp;BV$5,'Competency Event Log'!$D$4:$D$803)))</f>
        <v/>
      </c>
      <c r="BW26" s="8" t="str">
        <f>IF($B26="","",IF(COUNTIF('Competency Event Log'!$U$4:$U$803,$B26&amp;"|"&amp;BW$5)=0,"",SUMIF('Competency Event Log'!$U$4:$U$803,$B26&amp;"|"&amp;BW$5,'Competency Event Log'!$D$4:$D$803)))</f>
        <v/>
      </c>
      <c r="BX26" s="8" t="str">
        <f>IF($B26="","",IF(COUNTIF('Competency Event Log'!$U$4:$U$803,$B26&amp;"|"&amp;BX$5)=0,"",SUMIF('Competency Event Log'!$U$4:$U$803,$B26&amp;"|"&amp;BX$5,'Competency Event Log'!$D$4:$D$803)))</f>
        <v/>
      </c>
      <c r="BY26" s="8" t="str">
        <f>IF($B26="","",IF(COUNTIF('Competency Event Log'!$U$4:$U$803,$B26&amp;"|"&amp;BY$5)=0,"",SUMIF('Competency Event Log'!$U$4:$U$803,$B26&amp;"|"&amp;BY$5,'Competency Event Log'!$D$4:$D$803)))</f>
        <v/>
      </c>
      <c r="BZ26" s="8" t="str">
        <f>IF($B26="","",IF(COUNTIF('Competency Event Log'!$U$4:$U$803,$B26&amp;"|"&amp;BZ$5)=0,"",SUMIF('Competency Event Log'!$U$4:$U$803,$B26&amp;"|"&amp;BZ$5,'Competency Event Log'!$D$4:$D$803)))</f>
        <v/>
      </c>
      <c r="CA26" s="8" t="str">
        <f>IF($B26="","",IF(COUNTIF('Competency Event Log'!$U$4:$U$803,$B26&amp;"|"&amp;CA$5)=0,"",SUMIF('Competency Event Log'!$U$4:$U$803,$B26&amp;"|"&amp;CA$5,'Competency Event Log'!$D$4:$D$803)))</f>
        <v/>
      </c>
      <c r="CB26" s="8" t="str">
        <f>IF($B26="","",IF(COUNTIF('Competency Event Log'!$U$4:$U$803,$B26&amp;"|"&amp;CB$5)=0,"",SUMIF('Competency Event Log'!$U$4:$U$803,$B26&amp;"|"&amp;CB$5,'Competency Event Log'!$D$4:$D$803)))</f>
        <v/>
      </c>
      <c r="CC26" s="8" t="str">
        <f>IF($B26="","",IF(COUNTIF('Competency Event Log'!$U$4:$U$803,$B26&amp;"|"&amp;CC$5)=0,"",SUMIF('Competency Event Log'!$U$4:$U$803,$B26&amp;"|"&amp;CC$5,'Competency Event Log'!$D$4:$D$803)))</f>
        <v/>
      </c>
      <c r="CD26" s="8" t="str">
        <f>IF($B26="","",IF(COUNTIF('Competency Event Log'!$U$4:$U$803,$B26&amp;"|"&amp;CD$5)=0,"",SUMIF('Competency Event Log'!$U$4:$U$803,$B26&amp;"|"&amp;CD$5,'Competency Event Log'!$D$4:$D$803)))</f>
        <v/>
      </c>
      <c r="CE26" s="8" t="str">
        <f>IF($B26="","",IF(COUNTIF('Competency Event Log'!$U$4:$U$803,$B26&amp;"|"&amp;CE$5)=0,"",SUMIF('Competency Event Log'!$U$4:$U$803,$B26&amp;"|"&amp;CE$5,'Competency Event Log'!$D$4:$D$803)))</f>
        <v/>
      </c>
      <c r="CF26" s="8" t="str">
        <f>IF($B26="","",IF(COUNTIF('Competency Event Log'!$U$4:$U$803,$B26&amp;"|"&amp;CF$5)=0,"",SUMIF('Competency Event Log'!$U$4:$U$803,$B26&amp;"|"&amp;CF$5,'Competency Event Log'!$D$4:$D$803)))</f>
        <v/>
      </c>
      <c r="CG26" s="8" t="str">
        <f>IF($B26="","",IF(COUNTIF('Competency Event Log'!$U$4:$U$803,$B26&amp;"|"&amp;CG$5)=0,"",SUMIF('Competency Event Log'!$U$4:$U$803,$B26&amp;"|"&amp;CG$5,'Competency Event Log'!$D$4:$D$803)))</f>
        <v/>
      </c>
      <c r="CH26" s="8" t="str">
        <f>IF($B26="","",IF(COUNTIF('Competency Event Log'!$U$4:$U$803,$B26&amp;"|"&amp;CH$5)=0,"",SUMIF('Competency Event Log'!$U$4:$U$803,$B26&amp;"|"&amp;CH$5,'Competency Event Log'!$D$4:$D$803)))</f>
        <v/>
      </c>
      <c r="CI26" s="8" t="str">
        <f>IF($B26="","",IF(COUNTIF('Competency Event Log'!$U$4:$U$803,$B26&amp;"|"&amp;CI$5)=0,"",SUMIF('Competency Event Log'!$U$4:$U$803,$B26&amp;"|"&amp;CI$5,'Competency Event Log'!$D$4:$D$803)))</f>
        <v/>
      </c>
      <c r="CJ26" s="8" t="str">
        <f>IF($B26="","",IF(COUNTIF('Competency Event Log'!$U$4:$U$803,$B26&amp;"|"&amp;CJ$5)=0,"",SUMIF('Competency Event Log'!$U$4:$U$803,$B26&amp;"|"&amp;CJ$5,'Competency Event Log'!$D$4:$D$803)))</f>
        <v/>
      </c>
      <c r="CK26" s="8" t="str">
        <f>IF($B26="","",IF(COUNTIF('Competency Event Log'!$U$4:$U$803,$B26&amp;"|"&amp;CK$5)=0,"",SUMIF('Competency Event Log'!$U$4:$U$803,$B26&amp;"|"&amp;CK$5,'Competency Event Log'!$D$4:$D$803)))</f>
        <v/>
      </c>
      <c r="CL26" s="8" t="str">
        <f>IF($B26="","",IF(COUNTIF('Competency Event Log'!$U$4:$U$803,$B26&amp;"|"&amp;CL$5)=0,"",SUMIF('Competency Event Log'!$U$4:$U$803,$B26&amp;"|"&amp;CL$5,'Competency Event Log'!$D$4:$D$803)))</f>
        <v/>
      </c>
      <c r="CM26" s="8" t="str">
        <f>IF($B26="","",IF(COUNTIF('Competency Event Log'!$U$4:$U$803,$B26&amp;"|"&amp;CM$5)=0,"",SUMIF('Competency Event Log'!$U$4:$U$803,$B26&amp;"|"&amp;CM$5,'Competency Event Log'!$D$4:$D$803)))</f>
        <v/>
      </c>
      <c r="CN26" s="8" t="str">
        <f>IF($B26="","",IF(COUNTIF('Competency Event Log'!$U$4:$U$803,$B26&amp;"|"&amp;CN$5)=0,"",SUMIF('Competency Event Log'!$U$4:$U$803,$B26&amp;"|"&amp;CN$5,'Competency Event Log'!$D$4:$D$803)))</f>
        <v/>
      </c>
      <c r="CO26" s="8" t="str">
        <f>IF($B26="","",IF(COUNTIF('Competency Event Log'!$U$4:$U$803,$B26&amp;"|"&amp;CO$5)=0,"",SUMIF('Competency Event Log'!$U$4:$U$803,$B26&amp;"|"&amp;CO$5,'Competency Event Log'!$D$4:$D$803)))</f>
        <v/>
      </c>
      <c r="CP26" s="8" t="str">
        <f>IF($B26="","",IF(COUNTIF('Competency Event Log'!$U$4:$U$803,$B26&amp;"|"&amp;CP$5)=0,"",SUMIF('Competency Event Log'!$U$4:$U$803,$B26&amp;"|"&amp;CP$5,'Competency Event Log'!$D$4:$D$803)))</f>
        <v/>
      </c>
      <c r="CQ26" s="8" t="str">
        <f>IF($B26="","",IF(COUNTIF('Competency Event Log'!$U$4:$U$803,$B26&amp;"|"&amp;CQ$5)=0,"",SUMIF('Competency Event Log'!$U$4:$U$803,$B26&amp;"|"&amp;CQ$5,'Competency Event Log'!$D$4:$D$803)))</f>
        <v/>
      </c>
      <c r="CR26" s="8" t="str">
        <f>IF($B26="","",IF(COUNTIF('Competency Event Log'!$U$4:$U$803,$B26&amp;"|"&amp;CR$5)=0,"",SUMIF('Competency Event Log'!$U$4:$U$803,$B26&amp;"|"&amp;CR$5,'Competency Event Log'!$D$4:$D$803)))</f>
        <v/>
      </c>
      <c r="CS26" s="8" t="str">
        <f>IF($B26="","",IF(COUNTIF('Competency Event Log'!$U$4:$U$803,$B26&amp;"|"&amp;CS$5)=0,"",SUMIF('Competency Event Log'!$U$4:$U$803,$B26&amp;"|"&amp;CS$5,'Competency Event Log'!$D$4:$D$803)))</f>
        <v/>
      </c>
      <c r="CT26" s="8" t="str">
        <f>IF($B26="","",IF(COUNTIF('Competency Event Log'!$U$4:$U$803,$B26&amp;"|"&amp;CT$5)=0,"",SUMIF('Competency Event Log'!$U$4:$U$803,$B26&amp;"|"&amp;CT$5,'Competency Event Log'!$D$4:$D$803)))</f>
        <v/>
      </c>
      <c r="CU26" s="8" t="str">
        <f>IF($B26="","",IF(COUNTIF('Competency Event Log'!$U$4:$U$803,$B26&amp;"|"&amp;CU$5)=0,"",SUMIF('Competency Event Log'!$U$4:$U$803,$B26&amp;"|"&amp;CU$5,'Competency Event Log'!$D$4:$D$803)))</f>
        <v/>
      </c>
      <c r="CV26" s="8" t="str">
        <f>IF($B26="","",IF(COUNTIF('Competency Event Log'!$U$4:$U$803,$B26&amp;"|"&amp;CV$5)=0,"",SUMIF('Competency Event Log'!$U$4:$U$803,$B26&amp;"|"&amp;CV$5,'Competency Event Log'!$D$4:$D$803)))</f>
        <v/>
      </c>
      <c r="CW26" s="8" t="str">
        <f>IF($B26="","",IF(COUNTIF('Competency Event Log'!$U$4:$U$803,$B26&amp;"|"&amp;CW$5)=0,"",SUMIF('Competency Event Log'!$U$4:$U$803,$B26&amp;"|"&amp;CW$5,'Competency Event Log'!$D$4:$D$803)))</f>
        <v/>
      </c>
      <c r="CX26" s="8" t="str">
        <f>IF($B26="","",IF(COUNTIF('Competency Event Log'!$U$4:$U$803,$B26&amp;"|"&amp;CX$5)=0,"",SUMIF('Competency Event Log'!$U$4:$U$803,$B26&amp;"|"&amp;CX$5,'Competency Event Log'!$D$4:$D$803)))</f>
        <v/>
      </c>
      <c r="CY26" s="8" t="str">
        <f>IF($B26="","",IF(COUNTIF('Competency Event Log'!$U$4:$U$803,$B26&amp;"|"&amp;CY$5)=0,"",SUMIF('Competency Event Log'!$U$4:$U$803,$B26&amp;"|"&amp;CY$5,'Competency Event Log'!$D$4:$D$803)))</f>
        <v/>
      </c>
      <c r="CZ26" s="8" t="str">
        <f>IF($B26="","",IF(COUNTIF('Competency Event Log'!$U$4:$U$803,$B26&amp;"|"&amp;CZ$5)=0,"",SUMIF('Competency Event Log'!$U$4:$U$803,$B26&amp;"|"&amp;CZ$5,'Competency Event Log'!$D$4:$D$803)))</f>
        <v/>
      </c>
      <c r="DA26" s="8" t="str">
        <f>IF($B26="","",IF(COUNTIF('Competency Event Log'!$U$4:$U$803,$B26&amp;"|"&amp;DA$5)=0,"",SUMIF('Competency Event Log'!$U$4:$U$803,$B26&amp;"|"&amp;DA$5,'Competency Event Log'!$D$4:$D$803)))</f>
        <v/>
      </c>
      <c r="DB26" s="8" t="str">
        <f>IF($B26="","",IF(COUNTIF('Competency Event Log'!$U$4:$U$803,$B26&amp;"|"&amp;DB$5)=0,"",SUMIF('Competency Event Log'!$U$4:$U$803,$B26&amp;"|"&amp;DB$5,'Competency Event Log'!$D$4:$D$803)))</f>
        <v/>
      </c>
      <c r="DC26" s="8" t="str">
        <f>IF($B26="","",IF(COUNTIF('Competency Event Log'!$U$4:$U$803,$B26&amp;"|"&amp;DC$5)=0,"",SUMIF('Competency Event Log'!$U$4:$U$803,$B26&amp;"|"&amp;DC$5,'Competency Event Log'!$D$4:$D$803)))</f>
        <v/>
      </c>
      <c r="DD26" s="8">
        <f>IF($B26="","",IF(COUNTIF('Competency Event Log'!$U$4:$U$803,$B26&amp;"|"&amp;DD$5)=0,"",SUMIF('Competency Event Log'!$U$4:$U$803,$B26&amp;"|"&amp;DD$5,'Competency Event Log'!$D$4:$D$803)))</f>
        <v>3</v>
      </c>
      <c r="DE26" s="8" t="str">
        <f>IF($B26="","",IF(COUNTIF('Competency Event Log'!$U$4:$U$803,$B26&amp;"|"&amp;DE$5)=0,"",SUMIF('Competency Event Log'!$U$4:$U$803,$B26&amp;"|"&amp;DE$5,'Competency Event Log'!$D$4:$D$803)))</f>
        <v/>
      </c>
      <c r="DF26" s="8">
        <f t="shared" si="0"/>
        <v>18</v>
      </c>
      <c r="DG26" s="8">
        <f t="shared" si="1"/>
        <v>8</v>
      </c>
      <c r="DH26" s="8">
        <f t="shared" si="2"/>
        <v>4</v>
      </c>
      <c r="DI26" s="11">
        <f t="shared" si="3"/>
        <v>0.375</v>
      </c>
    </row>
    <row r="27" spans="1:113">
      <c r="A27" s="7" t="s">
        <v>307</v>
      </c>
      <c r="B27" s="7" t="s">
        <v>108</v>
      </c>
      <c r="C27" s="8">
        <v>1</v>
      </c>
      <c r="D27" s="9" t="s">
        <v>889</v>
      </c>
      <c r="E27" s="10">
        <v>44206</v>
      </c>
      <c r="F27" s="8" t="s">
        <v>812</v>
      </c>
      <c r="G27" s="8" t="str">
        <f>IF($B27="","",IF(COUNTIF('Competency Event Log'!$U$4:$U$803,$B27&amp;"|"&amp;G$5)=0,"",SUMIF('Competency Event Log'!$U$4:$U$803,$B27&amp;"|"&amp;G$5,'Competency Event Log'!$D$4:$D$803)))</f>
        <v/>
      </c>
      <c r="H27" s="8" t="str">
        <f>IF($B27="","",IF(COUNTIF('Competency Event Log'!$U$4:$U$803,$B27&amp;"|"&amp;H$5)=0,"",SUMIF('Competency Event Log'!$U$4:$U$803,$B27&amp;"|"&amp;H$5,'Competency Event Log'!$D$4:$D$803)))</f>
        <v/>
      </c>
      <c r="I27" s="8" t="str">
        <f>IF($B27="","",IF(COUNTIF('Competency Event Log'!$U$4:$U$803,$B27&amp;"|"&amp;I$5)=0,"",SUMIF('Competency Event Log'!$U$4:$U$803,$B27&amp;"|"&amp;I$5,'Competency Event Log'!$D$4:$D$803)))</f>
        <v/>
      </c>
      <c r="J27" s="8" t="str">
        <f>IF($B27="","",IF(COUNTIF('Competency Event Log'!$U$4:$U$803,$B27&amp;"|"&amp;J$5)=0,"",SUMIF('Competency Event Log'!$U$4:$U$803,$B27&amp;"|"&amp;J$5,'Competency Event Log'!$D$4:$D$803)))</f>
        <v/>
      </c>
      <c r="K27" s="8" t="str">
        <f>IF($B27="","",IF(COUNTIF('Competency Event Log'!$U$4:$U$803,$B27&amp;"|"&amp;K$5)=0,"",SUMIF('Competency Event Log'!$U$4:$U$803,$B27&amp;"|"&amp;K$5,'Competency Event Log'!$D$4:$D$803)))</f>
        <v/>
      </c>
      <c r="L27" s="8" t="str">
        <f>IF($B27="","",IF(COUNTIF('Competency Event Log'!$U$4:$U$803,$B27&amp;"|"&amp;L$5)=0,"",SUMIF('Competency Event Log'!$U$4:$U$803,$B27&amp;"|"&amp;L$5,'Competency Event Log'!$D$4:$D$803)))</f>
        <v/>
      </c>
      <c r="M27" s="8" t="str">
        <f>IF($B27="","",IF(COUNTIF('Competency Event Log'!$U$4:$U$803,$B27&amp;"|"&amp;M$5)=0,"",SUMIF('Competency Event Log'!$U$4:$U$803,$B27&amp;"|"&amp;M$5,'Competency Event Log'!$D$4:$D$803)))</f>
        <v/>
      </c>
      <c r="N27" s="8" t="str">
        <f>IF($B27="","",IF(COUNTIF('Competency Event Log'!$U$4:$U$803,$B27&amp;"|"&amp;N$5)=0,"",SUMIF('Competency Event Log'!$U$4:$U$803,$B27&amp;"|"&amp;N$5,'Competency Event Log'!$D$4:$D$803)))</f>
        <v/>
      </c>
      <c r="O27" s="8" t="str">
        <f>IF($B27="","",IF(COUNTIF('Competency Event Log'!$U$4:$U$803,$B27&amp;"|"&amp;O$5)=0,"",SUMIF('Competency Event Log'!$U$4:$U$803,$B27&amp;"|"&amp;O$5,'Competency Event Log'!$D$4:$D$803)))</f>
        <v/>
      </c>
      <c r="P27" s="8" t="str">
        <f>IF($B27="","",IF(COUNTIF('Competency Event Log'!$U$4:$U$803,$B27&amp;"|"&amp;P$5)=0,"",SUMIF('Competency Event Log'!$U$4:$U$803,$B27&amp;"|"&amp;P$5,'Competency Event Log'!$D$4:$D$803)))</f>
        <v/>
      </c>
      <c r="Q27" s="8" t="str">
        <f>IF($B27="","",IF(COUNTIF('Competency Event Log'!$U$4:$U$803,$B27&amp;"|"&amp;Q$5)=0,"",SUMIF('Competency Event Log'!$U$4:$U$803,$B27&amp;"|"&amp;Q$5,'Competency Event Log'!$D$4:$D$803)))</f>
        <v/>
      </c>
      <c r="R27" s="8" t="str">
        <f>IF($B27="","",IF(COUNTIF('Competency Event Log'!$U$4:$U$803,$B27&amp;"|"&amp;R$5)=0,"",SUMIF('Competency Event Log'!$U$4:$U$803,$B27&amp;"|"&amp;R$5,'Competency Event Log'!$D$4:$D$803)))</f>
        <v/>
      </c>
      <c r="S27" s="8" t="str">
        <f>IF($B27="","",IF(COUNTIF('Competency Event Log'!$U$4:$U$803,$B27&amp;"|"&amp;S$5)=0,"",SUMIF('Competency Event Log'!$U$4:$U$803,$B27&amp;"|"&amp;S$5,'Competency Event Log'!$D$4:$D$803)))</f>
        <v/>
      </c>
      <c r="T27" s="8" t="str">
        <f>IF($B27="","",IF(COUNTIF('Competency Event Log'!$U$4:$U$803,$B27&amp;"|"&amp;T$5)=0,"",SUMIF('Competency Event Log'!$U$4:$U$803,$B27&amp;"|"&amp;T$5,'Competency Event Log'!$D$4:$D$803)))</f>
        <v/>
      </c>
      <c r="U27" s="8" t="str">
        <f>IF($B27="","",IF(COUNTIF('Competency Event Log'!$U$4:$U$803,$B27&amp;"|"&amp;U$5)=0,"",SUMIF('Competency Event Log'!$U$4:$U$803,$B27&amp;"|"&amp;U$5,'Competency Event Log'!$D$4:$D$803)))</f>
        <v/>
      </c>
      <c r="V27" s="8" t="str">
        <f>IF($B27="","",IF(COUNTIF('Competency Event Log'!$U$4:$U$803,$B27&amp;"|"&amp;V$5)=0,"",SUMIF('Competency Event Log'!$U$4:$U$803,$B27&amp;"|"&amp;V$5,'Competency Event Log'!$D$4:$D$803)))</f>
        <v/>
      </c>
      <c r="W27" s="8" t="str">
        <f>IF($B27="","",IF(COUNTIF('Competency Event Log'!$U$4:$U$803,$B27&amp;"|"&amp;W$5)=0,"",SUMIF('Competency Event Log'!$U$4:$U$803,$B27&amp;"|"&amp;W$5,'Competency Event Log'!$D$4:$D$803)))</f>
        <v/>
      </c>
      <c r="X27" s="8" t="str">
        <f>IF($B27="","",IF(COUNTIF('Competency Event Log'!$U$4:$U$803,$B27&amp;"|"&amp;X$5)=0,"",SUMIF('Competency Event Log'!$U$4:$U$803,$B27&amp;"|"&amp;X$5,'Competency Event Log'!$D$4:$D$803)))</f>
        <v/>
      </c>
      <c r="Y27" s="8" t="str">
        <f>IF($B27="","",IF(COUNTIF('Competency Event Log'!$U$4:$U$803,$B27&amp;"|"&amp;Y$5)=0,"",SUMIF('Competency Event Log'!$U$4:$U$803,$B27&amp;"|"&amp;Y$5,'Competency Event Log'!$D$4:$D$803)))</f>
        <v/>
      </c>
      <c r="Z27" s="8" t="str">
        <f>IF($B27="","",IF(COUNTIF('Competency Event Log'!$U$4:$U$803,$B27&amp;"|"&amp;Z$5)=0,"",SUMIF('Competency Event Log'!$U$4:$U$803,$B27&amp;"|"&amp;Z$5,'Competency Event Log'!$D$4:$D$803)))</f>
        <v/>
      </c>
      <c r="AA27" s="8" t="str">
        <f>IF($B27="","",IF(COUNTIF('Competency Event Log'!$U$4:$U$803,$B27&amp;"|"&amp;AA$5)=0,"",SUMIF('Competency Event Log'!$U$4:$U$803,$B27&amp;"|"&amp;AA$5,'Competency Event Log'!$D$4:$D$803)))</f>
        <v/>
      </c>
      <c r="AB27" s="8" t="str">
        <f>IF($B27="","",IF(COUNTIF('Competency Event Log'!$U$4:$U$803,$B27&amp;"|"&amp;AB$5)=0,"",SUMIF('Competency Event Log'!$U$4:$U$803,$B27&amp;"|"&amp;AB$5,'Competency Event Log'!$D$4:$D$803)))</f>
        <v/>
      </c>
      <c r="AC27" s="8" t="str">
        <f>IF($B27="","",IF(COUNTIF('Competency Event Log'!$U$4:$U$803,$B27&amp;"|"&amp;AC$5)=0,"",SUMIF('Competency Event Log'!$U$4:$U$803,$B27&amp;"|"&amp;AC$5,'Competency Event Log'!$D$4:$D$803)))</f>
        <v/>
      </c>
      <c r="AD27" s="8" t="str">
        <f>IF($B27="","",IF(COUNTIF('Competency Event Log'!$U$4:$U$803,$B27&amp;"|"&amp;AD$5)=0,"",SUMIF('Competency Event Log'!$U$4:$U$803,$B27&amp;"|"&amp;AD$5,'Competency Event Log'!$D$4:$D$803)))</f>
        <v/>
      </c>
      <c r="AE27" s="8" t="str">
        <f>IF($B27="","",IF(COUNTIF('Competency Event Log'!$U$4:$U$803,$B27&amp;"|"&amp;AE$5)=0,"",SUMIF('Competency Event Log'!$U$4:$U$803,$B27&amp;"|"&amp;AE$5,'Competency Event Log'!$D$4:$D$803)))</f>
        <v/>
      </c>
      <c r="AF27" s="8" t="str">
        <f>IF($B27="","",IF(COUNTIF('Competency Event Log'!$U$4:$U$803,$B27&amp;"|"&amp;AF$5)=0,"",SUMIF('Competency Event Log'!$U$4:$U$803,$B27&amp;"|"&amp;AF$5,'Competency Event Log'!$D$4:$D$803)))</f>
        <v/>
      </c>
      <c r="AG27" s="8" t="str">
        <f>IF($B27="","",IF(COUNTIF('Competency Event Log'!$U$4:$U$803,$B27&amp;"|"&amp;AG$5)=0,"",SUMIF('Competency Event Log'!$U$4:$U$803,$B27&amp;"|"&amp;AG$5,'Competency Event Log'!$D$4:$D$803)))</f>
        <v/>
      </c>
      <c r="AH27" s="8" t="str">
        <f>IF($B27="","",IF(COUNTIF('Competency Event Log'!$U$4:$U$803,$B27&amp;"|"&amp;AH$5)=0,"",SUMIF('Competency Event Log'!$U$4:$U$803,$B27&amp;"|"&amp;AH$5,'Competency Event Log'!$D$4:$D$803)))</f>
        <v/>
      </c>
      <c r="AI27" s="8" t="str">
        <f>IF($B27="","",IF(COUNTIF('Competency Event Log'!$U$4:$U$803,$B27&amp;"|"&amp;AI$5)=0,"",SUMIF('Competency Event Log'!$U$4:$U$803,$B27&amp;"|"&amp;AI$5,'Competency Event Log'!$D$4:$D$803)))</f>
        <v/>
      </c>
      <c r="AJ27" s="8" t="str">
        <f>IF($B27="","",IF(COUNTIF('Competency Event Log'!$U$4:$U$803,$B27&amp;"|"&amp;AJ$5)=0,"",SUMIF('Competency Event Log'!$U$4:$U$803,$B27&amp;"|"&amp;AJ$5,'Competency Event Log'!$D$4:$D$803)))</f>
        <v/>
      </c>
      <c r="AK27" s="8" t="str">
        <f>IF($B27="","",IF(COUNTIF('Competency Event Log'!$U$4:$U$803,$B27&amp;"|"&amp;AK$5)=0,"",SUMIF('Competency Event Log'!$U$4:$U$803,$B27&amp;"|"&amp;AK$5,'Competency Event Log'!$D$4:$D$803)))</f>
        <v/>
      </c>
      <c r="AL27" s="8">
        <f>IF($B27="","",IF(COUNTIF('Competency Event Log'!$U$4:$U$803,$B27&amp;"|"&amp;AL$5)=0,"",SUMIF('Competency Event Log'!$U$4:$U$803,$B27&amp;"|"&amp;AL$5,'Competency Event Log'!$D$4:$D$803)))</f>
        <v>3</v>
      </c>
      <c r="AM27" s="8" t="str">
        <f>IF($B27="","",IF(COUNTIF('Competency Event Log'!$U$4:$U$803,$B27&amp;"|"&amp;AM$5)=0,"",SUMIF('Competency Event Log'!$U$4:$U$803,$B27&amp;"|"&amp;AM$5,'Competency Event Log'!$D$4:$D$803)))</f>
        <v/>
      </c>
      <c r="AN27" s="8" t="str">
        <f>IF($B27="","",IF(COUNTIF('Competency Event Log'!$U$4:$U$803,$B27&amp;"|"&amp;AN$5)=0,"",SUMIF('Competency Event Log'!$U$4:$U$803,$B27&amp;"|"&amp;AN$5,'Competency Event Log'!$D$4:$D$803)))</f>
        <v/>
      </c>
      <c r="AO27" s="8" t="str">
        <f>IF($B27="","",IF(COUNTIF('Competency Event Log'!$U$4:$U$803,$B27&amp;"|"&amp;AO$5)=0,"",SUMIF('Competency Event Log'!$U$4:$U$803,$B27&amp;"|"&amp;AO$5,'Competency Event Log'!$D$4:$D$803)))</f>
        <v/>
      </c>
      <c r="AP27" s="8" t="str">
        <f>IF($B27="","",IF(COUNTIF('Competency Event Log'!$U$4:$U$803,$B27&amp;"|"&amp;AP$5)=0,"",SUMIF('Competency Event Log'!$U$4:$U$803,$B27&amp;"|"&amp;AP$5,'Competency Event Log'!$D$4:$D$803)))</f>
        <v/>
      </c>
      <c r="AQ27" s="8" t="str">
        <f>IF($B27="","",IF(COUNTIF('Competency Event Log'!$U$4:$U$803,$B27&amp;"|"&amp;AQ$5)=0,"",SUMIF('Competency Event Log'!$U$4:$U$803,$B27&amp;"|"&amp;AQ$5,'Competency Event Log'!$D$4:$D$803)))</f>
        <v/>
      </c>
      <c r="AR27" s="8" t="str">
        <f>IF($B27="","",IF(COUNTIF('Competency Event Log'!$U$4:$U$803,$B27&amp;"|"&amp;AR$5)=0,"",SUMIF('Competency Event Log'!$U$4:$U$803,$B27&amp;"|"&amp;AR$5,'Competency Event Log'!$D$4:$D$803)))</f>
        <v/>
      </c>
      <c r="AS27" s="8" t="str">
        <f>IF($B27="","",IF(COUNTIF('Competency Event Log'!$U$4:$U$803,$B27&amp;"|"&amp;AS$5)=0,"",SUMIF('Competency Event Log'!$U$4:$U$803,$B27&amp;"|"&amp;AS$5,'Competency Event Log'!$D$4:$D$803)))</f>
        <v/>
      </c>
      <c r="AT27" s="8" t="str">
        <f>IF($B27="","",IF(COUNTIF('Competency Event Log'!$U$4:$U$803,$B27&amp;"|"&amp;AT$5)=0,"",SUMIF('Competency Event Log'!$U$4:$U$803,$B27&amp;"|"&amp;AT$5,'Competency Event Log'!$D$4:$D$803)))</f>
        <v/>
      </c>
      <c r="AU27" s="8">
        <f>IF($B27="","",IF(COUNTIF('Competency Event Log'!$U$4:$U$803,$B27&amp;"|"&amp;AU$5)=0,"",SUMIF('Competency Event Log'!$U$4:$U$803,$B27&amp;"|"&amp;AU$5,'Competency Event Log'!$D$4:$D$803)))</f>
        <v>3</v>
      </c>
      <c r="AV27" s="8" t="str">
        <f>IF($B27="","",IF(COUNTIF('Competency Event Log'!$U$4:$U$803,$B27&amp;"|"&amp;AV$5)=0,"",SUMIF('Competency Event Log'!$U$4:$U$803,$B27&amp;"|"&amp;AV$5,'Competency Event Log'!$D$4:$D$803)))</f>
        <v/>
      </c>
      <c r="AW27" s="8">
        <f>IF($B27="","",IF(COUNTIF('Competency Event Log'!$U$4:$U$803,$B27&amp;"|"&amp;AW$5)=0,"",SUMIF('Competency Event Log'!$U$4:$U$803,$B27&amp;"|"&amp;AW$5,'Competency Event Log'!$D$4:$D$803)))</f>
        <v>3</v>
      </c>
      <c r="AX27" s="8" t="str">
        <f>IF($B27="","",IF(COUNTIF('Competency Event Log'!$U$4:$U$803,$B27&amp;"|"&amp;AX$5)=0,"",SUMIF('Competency Event Log'!$U$4:$U$803,$B27&amp;"|"&amp;AX$5,'Competency Event Log'!$D$4:$D$803)))</f>
        <v/>
      </c>
      <c r="AY27" s="8">
        <f>IF($B27="","",IF(COUNTIF('Competency Event Log'!$U$4:$U$803,$B27&amp;"|"&amp;AY$5)=0,"",SUMIF('Competency Event Log'!$U$4:$U$803,$B27&amp;"|"&amp;AY$5,'Competency Event Log'!$D$4:$D$803)))</f>
        <v>1</v>
      </c>
      <c r="AZ27" s="8" t="str">
        <f>IF($B27="","",IF(COUNTIF('Competency Event Log'!$U$4:$U$803,$B27&amp;"|"&amp;AZ$5)=0,"",SUMIF('Competency Event Log'!$U$4:$U$803,$B27&amp;"|"&amp;AZ$5,'Competency Event Log'!$D$4:$D$803)))</f>
        <v/>
      </c>
      <c r="BA27" s="8">
        <f>IF($B27="","",IF(COUNTIF('Competency Event Log'!$U$4:$U$803,$B27&amp;"|"&amp;BA$5)=0,"",SUMIF('Competency Event Log'!$U$4:$U$803,$B27&amp;"|"&amp;BA$5,'Competency Event Log'!$D$4:$D$803)))</f>
        <v>3</v>
      </c>
      <c r="BB27" s="8" t="str">
        <f>IF($B27="","",IF(COUNTIF('Competency Event Log'!$U$4:$U$803,$B27&amp;"|"&amp;BB$5)=0,"",SUMIF('Competency Event Log'!$U$4:$U$803,$B27&amp;"|"&amp;BB$5,'Competency Event Log'!$D$4:$D$803)))</f>
        <v/>
      </c>
      <c r="BC27" s="8" t="str">
        <f>IF($B27="","",IF(COUNTIF('Competency Event Log'!$U$4:$U$803,$B27&amp;"|"&amp;BC$5)=0,"",SUMIF('Competency Event Log'!$U$4:$U$803,$B27&amp;"|"&amp;BC$5,'Competency Event Log'!$D$4:$D$803)))</f>
        <v/>
      </c>
      <c r="BD27" s="8" t="str">
        <f>IF($B27="","",IF(COUNTIF('Competency Event Log'!$U$4:$U$803,$B27&amp;"|"&amp;BD$5)=0,"",SUMIF('Competency Event Log'!$U$4:$U$803,$B27&amp;"|"&amp;BD$5,'Competency Event Log'!$D$4:$D$803)))</f>
        <v/>
      </c>
      <c r="BE27" s="8" t="str">
        <f>IF($B27="","",IF(COUNTIF('Competency Event Log'!$U$4:$U$803,$B27&amp;"|"&amp;BE$5)=0,"",SUMIF('Competency Event Log'!$U$4:$U$803,$B27&amp;"|"&amp;BE$5,'Competency Event Log'!$D$4:$D$803)))</f>
        <v/>
      </c>
      <c r="BF27" s="8" t="str">
        <f>IF($B27="","",IF(COUNTIF('Competency Event Log'!$U$4:$U$803,$B27&amp;"|"&amp;BF$5)=0,"",SUMIF('Competency Event Log'!$U$4:$U$803,$B27&amp;"|"&amp;BF$5,'Competency Event Log'!$D$4:$D$803)))</f>
        <v/>
      </c>
      <c r="BG27" s="8" t="str">
        <f>IF($B27="","",IF(COUNTIF('Competency Event Log'!$U$4:$U$803,$B27&amp;"|"&amp;BG$5)=0,"",SUMIF('Competency Event Log'!$U$4:$U$803,$B27&amp;"|"&amp;BG$5,'Competency Event Log'!$D$4:$D$803)))</f>
        <v/>
      </c>
      <c r="BH27" s="8" t="str">
        <f>IF($B27="","",IF(COUNTIF('Competency Event Log'!$U$4:$U$803,$B27&amp;"|"&amp;BH$5)=0,"",SUMIF('Competency Event Log'!$U$4:$U$803,$B27&amp;"|"&amp;BH$5,'Competency Event Log'!$D$4:$D$803)))</f>
        <v/>
      </c>
      <c r="BI27" s="8" t="str">
        <f>IF($B27="","",IF(COUNTIF('Competency Event Log'!$U$4:$U$803,$B27&amp;"|"&amp;BI$5)=0,"",SUMIF('Competency Event Log'!$U$4:$U$803,$B27&amp;"|"&amp;BI$5,'Competency Event Log'!$D$4:$D$803)))</f>
        <v/>
      </c>
      <c r="BJ27" s="8" t="str">
        <f>IF($B27="","",IF(COUNTIF('Competency Event Log'!$U$4:$U$803,$B27&amp;"|"&amp;BJ$5)=0,"",SUMIF('Competency Event Log'!$U$4:$U$803,$B27&amp;"|"&amp;BJ$5,'Competency Event Log'!$D$4:$D$803)))</f>
        <v/>
      </c>
      <c r="BK27" s="8" t="str">
        <f>IF($B27="","",IF(COUNTIF('Competency Event Log'!$U$4:$U$803,$B27&amp;"|"&amp;BK$5)=0,"",SUMIF('Competency Event Log'!$U$4:$U$803,$B27&amp;"|"&amp;BK$5,'Competency Event Log'!$D$4:$D$803)))</f>
        <v/>
      </c>
      <c r="BL27" s="8" t="str">
        <f>IF($B27="","",IF(COUNTIF('Competency Event Log'!$U$4:$U$803,$B27&amp;"|"&amp;BL$5)=0,"",SUMIF('Competency Event Log'!$U$4:$U$803,$B27&amp;"|"&amp;BL$5,'Competency Event Log'!$D$4:$D$803)))</f>
        <v/>
      </c>
      <c r="BM27" s="8" t="str">
        <f>IF($B27="","",IF(COUNTIF('Competency Event Log'!$U$4:$U$803,$B27&amp;"|"&amp;BM$5)=0,"",SUMIF('Competency Event Log'!$U$4:$U$803,$B27&amp;"|"&amp;BM$5,'Competency Event Log'!$D$4:$D$803)))</f>
        <v/>
      </c>
      <c r="BN27" s="8" t="str">
        <f>IF($B27="","",IF(COUNTIF('Competency Event Log'!$U$4:$U$803,$B27&amp;"|"&amp;BN$5)=0,"",SUMIF('Competency Event Log'!$U$4:$U$803,$B27&amp;"|"&amp;BN$5,'Competency Event Log'!$D$4:$D$803)))</f>
        <v/>
      </c>
      <c r="BO27" s="8" t="str">
        <f>IF($B27="","",IF(COUNTIF('Competency Event Log'!$U$4:$U$803,$B27&amp;"|"&amp;BO$5)=0,"",SUMIF('Competency Event Log'!$U$4:$U$803,$B27&amp;"|"&amp;BO$5,'Competency Event Log'!$D$4:$D$803)))</f>
        <v/>
      </c>
      <c r="BP27" s="8" t="str">
        <f>IF($B27="","",IF(COUNTIF('Competency Event Log'!$U$4:$U$803,$B27&amp;"|"&amp;BP$5)=0,"",SUMIF('Competency Event Log'!$U$4:$U$803,$B27&amp;"|"&amp;BP$5,'Competency Event Log'!$D$4:$D$803)))</f>
        <v/>
      </c>
      <c r="BQ27" s="8" t="str">
        <f>IF($B27="","",IF(COUNTIF('Competency Event Log'!$U$4:$U$803,$B27&amp;"|"&amp;BQ$5)=0,"",SUMIF('Competency Event Log'!$U$4:$U$803,$B27&amp;"|"&amp;BQ$5,'Competency Event Log'!$D$4:$D$803)))</f>
        <v/>
      </c>
      <c r="BR27" s="8" t="str">
        <f>IF($B27="","",IF(COUNTIF('Competency Event Log'!$U$4:$U$803,$B27&amp;"|"&amp;BR$5)=0,"",SUMIF('Competency Event Log'!$U$4:$U$803,$B27&amp;"|"&amp;BR$5,'Competency Event Log'!$D$4:$D$803)))</f>
        <v/>
      </c>
      <c r="BS27" s="8" t="str">
        <f>IF($B27="","",IF(COUNTIF('Competency Event Log'!$U$4:$U$803,$B27&amp;"|"&amp;BS$5)=0,"",SUMIF('Competency Event Log'!$U$4:$U$803,$B27&amp;"|"&amp;BS$5,'Competency Event Log'!$D$4:$D$803)))</f>
        <v/>
      </c>
      <c r="BT27" s="8" t="str">
        <f>IF($B27="","",IF(COUNTIF('Competency Event Log'!$U$4:$U$803,$B27&amp;"|"&amp;BT$5)=0,"",SUMIF('Competency Event Log'!$U$4:$U$803,$B27&amp;"|"&amp;BT$5,'Competency Event Log'!$D$4:$D$803)))</f>
        <v/>
      </c>
      <c r="BU27" s="8" t="str">
        <f>IF($B27="","",IF(COUNTIF('Competency Event Log'!$U$4:$U$803,$B27&amp;"|"&amp;BU$5)=0,"",SUMIF('Competency Event Log'!$U$4:$U$803,$B27&amp;"|"&amp;BU$5,'Competency Event Log'!$D$4:$D$803)))</f>
        <v/>
      </c>
      <c r="BV27" s="8" t="str">
        <f>IF($B27="","",IF(COUNTIF('Competency Event Log'!$U$4:$U$803,$B27&amp;"|"&amp;BV$5)=0,"",SUMIF('Competency Event Log'!$U$4:$U$803,$B27&amp;"|"&amp;BV$5,'Competency Event Log'!$D$4:$D$803)))</f>
        <v/>
      </c>
      <c r="BW27" s="8" t="str">
        <f>IF($B27="","",IF(COUNTIF('Competency Event Log'!$U$4:$U$803,$B27&amp;"|"&amp;BW$5)=0,"",SUMIF('Competency Event Log'!$U$4:$U$803,$B27&amp;"|"&amp;BW$5,'Competency Event Log'!$D$4:$D$803)))</f>
        <v/>
      </c>
      <c r="BX27" s="8" t="str">
        <f>IF($B27="","",IF(COUNTIF('Competency Event Log'!$U$4:$U$803,$B27&amp;"|"&amp;BX$5)=0,"",SUMIF('Competency Event Log'!$U$4:$U$803,$B27&amp;"|"&amp;BX$5,'Competency Event Log'!$D$4:$D$803)))</f>
        <v/>
      </c>
      <c r="BY27" s="8" t="str">
        <f>IF($B27="","",IF(COUNTIF('Competency Event Log'!$U$4:$U$803,$B27&amp;"|"&amp;BY$5)=0,"",SUMIF('Competency Event Log'!$U$4:$U$803,$B27&amp;"|"&amp;BY$5,'Competency Event Log'!$D$4:$D$803)))</f>
        <v/>
      </c>
      <c r="BZ27" s="8" t="str">
        <f>IF($B27="","",IF(COUNTIF('Competency Event Log'!$U$4:$U$803,$B27&amp;"|"&amp;BZ$5)=0,"",SUMIF('Competency Event Log'!$U$4:$U$803,$B27&amp;"|"&amp;BZ$5,'Competency Event Log'!$D$4:$D$803)))</f>
        <v/>
      </c>
      <c r="CA27" s="8" t="str">
        <f>IF($B27="","",IF(COUNTIF('Competency Event Log'!$U$4:$U$803,$B27&amp;"|"&amp;CA$5)=0,"",SUMIF('Competency Event Log'!$U$4:$U$803,$B27&amp;"|"&amp;CA$5,'Competency Event Log'!$D$4:$D$803)))</f>
        <v/>
      </c>
      <c r="CB27" s="8" t="str">
        <f>IF($B27="","",IF(COUNTIF('Competency Event Log'!$U$4:$U$803,$B27&amp;"|"&amp;CB$5)=0,"",SUMIF('Competency Event Log'!$U$4:$U$803,$B27&amp;"|"&amp;CB$5,'Competency Event Log'!$D$4:$D$803)))</f>
        <v/>
      </c>
      <c r="CC27" s="8" t="str">
        <f>IF($B27="","",IF(COUNTIF('Competency Event Log'!$U$4:$U$803,$B27&amp;"|"&amp;CC$5)=0,"",SUMIF('Competency Event Log'!$U$4:$U$803,$B27&amp;"|"&amp;CC$5,'Competency Event Log'!$D$4:$D$803)))</f>
        <v/>
      </c>
      <c r="CD27" s="8" t="str">
        <f>IF($B27="","",IF(COUNTIF('Competency Event Log'!$U$4:$U$803,$B27&amp;"|"&amp;CD$5)=0,"",SUMIF('Competency Event Log'!$U$4:$U$803,$B27&amp;"|"&amp;CD$5,'Competency Event Log'!$D$4:$D$803)))</f>
        <v/>
      </c>
      <c r="CE27" s="8" t="str">
        <f>IF($B27="","",IF(COUNTIF('Competency Event Log'!$U$4:$U$803,$B27&amp;"|"&amp;CE$5)=0,"",SUMIF('Competency Event Log'!$U$4:$U$803,$B27&amp;"|"&amp;CE$5,'Competency Event Log'!$D$4:$D$803)))</f>
        <v/>
      </c>
      <c r="CF27" s="8" t="str">
        <f>IF($B27="","",IF(COUNTIF('Competency Event Log'!$U$4:$U$803,$B27&amp;"|"&amp;CF$5)=0,"",SUMIF('Competency Event Log'!$U$4:$U$803,$B27&amp;"|"&amp;CF$5,'Competency Event Log'!$D$4:$D$803)))</f>
        <v/>
      </c>
      <c r="CG27" s="8" t="str">
        <f>IF($B27="","",IF(COUNTIF('Competency Event Log'!$U$4:$U$803,$B27&amp;"|"&amp;CG$5)=0,"",SUMIF('Competency Event Log'!$U$4:$U$803,$B27&amp;"|"&amp;CG$5,'Competency Event Log'!$D$4:$D$803)))</f>
        <v/>
      </c>
      <c r="CH27" s="8" t="str">
        <f>IF($B27="","",IF(COUNTIF('Competency Event Log'!$U$4:$U$803,$B27&amp;"|"&amp;CH$5)=0,"",SUMIF('Competency Event Log'!$U$4:$U$803,$B27&amp;"|"&amp;CH$5,'Competency Event Log'!$D$4:$D$803)))</f>
        <v/>
      </c>
      <c r="CI27" s="8" t="str">
        <f>IF($B27="","",IF(COUNTIF('Competency Event Log'!$U$4:$U$803,$B27&amp;"|"&amp;CI$5)=0,"",SUMIF('Competency Event Log'!$U$4:$U$803,$B27&amp;"|"&amp;CI$5,'Competency Event Log'!$D$4:$D$803)))</f>
        <v/>
      </c>
      <c r="CJ27" s="8" t="str">
        <f>IF($B27="","",IF(COUNTIF('Competency Event Log'!$U$4:$U$803,$B27&amp;"|"&amp;CJ$5)=0,"",SUMIF('Competency Event Log'!$U$4:$U$803,$B27&amp;"|"&amp;CJ$5,'Competency Event Log'!$D$4:$D$803)))</f>
        <v/>
      </c>
      <c r="CK27" s="8" t="str">
        <f>IF($B27="","",IF(COUNTIF('Competency Event Log'!$U$4:$U$803,$B27&amp;"|"&amp;CK$5)=0,"",SUMIF('Competency Event Log'!$U$4:$U$803,$B27&amp;"|"&amp;CK$5,'Competency Event Log'!$D$4:$D$803)))</f>
        <v/>
      </c>
      <c r="CL27" s="8" t="str">
        <f>IF($B27="","",IF(COUNTIF('Competency Event Log'!$U$4:$U$803,$B27&amp;"|"&amp;CL$5)=0,"",SUMIF('Competency Event Log'!$U$4:$U$803,$B27&amp;"|"&amp;CL$5,'Competency Event Log'!$D$4:$D$803)))</f>
        <v/>
      </c>
      <c r="CM27" s="8" t="str">
        <f>IF($B27="","",IF(COUNTIF('Competency Event Log'!$U$4:$U$803,$B27&amp;"|"&amp;CM$5)=0,"",SUMIF('Competency Event Log'!$U$4:$U$803,$B27&amp;"|"&amp;CM$5,'Competency Event Log'!$D$4:$D$803)))</f>
        <v/>
      </c>
      <c r="CN27" s="8" t="str">
        <f>IF($B27="","",IF(COUNTIF('Competency Event Log'!$U$4:$U$803,$B27&amp;"|"&amp;CN$5)=0,"",SUMIF('Competency Event Log'!$U$4:$U$803,$B27&amp;"|"&amp;CN$5,'Competency Event Log'!$D$4:$D$803)))</f>
        <v/>
      </c>
      <c r="CO27" s="8" t="str">
        <f>IF($B27="","",IF(COUNTIF('Competency Event Log'!$U$4:$U$803,$B27&amp;"|"&amp;CO$5)=0,"",SUMIF('Competency Event Log'!$U$4:$U$803,$B27&amp;"|"&amp;CO$5,'Competency Event Log'!$D$4:$D$803)))</f>
        <v/>
      </c>
      <c r="CP27" s="8" t="str">
        <f>IF($B27="","",IF(COUNTIF('Competency Event Log'!$U$4:$U$803,$B27&amp;"|"&amp;CP$5)=0,"",SUMIF('Competency Event Log'!$U$4:$U$803,$B27&amp;"|"&amp;CP$5,'Competency Event Log'!$D$4:$D$803)))</f>
        <v/>
      </c>
      <c r="CQ27" s="8" t="str">
        <f>IF($B27="","",IF(COUNTIF('Competency Event Log'!$U$4:$U$803,$B27&amp;"|"&amp;CQ$5)=0,"",SUMIF('Competency Event Log'!$U$4:$U$803,$B27&amp;"|"&amp;CQ$5,'Competency Event Log'!$D$4:$D$803)))</f>
        <v/>
      </c>
      <c r="CR27" s="8" t="str">
        <f>IF($B27="","",IF(COUNTIF('Competency Event Log'!$U$4:$U$803,$B27&amp;"|"&amp;CR$5)=0,"",SUMIF('Competency Event Log'!$U$4:$U$803,$B27&amp;"|"&amp;CR$5,'Competency Event Log'!$D$4:$D$803)))</f>
        <v/>
      </c>
      <c r="CS27" s="8" t="str">
        <f>IF($B27="","",IF(COUNTIF('Competency Event Log'!$U$4:$U$803,$B27&amp;"|"&amp;CS$5)=0,"",SUMIF('Competency Event Log'!$U$4:$U$803,$B27&amp;"|"&amp;CS$5,'Competency Event Log'!$D$4:$D$803)))</f>
        <v/>
      </c>
      <c r="CT27" s="8" t="str">
        <f>IF($B27="","",IF(COUNTIF('Competency Event Log'!$U$4:$U$803,$B27&amp;"|"&amp;CT$5)=0,"",SUMIF('Competency Event Log'!$U$4:$U$803,$B27&amp;"|"&amp;CT$5,'Competency Event Log'!$D$4:$D$803)))</f>
        <v/>
      </c>
      <c r="CU27" s="8" t="str">
        <f>IF($B27="","",IF(COUNTIF('Competency Event Log'!$U$4:$U$803,$B27&amp;"|"&amp;CU$5)=0,"",SUMIF('Competency Event Log'!$U$4:$U$803,$B27&amp;"|"&amp;CU$5,'Competency Event Log'!$D$4:$D$803)))</f>
        <v/>
      </c>
      <c r="CV27" s="8" t="str">
        <f>IF($B27="","",IF(COUNTIF('Competency Event Log'!$U$4:$U$803,$B27&amp;"|"&amp;CV$5)=0,"",SUMIF('Competency Event Log'!$U$4:$U$803,$B27&amp;"|"&amp;CV$5,'Competency Event Log'!$D$4:$D$803)))</f>
        <v/>
      </c>
      <c r="CW27" s="8" t="str">
        <f>IF($B27="","",IF(COUNTIF('Competency Event Log'!$U$4:$U$803,$B27&amp;"|"&amp;CW$5)=0,"",SUMIF('Competency Event Log'!$U$4:$U$803,$B27&amp;"|"&amp;CW$5,'Competency Event Log'!$D$4:$D$803)))</f>
        <v/>
      </c>
      <c r="CX27" s="8" t="str">
        <f>IF($B27="","",IF(COUNTIF('Competency Event Log'!$U$4:$U$803,$B27&amp;"|"&amp;CX$5)=0,"",SUMIF('Competency Event Log'!$U$4:$U$803,$B27&amp;"|"&amp;CX$5,'Competency Event Log'!$D$4:$D$803)))</f>
        <v/>
      </c>
      <c r="CY27" s="8" t="str">
        <f>IF($B27="","",IF(COUNTIF('Competency Event Log'!$U$4:$U$803,$B27&amp;"|"&amp;CY$5)=0,"",SUMIF('Competency Event Log'!$U$4:$U$803,$B27&amp;"|"&amp;CY$5,'Competency Event Log'!$D$4:$D$803)))</f>
        <v/>
      </c>
      <c r="CZ27" s="8" t="str">
        <f>IF($B27="","",IF(COUNTIF('Competency Event Log'!$U$4:$U$803,$B27&amp;"|"&amp;CZ$5)=0,"",SUMIF('Competency Event Log'!$U$4:$U$803,$B27&amp;"|"&amp;CZ$5,'Competency Event Log'!$D$4:$D$803)))</f>
        <v/>
      </c>
      <c r="DA27" s="8" t="str">
        <f>IF($B27="","",IF(COUNTIF('Competency Event Log'!$U$4:$U$803,$B27&amp;"|"&amp;DA$5)=0,"",SUMIF('Competency Event Log'!$U$4:$U$803,$B27&amp;"|"&amp;DA$5,'Competency Event Log'!$D$4:$D$803)))</f>
        <v/>
      </c>
      <c r="DB27" s="8" t="str">
        <f>IF($B27="","",IF(COUNTIF('Competency Event Log'!$U$4:$U$803,$B27&amp;"|"&amp;DB$5)=0,"",SUMIF('Competency Event Log'!$U$4:$U$803,$B27&amp;"|"&amp;DB$5,'Competency Event Log'!$D$4:$D$803)))</f>
        <v/>
      </c>
      <c r="DC27" s="8" t="str">
        <f>IF($B27="","",IF(COUNTIF('Competency Event Log'!$U$4:$U$803,$B27&amp;"|"&amp;DC$5)=0,"",SUMIF('Competency Event Log'!$U$4:$U$803,$B27&amp;"|"&amp;DC$5,'Competency Event Log'!$D$4:$D$803)))</f>
        <v/>
      </c>
      <c r="DD27" s="8" t="str">
        <f>IF($B27="","",IF(COUNTIF('Competency Event Log'!$U$4:$U$803,$B27&amp;"|"&amp;DD$5)=0,"",SUMIF('Competency Event Log'!$U$4:$U$803,$B27&amp;"|"&amp;DD$5,'Competency Event Log'!$D$4:$D$803)))</f>
        <v/>
      </c>
      <c r="DE27" s="8">
        <f>IF($B27="","",IF(COUNTIF('Competency Event Log'!$U$4:$U$803,$B27&amp;"|"&amp;DE$5)=0,"",SUMIF('Competency Event Log'!$U$4:$U$803,$B27&amp;"|"&amp;DE$5,'Competency Event Log'!$D$4:$D$803)))</f>
        <v>2</v>
      </c>
      <c r="DF27" s="8">
        <f t="shared" si="0"/>
        <v>15</v>
      </c>
      <c r="DG27" s="8">
        <f t="shared" si="1"/>
        <v>6</v>
      </c>
      <c r="DH27" s="8">
        <f t="shared" si="2"/>
        <v>4</v>
      </c>
      <c r="DI27" s="11">
        <f t="shared" si="3"/>
        <v>0.5</v>
      </c>
    </row>
    <row r="28" spans="1:113">
      <c r="A28" s="7" t="s">
        <v>307</v>
      </c>
      <c r="B28" s="7" t="s">
        <v>111</v>
      </c>
      <c r="C28" s="8">
        <v>2</v>
      </c>
      <c r="D28" s="9" t="s">
        <v>903</v>
      </c>
      <c r="E28" s="10">
        <v>44144</v>
      </c>
      <c r="F28" s="8" t="s">
        <v>812</v>
      </c>
      <c r="G28" s="8" t="str">
        <f>IF($B28="","",IF(COUNTIF('Competency Event Log'!$U$4:$U$803,$B28&amp;"|"&amp;G$5)=0,"",SUMIF('Competency Event Log'!$U$4:$U$803,$B28&amp;"|"&amp;G$5,'Competency Event Log'!$D$4:$D$803)))</f>
        <v/>
      </c>
      <c r="H28" s="8" t="str">
        <f>IF($B28="","",IF(COUNTIF('Competency Event Log'!$U$4:$U$803,$B28&amp;"|"&amp;H$5)=0,"",SUMIF('Competency Event Log'!$U$4:$U$803,$B28&amp;"|"&amp;H$5,'Competency Event Log'!$D$4:$D$803)))</f>
        <v/>
      </c>
      <c r="I28" s="8" t="str">
        <f>IF($B28="","",IF(COUNTIF('Competency Event Log'!$U$4:$U$803,$B28&amp;"|"&amp;I$5)=0,"",SUMIF('Competency Event Log'!$U$4:$U$803,$B28&amp;"|"&amp;I$5,'Competency Event Log'!$D$4:$D$803)))</f>
        <v/>
      </c>
      <c r="J28" s="8" t="str">
        <f>IF($B28="","",IF(COUNTIF('Competency Event Log'!$U$4:$U$803,$B28&amp;"|"&amp;J$5)=0,"",SUMIF('Competency Event Log'!$U$4:$U$803,$B28&amp;"|"&amp;J$5,'Competency Event Log'!$D$4:$D$803)))</f>
        <v/>
      </c>
      <c r="K28" s="8" t="str">
        <f>IF($B28="","",IF(COUNTIF('Competency Event Log'!$U$4:$U$803,$B28&amp;"|"&amp;K$5)=0,"",SUMIF('Competency Event Log'!$U$4:$U$803,$B28&amp;"|"&amp;K$5,'Competency Event Log'!$D$4:$D$803)))</f>
        <v/>
      </c>
      <c r="L28" s="8" t="str">
        <f>IF($B28="","",IF(COUNTIF('Competency Event Log'!$U$4:$U$803,$B28&amp;"|"&amp;L$5)=0,"",SUMIF('Competency Event Log'!$U$4:$U$803,$B28&amp;"|"&amp;L$5,'Competency Event Log'!$D$4:$D$803)))</f>
        <v/>
      </c>
      <c r="M28" s="8" t="str">
        <f>IF($B28="","",IF(COUNTIF('Competency Event Log'!$U$4:$U$803,$B28&amp;"|"&amp;M$5)=0,"",SUMIF('Competency Event Log'!$U$4:$U$803,$B28&amp;"|"&amp;M$5,'Competency Event Log'!$D$4:$D$803)))</f>
        <v/>
      </c>
      <c r="N28" s="8" t="str">
        <f>IF($B28="","",IF(COUNTIF('Competency Event Log'!$U$4:$U$803,$B28&amp;"|"&amp;N$5)=0,"",SUMIF('Competency Event Log'!$U$4:$U$803,$B28&amp;"|"&amp;N$5,'Competency Event Log'!$D$4:$D$803)))</f>
        <v/>
      </c>
      <c r="O28" s="8" t="str">
        <f>IF($B28="","",IF(COUNTIF('Competency Event Log'!$U$4:$U$803,$B28&amp;"|"&amp;O$5)=0,"",SUMIF('Competency Event Log'!$U$4:$U$803,$B28&amp;"|"&amp;O$5,'Competency Event Log'!$D$4:$D$803)))</f>
        <v/>
      </c>
      <c r="P28" s="8" t="str">
        <f>IF($B28="","",IF(COUNTIF('Competency Event Log'!$U$4:$U$803,$B28&amp;"|"&amp;P$5)=0,"",SUMIF('Competency Event Log'!$U$4:$U$803,$B28&amp;"|"&amp;P$5,'Competency Event Log'!$D$4:$D$803)))</f>
        <v/>
      </c>
      <c r="Q28" s="8" t="str">
        <f>IF($B28="","",IF(COUNTIF('Competency Event Log'!$U$4:$U$803,$B28&amp;"|"&amp;Q$5)=0,"",SUMIF('Competency Event Log'!$U$4:$U$803,$B28&amp;"|"&amp;Q$5,'Competency Event Log'!$D$4:$D$803)))</f>
        <v/>
      </c>
      <c r="R28" s="8" t="str">
        <f>IF($B28="","",IF(COUNTIF('Competency Event Log'!$U$4:$U$803,$B28&amp;"|"&amp;R$5)=0,"",SUMIF('Competency Event Log'!$U$4:$U$803,$B28&amp;"|"&amp;R$5,'Competency Event Log'!$D$4:$D$803)))</f>
        <v/>
      </c>
      <c r="S28" s="8" t="str">
        <f>IF($B28="","",IF(COUNTIF('Competency Event Log'!$U$4:$U$803,$B28&amp;"|"&amp;S$5)=0,"",SUMIF('Competency Event Log'!$U$4:$U$803,$B28&amp;"|"&amp;S$5,'Competency Event Log'!$D$4:$D$803)))</f>
        <v/>
      </c>
      <c r="T28" s="8" t="str">
        <f>IF($B28="","",IF(COUNTIF('Competency Event Log'!$U$4:$U$803,$B28&amp;"|"&amp;T$5)=0,"",SUMIF('Competency Event Log'!$U$4:$U$803,$B28&amp;"|"&amp;T$5,'Competency Event Log'!$D$4:$D$803)))</f>
        <v/>
      </c>
      <c r="U28" s="8" t="str">
        <f>IF($B28="","",IF(COUNTIF('Competency Event Log'!$U$4:$U$803,$B28&amp;"|"&amp;U$5)=0,"",SUMIF('Competency Event Log'!$U$4:$U$803,$B28&amp;"|"&amp;U$5,'Competency Event Log'!$D$4:$D$803)))</f>
        <v/>
      </c>
      <c r="V28" s="8" t="str">
        <f>IF($B28="","",IF(COUNTIF('Competency Event Log'!$U$4:$U$803,$B28&amp;"|"&amp;V$5)=0,"",SUMIF('Competency Event Log'!$U$4:$U$803,$B28&amp;"|"&amp;V$5,'Competency Event Log'!$D$4:$D$803)))</f>
        <v/>
      </c>
      <c r="W28" s="8" t="str">
        <f>IF($B28="","",IF(COUNTIF('Competency Event Log'!$U$4:$U$803,$B28&amp;"|"&amp;W$5)=0,"",SUMIF('Competency Event Log'!$U$4:$U$803,$B28&amp;"|"&amp;W$5,'Competency Event Log'!$D$4:$D$803)))</f>
        <v/>
      </c>
      <c r="X28" s="8" t="str">
        <f>IF($B28="","",IF(COUNTIF('Competency Event Log'!$U$4:$U$803,$B28&amp;"|"&amp;X$5)=0,"",SUMIF('Competency Event Log'!$U$4:$U$803,$B28&amp;"|"&amp;X$5,'Competency Event Log'!$D$4:$D$803)))</f>
        <v/>
      </c>
      <c r="Y28" s="8" t="str">
        <f>IF($B28="","",IF(COUNTIF('Competency Event Log'!$U$4:$U$803,$B28&amp;"|"&amp;Y$5)=0,"",SUMIF('Competency Event Log'!$U$4:$U$803,$B28&amp;"|"&amp;Y$5,'Competency Event Log'!$D$4:$D$803)))</f>
        <v/>
      </c>
      <c r="Z28" s="8" t="str">
        <f>IF($B28="","",IF(COUNTIF('Competency Event Log'!$U$4:$U$803,$B28&amp;"|"&amp;Z$5)=0,"",SUMIF('Competency Event Log'!$U$4:$U$803,$B28&amp;"|"&amp;Z$5,'Competency Event Log'!$D$4:$D$803)))</f>
        <v/>
      </c>
      <c r="AA28" s="8" t="str">
        <f>IF($B28="","",IF(COUNTIF('Competency Event Log'!$U$4:$U$803,$B28&amp;"|"&amp;AA$5)=0,"",SUMIF('Competency Event Log'!$U$4:$U$803,$B28&amp;"|"&amp;AA$5,'Competency Event Log'!$D$4:$D$803)))</f>
        <v/>
      </c>
      <c r="AB28" s="8" t="str">
        <f>IF($B28="","",IF(COUNTIF('Competency Event Log'!$U$4:$U$803,$B28&amp;"|"&amp;AB$5)=0,"",SUMIF('Competency Event Log'!$U$4:$U$803,$B28&amp;"|"&amp;AB$5,'Competency Event Log'!$D$4:$D$803)))</f>
        <v/>
      </c>
      <c r="AC28" s="8" t="str">
        <f>IF($B28="","",IF(COUNTIF('Competency Event Log'!$U$4:$U$803,$B28&amp;"|"&amp;AC$5)=0,"",SUMIF('Competency Event Log'!$U$4:$U$803,$B28&amp;"|"&amp;AC$5,'Competency Event Log'!$D$4:$D$803)))</f>
        <v/>
      </c>
      <c r="AD28" s="8" t="str">
        <f>IF($B28="","",IF(COUNTIF('Competency Event Log'!$U$4:$U$803,$B28&amp;"|"&amp;AD$5)=0,"",SUMIF('Competency Event Log'!$U$4:$U$803,$B28&amp;"|"&amp;AD$5,'Competency Event Log'!$D$4:$D$803)))</f>
        <v/>
      </c>
      <c r="AE28" s="8" t="str">
        <f>IF($B28="","",IF(COUNTIF('Competency Event Log'!$U$4:$U$803,$B28&amp;"|"&amp;AE$5)=0,"",SUMIF('Competency Event Log'!$U$4:$U$803,$B28&amp;"|"&amp;AE$5,'Competency Event Log'!$D$4:$D$803)))</f>
        <v/>
      </c>
      <c r="AF28" s="8" t="str">
        <f>IF($B28="","",IF(COUNTIF('Competency Event Log'!$U$4:$U$803,$B28&amp;"|"&amp;AF$5)=0,"",SUMIF('Competency Event Log'!$U$4:$U$803,$B28&amp;"|"&amp;AF$5,'Competency Event Log'!$D$4:$D$803)))</f>
        <v/>
      </c>
      <c r="AG28" s="8" t="str">
        <f>IF($B28="","",IF(COUNTIF('Competency Event Log'!$U$4:$U$803,$B28&amp;"|"&amp;AG$5)=0,"",SUMIF('Competency Event Log'!$U$4:$U$803,$B28&amp;"|"&amp;AG$5,'Competency Event Log'!$D$4:$D$803)))</f>
        <v/>
      </c>
      <c r="AH28" s="8" t="str">
        <f>IF($B28="","",IF(COUNTIF('Competency Event Log'!$U$4:$U$803,$B28&amp;"|"&amp;AH$5)=0,"",SUMIF('Competency Event Log'!$U$4:$U$803,$B28&amp;"|"&amp;AH$5,'Competency Event Log'!$D$4:$D$803)))</f>
        <v/>
      </c>
      <c r="AI28" s="8" t="str">
        <f>IF($B28="","",IF(COUNTIF('Competency Event Log'!$U$4:$U$803,$B28&amp;"|"&amp;AI$5)=0,"",SUMIF('Competency Event Log'!$U$4:$U$803,$B28&amp;"|"&amp;AI$5,'Competency Event Log'!$D$4:$D$803)))</f>
        <v/>
      </c>
      <c r="AJ28" s="8" t="str">
        <f>IF($B28="","",IF(COUNTIF('Competency Event Log'!$U$4:$U$803,$B28&amp;"|"&amp;AJ$5)=0,"",SUMIF('Competency Event Log'!$U$4:$U$803,$B28&amp;"|"&amp;AJ$5,'Competency Event Log'!$D$4:$D$803)))</f>
        <v/>
      </c>
      <c r="AK28" s="8" t="str">
        <f>IF($B28="","",IF(COUNTIF('Competency Event Log'!$U$4:$U$803,$B28&amp;"|"&amp;AK$5)=0,"",SUMIF('Competency Event Log'!$U$4:$U$803,$B28&amp;"|"&amp;AK$5,'Competency Event Log'!$D$4:$D$803)))</f>
        <v/>
      </c>
      <c r="AL28" s="8">
        <f>IF($B28="","",IF(COUNTIF('Competency Event Log'!$U$4:$U$803,$B28&amp;"|"&amp;AL$5)=0,"",SUMIF('Competency Event Log'!$U$4:$U$803,$B28&amp;"|"&amp;AL$5,'Competency Event Log'!$D$4:$D$803)))</f>
        <v>2</v>
      </c>
      <c r="AM28" s="8" t="str">
        <f>IF($B28="","",IF(COUNTIF('Competency Event Log'!$U$4:$U$803,$B28&amp;"|"&amp;AM$5)=0,"",SUMIF('Competency Event Log'!$U$4:$U$803,$B28&amp;"|"&amp;AM$5,'Competency Event Log'!$D$4:$D$803)))</f>
        <v/>
      </c>
      <c r="AN28" s="8" t="str">
        <f>IF($B28="","",IF(COUNTIF('Competency Event Log'!$U$4:$U$803,$B28&amp;"|"&amp;AN$5)=0,"",SUMIF('Competency Event Log'!$U$4:$U$803,$B28&amp;"|"&amp;AN$5,'Competency Event Log'!$D$4:$D$803)))</f>
        <v/>
      </c>
      <c r="AO28" s="8" t="str">
        <f>IF($B28="","",IF(COUNTIF('Competency Event Log'!$U$4:$U$803,$B28&amp;"|"&amp;AO$5)=0,"",SUMIF('Competency Event Log'!$U$4:$U$803,$B28&amp;"|"&amp;AO$5,'Competency Event Log'!$D$4:$D$803)))</f>
        <v/>
      </c>
      <c r="AP28" s="8" t="str">
        <f>IF($B28="","",IF(COUNTIF('Competency Event Log'!$U$4:$U$803,$B28&amp;"|"&amp;AP$5)=0,"",SUMIF('Competency Event Log'!$U$4:$U$803,$B28&amp;"|"&amp;AP$5,'Competency Event Log'!$D$4:$D$803)))</f>
        <v/>
      </c>
      <c r="AQ28" s="8" t="str">
        <f>IF($B28="","",IF(COUNTIF('Competency Event Log'!$U$4:$U$803,$B28&amp;"|"&amp;AQ$5)=0,"",SUMIF('Competency Event Log'!$U$4:$U$803,$B28&amp;"|"&amp;AQ$5,'Competency Event Log'!$D$4:$D$803)))</f>
        <v/>
      </c>
      <c r="AR28" s="8" t="str">
        <f>IF($B28="","",IF(COUNTIF('Competency Event Log'!$U$4:$U$803,$B28&amp;"|"&amp;AR$5)=0,"",SUMIF('Competency Event Log'!$U$4:$U$803,$B28&amp;"|"&amp;AR$5,'Competency Event Log'!$D$4:$D$803)))</f>
        <v/>
      </c>
      <c r="AS28" s="8" t="str">
        <f>IF($B28="","",IF(COUNTIF('Competency Event Log'!$U$4:$U$803,$B28&amp;"|"&amp;AS$5)=0,"",SUMIF('Competency Event Log'!$U$4:$U$803,$B28&amp;"|"&amp;AS$5,'Competency Event Log'!$D$4:$D$803)))</f>
        <v/>
      </c>
      <c r="AT28" s="8" t="str">
        <f>IF($B28="","",IF(COUNTIF('Competency Event Log'!$U$4:$U$803,$B28&amp;"|"&amp;AT$5)=0,"",SUMIF('Competency Event Log'!$U$4:$U$803,$B28&amp;"|"&amp;AT$5,'Competency Event Log'!$D$4:$D$803)))</f>
        <v/>
      </c>
      <c r="AU28" s="8">
        <f>IF($B28="","",IF(COUNTIF('Competency Event Log'!$U$4:$U$803,$B28&amp;"|"&amp;AU$5)=0,"",SUMIF('Competency Event Log'!$U$4:$U$803,$B28&amp;"|"&amp;AU$5,'Competency Event Log'!$D$4:$D$803)))</f>
        <v>3</v>
      </c>
      <c r="AV28" s="8" t="str">
        <f>IF($B28="","",IF(COUNTIF('Competency Event Log'!$U$4:$U$803,$B28&amp;"|"&amp;AV$5)=0,"",SUMIF('Competency Event Log'!$U$4:$U$803,$B28&amp;"|"&amp;AV$5,'Competency Event Log'!$D$4:$D$803)))</f>
        <v/>
      </c>
      <c r="AW28" s="8">
        <f>IF($B28="","",IF(COUNTIF('Competency Event Log'!$U$4:$U$803,$B28&amp;"|"&amp;AW$5)=0,"",SUMIF('Competency Event Log'!$U$4:$U$803,$B28&amp;"|"&amp;AW$5,'Competency Event Log'!$D$4:$D$803)))</f>
        <v>3</v>
      </c>
      <c r="AX28" s="8" t="str">
        <f>IF($B28="","",IF(COUNTIF('Competency Event Log'!$U$4:$U$803,$B28&amp;"|"&amp;AX$5)=0,"",SUMIF('Competency Event Log'!$U$4:$U$803,$B28&amp;"|"&amp;AX$5,'Competency Event Log'!$D$4:$D$803)))</f>
        <v/>
      </c>
      <c r="AY28" s="8">
        <f>IF($B28="","",IF(COUNTIF('Competency Event Log'!$U$4:$U$803,$B28&amp;"|"&amp;AY$5)=0,"",SUMIF('Competency Event Log'!$U$4:$U$803,$B28&amp;"|"&amp;AY$5,'Competency Event Log'!$D$4:$D$803)))</f>
        <v>3</v>
      </c>
      <c r="AZ28" s="8" t="str">
        <f>IF($B28="","",IF(COUNTIF('Competency Event Log'!$U$4:$U$803,$B28&amp;"|"&amp;AZ$5)=0,"",SUMIF('Competency Event Log'!$U$4:$U$803,$B28&amp;"|"&amp;AZ$5,'Competency Event Log'!$D$4:$D$803)))</f>
        <v/>
      </c>
      <c r="BA28" s="8">
        <f>IF($B28="","",IF(COUNTIF('Competency Event Log'!$U$4:$U$803,$B28&amp;"|"&amp;BA$5)=0,"",SUMIF('Competency Event Log'!$U$4:$U$803,$B28&amp;"|"&amp;BA$5,'Competency Event Log'!$D$4:$D$803)))</f>
        <v>1</v>
      </c>
      <c r="BB28" s="8" t="str">
        <f>IF($B28="","",IF(COUNTIF('Competency Event Log'!$U$4:$U$803,$B28&amp;"|"&amp;BB$5)=0,"",SUMIF('Competency Event Log'!$U$4:$U$803,$B28&amp;"|"&amp;BB$5,'Competency Event Log'!$D$4:$D$803)))</f>
        <v/>
      </c>
      <c r="BC28" s="8" t="str">
        <f>IF($B28="","",IF(COUNTIF('Competency Event Log'!$U$4:$U$803,$B28&amp;"|"&amp;BC$5)=0,"",SUMIF('Competency Event Log'!$U$4:$U$803,$B28&amp;"|"&amp;BC$5,'Competency Event Log'!$D$4:$D$803)))</f>
        <v/>
      </c>
      <c r="BD28" s="8" t="str">
        <f>IF($B28="","",IF(COUNTIF('Competency Event Log'!$U$4:$U$803,$B28&amp;"|"&amp;BD$5)=0,"",SUMIF('Competency Event Log'!$U$4:$U$803,$B28&amp;"|"&amp;BD$5,'Competency Event Log'!$D$4:$D$803)))</f>
        <v/>
      </c>
      <c r="BE28" s="8" t="str">
        <f>IF($B28="","",IF(COUNTIF('Competency Event Log'!$U$4:$U$803,$B28&amp;"|"&amp;BE$5)=0,"",SUMIF('Competency Event Log'!$U$4:$U$803,$B28&amp;"|"&amp;BE$5,'Competency Event Log'!$D$4:$D$803)))</f>
        <v/>
      </c>
      <c r="BF28" s="8" t="str">
        <f>IF($B28="","",IF(COUNTIF('Competency Event Log'!$U$4:$U$803,$B28&amp;"|"&amp;BF$5)=0,"",SUMIF('Competency Event Log'!$U$4:$U$803,$B28&amp;"|"&amp;BF$5,'Competency Event Log'!$D$4:$D$803)))</f>
        <v/>
      </c>
      <c r="BG28" s="8" t="str">
        <f>IF($B28="","",IF(COUNTIF('Competency Event Log'!$U$4:$U$803,$B28&amp;"|"&amp;BG$5)=0,"",SUMIF('Competency Event Log'!$U$4:$U$803,$B28&amp;"|"&amp;BG$5,'Competency Event Log'!$D$4:$D$803)))</f>
        <v/>
      </c>
      <c r="BH28" s="8" t="str">
        <f>IF($B28="","",IF(COUNTIF('Competency Event Log'!$U$4:$U$803,$B28&amp;"|"&amp;BH$5)=0,"",SUMIF('Competency Event Log'!$U$4:$U$803,$B28&amp;"|"&amp;BH$5,'Competency Event Log'!$D$4:$D$803)))</f>
        <v/>
      </c>
      <c r="BI28" s="8" t="str">
        <f>IF($B28="","",IF(COUNTIF('Competency Event Log'!$U$4:$U$803,$B28&amp;"|"&amp;BI$5)=0,"",SUMIF('Competency Event Log'!$U$4:$U$803,$B28&amp;"|"&amp;BI$5,'Competency Event Log'!$D$4:$D$803)))</f>
        <v/>
      </c>
      <c r="BJ28" s="8" t="str">
        <f>IF($B28="","",IF(COUNTIF('Competency Event Log'!$U$4:$U$803,$B28&amp;"|"&amp;BJ$5)=0,"",SUMIF('Competency Event Log'!$U$4:$U$803,$B28&amp;"|"&amp;BJ$5,'Competency Event Log'!$D$4:$D$803)))</f>
        <v/>
      </c>
      <c r="BK28" s="8" t="str">
        <f>IF($B28="","",IF(COUNTIF('Competency Event Log'!$U$4:$U$803,$B28&amp;"|"&amp;BK$5)=0,"",SUMIF('Competency Event Log'!$U$4:$U$803,$B28&amp;"|"&amp;BK$5,'Competency Event Log'!$D$4:$D$803)))</f>
        <v/>
      </c>
      <c r="BL28" s="8" t="str">
        <f>IF($B28="","",IF(COUNTIF('Competency Event Log'!$U$4:$U$803,$B28&amp;"|"&amp;BL$5)=0,"",SUMIF('Competency Event Log'!$U$4:$U$803,$B28&amp;"|"&amp;BL$5,'Competency Event Log'!$D$4:$D$803)))</f>
        <v/>
      </c>
      <c r="BM28" s="8" t="str">
        <f>IF($B28="","",IF(COUNTIF('Competency Event Log'!$U$4:$U$803,$B28&amp;"|"&amp;BM$5)=0,"",SUMIF('Competency Event Log'!$U$4:$U$803,$B28&amp;"|"&amp;BM$5,'Competency Event Log'!$D$4:$D$803)))</f>
        <v/>
      </c>
      <c r="BN28" s="8" t="str">
        <f>IF($B28="","",IF(COUNTIF('Competency Event Log'!$U$4:$U$803,$B28&amp;"|"&amp;BN$5)=0,"",SUMIF('Competency Event Log'!$U$4:$U$803,$B28&amp;"|"&amp;BN$5,'Competency Event Log'!$D$4:$D$803)))</f>
        <v/>
      </c>
      <c r="BO28" s="8" t="str">
        <f>IF($B28="","",IF(COUNTIF('Competency Event Log'!$U$4:$U$803,$B28&amp;"|"&amp;BO$5)=0,"",SUMIF('Competency Event Log'!$U$4:$U$803,$B28&amp;"|"&amp;BO$5,'Competency Event Log'!$D$4:$D$803)))</f>
        <v/>
      </c>
      <c r="BP28" s="8" t="str">
        <f>IF($B28="","",IF(COUNTIF('Competency Event Log'!$U$4:$U$803,$B28&amp;"|"&amp;BP$5)=0,"",SUMIF('Competency Event Log'!$U$4:$U$803,$B28&amp;"|"&amp;BP$5,'Competency Event Log'!$D$4:$D$803)))</f>
        <v/>
      </c>
      <c r="BQ28" s="8" t="str">
        <f>IF($B28="","",IF(COUNTIF('Competency Event Log'!$U$4:$U$803,$B28&amp;"|"&amp;BQ$5)=0,"",SUMIF('Competency Event Log'!$U$4:$U$803,$B28&amp;"|"&amp;BQ$5,'Competency Event Log'!$D$4:$D$803)))</f>
        <v/>
      </c>
      <c r="BR28" s="8" t="str">
        <f>IF($B28="","",IF(COUNTIF('Competency Event Log'!$U$4:$U$803,$B28&amp;"|"&amp;BR$5)=0,"",SUMIF('Competency Event Log'!$U$4:$U$803,$B28&amp;"|"&amp;BR$5,'Competency Event Log'!$D$4:$D$803)))</f>
        <v/>
      </c>
      <c r="BS28" s="8" t="str">
        <f>IF($B28="","",IF(COUNTIF('Competency Event Log'!$U$4:$U$803,$B28&amp;"|"&amp;BS$5)=0,"",SUMIF('Competency Event Log'!$U$4:$U$803,$B28&amp;"|"&amp;BS$5,'Competency Event Log'!$D$4:$D$803)))</f>
        <v/>
      </c>
      <c r="BT28" s="8" t="str">
        <f>IF($B28="","",IF(COUNTIF('Competency Event Log'!$U$4:$U$803,$B28&amp;"|"&amp;BT$5)=0,"",SUMIF('Competency Event Log'!$U$4:$U$803,$B28&amp;"|"&amp;BT$5,'Competency Event Log'!$D$4:$D$803)))</f>
        <v/>
      </c>
      <c r="BU28" s="8" t="str">
        <f>IF($B28="","",IF(COUNTIF('Competency Event Log'!$U$4:$U$803,$B28&amp;"|"&amp;BU$5)=0,"",SUMIF('Competency Event Log'!$U$4:$U$803,$B28&amp;"|"&amp;BU$5,'Competency Event Log'!$D$4:$D$803)))</f>
        <v/>
      </c>
      <c r="BV28" s="8" t="str">
        <f>IF($B28="","",IF(COUNTIF('Competency Event Log'!$U$4:$U$803,$B28&amp;"|"&amp;BV$5)=0,"",SUMIF('Competency Event Log'!$U$4:$U$803,$B28&amp;"|"&amp;BV$5,'Competency Event Log'!$D$4:$D$803)))</f>
        <v/>
      </c>
      <c r="BW28" s="8" t="str">
        <f>IF($B28="","",IF(COUNTIF('Competency Event Log'!$U$4:$U$803,$B28&amp;"|"&amp;BW$5)=0,"",SUMIF('Competency Event Log'!$U$4:$U$803,$B28&amp;"|"&amp;BW$5,'Competency Event Log'!$D$4:$D$803)))</f>
        <v/>
      </c>
      <c r="BX28" s="8" t="str">
        <f>IF($B28="","",IF(COUNTIF('Competency Event Log'!$U$4:$U$803,$B28&amp;"|"&amp;BX$5)=0,"",SUMIF('Competency Event Log'!$U$4:$U$803,$B28&amp;"|"&amp;BX$5,'Competency Event Log'!$D$4:$D$803)))</f>
        <v/>
      </c>
      <c r="BY28" s="8" t="str">
        <f>IF($B28="","",IF(COUNTIF('Competency Event Log'!$U$4:$U$803,$B28&amp;"|"&amp;BY$5)=0,"",SUMIF('Competency Event Log'!$U$4:$U$803,$B28&amp;"|"&amp;BY$5,'Competency Event Log'!$D$4:$D$803)))</f>
        <v/>
      </c>
      <c r="BZ28" s="8" t="str">
        <f>IF($B28="","",IF(COUNTIF('Competency Event Log'!$U$4:$U$803,$B28&amp;"|"&amp;BZ$5)=0,"",SUMIF('Competency Event Log'!$U$4:$U$803,$B28&amp;"|"&amp;BZ$5,'Competency Event Log'!$D$4:$D$803)))</f>
        <v/>
      </c>
      <c r="CA28" s="8" t="str">
        <f>IF($B28="","",IF(COUNTIF('Competency Event Log'!$U$4:$U$803,$B28&amp;"|"&amp;CA$5)=0,"",SUMIF('Competency Event Log'!$U$4:$U$803,$B28&amp;"|"&amp;CA$5,'Competency Event Log'!$D$4:$D$803)))</f>
        <v/>
      </c>
      <c r="CB28" s="8" t="str">
        <f>IF($B28="","",IF(COUNTIF('Competency Event Log'!$U$4:$U$803,$B28&amp;"|"&amp;CB$5)=0,"",SUMIF('Competency Event Log'!$U$4:$U$803,$B28&amp;"|"&amp;CB$5,'Competency Event Log'!$D$4:$D$803)))</f>
        <v/>
      </c>
      <c r="CC28" s="8" t="str">
        <f>IF($B28="","",IF(COUNTIF('Competency Event Log'!$U$4:$U$803,$B28&amp;"|"&amp;CC$5)=0,"",SUMIF('Competency Event Log'!$U$4:$U$803,$B28&amp;"|"&amp;CC$5,'Competency Event Log'!$D$4:$D$803)))</f>
        <v/>
      </c>
      <c r="CD28" s="8" t="str">
        <f>IF($B28="","",IF(COUNTIF('Competency Event Log'!$U$4:$U$803,$B28&amp;"|"&amp;CD$5)=0,"",SUMIF('Competency Event Log'!$U$4:$U$803,$B28&amp;"|"&amp;CD$5,'Competency Event Log'!$D$4:$D$803)))</f>
        <v/>
      </c>
      <c r="CE28" s="8" t="str">
        <f>IF($B28="","",IF(COUNTIF('Competency Event Log'!$U$4:$U$803,$B28&amp;"|"&amp;CE$5)=0,"",SUMIF('Competency Event Log'!$U$4:$U$803,$B28&amp;"|"&amp;CE$5,'Competency Event Log'!$D$4:$D$803)))</f>
        <v/>
      </c>
      <c r="CF28" s="8" t="str">
        <f>IF($B28="","",IF(COUNTIF('Competency Event Log'!$U$4:$U$803,$B28&amp;"|"&amp;CF$5)=0,"",SUMIF('Competency Event Log'!$U$4:$U$803,$B28&amp;"|"&amp;CF$5,'Competency Event Log'!$D$4:$D$803)))</f>
        <v/>
      </c>
      <c r="CG28" s="8" t="str">
        <f>IF($B28="","",IF(COUNTIF('Competency Event Log'!$U$4:$U$803,$B28&amp;"|"&amp;CG$5)=0,"",SUMIF('Competency Event Log'!$U$4:$U$803,$B28&amp;"|"&amp;CG$5,'Competency Event Log'!$D$4:$D$803)))</f>
        <v/>
      </c>
      <c r="CH28" s="8" t="str">
        <f>IF($B28="","",IF(COUNTIF('Competency Event Log'!$U$4:$U$803,$B28&amp;"|"&amp;CH$5)=0,"",SUMIF('Competency Event Log'!$U$4:$U$803,$B28&amp;"|"&amp;CH$5,'Competency Event Log'!$D$4:$D$803)))</f>
        <v/>
      </c>
      <c r="CI28" s="8" t="str">
        <f>IF($B28="","",IF(COUNTIF('Competency Event Log'!$U$4:$U$803,$B28&amp;"|"&amp;CI$5)=0,"",SUMIF('Competency Event Log'!$U$4:$U$803,$B28&amp;"|"&amp;CI$5,'Competency Event Log'!$D$4:$D$803)))</f>
        <v/>
      </c>
      <c r="CJ28" s="8" t="str">
        <f>IF($B28="","",IF(COUNTIF('Competency Event Log'!$U$4:$U$803,$B28&amp;"|"&amp;CJ$5)=0,"",SUMIF('Competency Event Log'!$U$4:$U$803,$B28&amp;"|"&amp;CJ$5,'Competency Event Log'!$D$4:$D$803)))</f>
        <v/>
      </c>
      <c r="CK28" s="8" t="str">
        <f>IF($B28="","",IF(COUNTIF('Competency Event Log'!$U$4:$U$803,$B28&amp;"|"&amp;CK$5)=0,"",SUMIF('Competency Event Log'!$U$4:$U$803,$B28&amp;"|"&amp;CK$5,'Competency Event Log'!$D$4:$D$803)))</f>
        <v/>
      </c>
      <c r="CL28" s="8" t="str">
        <f>IF($B28="","",IF(COUNTIF('Competency Event Log'!$U$4:$U$803,$B28&amp;"|"&amp;CL$5)=0,"",SUMIF('Competency Event Log'!$U$4:$U$803,$B28&amp;"|"&amp;CL$5,'Competency Event Log'!$D$4:$D$803)))</f>
        <v/>
      </c>
      <c r="CM28" s="8" t="str">
        <f>IF($B28="","",IF(COUNTIF('Competency Event Log'!$U$4:$U$803,$B28&amp;"|"&amp;CM$5)=0,"",SUMIF('Competency Event Log'!$U$4:$U$803,$B28&amp;"|"&amp;CM$5,'Competency Event Log'!$D$4:$D$803)))</f>
        <v/>
      </c>
      <c r="CN28" s="8" t="str">
        <f>IF($B28="","",IF(COUNTIF('Competency Event Log'!$U$4:$U$803,$B28&amp;"|"&amp;CN$5)=0,"",SUMIF('Competency Event Log'!$U$4:$U$803,$B28&amp;"|"&amp;CN$5,'Competency Event Log'!$D$4:$D$803)))</f>
        <v/>
      </c>
      <c r="CO28" s="8" t="str">
        <f>IF($B28="","",IF(COUNTIF('Competency Event Log'!$U$4:$U$803,$B28&amp;"|"&amp;CO$5)=0,"",SUMIF('Competency Event Log'!$U$4:$U$803,$B28&amp;"|"&amp;CO$5,'Competency Event Log'!$D$4:$D$803)))</f>
        <v/>
      </c>
      <c r="CP28" s="8" t="str">
        <f>IF($B28="","",IF(COUNTIF('Competency Event Log'!$U$4:$U$803,$B28&amp;"|"&amp;CP$5)=0,"",SUMIF('Competency Event Log'!$U$4:$U$803,$B28&amp;"|"&amp;CP$5,'Competency Event Log'!$D$4:$D$803)))</f>
        <v/>
      </c>
      <c r="CQ28" s="8" t="str">
        <f>IF($B28="","",IF(COUNTIF('Competency Event Log'!$U$4:$U$803,$B28&amp;"|"&amp;CQ$5)=0,"",SUMIF('Competency Event Log'!$U$4:$U$803,$B28&amp;"|"&amp;CQ$5,'Competency Event Log'!$D$4:$D$803)))</f>
        <v/>
      </c>
      <c r="CR28" s="8" t="str">
        <f>IF($B28="","",IF(COUNTIF('Competency Event Log'!$U$4:$U$803,$B28&amp;"|"&amp;CR$5)=0,"",SUMIF('Competency Event Log'!$U$4:$U$803,$B28&amp;"|"&amp;CR$5,'Competency Event Log'!$D$4:$D$803)))</f>
        <v/>
      </c>
      <c r="CS28" s="8" t="str">
        <f>IF($B28="","",IF(COUNTIF('Competency Event Log'!$U$4:$U$803,$B28&amp;"|"&amp;CS$5)=0,"",SUMIF('Competency Event Log'!$U$4:$U$803,$B28&amp;"|"&amp;CS$5,'Competency Event Log'!$D$4:$D$803)))</f>
        <v/>
      </c>
      <c r="CT28" s="8" t="str">
        <f>IF($B28="","",IF(COUNTIF('Competency Event Log'!$U$4:$U$803,$B28&amp;"|"&amp;CT$5)=0,"",SUMIF('Competency Event Log'!$U$4:$U$803,$B28&amp;"|"&amp;CT$5,'Competency Event Log'!$D$4:$D$803)))</f>
        <v/>
      </c>
      <c r="CU28" s="8" t="str">
        <f>IF($B28="","",IF(COUNTIF('Competency Event Log'!$U$4:$U$803,$B28&amp;"|"&amp;CU$5)=0,"",SUMIF('Competency Event Log'!$U$4:$U$803,$B28&amp;"|"&amp;CU$5,'Competency Event Log'!$D$4:$D$803)))</f>
        <v/>
      </c>
      <c r="CV28" s="8" t="str">
        <f>IF($B28="","",IF(COUNTIF('Competency Event Log'!$U$4:$U$803,$B28&amp;"|"&amp;CV$5)=0,"",SUMIF('Competency Event Log'!$U$4:$U$803,$B28&amp;"|"&amp;CV$5,'Competency Event Log'!$D$4:$D$803)))</f>
        <v/>
      </c>
      <c r="CW28" s="8" t="str">
        <f>IF($B28="","",IF(COUNTIF('Competency Event Log'!$U$4:$U$803,$B28&amp;"|"&amp;CW$5)=0,"",SUMIF('Competency Event Log'!$U$4:$U$803,$B28&amp;"|"&amp;CW$5,'Competency Event Log'!$D$4:$D$803)))</f>
        <v/>
      </c>
      <c r="CX28" s="8" t="str">
        <f>IF($B28="","",IF(COUNTIF('Competency Event Log'!$U$4:$U$803,$B28&amp;"|"&amp;CX$5)=0,"",SUMIF('Competency Event Log'!$U$4:$U$803,$B28&amp;"|"&amp;CX$5,'Competency Event Log'!$D$4:$D$803)))</f>
        <v/>
      </c>
      <c r="CY28" s="8" t="str">
        <f>IF($B28="","",IF(COUNTIF('Competency Event Log'!$U$4:$U$803,$B28&amp;"|"&amp;CY$5)=0,"",SUMIF('Competency Event Log'!$U$4:$U$803,$B28&amp;"|"&amp;CY$5,'Competency Event Log'!$D$4:$D$803)))</f>
        <v/>
      </c>
      <c r="CZ28" s="8" t="str">
        <f>IF($B28="","",IF(COUNTIF('Competency Event Log'!$U$4:$U$803,$B28&amp;"|"&amp;CZ$5)=0,"",SUMIF('Competency Event Log'!$U$4:$U$803,$B28&amp;"|"&amp;CZ$5,'Competency Event Log'!$D$4:$D$803)))</f>
        <v/>
      </c>
      <c r="DA28" s="8" t="str">
        <f>IF($B28="","",IF(COUNTIF('Competency Event Log'!$U$4:$U$803,$B28&amp;"|"&amp;DA$5)=0,"",SUMIF('Competency Event Log'!$U$4:$U$803,$B28&amp;"|"&amp;DA$5,'Competency Event Log'!$D$4:$D$803)))</f>
        <v/>
      </c>
      <c r="DB28" s="8" t="str">
        <f>IF($B28="","",IF(COUNTIF('Competency Event Log'!$U$4:$U$803,$B28&amp;"|"&amp;DB$5)=0,"",SUMIF('Competency Event Log'!$U$4:$U$803,$B28&amp;"|"&amp;DB$5,'Competency Event Log'!$D$4:$D$803)))</f>
        <v/>
      </c>
      <c r="DC28" s="8" t="str">
        <f>IF($B28="","",IF(COUNTIF('Competency Event Log'!$U$4:$U$803,$B28&amp;"|"&amp;DC$5)=0,"",SUMIF('Competency Event Log'!$U$4:$U$803,$B28&amp;"|"&amp;DC$5,'Competency Event Log'!$D$4:$D$803)))</f>
        <v/>
      </c>
      <c r="DD28" s="8" t="str">
        <f>IF($B28="","",IF(COUNTIF('Competency Event Log'!$U$4:$U$803,$B28&amp;"|"&amp;DD$5)=0,"",SUMIF('Competency Event Log'!$U$4:$U$803,$B28&amp;"|"&amp;DD$5,'Competency Event Log'!$D$4:$D$803)))</f>
        <v/>
      </c>
      <c r="DE28" s="8" t="str">
        <f>IF($B28="","",IF(COUNTIF('Competency Event Log'!$U$4:$U$803,$B28&amp;"|"&amp;DE$5)=0,"",SUMIF('Competency Event Log'!$U$4:$U$803,$B28&amp;"|"&amp;DE$5,'Competency Event Log'!$D$4:$D$803)))</f>
        <v/>
      </c>
      <c r="DF28" s="8">
        <f t="shared" si="0"/>
        <v>12</v>
      </c>
      <c r="DG28" s="8">
        <f t="shared" si="1"/>
        <v>5</v>
      </c>
      <c r="DH28" s="8">
        <f t="shared" si="2"/>
        <v>3</v>
      </c>
      <c r="DI28" s="11">
        <f t="shared" si="3"/>
        <v>0.5</v>
      </c>
    </row>
    <row r="29" spans="1:113">
      <c r="A29" s="7" t="s">
        <v>307</v>
      </c>
      <c r="B29" s="7" t="s">
        <v>114</v>
      </c>
      <c r="C29" s="8">
        <v>3</v>
      </c>
      <c r="D29" s="9" t="s">
        <v>916</v>
      </c>
      <c r="E29" s="10">
        <v>43819</v>
      </c>
      <c r="F29" s="8" t="s">
        <v>812</v>
      </c>
      <c r="G29" s="8" t="str">
        <f>IF($B29="","",IF(COUNTIF('Competency Event Log'!$U$4:$U$803,$B29&amp;"|"&amp;G$5)=0,"",SUMIF('Competency Event Log'!$U$4:$U$803,$B29&amp;"|"&amp;G$5,'Competency Event Log'!$D$4:$D$803)))</f>
        <v/>
      </c>
      <c r="H29" s="8" t="str">
        <f>IF($B29="","",IF(COUNTIF('Competency Event Log'!$U$4:$U$803,$B29&amp;"|"&amp;H$5)=0,"",SUMIF('Competency Event Log'!$U$4:$U$803,$B29&amp;"|"&amp;H$5,'Competency Event Log'!$D$4:$D$803)))</f>
        <v/>
      </c>
      <c r="I29" s="8" t="str">
        <f>IF($B29="","",IF(COUNTIF('Competency Event Log'!$U$4:$U$803,$B29&amp;"|"&amp;I$5)=0,"",SUMIF('Competency Event Log'!$U$4:$U$803,$B29&amp;"|"&amp;I$5,'Competency Event Log'!$D$4:$D$803)))</f>
        <v/>
      </c>
      <c r="J29" s="8" t="str">
        <f>IF($B29="","",IF(COUNTIF('Competency Event Log'!$U$4:$U$803,$B29&amp;"|"&amp;J$5)=0,"",SUMIF('Competency Event Log'!$U$4:$U$803,$B29&amp;"|"&amp;J$5,'Competency Event Log'!$D$4:$D$803)))</f>
        <v/>
      </c>
      <c r="K29" s="8" t="str">
        <f>IF($B29="","",IF(COUNTIF('Competency Event Log'!$U$4:$U$803,$B29&amp;"|"&amp;K$5)=0,"",SUMIF('Competency Event Log'!$U$4:$U$803,$B29&amp;"|"&amp;K$5,'Competency Event Log'!$D$4:$D$803)))</f>
        <v/>
      </c>
      <c r="L29" s="8" t="str">
        <f>IF($B29="","",IF(COUNTIF('Competency Event Log'!$U$4:$U$803,$B29&amp;"|"&amp;L$5)=0,"",SUMIF('Competency Event Log'!$U$4:$U$803,$B29&amp;"|"&amp;L$5,'Competency Event Log'!$D$4:$D$803)))</f>
        <v/>
      </c>
      <c r="M29" s="8" t="str">
        <f>IF($B29="","",IF(COUNTIF('Competency Event Log'!$U$4:$U$803,$B29&amp;"|"&amp;M$5)=0,"",SUMIF('Competency Event Log'!$U$4:$U$803,$B29&amp;"|"&amp;M$5,'Competency Event Log'!$D$4:$D$803)))</f>
        <v/>
      </c>
      <c r="N29" s="8" t="str">
        <f>IF($B29="","",IF(COUNTIF('Competency Event Log'!$U$4:$U$803,$B29&amp;"|"&amp;N$5)=0,"",SUMIF('Competency Event Log'!$U$4:$U$803,$B29&amp;"|"&amp;N$5,'Competency Event Log'!$D$4:$D$803)))</f>
        <v/>
      </c>
      <c r="O29" s="8" t="str">
        <f>IF($B29="","",IF(COUNTIF('Competency Event Log'!$U$4:$U$803,$B29&amp;"|"&amp;O$5)=0,"",SUMIF('Competency Event Log'!$U$4:$U$803,$B29&amp;"|"&amp;O$5,'Competency Event Log'!$D$4:$D$803)))</f>
        <v/>
      </c>
      <c r="P29" s="8" t="str">
        <f>IF($B29="","",IF(COUNTIF('Competency Event Log'!$U$4:$U$803,$B29&amp;"|"&amp;P$5)=0,"",SUMIF('Competency Event Log'!$U$4:$U$803,$B29&amp;"|"&amp;P$5,'Competency Event Log'!$D$4:$D$803)))</f>
        <v/>
      </c>
      <c r="Q29" s="8" t="str">
        <f>IF($B29="","",IF(COUNTIF('Competency Event Log'!$U$4:$U$803,$B29&amp;"|"&amp;Q$5)=0,"",SUMIF('Competency Event Log'!$U$4:$U$803,$B29&amp;"|"&amp;Q$5,'Competency Event Log'!$D$4:$D$803)))</f>
        <v/>
      </c>
      <c r="R29" s="8" t="str">
        <f>IF($B29="","",IF(COUNTIF('Competency Event Log'!$U$4:$U$803,$B29&amp;"|"&amp;R$5)=0,"",SUMIF('Competency Event Log'!$U$4:$U$803,$B29&amp;"|"&amp;R$5,'Competency Event Log'!$D$4:$D$803)))</f>
        <v/>
      </c>
      <c r="S29" s="8" t="str">
        <f>IF($B29="","",IF(COUNTIF('Competency Event Log'!$U$4:$U$803,$B29&amp;"|"&amp;S$5)=0,"",SUMIF('Competency Event Log'!$U$4:$U$803,$B29&amp;"|"&amp;S$5,'Competency Event Log'!$D$4:$D$803)))</f>
        <v/>
      </c>
      <c r="T29" s="8" t="str">
        <f>IF($B29="","",IF(COUNTIF('Competency Event Log'!$U$4:$U$803,$B29&amp;"|"&amp;T$5)=0,"",SUMIF('Competency Event Log'!$U$4:$U$803,$B29&amp;"|"&amp;T$5,'Competency Event Log'!$D$4:$D$803)))</f>
        <v/>
      </c>
      <c r="U29" s="8" t="str">
        <f>IF($B29="","",IF(COUNTIF('Competency Event Log'!$U$4:$U$803,$B29&amp;"|"&amp;U$5)=0,"",SUMIF('Competency Event Log'!$U$4:$U$803,$B29&amp;"|"&amp;U$5,'Competency Event Log'!$D$4:$D$803)))</f>
        <v/>
      </c>
      <c r="V29" s="8" t="str">
        <f>IF($B29="","",IF(COUNTIF('Competency Event Log'!$U$4:$U$803,$B29&amp;"|"&amp;V$5)=0,"",SUMIF('Competency Event Log'!$U$4:$U$803,$B29&amp;"|"&amp;V$5,'Competency Event Log'!$D$4:$D$803)))</f>
        <v/>
      </c>
      <c r="W29" s="8" t="str">
        <f>IF($B29="","",IF(COUNTIF('Competency Event Log'!$U$4:$U$803,$B29&amp;"|"&amp;W$5)=0,"",SUMIF('Competency Event Log'!$U$4:$U$803,$B29&amp;"|"&amp;W$5,'Competency Event Log'!$D$4:$D$803)))</f>
        <v/>
      </c>
      <c r="X29" s="8" t="str">
        <f>IF($B29="","",IF(COUNTIF('Competency Event Log'!$U$4:$U$803,$B29&amp;"|"&amp;X$5)=0,"",SUMIF('Competency Event Log'!$U$4:$U$803,$B29&amp;"|"&amp;X$5,'Competency Event Log'!$D$4:$D$803)))</f>
        <v/>
      </c>
      <c r="Y29" s="8" t="str">
        <f>IF($B29="","",IF(COUNTIF('Competency Event Log'!$U$4:$U$803,$B29&amp;"|"&amp;Y$5)=0,"",SUMIF('Competency Event Log'!$U$4:$U$803,$B29&amp;"|"&amp;Y$5,'Competency Event Log'!$D$4:$D$803)))</f>
        <v/>
      </c>
      <c r="Z29" s="8" t="str">
        <f>IF($B29="","",IF(COUNTIF('Competency Event Log'!$U$4:$U$803,$B29&amp;"|"&amp;Z$5)=0,"",SUMIF('Competency Event Log'!$U$4:$U$803,$B29&amp;"|"&amp;Z$5,'Competency Event Log'!$D$4:$D$803)))</f>
        <v/>
      </c>
      <c r="AA29" s="8" t="str">
        <f>IF($B29="","",IF(COUNTIF('Competency Event Log'!$U$4:$U$803,$B29&amp;"|"&amp;AA$5)=0,"",SUMIF('Competency Event Log'!$U$4:$U$803,$B29&amp;"|"&amp;AA$5,'Competency Event Log'!$D$4:$D$803)))</f>
        <v/>
      </c>
      <c r="AB29" s="8" t="str">
        <f>IF($B29="","",IF(COUNTIF('Competency Event Log'!$U$4:$U$803,$B29&amp;"|"&amp;AB$5)=0,"",SUMIF('Competency Event Log'!$U$4:$U$803,$B29&amp;"|"&amp;AB$5,'Competency Event Log'!$D$4:$D$803)))</f>
        <v/>
      </c>
      <c r="AC29" s="8" t="str">
        <f>IF($B29="","",IF(COUNTIF('Competency Event Log'!$U$4:$U$803,$B29&amp;"|"&amp;AC$5)=0,"",SUMIF('Competency Event Log'!$U$4:$U$803,$B29&amp;"|"&amp;AC$5,'Competency Event Log'!$D$4:$D$803)))</f>
        <v/>
      </c>
      <c r="AD29" s="8" t="str">
        <f>IF($B29="","",IF(COUNTIF('Competency Event Log'!$U$4:$U$803,$B29&amp;"|"&amp;AD$5)=0,"",SUMIF('Competency Event Log'!$U$4:$U$803,$B29&amp;"|"&amp;AD$5,'Competency Event Log'!$D$4:$D$803)))</f>
        <v/>
      </c>
      <c r="AE29" s="8" t="str">
        <f>IF($B29="","",IF(COUNTIF('Competency Event Log'!$U$4:$U$803,$B29&amp;"|"&amp;AE$5)=0,"",SUMIF('Competency Event Log'!$U$4:$U$803,$B29&amp;"|"&amp;AE$5,'Competency Event Log'!$D$4:$D$803)))</f>
        <v/>
      </c>
      <c r="AF29" s="8" t="str">
        <f>IF($B29="","",IF(COUNTIF('Competency Event Log'!$U$4:$U$803,$B29&amp;"|"&amp;AF$5)=0,"",SUMIF('Competency Event Log'!$U$4:$U$803,$B29&amp;"|"&amp;AF$5,'Competency Event Log'!$D$4:$D$803)))</f>
        <v/>
      </c>
      <c r="AG29" s="8" t="str">
        <f>IF($B29="","",IF(COUNTIF('Competency Event Log'!$U$4:$U$803,$B29&amp;"|"&amp;AG$5)=0,"",SUMIF('Competency Event Log'!$U$4:$U$803,$B29&amp;"|"&amp;AG$5,'Competency Event Log'!$D$4:$D$803)))</f>
        <v/>
      </c>
      <c r="AH29" s="8" t="str">
        <f>IF($B29="","",IF(COUNTIF('Competency Event Log'!$U$4:$U$803,$B29&amp;"|"&amp;AH$5)=0,"",SUMIF('Competency Event Log'!$U$4:$U$803,$B29&amp;"|"&amp;AH$5,'Competency Event Log'!$D$4:$D$803)))</f>
        <v/>
      </c>
      <c r="AI29" s="8" t="str">
        <f>IF($B29="","",IF(COUNTIF('Competency Event Log'!$U$4:$U$803,$B29&amp;"|"&amp;AI$5)=0,"",SUMIF('Competency Event Log'!$U$4:$U$803,$B29&amp;"|"&amp;AI$5,'Competency Event Log'!$D$4:$D$803)))</f>
        <v/>
      </c>
      <c r="AJ29" s="8" t="str">
        <f>IF($B29="","",IF(COUNTIF('Competency Event Log'!$U$4:$U$803,$B29&amp;"|"&amp;AJ$5)=0,"",SUMIF('Competency Event Log'!$U$4:$U$803,$B29&amp;"|"&amp;AJ$5,'Competency Event Log'!$D$4:$D$803)))</f>
        <v/>
      </c>
      <c r="AK29" s="8" t="str">
        <f>IF($B29="","",IF(COUNTIF('Competency Event Log'!$U$4:$U$803,$B29&amp;"|"&amp;AK$5)=0,"",SUMIF('Competency Event Log'!$U$4:$U$803,$B29&amp;"|"&amp;AK$5,'Competency Event Log'!$D$4:$D$803)))</f>
        <v/>
      </c>
      <c r="AL29" s="8" t="str">
        <f>IF($B29="","",IF(COUNTIF('Competency Event Log'!$U$4:$U$803,$B29&amp;"|"&amp;AL$5)=0,"",SUMIF('Competency Event Log'!$U$4:$U$803,$B29&amp;"|"&amp;AL$5,'Competency Event Log'!$D$4:$D$803)))</f>
        <v/>
      </c>
      <c r="AM29" s="8" t="str">
        <f>IF($B29="","",IF(COUNTIF('Competency Event Log'!$U$4:$U$803,$B29&amp;"|"&amp;AM$5)=0,"",SUMIF('Competency Event Log'!$U$4:$U$803,$B29&amp;"|"&amp;AM$5,'Competency Event Log'!$D$4:$D$803)))</f>
        <v/>
      </c>
      <c r="AN29" s="8" t="str">
        <f>IF($B29="","",IF(COUNTIF('Competency Event Log'!$U$4:$U$803,$B29&amp;"|"&amp;AN$5)=0,"",SUMIF('Competency Event Log'!$U$4:$U$803,$B29&amp;"|"&amp;AN$5,'Competency Event Log'!$D$4:$D$803)))</f>
        <v/>
      </c>
      <c r="AO29" s="8" t="str">
        <f>IF($B29="","",IF(COUNTIF('Competency Event Log'!$U$4:$U$803,$B29&amp;"|"&amp;AO$5)=0,"",SUMIF('Competency Event Log'!$U$4:$U$803,$B29&amp;"|"&amp;AO$5,'Competency Event Log'!$D$4:$D$803)))</f>
        <v/>
      </c>
      <c r="AP29" s="8" t="str">
        <f>IF($B29="","",IF(COUNTIF('Competency Event Log'!$U$4:$U$803,$B29&amp;"|"&amp;AP$5)=0,"",SUMIF('Competency Event Log'!$U$4:$U$803,$B29&amp;"|"&amp;AP$5,'Competency Event Log'!$D$4:$D$803)))</f>
        <v/>
      </c>
      <c r="AQ29" s="8" t="str">
        <f>IF($B29="","",IF(COUNTIF('Competency Event Log'!$U$4:$U$803,$B29&amp;"|"&amp;AQ$5)=0,"",SUMIF('Competency Event Log'!$U$4:$U$803,$B29&amp;"|"&amp;AQ$5,'Competency Event Log'!$D$4:$D$803)))</f>
        <v/>
      </c>
      <c r="AR29" s="8" t="str">
        <f>IF($B29="","",IF(COUNTIF('Competency Event Log'!$U$4:$U$803,$B29&amp;"|"&amp;AR$5)=0,"",SUMIF('Competency Event Log'!$U$4:$U$803,$B29&amp;"|"&amp;AR$5,'Competency Event Log'!$D$4:$D$803)))</f>
        <v/>
      </c>
      <c r="AS29" s="8" t="str">
        <f>IF($B29="","",IF(COUNTIF('Competency Event Log'!$U$4:$U$803,$B29&amp;"|"&amp;AS$5)=0,"",SUMIF('Competency Event Log'!$U$4:$U$803,$B29&amp;"|"&amp;AS$5,'Competency Event Log'!$D$4:$D$803)))</f>
        <v/>
      </c>
      <c r="AT29" s="8">
        <f>IF($B29="","",IF(COUNTIF('Competency Event Log'!$U$4:$U$803,$B29&amp;"|"&amp;AT$5)=0,"",SUMIF('Competency Event Log'!$U$4:$U$803,$B29&amp;"|"&amp;AT$5,'Competency Event Log'!$D$4:$D$803)))</f>
        <v>3</v>
      </c>
      <c r="AU29" s="8">
        <f>IF($B29="","",IF(COUNTIF('Competency Event Log'!$U$4:$U$803,$B29&amp;"|"&amp;AU$5)=0,"",SUMIF('Competency Event Log'!$U$4:$U$803,$B29&amp;"|"&amp;AU$5,'Competency Event Log'!$D$4:$D$803)))</f>
        <v>3</v>
      </c>
      <c r="AV29" s="8" t="str">
        <f>IF($B29="","",IF(COUNTIF('Competency Event Log'!$U$4:$U$803,$B29&amp;"|"&amp;AV$5)=0,"",SUMIF('Competency Event Log'!$U$4:$U$803,$B29&amp;"|"&amp;AV$5,'Competency Event Log'!$D$4:$D$803)))</f>
        <v/>
      </c>
      <c r="AW29" s="8">
        <f>IF($B29="","",IF(COUNTIF('Competency Event Log'!$U$4:$U$803,$B29&amp;"|"&amp;AW$5)=0,"",SUMIF('Competency Event Log'!$U$4:$U$803,$B29&amp;"|"&amp;AW$5,'Competency Event Log'!$D$4:$D$803)))</f>
        <v>3</v>
      </c>
      <c r="AX29" s="8">
        <f>IF($B29="","",IF(COUNTIF('Competency Event Log'!$U$4:$U$803,$B29&amp;"|"&amp;AX$5)=0,"",SUMIF('Competency Event Log'!$U$4:$U$803,$B29&amp;"|"&amp;AX$5,'Competency Event Log'!$D$4:$D$803)))</f>
        <v>2</v>
      </c>
      <c r="AY29" s="8" t="str">
        <f>IF($B29="","",IF(COUNTIF('Competency Event Log'!$U$4:$U$803,$B29&amp;"|"&amp;AY$5)=0,"",SUMIF('Competency Event Log'!$U$4:$U$803,$B29&amp;"|"&amp;AY$5,'Competency Event Log'!$D$4:$D$803)))</f>
        <v/>
      </c>
      <c r="AZ29" s="8" t="str">
        <f>IF($B29="","",IF(COUNTIF('Competency Event Log'!$U$4:$U$803,$B29&amp;"|"&amp;AZ$5)=0,"",SUMIF('Competency Event Log'!$U$4:$U$803,$B29&amp;"|"&amp;AZ$5,'Competency Event Log'!$D$4:$D$803)))</f>
        <v/>
      </c>
      <c r="BA29" s="8">
        <f>IF($B29="","",IF(COUNTIF('Competency Event Log'!$U$4:$U$803,$B29&amp;"|"&amp;BA$5)=0,"",SUMIF('Competency Event Log'!$U$4:$U$803,$B29&amp;"|"&amp;BA$5,'Competency Event Log'!$D$4:$D$803)))</f>
        <v>3</v>
      </c>
      <c r="BB29" s="8" t="str">
        <f>IF($B29="","",IF(COUNTIF('Competency Event Log'!$U$4:$U$803,$B29&amp;"|"&amp;BB$5)=0,"",SUMIF('Competency Event Log'!$U$4:$U$803,$B29&amp;"|"&amp;BB$5,'Competency Event Log'!$D$4:$D$803)))</f>
        <v/>
      </c>
      <c r="BC29" s="8" t="str">
        <f>IF($B29="","",IF(COUNTIF('Competency Event Log'!$U$4:$U$803,$B29&amp;"|"&amp;BC$5)=0,"",SUMIF('Competency Event Log'!$U$4:$U$803,$B29&amp;"|"&amp;BC$5,'Competency Event Log'!$D$4:$D$803)))</f>
        <v/>
      </c>
      <c r="BD29" s="8" t="str">
        <f>IF($B29="","",IF(COUNTIF('Competency Event Log'!$U$4:$U$803,$B29&amp;"|"&amp;BD$5)=0,"",SUMIF('Competency Event Log'!$U$4:$U$803,$B29&amp;"|"&amp;BD$5,'Competency Event Log'!$D$4:$D$803)))</f>
        <v/>
      </c>
      <c r="BE29" s="8" t="str">
        <f>IF($B29="","",IF(COUNTIF('Competency Event Log'!$U$4:$U$803,$B29&amp;"|"&amp;BE$5)=0,"",SUMIF('Competency Event Log'!$U$4:$U$803,$B29&amp;"|"&amp;BE$5,'Competency Event Log'!$D$4:$D$803)))</f>
        <v/>
      </c>
      <c r="BF29" s="8" t="str">
        <f>IF($B29="","",IF(COUNTIF('Competency Event Log'!$U$4:$U$803,$B29&amp;"|"&amp;BF$5)=0,"",SUMIF('Competency Event Log'!$U$4:$U$803,$B29&amp;"|"&amp;BF$5,'Competency Event Log'!$D$4:$D$803)))</f>
        <v/>
      </c>
      <c r="BG29" s="8" t="str">
        <f>IF($B29="","",IF(COUNTIF('Competency Event Log'!$U$4:$U$803,$B29&amp;"|"&amp;BG$5)=0,"",SUMIF('Competency Event Log'!$U$4:$U$803,$B29&amp;"|"&amp;BG$5,'Competency Event Log'!$D$4:$D$803)))</f>
        <v/>
      </c>
      <c r="BH29" s="8" t="str">
        <f>IF($B29="","",IF(COUNTIF('Competency Event Log'!$U$4:$U$803,$B29&amp;"|"&amp;BH$5)=0,"",SUMIF('Competency Event Log'!$U$4:$U$803,$B29&amp;"|"&amp;BH$5,'Competency Event Log'!$D$4:$D$803)))</f>
        <v/>
      </c>
      <c r="BI29" s="8" t="str">
        <f>IF($B29="","",IF(COUNTIF('Competency Event Log'!$U$4:$U$803,$B29&amp;"|"&amp;BI$5)=0,"",SUMIF('Competency Event Log'!$U$4:$U$803,$B29&amp;"|"&amp;BI$5,'Competency Event Log'!$D$4:$D$803)))</f>
        <v/>
      </c>
      <c r="BJ29" s="8" t="str">
        <f>IF($B29="","",IF(COUNTIF('Competency Event Log'!$U$4:$U$803,$B29&amp;"|"&amp;BJ$5)=0,"",SUMIF('Competency Event Log'!$U$4:$U$803,$B29&amp;"|"&amp;BJ$5,'Competency Event Log'!$D$4:$D$803)))</f>
        <v/>
      </c>
      <c r="BK29" s="8" t="str">
        <f>IF($B29="","",IF(COUNTIF('Competency Event Log'!$U$4:$U$803,$B29&amp;"|"&amp;BK$5)=0,"",SUMIF('Competency Event Log'!$U$4:$U$803,$B29&amp;"|"&amp;BK$5,'Competency Event Log'!$D$4:$D$803)))</f>
        <v/>
      </c>
      <c r="BL29" s="8" t="str">
        <f>IF($B29="","",IF(COUNTIF('Competency Event Log'!$U$4:$U$803,$B29&amp;"|"&amp;BL$5)=0,"",SUMIF('Competency Event Log'!$U$4:$U$803,$B29&amp;"|"&amp;BL$5,'Competency Event Log'!$D$4:$D$803)))</f>
        <v/>
      </c>
      <c r="BM29" s="8" t="str">
        <f>IF($B29="","",IF(COUNTIF('Competency Event Log'!$U$4:$U$803,$B29&amp;"|"&amp;BM$5)=0,"",SUMIF('Competency Event Log'!$U$4:$U$803,$B29&amp;"|"&amp;BM$5,'Competency Event Log'!$D$4:$D$803)))</f>
        <v/>
      </c>
      <c r="BN29" s="8" t="str">
        <f>IF($B29="","",IF(COUNTIF('Competency Event Log'!$U$4:$U$803,$B29&amp;"|"&amp;BN$5)=0,"",SUMIF('Competency Event Log'!$U$4:$U$803,$B29&amp;"|"&amp;BN$5,'Competency Event Log'!$D$4:$D$803)))</f>
        <v/>
      </c>
      <c r="BO29" s="8" t="str">
        <f>IF($B29="","",IF(COUNTIF('Competency Event Log'!$U$4:$U$803,$B29&amp;"|"&amp;BO$5)=0,"",SUMIF('Competency Event Log'!$U$4:$U$803,$B29&amp;"|"&amp;BO$5,'Competency Event Log'!$D$4:$D$803)))</f>
        <v/>
      </c>
      <c r="BP29" s="8" t="str">
        <f>IF($B29="","",IF(COUNTIF('Competency Event Log'!$U$4:$U$803,$B29&amp;"|"&amp;BP$5)=0,"",SUMIF('Competency Event Log'!$U$4:$U$803,$B29&amp;"|"&amp;BP$5,'Competency Event Log'!$D$4:$D$803)))</f>
        <v/>
      </c>
      <c r="BQ29" s="8" t="str">
        <f>IF($B29="","",IF(COUNTIF('Competency Event Log'!$U$4:$U$803,$B29&amp;"|"&amp;BQ$5)=0,"",SUMIF('Competency Event Log'!$U$4:$U$803,$B29&amp;"|"&amp;BQ$5,'Competency Event Log'!$D$4:$D$803)))</f>
        <v/>
      </c>
      <c r="BR29" s="8" t="str">
        <f>IF($B29="","",IF(COUNTIF('Competency Event Log'!$U$4:$U$803,$B29&amp;"|"&amp;BR$5)=0,"",SUMIF('Competency Event Log'!$U$4:$U$803,$B29&amp;"|"&amp;BR$5,'Competency Event Log'!$D$4:$D$803)))</f>
        <v/>
      </c>
      <c r="BS29" s="8" t="str">
        <f>IF($B29="","",IF(COUNTIF('Competency Event Log'!$U$4:$U$803,$B29&amp;"|"&amp;BS$5)=0,"",SUMIF('Competency Event Log'!$U$4:$U$803,$B29&amp;"|"&amp;BS$5,'Competency Event Log'!$D$4:$D$803)))</f>
        <v/>
      </c>
      <c r="BT29" s="8" t="str">
        <f>IF($B29="","",IF(COUNTIF('Competency Event Log'!$U$4:$U$803,$B29&amp;"|"&amp;BT$5)=0,"",SUMIF('Competency Event Log'!$U$4:$U$803,$B29&amp;"|"&amp;BT$5,'Competency Event Log'!$D$4:$D$803)))</f>
        <v/>
      </c>
      <c r="BU29" s="8" t="str">
        <f>IF($B29="","",IF(COUNTIF('Competency Event Log'!$U$4:$U$803,$B29&amp;"|"&amp;BU$5)=0,"",SUMIF('Competency Event Log'!$U$4:$U$803,$B29&amp;"|"&amp;BU$5,'Competency Event Log'!$D$4:$D$803)))</f>
        <v/>
      </c>
      <c r="BV29" s="8" t="str">
        <f>IF($B29="","",IF(COUNTIF('Competency Event Log'!$U$4:$U$803,$B29&amp;"|"&amp;BV$5)=0,"",SUMIF('Competency Event Log'!$U$4:$U$803,$B29&amp;"|"&amp;BV$5,'Competency Event Log'!$D$4:$D$803)))</f>
        <v/>
      </c>
      <c r="BW29" s="8" t="str">
        <f>IF($B29="","",IF(COUNTIF('Competency Event Log'!$U$4:$U$803,$B29&amp;"|"&amp;BW$5)=0,"",SUMIF('Competency Event Log'!$U$4:$U$803,$B29&amp;"|"&amp;BW$5,'Competency Event Log'!$D$4:$D$803)))</f>
        <v/>
      </c>
      <c r="BX29" s="8" t="str">
        <f>IF($B29="","",IF(COUNTIF('Competency Event Log'!$U$4:$U$803,$B29&amp;"|"&amp;BX$5)=0,"",SUMIF('Competency Event Log'!$U$4:$U$803,$B29&amp;"|"&amp;BX$5,'Competency Event Log'!$D$4:$D$803)))</f>
        <v/>
      </c>
      <c r="BY29" s="8" t="str">
        <f>IF($B29="","",IF(COUNTIF('Competency Event Log'!$U$4:$U$803,$B29&amp;"|"&amp;BY$5)=0,"",SUMIF('Competency Event Log'!$U$4:$U$803,$B29&amp;"|"&amp;BY$5,'Competency Event Log'!$D$4:$D$803)))</f>
        <v/>
      </c>
      <c r="BZ29" s="8" t="str">
        <f>IF($B29="","",IF(COUNTIF('Competency Event Log'!$U$4:$U$803,$B29&amp;"|"&amp;BZ$5)=0,"",SUMIF('Competency Event Log'!$U$4:$U$803,$B29&amp;"|"&amp;BZ$5,'Competency Event Log'!$D$4:$D$803)))</f>
        <v/>
      </c>
      <c r="CA29" s="8" t="str">
        <f>IF($B29="","",IF(COUNTIF('Competency Event Log'!$U$4:$U$803,$B29&amp;"|"&amp;CA$5)=0,"",SUMIF('Competency Event Log'!$U$4:$U$803,$B29&amp;"|"&amp;CA$5,'Competency Event Log'!$D$4:$D$803)))</f>
        <v/>
      </c>
      <c r="CB29" s="8" t="str">
        <f>IF($B29="","",IF(COUNTIF('Competency Event Log'!$U$4:$U$803,$B29&amp;"|"&amp;CB$5)=0,"",SUMIF('Competency Event Log'!$U$4:$U$803,$B29&amp;"|"&amp;CB$5,'Competency Event Log'!$D$4:$D$803)))</f>
        <v/>
      </c>
      <c r="CC29" s="8" t="str">
        <f>IF($B29="","",IF(COUNTIF('Competency Event Log'!$U$4:$U$803,$B29&amp;"|"&amp;CC$5)=0,"",SUMIF('Competency Event Log'!$U$4:$U$803,$B29&amp;"|"&amp;CC$5,'Competency Event Log'!$D$4:$D$803)))</f>
        <v/>
      </c>
      <c r="CD29" s="8" t="str">
        <f>IF($B29="","",IF(COUNTIF('Competency Event Log'!$U$4:$U$803,$B29&amp;"|"&amp;CD$5)=0,"",SUMIF('Competency Event Log'!$U$4:$U$803,$B29&amp;"|"&amp;CD$5,'Competency Event Log'!$D$4:$D$803)))</f>
        <v/>
      </c>
      <c r="CE29" s="8" t="str">
        <f>IF($B29="","",IF(COUNTIF('Competency Event Log'!$U$4:$U$803,$B29&amp;"|"&amp;CE$5)=0,"",SUMIF('Competency Event Log'!$U$4:$U$803,$B29&amp;"|"&amp;CE$5,'Competency Event Log'!$D$4:$D$803)))</f>
        <v/>
      </c>
      <c r="CF29" s="8" t="str">
        <f>IF($B29="","",IF(COUNTIF('Competency Event Log'!$U$4:$U$803,$B29&amp;"|"&amp;CF$5)=0,"",SUMIF('Competency Event Log'!$U$4:$U$803,$B29&amp;"|"&amp;CF$5,'Competency Event Log'!$D$4:$D$803)))</f>
        <v/>
      </c>
      <c r="CG29" s="8" t="str">
        <f>IF($B29="","",IF(COUNTIF('Competency Event Log'!$U$4:$U$803,$B29&amp;"|"&amp;CG$5)=0,"",SUMIF('Competency Event Log'!$U$4:$U$803,$B29&amp;"|"&amp;CG$5,'Competency Event Log'!$D$4:$D$803)))</f>
        <v/>
      </c>
      <c r="CH29" s="8" t="str">
        <f>IF($B29="","",IF(COUNTIF('Competency Event Log'!$U$4:$U$803,$B29&amp;"|"&amp;CH$5)=0,"",SUMIF('Competency Event Log'!$U$4:$U$803,$B29&amp;"|"&amp;CH$5,'Competency Event Log'!$D$4:$D$803)))</f>
        <v/>
      </c>
      <c r="CI29" s="8" t="str">
        <f>IF($B29="","",IF(COUNTIF('Competency Event Log'!$U$4:$U$803,$B29&amp;"|"&amp;CI$5)=0,"",SUMIF('Competency Event Log'!$U$4:$U$803,$B29&amp;"|"&amp;CI$5,'Competency Event Log'!$D$4:$D$803)))</f>
        <v/>
      </c>
      <c r="CJ29" s="8" t="str">
        <f>IF($B29="","",IF(COUNTIF('Competency Event Log'!$U$4:$U$803,$B29&amp;"|"&amp;CJ$5)=0,"",SUMIF('Competency Event Log'!$U$4:$U$803,$B29&amp;"|"&amp;CJ$5,'Competency Event Log'!$D$4:$D$803)))</f>
        <v/>
      </c>
      <c r="CK29" s="8" t="str">
        <f>IF($B29="","",IF(COUNTIF('Competency Event Log'!$U$4:$U$803,$B29&amp;"|"&amp;CK$5)=0,"",SUMIF('Competency Event Log'!$U$4:$U$803,$B29&amp;"|"&amp;CK$5,'Competency Event Log'!$D$4:$D$803)))</f>
        <v/>
      </c>
      <c r="CL29" s="8" t="str">
        <f>IF($B29="","",IF(COUNTIF('Competency Event Log'!$U$4:$U$803,$B29&amp;"|"&amp;CL$5)=0,"",SUMIF('Competency Event Log'!$U$4:$U$803,$B29&amp;"|"&amp;CL$5,'Competency Event Log'!$D$4:$D$803)))</f>
        <v/>
      </c>
      <c r="CM29" s="8" t="str">
        <f>IF($B29="","",IF(COUNTIF('Competency Event Log'!$U$4:$U$803,$B29&amp;"|"&amp;CM$5)=0,"",SUMIF('Competency Event Log'!$U$4:$U$803,$B29&amp;"|"&amp;CM$5,'Competency Event Log'!$D$4:$D$803)))</f>
        <v/>
      </c>
      <c r="CN29" s="8" t="str">
        <f>IF($B29="","",IF(COUNTIF('Competency Event Log'!$U$4:$U$803,$B29&amp;"|"&amp;CN$5)=0,"",SUMIF('Competency Event Log'!$U$4:$U$803,$B29&amp;"|"&amp;CN$5,'Competency Event Log'!$D$4:$D$803)))</f>
        <v/>
      </c>
      <c r="CO29" s="8" t="str">
        <f>IF($B29="","",IF(COUNTIF('Competency Event Log'!$U$4:$U$803,$B29&amp;"|"&amp;CO$5)=0,"",SUMIF('Competency Event Log'!$U$4:$U$803,$B29&amp;"|"&amp;CO$5,'Competency Event Log'!$D$4:$D$803)))</f>
        <v/>
      </c>
      <c r="CP29" s="8" t="str">
        <f>IF($B29="","",IF(COUNTIF('Competency Event Log'!$U$4:$U$803,$B29&amp;"|"&amp;CP$5)=0,"",SUMIF('Competency Event Log'!$U$4:$U$803,$B29&amp;"|"&amp;CP$5,'Competency Event Log'!$D$4:$D$803)))</f>
        <v/>
      </c>
      <c r="CQ29" s="8" t="str">
        <f>IF($B29="","",IF(COUNTIF('Competency Event Log'!$U$4:$U$803,$B29&amp;"|"&amp;CQ$5)=0,"",SUMIF('Competency Event Log'!$U$4:$U$803,$B29&amp;"|"&amp;CQ$5,'Competency Event Log'!$D$4:$D$803)))</f>
        <v/>
      </c>
      <c r="CR29" s="8" t="str">
        <f>IF($B29="","",IF(COUNTIF('Competency Event Log'!$U$4:$U$803,$B29&amp;"|"&amp;CR$5)=0,"",SUMIF('Competency Event Log'!$U$4:$U$803,$B29&amp;"|"&amp;CR$5,'Competency Event Log'!$D$4:$D$803)))</f>
        <v/>
      </c>
      <c r="CS29" s="8" t="str">
        <f>IF($B29="","",IF(COUNTIF('Competency Event Log'!$U$4:$U$803,$B29&amp;"|"&amp;CS$5)=0,"",SUMIF('Competency Event Log'!$U$4:$U$803,$B29&amp;"|"&amp;CS$5,'Competency Event Log'!$D$4:$D$803)))</f>
        <v/>
      </c>
      <c r="CT29" s="8" t="str">
        <f>IF($B29="","",IF(COUNTIF('Competency Event Log'!$U$4:$U$803,$B29&amp;"|"&amp;CT$5)=0,"",SUMIF('Competency Event Log'!$U$4:$U$803,$B29&amp;"|"&amp;CT$5,'Competency Event Log'!$D$4:$D$803)))</f>
        <v/>
      </c>
      <c r="CU29" s="8" t="str">
        <f>IF($B29="","",IF(COUNTIF('Competency Event Log'!$U$4:$U$803,$B29&amp;"|"&amp;CU$5)=0,"",SUMIF('Competency Event Log'!$U$4:$U$803,$B29&amp;"|"&amp;CU$5,'Competency Event Log'!$D$4:$D$803)))</f>
        <v/>
      </c>
      <c r="CV29" s="8" t="str">
        <f>IF($B29="","",IF(COUNTIF('Competency Event Log'!$U$4:$U$803,$B29&amp;"|"&amp;CV$5)=0,"",SUMIF('Competency Event Log'!$U$4:$U$803,$B29&amp;"|"&amp;CV$5,'Competency Event Log'!$D$4:$D$803)))</f>
        <v/>
      </c>
      <c r="CW29" s="8" t="str">
        <f>IF($B29="","",IF(COUNTIF('Competency Event Log'!$U$4:$U$803,$B29&amp;"|"&amp;CW$5)=0,"",SUMIF('Competency Event Log'!$U$4:$U$803,$B29&amp;"|"&amp;CW$5,'Competency Event Log'!$D$4:$D$803)))</f>
        <v/>
      </c>
      <c r="CX29" s="8" t="str">
        <f>IF($B29="","",IF(COUNTIF('Competency Event Log'!$U$4:$U$803,$B29&amp;"|"&amp;CX$5)=0,"",SUMIF('Competency Event Log'!$U$4:$U$803,$B29&amp;"|"&amp;CX$5,'Competency Event Log'!$D$4:$D$803)))</f>
        <v/>
      </c>
      <c r="CY29" s="8" t="str">
        <f>IF($B29="","",IF(COUNTIF('Competency Event Log'!$U$4:$U$803,$B29&amp;"|"&amp;CY$5)=0,"",SUMIF('Competency Event Log'!$U$4:$U$803,$B29&amp;"|"&amp;CY$5,'Competency Event Log'!$D$4:$D$803)))</f>
        <v/>
      </c>
      <c r="CZ29" s="8" t="str">
        <f>IF($B29="","",IF(COUNTIF('Competency Event Log'!$U$4:$U$803,$B29&amp;"|"&amp;CZ$5)=0,"",SUMIF('Competency Event Log'!$U$4:$U$803,$B29&amp;"|"&amp;CZ$5,'Competency Event Log'!$D$4:$D$803)))</f>
        <v/>
      </c>
      <c r="DA29" s="8" t="str">
        <f>IF($B29="","",IF(COUNTIF('Competency Event Log'!$U$4:$U$803,$B29&amp;"|"&amp;DA$5)=0,"",SUMIF('Competency Event Log'!$U$4:$U$803,$B29&amp;"|"&amp;DA$5,'Competency Event Log'!$D$4:$D$803)))</f>
        <v/>
      </c>
      <c r="DB29" s="8" t="str">
        <f>IF($B29="","",IF(COUNTIF('Competency Event Log'!$U$4:$U$803,$B29&amp;"|"&amp;DB$5)=0,"",SUMIF('Competency Event Log'!$U$4:$U$803,$B29&amp;"|"&amp;DB$5,'Competency Event Log'!$D$4:$D$803)))</f>
        <v/>
      </c>
      <c r="DC29" s="8" t="str">
        <f>IF($B29="","",IF(COUNTIF('Competency Event Log'!$U$4:$U$803,$B29&amp;"|"&amp;DC$5)=0,"",SUMIF('Competency Event Log'!$U$4:$U$803,$B29&amp;"|"&amp;DC$5,'Competency Event Log'!$D$4:$D$803)))</f>
        <v/>
      </c>
      <c r="DD29" s="8" t="str">
        <f>IF($B29="","",IF(COUNTIF('Competency Event Log'!$U$4:$U$803,$B29&amp;"|"&amp;DD$5)=0,"",SUMIF('Competency Event Log'!$U$4:$U$803,$B29&amp;"|"&amp;DD$5,'Competency Event Log'!$D$4:$D$803)))</f>
        <v/>
      </c>
      <c r="DE29" s="8" t="str">
        <f>IF($B29="","",IF(COUNTIF('Competency Event Log'!$U$4:$U$803,$B29&amp;"|"&amp;DE$5)=0,"",SUMIF('Competency Event Log'!$U$4:$U$803,$B29&amp;"|"&amp;DE$5,'Competency Event Log'!$D$4:$D$803)))</f>
        <v/>
      </c>
      <c r="DF29" s="8">
        <f t="shared" si="0"/>
        <v>14</v>
      </c>
      <c r="DG29" s="8">
        <f t="shared" si="1"/>
        <v>5</v>
      </c>
      <c r="DH29" s="8">
        <f t="shared" si="2"/>
        <v>4</v>
      </c>
      <c r="DI29" s="11">
        <f t="shared" si="3"/>
        <v>0.625</v>
      </c>
    </row>
    <row r="30" spans="1:113">
      <c r="A30" s="7" t="s">
        <v>308</v>
      </c>
      <c r="B30" s="7" t="s">
        <v>117</v>
      </c>
      <c r="C30" s="8">
        <v>1</v>
      </c>
      <c r="D30" s="9" t="s">
        <v>932</v>
      </c>
      <c r="E30" s="10">
        <v>42913</v>
      </c>
      <c r="F30" s="8" t="s">
        <v>930</v>
      </c>
      <c r="G30" s="8" t="str">
        <f>IF($B30="","",IF(COUNTIF('Competency Event Log'!$U$4:$U$803,$B30&amp;"|"&amp;G$5)=0,"",SUMIF('Competency Event Log'!$U$4:$U$803,$B30&amp;"|"&amp;G$5,'Competency Event Log'!$D$4:$D$803)))</f>
        <v/>
      </c>
      <c r="H30" s="8" t="str">
        <f>IF($B30="","",IF(COUNTIF('Competency Event Log'!$U$4:$U$803,$B30&amp;"|"&amp;H$5)=0,"",SUMIF('Competency Event Log'!$U$4:$U$803,$B30&amp;"|"&amp;H$5,'Competency Event Log'!$D$4:$D$803)))</f>
        <v/>
      </c>
      <c r="I30" s="8" t="str">
        <f>IF($B30="","",IF(COUNTIF('Competency Event Log'!$U$4:$U$803,$B30&amp;"|"&amp;I$5)=0,"",SUMIF('Competency Event Log'!$U$4:$U$803,$B30&amp;"|"&amp;I$5,'Competency Event Log'!$D$4:$D$803)))</f>
        <v/>
      </c>
      <c r="J30" s="8" t="str">
        <f>IF($B30="","",IF(COUNTIF('Competency Event Log'!$U$4:$U$803,$B30&amp;"|"&amp;J$5)=0,"",SUMIF('Competency Event Log'!$U$4:$U$803,$B30&amp;"|"&amp;J$5,'Competency Event Log'!$D$4:$D$803)))</f>
        <v/>
      </c>
      <c r="K30" s="8" t="str">
        <f>IF($B30="","",IF(COUNTIF('Competency Event Log'!$U$4:$U$803,$B30&amp;"|"&amp;K$5)=0,"",SUMIF('Competency Event Log'!$U$4:$U$803,$B30&amp;"|"&amp;K$5,'Competency Event Log'!$D$4:$D$803)))</f>
        <v/>
      </c>
      <c r="L30" s="8" t="str">
        <f>IF($B30="","",IF(COUNTIF('Competency Event Log'!$U$4:$U$803,$B30&amp;"|"&amp;L$5)=0,"",SUMIF('Competency Event Log'!$U$4:$U$803,$B30&amp;"|"&amp;L$5,'Competency Event Log'!$D$4:$D$803)))</f>
        <v/>
      </c>
      <c r="M30" s="8" t="str">
        <f>IF($B30="","",IF(COUNTIF('Competency Event Log'!$U$4:$U$803,$B30&amp;"|"&amp;M$5)=0,"",SUMIF('Competency Event Log'!$U$4:$U$803,$B30&amp;"|"&amp;M$5,'Competency Event Log'!$D$4:$D$803)))</f>
        <v/>
      </c>
      <c r="N30" s="8" t="str">
        <f>IF($B30="","",IF(COUNTIF('Competency Event Log'!$U$4:$U$803,$B30&amp;"|"&amp;N$5)=0,"",SUMIF('Competency Event Log'!$U$4:$U$803,$B30&amp;"|"&amp;N$5,'Competency Event Log'!$D$4:$D$803)))</f>
        <v/>
      </c>
      <c r="O30" s="8" t="str">
        <f>IF($B30="","",IF(COUNTIF('Competency Event Log'!$U$4:$U$803,$B30&amp;"|"&amp;O$5)=0,"",SUMIF('Competency Event Log'!$U$4:$U$803,$B30&amp;"|"&amp;O$5,'Competency Event Log'!$D$4:$D$803)))</f>
        <v/>
      </c>
      <c r="P30" s="8" t="str">
        <f>IF($B30="","",IF(COUNTIF('Competency Event Log'!$U$4:$U$803,$B30&amp;"|"&amp;P$5)=0,"",SUMIF('Competency Event Log'!$U$4:$U$803,$B30&amp;"|"&amp;P$5,'Competency Event Log'!$D$4:$D$803)))</f>
        <v/>
      </c>
      <c r="Q30" s="8" t="str">
        <f>IF($B30="","",IF(COUNTIF('Competency Event Log'!$U$4:$U$803,$B30&amp;"|"&amp;Q$5)=0,"",SUMIF('Competency Event Log'!$U$4:$U$803,$B30&amp;"|"&amp;Q$5,'Competency Event Log'!$D$4:$D$803)))</f>
        <v/>
      </c>
      <c r="R30" s="8" t="str">
        <f>IF($B30="","",IF(COUNTIF('Competency Event Log'!$U$4:$U$803,$B30&amp;"|"&amp;R$5)=0,"",SUMIF('Competency Event Log'!$U$4:$U$803,$B30&amp;"|"&amp;R$5,'Competency Event Log'!$D$4:$D$803)))</f>
        <v/>
      </c>
      <c r="S30" s="8" t="str">
        <f>IF($B30="","",IF(COUNTIF('Competency Event Log'!$U$4:$U$803,$B30&amp;"|"&amp;S$5)=0,"",SUMIF('Competency Event Log'!$U$4:$U$803,$B30&amp;"|"&amp;S$5,'Competency Event Log'!$D$4:$D$803)))</f>
        <v/>
      </c>
      <c r="T30" s="8" t="str">
        <f>IF($B30="","",IF(COUNTIF('Competency Event Log'!$U$4:$U$803,$B30&amp;"|"&amp;T$5)=0,"",SUMIF('Competency Event Log'!$U$4:$U$803,$B30&amp;"|"&amp;T$5,'Competency Event Log'!$D$4:$D$803)))</f>
        <v/>
      </c>
      <c r="U30" s="8" t="str">
        <f>IF($B30="","",IF(COUNTIF('Competency Event Log'!$U$4:$U$803,$B30&amp;"|"&amp;U$5)=0,"",SUMIF('Competency Event Log'!$U$4:$U$803,$B30&amp;"|"&amp;U$5,'Competency Event Log'!$D$4:$D$803)))</f>
        <v/>
      </c>
      <c r="V30" s="8" t="str">
        <f>IF($B30="","",IF(COUNTIF('Competency Event Log'!$U$4:$U$803,$B30&amp;"|"&amp;V$5)=0,"",SUMIF('Competency Event Log'!$U$4:$U$803,$B30&amp;"|"&amp;V$5,'Competency Event Log'!$D$4:$D$803)))</f>
        <v/>
      </c>
      <c r="W30" s="8" t="str">
        <f>IF($B30="","",IF(COUNTIF('Competency Event Log'!$U$4:$U$803,$B30&amp;"|"&amp;W$5)=0,"",SUMIF('Competency Event Log'!$U$4:$U$803,$B30&amp;"|"&amp;W$5,'Competency Event Log'!$D$4:$D$803)))</f>
        <v/>
      </c>
      <c r="X30" s="8" t="str">
        <f>IF($B30="","",IF(COUNTIF('Competency Event Log'!$U$4:$U$803,$B30&amp;"|"&amp;X$5)=0,"",SUMIF('Competency Event Log'!$U$4:$U$803,$B30&amp;"|"&amp;X$5,'Competency Event Log'!$D$4:$D$803)))</f>
        <v/>
      </c>
      <c r="Y30" s="8">
        <f>IF($B30="","",IF(COUNTIF('Competency Event Log'!$U$4:$U$803,$B30&amp;"|"&amp;Y$5)=0,"",SUMIF('Competency Event Log'!$U$4:$U$803,$B30&amp;"|"&amp;Y$5,'Competency Event Log'!$D$4:$D$803)))</f>
        <v>2</v>
      </c>
      <c r="Z30" s="8" t="str">
        <f>IF($B30="","",IF(COUNTIF('Competency Event Log'!$U$4:$U$803,$B30&amp;"|"&amp;Z$5)=0,"",SUMIF('Competency Event Log'!$U$4:$U$803,$B30&amp;"|"&amp;Z$5,'Competency Event Log'!$D$4:$D$803)))</f>
        <v/>
      </c>
      <c r="AA30" s="8" t="str">
        <f>IF($B30="","",IF(COUNTIF('Competency Event Log'!$U$4:$U$803,$B30&amp;"|"&amp;AA$5)=0,"",SUMIF('Competency Event Log'!$U$4:$U$803,$B30&amp;"|"&amp;AA$5,'Competency Event Log'!$D$4:$D$803)))</f>
        <v/>
      </c>
      <c r="AB30" s="8" t="str">
        <f>IF($B30="","",IF(COUNTIF('Competency Event Log'!$U$4:$U$803,$B30&amp;"|"&amp;AB$5)=0,"",SUMIF('Competency Event Log'!$U$4:$U$803,$B30&amp;"|"&amp;AB$5,'Competency Event Log'!$D$4:$D$803)))</f>
        <v/>
      </c>
      <c r="AC30" s="8" t="str">
        <f>IF($B30="","",IF(COUNTIF('Competency Event Log'!$U$4:$U$803,$B30&amp;"|"&amp;AC$5)=0,"",SUMIF('Competency Event Log'!$U$4:$U$803,$B30&amp;"|"&amp;AC$5,'Competency Event Log'!$D$4:$D$803)))</f>
        <v/>
      </c>
      <c r="AD30" s="8" t="str">
        <f>IF($B30="","",IF(COUNTIF('Competency Event Log'!$U$4:$U$803,$B30&amp;"|"&amp;AD$5)=0,"",SUMIF('Competency Event Log'!$U$4:$U$803,$B30&amp;"|"&amp;AD$5,'Competency Event Log'!$D$4:$D$803)))</f>
        <v/>
      </c>
      <c r="AE30" s="8" t="str">
        <f>IF($B30="","",IF(COUNTIF('Competency Event Log'!$U$4:$U$803,$B30&amp;"|"&amp;AE$5)=0,"",SUMIF('Competency Event Log'!$U$4:$U$803,$B30&amp;"|"&amp;AE$5,'Competency Event Log'!$D$4:$D$803)))</f>
        <v/>
      </c>
      <c r="AF30" s="8" t="str">
        <f>IF($B30="","",IF(COUNTIF('Competency Event Log'!$U$4:$U$803,$B30&amp;"|"&amp;AF$5)=0,"",SUMIF('Competency Event Log'!$U$4:$U$803,$B30&amp;"|"&amp;AF$5,'Competency Event Log'!$D$4:$D$803)))</f>
        <v/>
      </c>
      <c r="AG30" s="8" t="str">
        <f>IF($B30="","",IF(COUNTIF('Competency Event Log'!$U$4:$U$803,$B30&amp;"|"&amp;AG$5)=0,"",SUMIF('Competency Event Log'!$U$4:$U$803,$B30&amp;"|"&amp;AG$5,'Competency Event Log'!$D$4:$D$803)))</f>
        <v/>
      </c>
      <c r="AH30" s="8" t="str">
        <f>IF($B30="","",IF(COUNTIF('Competency Event Log'!$U$4:$U$803,$B30&amp;"|"&amp;AH$5)=0,"",SUMIF('Competency Event Log'!$U$4:$U$803,$B30&amp;"|"&amp;AH$5,'Competency Event Log'!$D$4:$D$803)))</f>
        <v/>
      </c>
      <c r="AI30" s="8" t="str">
        <f>IF($B30="","",IF(COUNTIF('Competency Event Log'!$U$4:$U$803,$B30&amp;"|"&amp;AI$5)=0,"",SUMIF('Competency Event Log'!$U$4:$U$803,$B30&amp;"|"&amp;AI$5,'Competency Event Log'!$D$4:$D$803)))</f>
        <v/>
      </c>
      <c r="AJ30" s="8" t="str">
        <f>IF($B30="","",IF(COUNTIF('Competency Event Log'!$U$4:$U$803,$B30&amp;"|"&amp;AJ$5)=0,"",SUMIF('Competency Event Log'!$U$4:$U$803,$B30&amp;"|"&amp;AJ$5,'Competency Event Log'!$D$4:$D$803)))</f>
        <v/>
      </c>
      <c r="AK30" s="8" t="str">
        <f>IF($B30="","",IF(COUNTIF('Competency Event Log'!$U$4:$U$803,$B30&amp;"|"&amp;AK$5)=0,"",SUMIF('Competency Event Log'!$U$4:$U$803,$B30&amp;"|"&amp;AK$5,'Competency Event Log'!$D$4:$D$803)))</f>
        <v/>
      </c>
      <c r="AL30" s="8" t="str">
        <f>IF($B30="","",IF(COUNTIF('Competency Event Log'!$U$4:$U$803,$B30&amp;"|"&amp;AL$5)=0,"",SUMIF('Competency Event Log'!$U$4:$U$803,$B30&amp;"|"&amp;AL$5,'Competency Event Log'!$D$4:$D$803)))</f>
        <v/>
      </c>
      <c r="AM30" s="8" t="str">
        <f>IF($B30="","",IF(COUNTIF('Competency Event Log'!$U$4:$U$803,$B30&amp;"|"&amp;AM$5)=0,"",SUMIF('Competency Event Log'!$U$4:$U$803,$B30&amp;"|"&amp;AM$5,'Competency Event Log'!$D$4:$D$803)))</f>
        <v/>
      </c>
      <c r="AN30" s="8" t="str">
        <f>IF($B30="","",IF(COUNTIF('Competency Event Log'!$U$4:$U$803,$B30&amp;"|"&amp;AN$5)=0,"",SUMIF('Competency Event Log'!$U$4:$U$803,$B30&amp;"|"&amp;AN$5,'Competency Event Log'!$D$4:$D$803)))</f>
        <v/>
      </c>
      <c r="AO30" s="8" t="str">
        <f>IF($B30="","",IF(COUNTIF('Competency Event Log'!$U$4:$U$803,$B30&amp;"|"&amp;AO$5)=0,"",SUMIF('Competency Event Log'!$U$4:$U$803,$B30&amp;"|"&amp;AO$5,'Competency Event Log'!$D$4:$D$803)))</f>
        <v/>
      </c>
      <c r="AP30" s="8" t="str">
        <f>IF($B30="","",IF(COUNTIF('Competency Event Log'!$U$4:$U$803,$B30&amp;"|"&amp;AP$5)=0,"",SUMIF('Competency Event Log'!$U$4:$U$803,$B30&amp;"|"&amp;AP$5,'Competency Event Log'!$D$4:$D$803)))</f>
        <v/>
      </c>
      <c r="AQ30" s="8" t="str">
        <f>IF($B30="","",IF(COUNTIF('Competency Event Log'!$U$4:$U$803,$B30&amp;"|"&amp;AQ$5)=0,"",SUMIF('Competency Event Log'!$U$4:$U$803,$B30&amp;"|"&amp;AQ$5,'Competency Event Log'!$D$4:$D$803)))</f>
        <v/>
      </c>
      <c r="AR30" s="8" t="str">
        <f>IF($B30="","",IF(COUNTIF('Competency Event Log'!$U$4:$U$803,$B30&amp;"|"&amp;AR$5)=0,"",SUMIF('Competency Event Log'!$U$4:$U$803,$B30&amp;"|"&amp;AR$5,'Competency Event Log'!$D$4:$D$803)))</f>
        <v/>
      </c>
      <c r="AS30" s="8" t="str">
        <f>IF($B30="","",IF(COUNTIF('Competency Event Log'!$U$4:$U$803,$B30&amp;"|"&amp;AS$5)=0,"",SUMIF('Competency Event Log'!$U$4:$U$803,$B30&amp;"|"&amp;AS$5,'Competency Event Log'!$D$4:$D$803)))</f>
        <v/>
      </c>
      <c r="AT30" s="8" t="str">
        <f>IF($B30="","",IF(COUNTIF('Competency Event Log'!$U$4:$U$803,$B30&amp;"|"&amp;AT$5)=0,"",SUMIF('Competency Event Log'!$U$4:$U$803,$B30&amp;"|"&amp;AT$5,'Competency Event Log'!$D$4:$D$803)))</f>
        <v/>
      </c>
      <c r="AU30" s="8">
        <f>IF($B30="","",IF(COUNTIF('Competency Event Log'!$U$4:$U$803,$B30&amp;"|"&amp;AU$5)=0,"",SUMIF('Competency Event Log'!$U$4:$U$803,$B30&amp;"|"&amp;AU$5,'Competency Event Log'!$D$4:$D$803)))</f>
        <v>2</v>
      </c>
      <c r="AV30" s="8" t="str">
        <f>IF($B30="","",IF(COUNTIF('Competency Event Log'!$U$4:$U$803,$B30&amp;"|"&amp;AV$5)=0,"",SUMIF('Competency Event Log'!$U$4:$U$803,$B30&amp;"|"&amp;AV$5,'Competency Event Log'!$D$4:$D$803)))</f>
        <v/>
      </c>
      <c r="AW30" s="8" t="str">
        <f>IF($B30="","",IF(COUNTIF('Competency Event Log'!$U$4:$U$803,$B30&amp;"|"&amp;AW$5)=0,"",SUMIF('Competency Event Log'!$U$4:$U$803,$B30&amp;"|"&amp;AW$5,'Competency Event Log'!$D$4:$D$803)))</f>
        <v/>
      </c>
      <c r="AX30" s="8" t="str">
        <f>IF($B30="","",IF(COUNTIF('Competency Event Log'!$U$4:$U$803,$B30&amp;"|"&amp;AX$5)=0,"",SUMIF('Competency Event Log'!$U$4:$U$803,$B30&amp;"|"&amp;AX$5,'Competency Event Log'!$D$4:$D$803)))</f>
        <v/>
      </c>
      <c r="AY30" s="8" t="str">
        <f>IF($B30="","",IF(COUNTIF('Competency Event Log'!$U$4:$U$803,$B30&amp;"|"&amp;AY$5)=0,"",SUMIF('Competency Event Log'!$U$4:$U$803,$B30&amp;"|"&amp;AY$5,'Competency Event Log'!$D$4:$D$803)))</f>
        <v/>
      </c>
      <c r="AZ30" s="8" t="str">
        <f>IF($B30="","",IF(COUNTIF('Competency Event Log'!$U$4:$U$803,$B30&amp;"|"&amp;AZ$5)=0,"",SUMIF('Competency Event Log'!$U$4:$U$803,$B30&amp;"|"&amp;AZ$5,'Competency Event Log'!$D$4:$D$803)))</f>
        <v/>
      </c>
      <c r="BA30" s="8" t="str">
        <f>IF($B30="","",IF(COUNTIF('Competency Event Log'!$U$4:$U$803,$B30&amp;"|"&amp;BA$5)=0,"",SUMIF('Competency Event Log'!$U$4:$U$803,$B30&amp;"|"&amp;BA$5,'Competency Event Log'!$D$4:$D$803)))</f>
        <v/>
      </c>
      <c r="BB30" s="8" t="str">
        <f>IF($B30="","",IF(COUNTIF('Competency Event Log'!$U$4:$U$803,$B30&amp;"|"&amp;BB$5)=0,"",SUMIF('Competency Event Log'!$U$4:$U$803,$B30&amp;"|"&amp;BB$5,'Competency Event Log'!$D$4:$D$803)))</f>
        <v/>
      </c>
      <c r="BC30" s="8">
        <f>IF($B30="","",IF(COUNTIF('Competency Event Log'!$U$4:$U$803,$B30&amp;"|"&amp;BC$5)=0,"",SUMIF('Competency Event Log'!$U$4:$U$803,$B30&amp;"|"&amp;BC$5,'Competency Event Log'!$D$4:$D$803)))</f>
        <v>3</v>
      </c>
      <c r="BD30" s="8">
        <f>IF($B30="","",IF(COUNTIF('Competency Event Log'!$U$4:$U$803,$B30&amp;"|"&amp;BD$5)=0,"",SUMIF('Competency Event Log'!$U$4:$U$803,$B30&amp;"|"&amp;BD$5,'Competency Event Log'!$D$4:$D$803)))</f>
        <v>1</v>
      </c>
      <c r="BE30" s="8">
        <f>IF($B30="","",IF(COUNTIF('Competency Event Log'!$U$4:$U$803,$B30&amp;"|"&amp;BE$5)=0,"",SUMIF('Competency Event Log'!$U$4:$U$803,$B30&amp;"|"&amp;BE$5,'Competency Event Log'!$D$4:$D$803)))</f>
        <v>2</v>
      </c>
      <c r="BF30" s="8" t="str">
        <f>IF($B30="","",IF(COUNTIF('Competency Event Log'!$U$4:$U$803,$B30&amp;"|"&amp;BF$5)=0,"",SUMIF('Competency Event Log'!$U$4:$U$803,$B30&amp;"|"&amp;BF$5,'Competency Event Log'!$D$4:$D$803)))</f>
        <v/>
      </c>
      <c r="BG30" s="8" t="str">
        <f>IF($B30="","",IF(COUNTIF('Competency Event Log'!$U$4:$U$803,$B30&amp;"|"&amp;BG$5)=0,"",SUMIF('Competency Event Log'!$U$4:$U$803,$B30&amp;"|"&amp;BG$5,'Competency Event Log'!$D$4:$D$803)))</f>
        <v/>
      </c>
      <c r="BH30" s="8">
        <f>IF($B30="","",IF(COUNTIF('Competency Event Log'!$U$4:$U$803,$B30&amp;"|"&amp;BH$5)=0,"",SUMIF('Competency Event Log'!$U$4:$U$803,$B30&amp;"|"&amp;BH$5,'Competency Event Log'!$D$4:$D$803)))</f>
        <v>3</v>
      </c>
      <c r="BI30" s="8" t="str">
        <f>IF($B30="","",IF(COUNTIF('Competency Event Log'!$U$4:$U$803,$B30&amp;"|"&amp;BI$5)=0,"",SUMIF('Competency Event Log'!$U$4:$U$803,$B30&amp;"|"&amp;BI$5,'Competency Event Log'!$D$4:$D$803)))</f>
        <v/>
      </c>
      <c r="BJ30" s="8" t="str">
        <f>IF($B30="","",IF(COUNTIF('Competency Event Log'!$U$4:$U$803,$B30&amp;"|"&amp;BJ$5)=0,"",SUMIF('Competency Event Log'!$U$4:$U$803,$B30&amp;"|"&amp;BJ$5,'Competency Event Log'!$D$4:$D$803)))</f>
        <v/>
      </c>
      <c r="BK30" s="8" t="str">
        <f>IF($B30="","",IF(COUNTIF('Competency Event Log'!$U$4:$U$803,$B30&amp;"|"&amp;BK$5)=0,"",SUMIF('Competency Event Log'!$U$4:$U$803,$B30&amp;"|"&amp;BK$5,'Competency Event Log'!$D$4:$D$803)))</f>
        <v/>
      </c>
      <c r="BL30" s="8" t="str">
        <f>IF($B30="","",IF(COUNTIF('Competency Event Log'!$U$4:$U$803,$B30&amp;"|"&amp;BL$5)=0,"",SUMIF('Competency Event Log'!$U$4:$U$803,$B30&amp;"|"&amp;BL$5,'Competency Event Log'!$D$4:$D$803)))</f>
        <v/>
      </c>
      <c r="BM30" s="8" t="str">
        <f>IF($B30="","",IF(COUNTIF('Competency Event Log'!$U$4:$U$803,$B30&amp;"|"&amp;BM$5)=0,"",SUMIF('Competency Event Log'!$U$4:$U$803,$B30&amp;"|"&amp;BM$5,'Competency Event Log'!$D$4:$D$803)))</f>
        <v/>
      </c>
      <c r="BN30" s="8" t="str">
        <f>IF($B30="","",IF(COUNTIF('Competency Event Log'!$U$4:$U$803,$B30&amp;"|"&amp;BN$5)=0,"",SUMIF('Competency Event Log'!$U$4:$U$803,$B30&amp;"|"&amp;BN$5,'Competency Event Log'!$D$4:$D$803)))</f>
        <v/>
      </c>
      <c r="BO30" s="8" t="str">
        <f>IF($B30="","",IF(COUNTIF('Competency Event Log'!$U$4:$U$803,$B30&amp;"|"&amp;BO$5)=0,"",SUMIF('Competency Event Log'!$U$4:$U$803,$B30&amp;"|"&amp;BO$5,'Competency Event Log'!$D$4:$D$803)))</f>
        <v/>
      </c>
      <c r="BP30" s="8" t="str">
        <f>IF($B30="","",IF(COUNTIF('Competency Event Log'!$U$4:$U$803,$B30&amp;"|"&amp;BP$5)=0,"",SUMIF('Competency Event Log'!$U$4:$U$803,$B30&amp;"|"&amp;BP$5,'Competency Event Log'!$D$4:$D$803)))</f>
        <v/>
      </c>
      <c r="BQ30" s="8" t="str">
        <f>IF($B30="","",IF(COUNTIF('Competency Event Log'!$U$4:$U$803,$B30&amp;"|"&amp;BQ$5)=0,"",SUMIF('Competency Event Log'!$U$4:$U$803,$B30&amp;"|"&amp;BQ$5,'Competency Event Log'!$D$4:$D$803)))</f>
        <v/>
      </c>
      <c r="BR30" s="8" t="str">
        <f>IF($B30="","",IF(COUNTIF('Competency Event Log'!$U$4:$U$803,$B30&amp;"|"&amp;BR$5)=0,"",SUMIF('Competency Event Log'!$U$4:$U$803,$B30&amp;"|"&amp;BR$5,'Competency Event Log'!$D$4:$D$803)))</f>
        <v/>
      </c>
      <c r="BS30" s="8" t="str">
        <f>IF($B30="","",IF(COUNTIF('Competency Event Log'!$U$4:$U$803,$B30&amp;"|"&amp;BS$5)=0,"",SUMIF('Competency Event Log'!$U$4:$U$803,$B30&amp;"|"&amp;BS$5,'Competency Event Log'!$D$4:$D$803)))</f>
        <v/>
      </c>
      <c r="BT30" s="8" t="str">
        <f>IF($B30="","",IF(COUNTIF('Competency Event Log'!$U$4:$U$803,$B30&amp;"|"&amp;BT$5)=0,"",SUMIF('Competency Event Log'!$U$4:$U$803,$B30&amp;"|"&amp;BT$5,'Competency Event Log'!$D$4:$D$803)))</f>
        <v/>
      </c>
      <c r="BU30" s="8" t="str">
        <f>IF($B30="","",IF(COUNTIF('Competency Event Log'!$U$4:$U$803,$B30&amp;"|"&amp;BU$5)=0,"",SUMIF('Competency Event Log'!$U$4:$U$803,$B30&amp;"|"&amp;BU$5,'Competency Event Log'!$D$4:$D$803)))</f>
        <v/>
      </c>
      <c r="BV30" s="8" t="str">
        <f>IF($B30="","",IF(COUNTIF('Competency Event Log'!$U$4:$U$803,$B30&amp;"|"&amp;BV$5)=0,"",SUMIF('Competency Event Log'!$U$4:$U$803,$B30&amp;"|"&amp;BV$5,'Competency Event Log'!$D$4:$D$803)))</f>
        <v/>
      </c>
      <c r="BW30" s="8" t="str">
        <f>IF($B30="","",IF(COUNTIF('Competency Event Log'!$U$4:$U$803,$B30&amp;"|"&amp;BW$5)=0,"",SUMIF('Competency Event Log'!$U$4:$U$803,$B30&amp;"|"&amp;BW$5,'Competency Event Log'!$D$4:$D$803)))</f>
        <v/>
      </c>
      <c r="BX30" s="8" t="str">
        <f>IF($B30="","",IF(COUNTIF('Competency Event Log'!$U$4:$U$803,$B30&amp;"|"&amp;BX$5)=0,"",SUMIF('Competency Event Log'!$U$4:$U$803,$B30&amp;"|"&amp;BX$5,'Competency Event Log'!$D$4:$D$803)))</f>
        <v/>
      </c>
      <c r="BY30" s="8" t="str">
        <f>IF($B30="","",IF(COUNTIF('Competency Event Log'!$U$4:$U$803,$B30&amp;"|"&amp;BY$5)=0,"",SUMIF('Competency Event Log'!$U$4:$U$803,$B30&amp;"|"&amp;BY$5,'Competency Event Log'!$D$4:$D$803)))</f>
        <v/>
      </c>
      <c r="BZ30" s="8" t="str">
        <f>IF($B30="","",IF(COUNTIF('Competency Event Log'!$U$4:$U$803,$B30&amp;"|"&amp;BZ$5)=0,"",SUMIF('Competency Event Log'!$U$4:$U$803,$B30&amp;"|"&amp;BZ$5,'Competency Event Log'!$D$4:$D$803)))</f>
        <v/>
      </c>
      <c r="CA30" s="8" t="str">
        <f>IF($B30="","",IF(COUNTIF('Competency Event Log'!$U$4:$U$803,$B30&amp;"|"&amp;CA$5)=0,"",SUMIF('Competency Event Log'!$U$4:$U$803,$B30&amp;"|"&amp;CA$5,'Competency Event Log'!$D$4:$D$803)))</f>
        <v/>
      </c>
      <c r="CB30" s="8" t="str">
        <f>IF($B30="","",IF(COUNTIF('Competency Event Log'!$U$4:$U$803,$B30&amp;"|"&amp;CB$5)=0,"",SUMIF('Competency Event Log'!$U$4:$U$803,$B30&amp;"|"&amp;CB$5,'Competency Event Log'!$D$4:$D$803)))</f>
        <v/>
      </c>
      <c r="CC30" s="8" t="str">
        <f>IF($B30="","",IF(COUNTIF('Competency Event Log'!$U$4:$U$803,$B30&amp;"|"&amp;CC$5)=0,"",SUMIF('Competency Event Log'!$U$4:$U$803,$B30&amp;"|"&amp;CC$5,'Competency Event Log'!$D$4:$D$803)))</f>
        <v/>
      </c>
      <c r="CD30" s="8" t="str">
        <f>IF($B30="","",IF(COUNTIF('Competency Event Log'!$U$4:$U$803,$B30&amp;"|"&amp;CD$5)=0,"",SUMIF('Competency Event Log'!$U$4:$U$803,$B30&amp;"|"&amp;CD$5,'Competency Event Log'!$D$4:$D$803)))</f>
        <v/>
      </c>
      <c r="CE30" s="8" t="str">
        <f>IF($B30="","",IF(COUNTIF('Competency Event Log'!$U$4:$U$803,$B30&amp;"|"&amp;CE$5)=0,"",SUMIF('Competency Event Log'!$U$4:$U$803,$B30&amp;"|"&amp;CE$5,'Competency Event Log'!$D$4:$D$803)))</f>
        <v/>
      </c>
      <c r="CF30" s="8" t="str">
        <f>IF($B30="","",IF(COUNTIF('Competency Event Log'!$U$4:$U$803,$B30&amp;"|"&amp;CF$5)=0,"",SUMIF('Competency Event Log'!$U$4:$U$803,$B30&amp;"|"&amp;CF$5,'Competency Event Log'!$D$4:$D$803)))</f>
        <v/>
      </c>
      <c r="CG30" s="8" t="str">
        <f>IF($B30="","",IF(COUNTIF('Competency Event Log'!$U$4:$U$803,$B30&amp;"|"&amp;CG$5)=0,"",SUMIF('Competency Event Log'!$U$4:$U$803,$B30&amp;"|"&amp;CG$5,'Competency Event Log'!$D$4:$D$803)))</f>
        <v/>
      </c>
      <c r="CH30" s="8" t="str">
        <f>IF($B30="","",IF(COUNTIF('Competency Event Log'!$U$4:$U$803,$B30&amp;"|"&amp;CH$5)=0,"",SUMIF('Competency Event Log'!$U$4:$U$803,$B30&amp;"|"&amp;CH$5,'Competency Event Log'!$D$4:$D$803)))</f>
        <v/>
      </c>
      <c r="CI30" s="8" t="str">
        <f>IF($B30="","",IF(COUNTIF('Competency Event Log'!$U$4:$U$803,$B30&amp;"|"&amp;CI$5)=0,"",SUMIF('Competency Event Log'!$U$4:$U$803,$B30&amp;"|"&amp;CI$5,'Competency Event Log'!$D$4:$D$803)))</f>
        <v/>
      </c>
      <c r="CJ30" s="8" t="str">
        <f>IF($B30="","",IF(COUNTIF('Competency Event Log'!$U$4:$U$803,$B30&amp;"|"&amp;CJ$5)=0,"",SUMIF('Competency Event Log'!$U$4:$U$803,$B30&amp;"|"&amp;CJ$5,'Competency Event Log'!$D$4:$D$803)))</f>
        <v/>
      </c>
      <c r="CK30" s="8" t="str">
        <f>IF($B30="","",IF(COUNTIF('Competency Event Log'!$U$4:$U$803,$B30&amp;"|"&amp;CK$5)=0,"",SUMIF('Competency Event Log'!$U$4:$U$803,$B30&amp;"|"&amp;CK$5,'Competency Event Log'!$D$4:$D$803)))</f>
        <v/>
      </c>
      <c r="CL30" s="8" t="str">
        <f>IF($B30="","",IF(COUNTIF('Competency Event Log'!$U$4:$U$803,$B30&amp;"|"&amp;CL$5)=0,"",SUMIF('Competency Event Log'!$U$4:$U$803,$B30&amp;"|"&amp;CL$5,'Competency Event Log'!$D$4:$D$803)))</f>
        <v/>
      </c>
      <c r="CM30" s="8" t="str">
        <f>IF($B30="","",IF(COUNTIF('Competency Event Log'!$U$4:$U$803,$B30&amp;"|"&amp;CM$5)=0,"",SUMIF('Competency Event Log'!$U$4:$U$803,$B30&amp;"|"&amp;CM$5,'Competency Event Log'!$D$4:$D$803)))</f>
        <v/>
      </c>
      <c r="CN30" s="8" t="str">
        <f>IF($B30="","",IF(COUNTIF('Competency Event Log'!$U$4:$U$803,$B30&amp;"|"&amp;CN$5)=0,"",SUMIF('Competency Event Log'!$U$4:$U$803,$B30&amp;"|"&amp;CN$5,'Competency Event Log'!$D$4:$D$803)))</f>
        <v/>
      </c>
      <c r="CO30" s="8" t="str">
        <f>IF($B30="","",IF(COUNTIF('Competency Event Log'!$U$4:$U$803,$B30&amp;"|"&amp;CO$5)=0,"",SUMIF('Competency Event Log'!$U$4:$U$803,$B30&amp;"|"&amp;CO$5,'Competency Event Log'!$D$4:$D$803)))</f>
        <v/>
      </c>
      <c r="CP30" s="8" t="str">
        <f>IF($B30="","",IF(COUNTIF('Competency Event Log'!$U$4:$U$803,$B30&amp;"|"&amp;CP$5)=0,"",SUMIF('Competency Event Log'!$U$4:$U$803,$B30&amp;"|"&amp;CP$5,'Competency Event Log'!$D$4:$D$803)))</f>
        <v/>
      </c>
      <c r="CQ30" s="8" t="str">
        <f>IF($B30="","",IF(COUNTIF('Competency Event Log'!$U$4:$U$803,$B30&amp;"|"&amp;CQ$5)=0,"",SUMIF('Competency Event Log'!$U$4:$U$803,$B30&amp;"|"&amp;CQ$5,'Competency Event Log'!$D$4:$D$803)))</f>
        <v/>
      </c>
      <c r="CR30" s="8" t="str">
        <f>IF($B30="","",IF(COUNTIF('Competency Event Log'!$U$4:$U$803,$B30&amp;"|"&amp;CR$5)=0,"",SUMIF('Competency Event Log'!$U$4:$U$803,$B30&amp;"|"&amp;CR$5,'Competency Event Log'!$D$4:$D$803)))</f>
        <v/>
      </c>
      <c r="CS30" s="8" t="str">
        <f>IF($B30="","",IF(COUNTIF('Competency Event Log'!$U$4:$U$803,$B30&amp;"|"&amp;CS$5)=0,"",SUMIF('Competency Event Log'!$U$4:$U$803,$B30&amp;"|"&amp;CS$5,'Competency Event Log'!$D$4:$D$803)))</f>
        <v/>
      </c>
      <c r="CT30" s="8" t="str">
        <f>IF($B30="","",IF(COUNTIF('Competency Event Log'!$U$4:$U$803,$B30&amp;"|"&amp;CT$5)=0,"",SUMIF('Competency Event Log'!$U$4:$U$803,$B30&amp;"|"&amp;CT$5,'Competency Event Log'!$D$4:$D$803)))</f>
        <v/>
      </c>
      <c r="CU30" s="8" t="str">
        <f>IF($B30="","",IF(COUNTIF('Competency Event Log'!$U$4:$U$803,$B30&amp;"|"&amp;CU$5)=0,"",SUMIF('Competency Event Log'!$U$4:$U$803,$B30&amp;"|"&amp;CU$5,'Competency Event Log'!$D$4:$D$803)))</f>
        <v/>
      </c>
      <c r="CV30" s="8" t="str">
        <f>IF($B30="","",IF(COUNTIF('Competency Event Log'!$U$4:$U$803,$B30&amp;"|"&amp;CV$5)=0,"",SUMIF('Competency Event Log'!$U$4:$U$803,$B30&amp;"|"&amp;CV$5,'Competency Event Log'!$D$4:$D$803)))</f>
        <v/>
      </c>
      <c r="CW30" s="8" t="str">
        <f>IF($B30="","",IF(COUNTIF('Competency Event Log'!$U$4:$U$803,$B30&amp;"|"&amp;CW$5)=0,"",SUMIF('Competency Event Log'!$U$4:$U$803,$B30&amp;"|"&amp;CW$5,'Competency Event Log'!$D$4:$D$803)))</f>
        <v/>
      </c>
      <c r="CX30" s="8" t="str">
        <f>IF($B30="","",IF(COUNTIF('Competency Event Log'!$U$4:$U$803,$B30&amp;"|"&amp;CX$5)=0,"",SUMIF('Competency Event Log'!$U$4:$U$803,$B30&amp;"|"&amp;CX$5,'Competency Event Log'!$D$4:$D$803)))</f>
        <v/>
      </c>
      <c r="CY30" s="8" t="str">
        <f>IF($B30="","",IF(COUNTIF('Competency Event Log'!$U$4:$U$803,$B30&amp;"|"&amp;CY$5)=0,"",SUMIF('Competency Event Log'!$U$4:$U$803,$B30&amp;"|"&amp;CY$5,'Competency Event Log'!$D$4:$D$803)))</f>
        <v/>
      </c>
      <c r="CZ30" s="8" t="str">
        <f>IF($B30="","",IF(COUNTIF('Competency Event Log'!$U$4:$U$803,$B30&amp;"|"&amp;CZ$5)=0,"",SUMIF('Competency Event Log'!$U$4:$U$803,$B30&amp;"|"&amp;CZ$5,'Competency Event Log'!$D$4:$D$803)))</f>
        <v/>
      </c>
      <c r="DA30" s="8">
        <f>IF($B30="","",IF(COUNTIF('Competency Event Log'!$U$4:$U$803,$B30&amp;"|"&amp;DA$5)=0,"",SUMIF('Competency Event Log'!$U$4:$U$803,$B30&amp;"|"&amp;DA$5,'Competency Event Log'!$D$4:$D$803)))</f>
        <v>3</v>
      </c>
      <c r="DB30" s="8" t="str">
        <f>IF($B30="","",IF(COUNTIF('Competency Event Log'!$U$4:$U$803,$B30&amp;"|"&amp;DB$5)=0,"",SUMIF('Competency Event Log'!$U$4:$U$803,$B30&amp;"|"&amp;DB$5,'Competency Event Log'!$D$4:$D$803)))</f>
        <v/>
      </c>
      <c r="DC30" s="8" t="str">
        <f>IF($B30="","",IF(COUNTIF('Competency Event Log'!$U$4:$U$803,$B30&amp;"|"&amp;DC$5)=0,"",SUMIF('Competency Event Log'!$U$4:$U$803,$B30&amp;"|"&amp;DC$5,'Competency Event Log'!$D$4:$D$803)))</f>
        <v/>
      </c>
      <c r="DD30" s="8">
        <f>IF($B30="","",IF(COUNTIF('Competency Event Log'!$U$4:$U$803,$B30&amp;"|"&amp;DD$5)=0,"",SUMIF('Competency Event Log'!$U$4:$U$803,$B30&amp;"|"&amp;DD$5,'Competency Event Log'!$D$4:$D$803)))</f>
        <v>2</v>
      </c>
      <c r="DE30" s="8" t="str">
        <f>IF($B30="","",IF(COUNTIF('Competency Event Log'!$U$4:$U$803,$B30&amp;"|"&amp;DE$5)=0,"",SUMIF('Competency Event Log'!$U$4:$U$803,$B30&amp;"|"&amp;DE$5,'Competency Event Log'!$D$4:$D$803)))</f>
        <v/>
      </c>
      <c r="DF30" s="8">
        <f t="shared" si="0"/>
        <v>18</v>
      </c>
      <c r="DG30" s="8">
        <f t="shared" si="1"/>
        <v>8</v>
      </c>
      <c r="DH30" s="8">
        <f t="shared" si="2"/>
        <v>3</v>
      </c>
      <c r="DI30" s="11">
        <f t="shared" si="3"/>
        <v>0.66666666666666663</v>
      </c>
    </row>
    <row r="31" spans="1:113">
      <c r="A31" s="7" t="s">
        <v>308</v>
      </c>
      <c r="B31" s="7" t="s">
        <v>120</v>
      </c>
      <c r="C31" s="8">
        <v>2</v>
      </c>
      <c r="D31" s="9" t="s">
        <v>963</v>
      </c>
      <c r="E31" s="10">
        <v>44932</v>
      </c>
      <c r="F31" s="8" t="s">
        <v>930</v>
      </c>
      <c r="G31" s="8" t="str">
        <f>IF($B31="","",IF(COUNTIF('Competency Event Log'!$U$4:$U$803,$B31&amp;"|"&amp;G$5)=0,"",SUMIF('Competency Event Log'!$U$4:$U$803,$B31&amp;"|"&amp;G$5,'Competency Event Log'!$D$4:$D$803)))</f>
        <v/>
      </c>
      <c r="H31" s="8" t="str">
        <f>IF($B31="","",IF(COUNTIF('Competency Event Log'!$U$4:$U$803,$B31&amp;"|"&amp;H$5)=0,"",SUMIF('Competency Event Log'!$U$4:$U$803,$B31&amp;"|"&amp;H$5,'Competency Event Log'!$D$4:$D$803)))</f>
        <v/>
      </c>
      <c r="I31" s="8" t="str">
        <f>IF($B31="","",IF(COUNTIF('Competency Event Log'!$U$4:$U$803,$B31&amp;"|"&amp;I$5)=0,"",SUMIF('Competency Event Log'!$U$4:$U$803,$B31&amp;"|"&amp;I$5,'Competency Event Log'!$D$4:$D$803)))</f>
        <v/>
      </c>
      <c r="J31" s="8" t="str">
        <f>IF($B31="","",IF(COUNTIF('Competency Event Log'!$U$4:$U$803,$B31&amp;"|"&amp;J$5)=0,"",SUMIF('Competency Event Log'!$U$4:$U$803,$B31&amp;"|"&amp;J$5,'Competency Event Log'!$D$4:$D$803)))</f>
        <v/>
      </c>
      <c r="K31" s="8" t="str">
        <f>IF($B31="","",IF(COUNTIF('Competency Event Log'!$U$4:$U$803,$B31&amp;"|"&amp;K$5)=0,"",SUMIF('Competency Event Log'!$U$4:$U$803,$B31&amp;"|"&amp;K$5,'Competency Event Log'!$D$4:$D$803)))</f>
        <v/>
      </c>
      <c r="L31" s="8" t="str">
        <f>IF($B31="","",IF(COUNTIF('Competency Event Log'!$U$4:$U$803,$B31&amp;"|"&amp;L$5)=0,"",SUMIF('Competency Event Log'!$U$4:$U$803,$B31&amp;"|"&amp;L$5,'Competency Event Log'!$D$4:$D$803)))</f>
        <v/>
      </c>
      <c r="M31" s="8" t="str">
        <f>IF($B31="","",IF(COUNTIF('Competency Event Log'!$U$4:$U$803,$B31&amp;"|"&amp;M$5)=0,"",SUMIF('Competency Event Log'!$U$4:$U$803,$B31&amp;"|"&amp;M$5,'Competency Event Log'!$D$4:$D$803)))</f>
        <v/>
      </c>
      <c r="N31" s="8" t="str">
        <f>IF($B31="","",IF(COUNTIF('Competency Event Log'!$U$4:$U$803,$B31&amp;"|"&amp;N$5)=0,"",SUMIF('Competency Event Log'!$U$4:$U$803,$B31&amp;"|"&amp;N$5,'Competency Event Log'!$D$4:$D$803)))</f>
        <v/>
      </c>
      <c r="O31" s="8" t="str">
        <f>IF($B31="","",IF(COUNTIF('Competency Event Log'!$U$4:$U$803,$B31&amp;"|"&amp;O$5)=0,"",SUMIF('Competency Event Log'!$U$4:$U$803,$B31&amp;"|"&amp;O$5,'Competency Event Log'!$D$4:$D$803)))</f>
        <v/>
      </c>
      <c r="P31" s="8" t="str">
        <f>IF($B31="","",IF(COUNTIF('Competency Event Log'!$U$4:$U$803,$B31&amp;"|"&amp;P$5)=0,"",SUMIF('Competency Event Log'!$U$4:$U$803,$B31&amp;"|"&amp;P$5,'Competency Event Log'!$D$4:$D$803)))</f>
        <v/>
      </c>
      <c r="Q31" s="8" t="str">
        <f>IF($B31="","",IF(COUNTIF('Competency Event Log'!$U$4:$U$803,$B31&amp;"|"&amp;Q$5)=0,"",SUMIF('Competency Event Log'!$U$4:$U$803,$B31&amp;"|"&amp;Q$5,'Competency Event Log'!$D$4:$D$803)))</f>
        <v/>
      </c>
      <c r="R31" s="8" t="str">
        <f>IF($B31="","",IF(COUNTIF('Competency Event Log'!$U$4:$U$803,$B31&amp;"|"&amp;R$5)=0,"",SUMIF('Competency Event Log'!$U$4:$U$803,$B31&amp;"|"&amp;R$5,'Competency Event Log'!$D$4:$D$803)))</f>
        <v/>
      </c>
      <c r="S31" s="8" t="str">
        <f>IF($B31="","",IF(COUNTIF('Competency Event Log'!$U$4:$U$803,$B31&amp;"|"&amp;S$5)=0,"",SUMIF('Competency Event Log'!$U$4:$U$803,$B31&amp;"|"&amp;S$5,'Competency Event Log'!$D$4:$D$803)))</f>
        <v/>
      </c>
      <c r="T31" s="8" t="str">
        <f>IF($B31="","",IF(COUNTIF('Competency Event Log'!$U$4:$U$803,$B31&amp;"|"&amp;T$5)=0,"",SUMIF('Competency Event Log'!$U$4:$U$803,$B31&amp;"|"&amp;T$5,'Competency Event Log'!$D$4:$D$803)))</f>
        <v/>
      </c>
      <c r="U31" s="8" t="str">
        <f>IF($B31="","",IF(COUNTIF('Competency Event Log'!$U$4:$U$803,$B31&amp;"|"&amp;U$5)=0,"",SUMIF('Competency Event Log'!$U$4:$U$803,$B31&amp;"|"&amp;U$5,'Competency Event Log'!$D$4:$D$803)))</f>
        <v/>
      </c>
      <c r="V31" s="8" t="str">
        <f>IF($B31="","",IF(COUNTIF('Competency Event Log'!$U$4:$U$803,$B31&amp;"|"&amp;V$5)=0,"",SUMIF('Competency Event Log'!$U$4:$U$803,$B31&amp;"|"&amp;V$5,'Competency Event Log'!$D$4:$D$803)))</f>
        <v/>
      </c>
      <c r="W31" s="8" t="str">
        <f>IF($B31="","",IF(COUNTIF('Competency Event Log'!$U$4:$U$803,$B31&amp;"|"&amp;W$5)=0,"",SUMIF('Competency Event Log'!$U$4:$U$803,$B31&amp;"|"&amp;W$5,'Competency Event Log'!$D$4:$D$803)))</f>
        <v/>
      </c>
      <c r="X31" s="8">
        <f>IF($B31="","",IF(COUNTIF('Competency Event Log'!$U$4:$U$803,$B31&amp;"|"&amp;X$5)=0,"",SUMIF('Competency Event Log'!$U$4:$U$803,$B31&amp;"|"&amp;X$5,'Competency Event Log'!$D$4:$D$803)))</f>
        <v>1</v>
      </c>
      <c r="Y31" s="8" t="str">
        <f>IF($B31="","",IF(COUNTIF('Competency Event Log'!$U$4:$U$803,$B31&amp;"|"&amp;Y$5)=0,"",SUMIF('Competency Event Log'!$U$4:$U$803,$B31&amp;"|"&amp;Y$5,'Competency Event Log'!$D$4:$D$803)))</f>
        <v/>
      </c>
      <c r="Z31" s="8" t="str">
        <f>IF($B31="","",IF(COUNTIF('Competency Event Log'!$U$4:$U$803,$B31&amp;"|"&amp;Z$5)=0,"",SUMIF('Competency Event Log'!$U$4:$U$803,$B31&amp;"|"&amp;Z$5,'Competency Event Log'!$D$4:$D$803)))</f>
        <v/>
      </c>
      <c r="AA31" s="8" t="str">
        <f>IF($B31="","",IF(COUNTIF('Competency Event Log'!$U$4:$U$803,$B31&amp;"|"&amp;AA$5)=0,"",SUMIF('Competency Event Log'!$U$4:$U$803,$B31&amp;"|"&amp;AA$5,'Competency Event Log'!$D$4:$D$803)))</f>
        <v/>
      </c>
      <c r="AB31" s="8" t="str">
        <f>IF($B31="","",IF(COUNTIF('Competency Event Log'!$U$4:$U$803,$B31&amp;"|"&amp;AB$5)=0,"",SUMIF('Competency Event Log'!$U$4:$U$803,$B31&amp;"|"&amp;AB$5,'Competency Event Log'!$D$4:$D$803)))</f>
        <v/>
      </c>
      <c r="AC31" s="8" t="str">
        <f>IF($B31="","",IF(COUNTIF('Competency Event Log'!$U$4:$U$803,$B31&amp;"|"&amp;AC$5)=0,"",SUMIF('Competency Event Log'!$U$4:$U$803,$B31&amp;"|"&amp;AC$5,'Competency Event Log'!$D$4:$D$803)))</f>
        <v/>
      </c>
      <c r="AD31" s="8" t="str">
        <f>IF($B31="","",IF(COUNTIF('Competency Event Log'!$U$4:$U$803,$B31&amp;"|"&amp;AD$5)=0,"",SUMIF('Competency Event Log'!$U$4:$U$803,$B31&amp;"|"&amp;AD$5,'Competency Event Log'!$D$4:$D$803)))</f>
        <v/>
      </c>
      <c r="AE31" s="8" t="str">
        <f>IF($B31="","",IF(COUNTIF('Competency Event Log'!$U$4:$U$803,$B31&amp;"|"&amp;AE$5)=0,"",SUMIF('Competency Event Log'!$U$4:$U$803,$B31&amp;"|"&amp;AE$5,'Competency Event Log'!$D$4:$D$803)))</f>
        <v/>
      </c>
      <c r="AF31" s="8" t="str">
        <f>IF($B31="","",IF(COUNTIF('Competency Event Log'!$U$4:$U$803,$B31&amp;"|"&amp;AF$5)=0,"",SUMIF('Competency Event Log'!$U$4:$U$803,$B31&amp;"|"&amp;AF$5,'Competency Event Log'!$D$4:$D$803)))</f>
        <v/>
      </c>
      <c r="AG31" s="8" t="str">
        <f>IF($B31="","",IF(COUNTIF('Competency Event Log'!$U$4:$U$803,$B31&amp;"|"&amp;AG$5)=0,"",SUMIF('Competency Event Log'!$U$4:$U$803,$B31&amp;"|"&amp;AG$5,'Competency Event Log'!$D$4:$D$803)))</f>
        <v/>
      </c>
      <c r="AH31" s="8" t="str">
        <f>IF($B31="","",IF(COUNTIF('Competency Event Log'!$U$4:$U$803,$B31&amp;"|"&amp;AH$5)=0,"",SUMIF('Competency Event Log'!$U$4:$U$803,$B31&amp;"|"&amp;AH$5,'Competency Event Log'!$D$4:$D$803)))</f>
        <v/>
      </c>
      <c r="AI31" s="8" t="str">
        <f>IF($B31="","",IF(COUNTIF('Competency Event Log'!$U$4:$U$803,$B31&amp;"|"&amp;AI$5)=0,"",SUMIF('Competency Event Log'!$U$4:$U$803,$B31&amp;"|"&amp;AI$5,'Competency Event Log'!$D$4:$D$803)))</f>
        <v/>
      </c>
      <c r="AJ31" s="8" t="str">
        <f>IF($B31="","",IF(COUNTIF('Competency Event Log'!$U$4:$U$803,$B31&amp;"|"&amp;AJ$5)=0,"",SUMIF('Competency Event Log'!$U$4:$U$803,$B31&amp;"|"&amp;AJ$5,'Competency Event Log'!$D$4:$D$803)))</f>
        <v/>
      </c>
      <c r="AK31" s="8" t="str">
        <f>IF($B31="","",IF(COUNTIF('Competency Event Log'!$U$4:$U$803,$B31&amp;"|"&amp;AK$5)=0,"",SUMIF('Competency Event Log'!$U$4:$U$803,$B31&amp;"|"&amp;AK$5,'Competency Event Log'!$D$4:$D$803)))</f>
        <v/>
      </c>
      <c r="AL31" s="8" t="str">
        <f>IF($B31="","",IF(COUNTIF('Competency Event Log'!$U$4:$U$803,$B31&amp;"|"&amp;AL$5)=0,"",SUMIF('Competency Event Log'!$U$4:$U$803,$B31&amp;"|"&amp;AL$5,'Competency Event Log'!$D$4:$D$803)))</f>
        <v/>
      </c>
      <c r="AM31" s="8" t="str">
        <f>IF($B31="","",IF(COUNTIF('Competency Event Log'!$U$4:$U$803,$B31&amp;"|"&amp;AM$5)=0,"",SUMIF('Competency Event Log'!$U$4:$U$803,$B31&amp;"|"&amp;AM$5,'Competency Event Log'!$D$4:$D$803)))</f>
        <v/>
      </c>
      <c r="AN31" s="8" t="str">
        <f>IF($B31="","",IF(COUNTIF('Competency Event Log'!$U$4:$U$803,$B31&amp;"|"&amp;AN$5)=0,"",SUMIF('Competency Event Log'!$U$4:$U$803,$B31&amp;"|"&amp;AN$5,'Competency Event Log'!$D$4:$D$803)))</f>
        <v/>
      </c>
      <c r="AO31" s="8" t="str">
        <f>IF($B31="","",IF(COUNTIF('Competency Event Log'!$U$4:$U$803,$B31&amp;"|"&amp;AO$5)=0,"",SUMIF('Competency Event Log'!$U$4:$U$803,$B31&amp;"|"&amp;AO$5,'Competency Event Log'!$D$4:$D$803)))</f>
        <v/>
      </c>
      <c r="AP31" s="8" t="str">
        <f>IF($B31="","",IF(COUNTIF('Competency Event Log'!$U$4:$U$803,$B31&amp;"|"&amp;AP$5)=0,"",SUMIF('Competency Event Log'!$U$4:$U$803,$B31&amp;"|"&amp;AP$5,'Competency Event Log'!$D$4:$D$803)))</f>
        <v/>
      </c>
      <c r="AQ31" s="8" t="str">
        <f>IF($B31="","",IF(COUNTIF('Competency Event Log'!$U$4:$U$803,$B31&amp;"|"&amp;AQ$5)=0,"",SUMIF('Competency Event Log'!$U$4:$U$803,$B31&amp;"|"&amp;AQ$5,'Competency Event Log'!$D$4:$D$803)))</f>
        <v/>
      </c>
      <c r="AR31" s="8" t="str">
        <f>IF($B31="","",IF(COUNTIF('Competency Event Log'!$U$4:$U$803,$B31&amp;"|"&amp;AR$5)=0,"",SUMIF('Competency Event Log'!$U$4:$U$803,$B31&amp;"|"&amp;AR$5,'Competency Event Log'!$D$4:$D$803)))</f>
        <v/>
      </c>
      <c r="AS31" s="8" t="str">
        <f>IF($B31="","",IF(COUNTIF('Competency Event Log'!$U$4:$U$803,$B31&amp;"|"&amp;AS$5)=0,"",SUMIF('Competency Event Log'!$U$4:$U$803,$B31&amp;"|"&amp;AS$5,'Competency Event Log'!$D$4:$D$803)))</f>
        <v/>
      </c>
      <c r="AT31" s="8" t="str">
        <f>IF($B31="","",IF(COUNTIF('Competency Event Log'!$U$4:$U$803,$B31&amp;"|"&amp;AT$5)=0,"",SUMIF('Competency Event Log'!$U$4:$U$803,$B31&amp;"|"&amp;AT$5,'Competency Event Log'!$D$4:$D$803)))</f>
        <v/>
      </c>
      <c r="AU31" s="8" t="str">
        <f>IF($B31="","",IF(COUNTIF('Competency Event Log'!$U$4:$U$803,$B31&amp;"|"&amp;AU$5)=0,"",SUMIF('Competency Event Log'!$U$4:$U$803,$B31&amp;"|"&amp;AU$5,'Competency Event Log'!$D$4:$D$803)))</f>
        <v/>
      </c>
      <c r="AV31" s="8">
        <f>IF($B31="","",IF(COUNTIF('Competency Event Log'!$U$4:$U$803,$B31&amp;"|"&amp;AV$5)=0,"",SUMIF('Competency Event Log'!$U$4:$U$803,$B31&amp;"|"&amp;AV$5,'Competency Event Log'!$D$4:$D$803)))</f>
        <v>3</v>
      </c>
      <c r="AW31" s="8" t="str">
        <f>IF($B31="","",IF(COUNTIF('Competency Event Log'!$U$4:$U$803,$B31&amp;"|"&amp;AW$5)=0,"",SUMIF('Competency Event Log'!$U$4:$U$803,$B31&amp;"|"&amp;AW$5,'Competency Event Log'!$D$4:$D$803)))</f>
        <v/>
      </c>
      <c r="AX31" s="8" t="str">
        <f>IF($B31="","",IF(COUNTIF('Competency Event Log'!$U$4:$U$803,$B31&amp;"|"&amp;AX$5)=0,"",SUMIF('Competency Event Log'!$U$4:$U$803,$B31&amp;"|"&amp;AX$5,'Competency Event Log'!$D$4:$D$803)))</f>
        <v/>
      </c>
      <c r="AY31" s="8" t="str">
        <f>IF($B31="","",IF(COUNTIF('Competency Event Log'!$U$4:$U$803,$B31&amp;"|"&amp;AY$5)=0,"",SUMIF('Competency Event Log'!$U$4:$U$803,$B31&amp;"|"&amp;AY$5,'Competency Event Log'!$D$4:$D$803)))</f>
        <v/>
      </c>
      <c r="AZ31" s="8" t="str">
        <f>IF($B31="","",IF(COUNTIF('Competency Event Log'!$U$4:$U$803,$B31&amp;"|"&amp;AZ$5)=0,"",SUMIF('Competency Event Log'!$U$4:$U$803,$B31&amp;"|"&amp;AZ$5,'Competency Event Log'!$D$4:$D$803)))</f>
        <v/>
      </c>
      <c r="BA31" s="8" t="str">
        <f>IF($B31="","",IF(COUNTIF('Competency Event Log'!$U$4:$U$803,$B31&amp;"|"&amp;BA$5)=0,"",SUMIF('Competency Event Log'!$U$4:$U$803,$B31&amp;"|"&amp;BA$5,'Competency Event Log'!$D$4:$D$803)))</f>
        <v/>
      </c>
      <c r="BB31" s="8" t="str">
        <f>IF($B31="","",IF(COUNTIF('Competency Event Log'!$U$4:$U$803,$B31&amp;"|"&amp;BB$5)=0,"",SUMIF('Competency Event Log'!$U$4:$U$803,$B31&amp;"|"&amp;BB$5,'Competency Event Log'!$D$4:$D$803)))</f>
        <v/>
      </c>
      <c r="BC31" s="8">
        <f>IF($B31="","",IF(COUNTIF('Competency Event Log'!$U$4:$U$803,$B31&amp;"|"&amp;BC$5)=0,"",SUMIF('Competency Event Log'!$U$4:$U$803,$B31&amp;"|"&amp;BC$5,'Competency Event Log'!$D$4:$D$803)))</f>
        <v>3</v>
      </c>
      <c r="BD31" s="8">
        <f>IF($B31="","",IF(COUNTIF('Competency Event Log'!$U$4:$U$803,$B31&amp;"|"&amp;BD$5)=0,"",SUMIF('Competency Event Log'!$U$4:$U$803,$B31&amp;"|"&amp;BD$5,'Competency Event Log'!$D$4:$D$803)))</f>
        <v>3</v>
      </c>
      <c r="BE31" s="8">
        <f>IF($B31="","",IF(COUNTIF('Competency Event Log'!$U$4:$U$803,$B31&amp;"|"&amp;BE$5)=0,"",SUMIF('Competency Event Log'!$U$4:$U$803,$B31&amp;"|"&amp;BE$5,'Competency Event Log'!$D$4:$D$803)))</f>
        <v>3</v>
      </c>
      <c r="BF31" s="8" t="str">
        <f>IF($B31="","",IF(COUNTIF('Competency Event Log'!$U$4:$U$803,$B31&amp;"|"&amp;BF$5)=0,"",SUMIF('Competency Event Log'!$U$4:$U$803,$B31&amp;"|"&amp;BF$5,'Competency Event Log'!$D$4:$D$803)))</f>
        <v/>
      </c>
      <c r="BG31" s="8" t="str">
        <f>IF($B31="","",IF(COUNTIF('Competency Event Log'!$U$4:$U$803,$B31&amp;"|"&amp;BG$5)=0,"",SUMIF('Competency Event Log'!$U$4:$U$803,$B31&amp;"|"&amp;BG$5,'Competency Event Log'!$D$4:$D$803)))</f>
        <v/>
      </c>
      <c r="BH31" s="8">
        <f>IF($B31="","",IF(COUNTIF('Competency Event Log'!$U$4:$U$803,$B31&amp;"|"&amp;BH$5)=0,"",SUMIF('Competency Event Log'!$U$4:$U$803,$B31&amp;"|"&amp;BH$5,'Competency Event Log'!$D$4:$D$803)))</f>
        <v>2</v>
      </c>
      <c r="BI31" s="8" t="str">
        <f>IF($B31="","",IF(COUNTIF('Competency Event Log'!$U$4:$U$803,$B31&amp;"|"&amp;BI$5)=0,"",SUMIF('Competency Event Log'!$U$4:$U$803,$B31&amp;"|"&amp;BI$5,'Competency Event Log'!$D$4:$D$803)))</f>
        <v/>
      </c>
      <c r="BJ31" s="8" t="str">
        <f>IF($B31="","",IF(COUNTIF('Competency Event Log'!$U$4:$U$803,$B31&amp;"|"&amp;BJ$5)=0,"",SUMIF('Competency Event Log'!$U$4:$U$803,$B31&amp;"|"&amp;BJ$5,'Competency Event Log'!$D$4:$D$803)))</f>
        <v/>
      </c>
      <c r="BK31" s="8" t="str">
        <f>IF($B31="","",IF(COUNTIF('Competency Event Log'!$U$4:$U$803,$B31&amp;"|"&amp;BK$5)=0,"",SUMIF('Competency Event Log'!$U$4:$U$803,$B31&amp;"|"&amp;BK$5,'Competency Event Log'!$D$4:$D$803)))</f>
        <v/>
      </c>
      <c r="BL31" s="8" t="str">
        <f>IF($B31="","",IF(COUNTIF('Competency Event Log'!$U$4:$U$803,$B31&amp;"|"&amp;BL$5)=0,"",SUMIF('Competency Event Log'!$U$4:$U$803,$B31&amp;"|"&amp;BL$5,'Competency Event Log'!$D$4:$D$803)))</f>
        <v/>
      </c>
      <c r="BM31" s="8" t="str">
        <f>IF($B31="","",IF(COUNTIF('Competency Event Log'!$U$4:$U$803,$B31&amp;"|"&amp;BM$5)=0,"",SUMIF('Competency Event Log'!$U$4:$U$803,$B31&amp;"|"&amp;BM$5,'Competency Event Log'!$D$4:$D$803)))</f>
        <v/>
      </c>
      <c r="BN31" s="8" t="str">
        <f>IF($B31="","",IF(COUNTIF('Competency Event Log'!$U$4:$U$803,$B31&amp;"|"&amp;BN$5)=0,"",SUMIF('Competency Event Log'!$U$4:$U$803,$B31&amp;"|"&amp;BN$5,'Competency Event Log'!$D$4:$D$803)))</f>
        <v/>
      </c>
      <c r="BO31" s="8" t="str">
        <f>IF($B31="","",IF(COUNTIF('Competency Event Log'!$U$4:$U$803,$B31&amp;"|"&amp;BO$5)=0,"",SUMIF('Competency Event Log'!$U$4:$U$803,$B31&amp;"|"&amp;BO$5,'Competency Event Log'!$D$4:$D$803)))</f>
        <v/>
      </c>
      <c r="BP31" s="8" t="str">
        <f>IF($B31="","",IF(COUNTIF('Competency Event Log'!$U$4:$U$803,$B31&amp;"|"&amp;BP$5)=0,"",SUMIF('Competency Event Log'!$U$4:$U$803,$B31&amp;"|"&amp;BP$5,'Competency Event Log'!$D$4:$D$803)))</f>
        <v/>
      </c>
      <c r="BQ31" s="8" t="str">
        <f>IF($B31="","",IF(COUNTIF('Competency Event Log'!$U$4:$U$803,$B31&amp;"|"&amp;BQ$5)=0,"",SUMIF('Competency Event Log'!$U$4:$U$803,$B31&amp;"|"&amp;BQ$5,'Competency Event Log'!$D$4:$D$803)))</f>
        <v/>
      </c>
      <c r="BR31" s="8" t="str">
        <f>IF($B31="","",IF(COUNTIF('Competency Event Log'!$U$4:$U$803,$B31&amp;"|"&amp;BR$5)=0,"",SUMIF('Competency Event Log'!$U$4:$U$803,$B31&amp;"|"&amp;BR$5,'Competency Event Log'!$D$4:$D$803)))</f>
        <v/>
      </c>
      <c r="BS31" s="8" t="str">
        <f>IF($B31="","",IF(COUNTIF('Competency Event Log'!$U$4:$U$803,$B31&amp;"|"&amp;BS$5)=0,"",SUMIF('Competency Event Log'!$U$4:$U$803,$B31&amp;"|"&amp;BS$5,'Competency Event Log'!$D$4:$D$803)))</f>
        <v/>
      </c>
      <c r="BT31" s="8" t="str">
        <f>IF($B31="","",IF(COUNTIF('Competency Event Log'!$U$4:$U$803,$B31&amp;"|"&amp;BT$5)=0,"",SUMIF('Competency Event Log'!$U$4:$U$803,$B31&amp;"|"&amp;BT$5,'Competency Event Log'!$D$4:$D$803)))</f>
        <v/>
      </c>
      <c r="BU31" s="8" t="str">
        <f>IF($B31="","",IF(COUNTIF('Competency Event Log'!$U$4:$U$803,$B31&amp;"|"&amp;BU$5)=0,"",SUMIF('Competency Event Log'!$U$4:$U$803,$B31&amp;"|"&amp;BU$5,'Competency Event Log'!$D$4:$D$803)))</f>
        <v/>
      </c>
      <c r="BV31" s="8" t="str">
        <f>IF($B31="","",IF(COUNTIF('Competency Event Log'!$U$4:$U$803,$B31&amp;"|"&amp;BV$5)=0,"",SUMIF('Competency Event Log'!$U$4:$U$803,$B31&amp;"|"&amp;BV$5,'Competency Event Log'!$D$4:$D$803)))</f>
        <v/>
      </c>
      <c r="BW31" s="8" t="str">
        <f>IF($B31="","",IF(COUNTIF('Competency Event Log'!$U$4:$U$803,$B31&amp;"|"&amp;BW$5)=0,"",SUMIF('Competency Event Log'!$U$4:$U$803,$B31&amp;"|"&amp;BW$5,'Competency Event Log'!$D$4:$D$803)))</f>
        <v/>
      </c>
      <c r="BX31" s="8" t="str">
        <f>IF($B31="","",IF(COUNTIF('Competency Event Log'!$U$4:$U$803,$B31&amp;"|"&amp;BX$5)=0,"",SUMIF('Competency Event Log'!$U$4:$U$803,$B31&amp;"|"&amp;BX$5,'Competency Event Log'!$D$4:$D$803)))</f>
        <v/>
      </c>
      <c r="BY31" s="8" t="str">
        <f>IF($B31="","",IF(COUNTIF('Competency Event Log'!$U$4:$U$803,$B31&amp;"|"&amp;BY$5)=0,"",SUMIF('Competency Event Log'!$U$4:$U$803,$B31&amp;"|"&amp;BY$5,'Competency Event Log'!$D$4:$D$803)))</f>
        <v/>
      </c>
      <c r="BZ31" s="8" t="str">
        <f>IF($B31="","",IF(COUNTIF('Competency Event Log'!$U$4:$U$803,$B31&amp;"|"&amp;BZ$5)=0,"",SUMIF('Competency Event Log'!$U$4:$U$803,$B31&amp;"|"&amp;BZ$5,'Competency Event Log'!$D$4:$D$803)))</f>
        <v/>
      </c>
      <c r="CA31" s="8" t="str">
        <f>IF($B31="","",IF(COUNTIF('Competency Event Log'!$U$4:$U$803,$B31&amp;"|"&amp;CA$5)=0,"",SUMIF('Competency Event Log'!$U$4:$U$803,$B31&amp;"|"&amp;CA$5,'Competency Event Log'!$D$4:$D$803)))</f>
        <v/>
      </c>
      <c r="CB31" s="8" t="str">
        <f>IF($B31="","",IF(COUNTIF('Competency Event Log'!$U$4:$U$803,$B31&amp;"|"&amp;CB$5)=0,"",SUMIF('Competency Event Log'!$U$4:$U$803,$B31&amp;"|"&amp;CB$5,'Competency Event Log'!$D$4:$D$803)))</f>
        <v/>
      </c>
      <c r="CC31" s="8" t="str">
        <f>IF($B31="","",IF(COUNTIF('Competency Event Log'!$U$4:$U$803,$B31&amp;"|"&amp;CC$5)=0,"",SUMIF('Competency Event Log'!$U$4:$U$803,$B31&amp;"|"&amp;CC$5,'Competency Event Log'!$D$4:$D$803)))</f>
        <v/>
      </c>
      <c r="CD31" s="8" t="str">
        <f>IF($B31="","",IF(COUNTIF('Competency Event Log'!$U$4:$U$803,$B31&amp;"|"&amp;CD$5)=0,"",SUMIF('Competency Event Log'!$U$4:$U$803,$B31&amp;"|"&amp;CD$5,'Competency Event Log'!$D$4:$D$803)))</f>
        <v/>
      </c>
      <c r="CE31" s="8" t="str">
        <f>IF($B31="","",IF(COUNTIF('Competency Event Log'!$U$4:$U$803,$B31&amp;"|"&amp;CE$5)=0,"",SUMIF('Competency Event Log'!$U$4:$U$803,$B31&amp;"|"&amp;CE$5,'Competency Event Log'!$D$4:$D$803)))</f>
        <v/>
      </c>
      <c r="CF31" s="8" t="str">
        <f>IF($B31="","",IF(COUNTIF('Competency Event Log'!$U$4:$U$803,$B31&amp;"|"&amp;CF$5)=0,"",SUMIF('Competency Event Log'!$U$4:$U$803,$B31&amp;"|"&amp;CF$5,'Competency Event Log'!$D$4:$D$803)))</f>
        <v/>
      </c>
      <c r="CG31" s="8" t="str">
        <f>IF($B31="","",IF(COUNTIF('Competency Event Log'!$U$4:$U$803,$B31&amp;"|"&amp;CG$5)=0,"",SUMIF('Competency Event Log'!$U$4:$U$803,$B31&amp;"|"&amp;CG$5,'Competency Event Log'!$D$4:$D$803)))</f>
        <v/>
      </c>
      <c r="CH31" s="8" t="str">
        <f>IF($B31="","",IF(COUNTIF('Competency Event Log'!$U$4:$U$803,$B31&amp;"|"&amp;CH$5)=0,"",SUMIF('Competency Event Log'!$U$4:$U$803,$B31&amp;"|"&amp;CH$5,'Competency Event Log'!$D$4:$D$803)))</f>
        <v/>
      </c>
      <c r="CI31" s="8" t="str">
        <f>IF($B31="","",IF(COUNTIF('Competency Event Log'!$U$4:$U$803,$B31&amp;"|"&amp;CI$5)=0,"",SUMIF('Competency Event Log'!$U$4:$U$803,$B31&amp;"|"&amp;CI$5,'Competency Event Log'!$D$4:$D$803)))</f>
        <v/>
      </c>
      <c r="CJ31" s="8" t="str">
        <f>IF($B31="","",IF(COUNTIF('Competency Event Log'!$U$4:$U$803,$B31&amp;"|"&amp;CJ$5)=0,"",SUMIF('Competency Event Log'!$U$4:$U$803,$B31&amp;"|"&amp;CJ$5,'Competency Event Log'!$D$4:$D$803)))</f>
        <v/>
      </c>
      <c r="CK31" s="8" t="str">
        <f>IF($B31="","",IF(COUNTIF('Competency Event Log'!$U$4:$U$803,$B31&amp;"|"&amp;CK$5)=0,"",SUMIF('Competency Event Log'!$U$4:$U$803,$B31&amp;"|"&amp;CK$5,'Competency Event Log'!$D$4:$D$803)))</f>
        <v/>
      </c>
      <c r="CL31" s="8" t="str">
        <f>IF($B31="","",IF(COUNTIF('Competency Event Log'!$U$4:$U$803,$B31&amp;"|"&amp;CL$5)=0,"",SUMIF('Competency Event Log'!$U$4:$U$803,$B31&amp;"|"&amp;CL$5,'Competency Event Log'!$D$4:$D$803)))</f>
        <v/>
      </c>
      <c r="CM31" s="8" t="str">
        <f>IF($B31="","",IF(COUNTIF('Competency Event Log'!$U$4:$U$803,$B31&amp;"|"&amp;CM$5)=0,"",SUMIF('Competency Event Log'!$U$4:$U$803,$B31&amp;"|"&amp;CM$5,'Competency Event Log'!$D$4:$D$803)))</f>
        <v/>
      </c>
      <c r="CN31" s="8">
        <f>IF($B31="","",IF(COUNTIF('Competency Event Log'!$U$4:$U$803,$B31&amp;"|"&amp;CN$5)=0,"",SUMIF('Competency Event Log'!$U$4:$U$803,$B31&amp;"|"&amp;CN$5,'Competency Event Log'!$D$4:$D$803)))</f>
        <v>3</v>
      </c>
      <c r="CO31" s="8" t="str">
        <f>IF($B31="","",IF(COUNTIF('Competency Event Log'!$U$4:$U$803,$B31&amp;"|"&amp;CO$5)=0,"",SUMIF('Competency Event Log'!$U$4:$U$803,$B31&amp;"|"&amp;CO$5,'Competency Event Log'!$D$4:$D$803)))</f>
        <v/>
      </c>
      <c r="CP31" s="8" t="str">
        <f>IF($B31="","",IF(COUNTIF('Competency Event Log'!$U$4:$U$803,$B31&amp;"|"&amp;CP$5)=0,"",SUMIF('Competency Event Log'!$U$4:$U$803,$B31&amp;"|"&amp;CP$5,'Competency Event Log'!$D$4:$D$803)))</f>
        <v/>
      </c>
      <c r="CQ31" s="8" t="str">
        <f>IF($B31="","",IF(COUNTIF('Competency Event Log'!$U$4:$U$803,$B31&amp;"|"&amp;CQ$5)=0,"",SUMIF('Competency Event Log'!$U$4:$U$803,$B31&amp;"|"&amp;CQ$5,'Competency Event Log'!$D$4:$D$803)))</f>
        <v/>
      </c>
      <c r="CR31" s="8" t="str">
        <f>IF($B31="","",IF(COUNTIF('Competency Event Log'!$U$4:$U$803,$B31&amp;"|"&amp;CR$5)=0,"",SUMIF('Competency Event Log'!$U$4:$U$803,$B31&amp;"|"&amp;CR$5,'Competency Event Log'!$D$4:$D$803)))</f>
        <v/>
      </c>
      <c r="CS31" s="8" t="str">
        <f>IF($B31="","",IF(COUNTIF('Competency Event Log'!$U$4:$U$803,$B31&amp;"|"&amp;CS$5)=0,"",SUMIF('Competency Event Log'!$U$4:$U$803,$B31&amp;"|"&amp;CS$5,'Competency Event Log'!$D$4:$D$803)))</f>
        <v/>
      </c>
      <c r="CT31" s="8" t="str">
        <f>IF($B31="","",IF(COUNTIF('Competency Event Log'!$U$4:$U$803,$B31&amp;"|"&amp;CT$5)=0,"",SUMIF('Competency Event Log'!$U$4:$U$803,$B31&amp;"|"&amp;CT$5,'Competency Event Log'!$D$4:$D$803)))</f>
        <v/>
      </c>
      <c r="CU31" s="8" t="str">
        <f>IF($B31="","",IF(COUNTIF('Competency Event Log'!$U$4:$U$803,$B31&amp;"|"&amp;CU$5)=0,"",SUMIF('Competency Event Log'!$U$4:$U$803,$B31&amp;"|"&amp;CU$5,'Competency Event Log'!$D$4:$D$803)))</f>
        <v/>
      </c>
      <c r="CV31" s="8" t="str">
        <f>IF($B31="","",IF(COUNTIF('Competency Event Log'!$U$4:$U$803,$B31&amp;"|"&amp;CV$5)=0,"",SUMIF('Competency Event Log'!$U$4:$U$803,$B31&amp;"|"&amp;CV$5,'Competency Event Log'!$D$4:$D$803)))</f>
        <v/>
      </c>
      <c r="CW31" s="8" t="str">
        <f>IF($B31="","",IF(COUNTIF('Competency Event Log'!$U$4:$U$803,$B31&amp;"|"&amp;CW$5)=0,"",SUMIF('Competency Event Log'!$U$4:$U$803,$B31&amp;"|"&amp;CW$5,'Competency Event Log'!$D$4:$D$803)))</f>
        <v/>
      </c>
      <c r="CX31" s="8" t="str">
        <f>IF($B31="","",IF(COUNTIF('Competency Event Log'!$U$4:$U$803,$B31&amp;"|"&amp;CX$5)=0,"",SUMIF('Competency Event Log'!$U$4:$U$803,$B31&amp;"|"&amp;CX$5,'Competency Event Log'!$D$4:$D$803)))</f>
        <v/>
      </c>
      <c r="CY31" s="8" t="str">
        <f>IF($B31="","",IF(COUNTIF('Competency Event Log'!$U$4:$U$803,$B31&amp;"|"&amp;CY$5)=0,"",SUMIF('Competency Event Log'!$U$4:$U$803,$B31&amp;"|"&amp;CY$5,'Competency Event Log'!$D$4:$D$803)))</f>
        <v/>
      </c>
      <c r="CZ31" s="8" t="str">
        <f>IF($B31="","",IF(COUNTIF('Competency Event Log'!$U$4:$U$803,$B31&amp;"|"&amp;CZ$5)=0,"",SUMIF('Competency Event Log'!$U$4:$U$803,$B31&amp;"|"&amp;CZ$5,'Competency Event Log'!$D$4:$D$803)))</f>
        <v/>
      </c>
      <c r="DA31" s="8" t="str">
        <f>IF($B31="","",IF(COUNTIF('Competency Event Log'!$U$4:$U$803,$B31&amp;"|"&amp;DA$5)=0,"",SUMIF('Competency Event Log'!$U$4:$U$803,$B31&amp;"|"&amp;DA$5,'Competency Event Log'!$D$4:$D$803)))</f>
        <v/>
      </c>
      <c r="DB31" s="8" t="str">
        <f>IF($B31="","",IF(COUNTIF('Competency Event Log'!$U$4:$U$803,$B31&amp;"|"&amp;DB$5)=0,"",SUMIF('Competency Event Log'!$U$4:$U$803,$B31&amp;"|"&amp;DB$5,'Competency Event Log'!$D$4:$D$803)))</f>
        <v/>
      </c>
      <c r="DC31" s="8" t="str">
        <f>IF($B31="","",IF(COUNTIF('Competency Event Log'!$U$4:$U$803,$B31&amp;"|"&amp;DC$5)=0,"",SUMIF('Competency Event Log'!$U$4:$U$803,$B31&amp;"|"&amp;DC$5,'Competency Event Log'!$D$4:$D$803)))</f>
        <v/>
      </c>
      <c r="DD31" s="8">
        <f>IF($B31="","",IF(COUNTIF('Competency Event Log'!$U$4:$U$803,$B31&amp;"|"&amp;DD$5)=0,"",SUMIF('Competency Event Log'!$U$4:$U$803,$B31&amp;"|"&amp;DD$5,'Competency Event Log'!$D$4:$D$803)))</f>
        <v>2</v>
      </c>
      <c r="DE31" s="8" t="str">
        <f>IF($B31="","",IF(COUNTIF('Competency Event Log'!$U$4:$U$803,$B31&amp;"|"&amp;DE$5)=0,"",SUMIF('Competency Event Log'!$U$4:$U$803,$B31&amp;"|"&amp;DE$5,'Competency Event Log'!$D$4:$D$803)))</f>
        <v/>
      </c>
      <c r="DF31" s="8">
        <f t="shared" si="0"/>
        <v>20</v>
      </c>
      <c r="DG31" s="8">
        <f t="shared" si="1"/>
        <v>8</v>
      </c>
      <c r="DH31" s="8">
        <f t="shared" si="2"/>
        <v>5</v>
      </c>
      <c r="DI31" s="11">
        <f t="shared" si="3"/>
        <v>0.66666666666666663</v>
      </c>
    </row>
    <row r="32" spans="1:113">
      <c r="A32" s="7" t="s">
        <v>308</v>
      </c>
      <c r="B32" s="7" t="s">
        <v>125</v>
      </c>
      <c r="C32" s="8">
        <v>3</v>
      </c>
      <c r="D32" s="9" t="s">
        <v>980</v>
      </c>
      <c r="E32" s="10">
        <v>44286</v>
      </c>
      <c r="F32" s="8" t="s">
        <v>930</v>
      </c>
      <c r="G32" s="8" t="str">
        <f>IF($B32="","",IF(COUNTIF('Competency Event Log'!$U$4:$U$803,$B32&amp;"|"&amp;G$5)=0,"",SUMIF('Competency Event Log'!$U$4:$U$803,$B32&amp;"|"&amp;G$5,'Competency Event Log'!$D$4:$D$803)))</f>
        <v/>
      </c>
      <c r="H32" s="8" t="str">
        <f>IF($B32="","",IF(COUNTIF('Competency Event Log'!$U$4:$U$803,$B32&amp;"|"&amp;H$5)=0,"",SUMIF('Competency Event Log'!$U$4:$U$803,$B32&amp;"|"&amp;H$5,'Competency Event Log'!$D$4:$D$803)))</f>
        <v/>
      </c>
      <c r="I32" s="8" t="str">
        <f>IF($B32="","",IF(COUNTIF('Competency Event Log'!$U$4:$U$803,$B32&amp;"|"&amp;I$5)=0,"",SUMIF('Competency Event Log'!$U$4:$U$803,$B32&amp;"|"&amp;I$5,'Competency Event Log'!$D$4:$D$803)))</f>
        <v/>
      </c>
      <c r="J32" s="8" t="str">
        <f>IF($B32="","",IF(COUNTIF('Competency Event Log'!$U$4:$U$803,$B32&amp;"|"&amp;J$5)=0,"",SUMIF('Competency Event Log'!$U$4:$U$803,$B32&amp;"|"&amp;J$5,'Competency Event Log'!$D$4:$D$803)))</f>
        <v/>
      </c>
      <c r="K32" s="8" t="str">
        <f>IF($B32="","",IF(COUNTIF('Competency Event Log'!$U$4:$U$803,$B32&amp;"|"&amp;K$5)=0,"",SUMIF('Competency Event Log'!$U$4:$U$803,$B32&amp;"|"&amp;K$5,'Competency Event Log'!$D$4:$D$803)))</f>
        <v/>
      </c>
      <c r="L32" s="8" t="str">
        <f>IF($B32="","",IF(COUNTIF('Competency Event Log'!$U$4:$U$803,$B32&amp;"|"&amp;L$5)=0,"",SUMIF('Competency Event Log'!$U$4:$U$803,$B32&amp;"|"&amp;L$5,'Competency Event Log'!$D$4:$D$803)))</f>
        <v/>
      </c>
      <c r="M32" s="8" t="str">
        <f>IF($B32="","",IF(COUNTIF('Competency Event Log'!$U$4:$U$803,$B32&amp;"|"&amp;M$5)=0,"",SUMIF('Competency Event Log'!$U$4:$U$803,$B32&amp;"|"&amp;M$5,'Competency Event Log'!$D$4:$D$803)))</f>
        <v/>
      </c>
      <c r="N32" s="8" t="str">
        <f>IF($B32="","",IF(COUNTIF('Competency Event Log'!$U$4:$U$803,$B32&amp;"|"&amp;N$5)=0,"",SUMIF('Competency Event Log'!$U$4:$U$803,$B32&amp;"|"&amp;N$5,'Competency Event Log'!$D$4:$D$803)))</f>
        <v/>
      </c>
      <c r="O32" s="8" t="str">
        <f>IF($B32="","",IF(COUNTIF('Competency Event Log'!$U$4:$U$803,$B32&amp;"|"&amp;O$5)=0,"",SUMIF('Competency Event Log'!$U$4:$U$803,$B32&amp;"|"&amp;O$5,'Competency Event Log'!$D$4:$D$803)))</f>
        <v/>
      </c>
      <c r="P32" s="8" t="str">
        <f>IF($B32="","",IF(COUNTIF('Competency Event Log'!$U$4:$U$803,$B32&amp;"|"&amp;P$5)=0,"",SUMIF('Competency Event Log'!$U$4:$U$803,$B32&amp;"|"&amp;P$5,'Competency Event Log'!$D$4:$D$803)))</f>
        <v/>
      </c>
      <c r="Q32" s="8" t="str">
        <f>IF($B32="","",IF(COUNTIF('Competency Event Log'!$U$4:$U$803,$B32&amp;"|"&amp;Q$5)=0,"",SUMIF('Competency Event Log'!$U$4:$U$803,$B32&amp;"|"&amp;Q$5,'Competency Event Log'!$D$4:$D$803)))</f>
        <v/>
      </c>
      <c r="R32" s="8" t="str">
        <f>IF($B32="","",IF(COUNTIF('Competency Event Log'!$U$4:$U$803,$B32&amp;"|"&amp;R$5)=0,"",SUMIF('Competency Event Log'!$U$4:$U$803,$B32&amp;"|"&amp;R$5,'Competency Event Log'!$D$4:$D$803)))</f>
        <v/>
      </c>
      <c r="S32" s="8" t="str">
        <f>IF($B32="","",IF(COUNTIF('Competency Event Log'!$U$4:$U$803,$B32&amp;"|"&amp;S$5)=0,"",SUMIF('Competency Event Log'!$U$4:$U$803,$B32&amp;"|"&amp;S$5,'Competency Event Log'!$D$4:$D$803)))</f>
        <v/>
      </c>
      <c r="T32" s="8" t="str">
        <f>IF($B32="","",IF(COUNTIF('Competency Event Log'!$U$4:$U$803,$B32&amp;"|"&amp;T$5)=0,"",SUMIF('Competency Event Log'!$U$4:$U$803,$B32&amp;"|"&amp;T$5,'Competency Event Log'!$D$4:$D$803)))</f>
        <v/>
      </c>
      <c r="U32" s="8" t="str">
        <f>IF($B32="","",IF(COUNTIF('Competency Event Log'!$U$4:$U$803,$B32&amp;"|"&amp;U$5)=0,"",SUMIF('Competency Event Log'!$U$4:$U$803,$B32&amp;"|"&amp;U$5,'Competency Event Log'!$D$4:$D$803)))</f>
        <v/>
      </c>
      <c r="V32" s="8" t="str">
        <f>IF($B32="","",IF(COUNTIF('Competency Event Log'!$U$4:$U$803,$B32&amp;"|"&amp;V$5)=0,"",SUMIF('Competency Event Log'!$U$4:$U$803,$B32&amp;"|"&amp;V$5,'Competency Event Log'!$D$4:$D$803)))</f>
        <v/>
      </c>
      <c r="W32" s="8" t="str">
        <f>IF($B32="","",IF(COUNTIF('Competency Event Log'!$U$4:$U$803,$B32&amp;"|"&amp;W$5)=0,"",SUMIF('Competency Event Log'!$U$4:$U$803,$B32&amp;"|"&amp;W$5,'Competency Event Log'!$D$4:$D$803)))</f>
        <v/>
      </c>
      <c r="X32" s="8" t="str">
        <f>IF($B32="","",IF(COUNTIF('Competency Event Log'!$U$4:$U$803,$B32&amp;"|"&amp;X$5)=0,"",SUMIF('Competency Event Log'!$U$4:$U$803,$B32&amp;"|"&amp;X$5,'Competency Event Log'!$D$4:$D$803)))</f>
        <v/>
      </c>
      <c r="Y32" s="8" t="str">
        <f>IF($B32="","",IF(COUNTIF('Competency Event Log'!$U$4:$U$803,$B32&amp;"|"&amp;Y$5)=0,"",SUMIF('Competency Event Log'!$U$4:$U$803,$B32&amp;"|"&amp;Y$5,'Competency Event Log'!$D$4:$D$803)))</f>
        <v/>
      </c>
      <c r="Z32" s="8" t="str">
        <f>IF($B32="","",IF(COUNTIF('Competency Event Log'!$U$4:$U$803,$B32&amp;"|"&amp;Z$5)=0,"",SUMIF('Competency Event Log'!$U$4:$U$803,$B32&amp;"|"&amp;Z$5,'Competency Event Log'!$D$4:$D$803)))</f>
        <v/>
      </c>
      <c r="AA32" s="8" t="str">
        <f>IF($B32="","",IF(COUNTIF('Competency Event Log'!$U$4:$U$803,$B32&amp;"|"&amp;AA$5)=0,"",SUMIF('Competency Event Log'!$U$4:$U$803,$B32&amp;"|"&amp;AA$5,'Competency Event Log'!$D$4:$D$803)))</f>
        <v/>
      </c>
      <c r="AB32" s="8" t="str">
        <f>IF($B32="","",IF(COUNTIF('Competency Event Log'!$U$4:$U$803,$B32&amp;"|"&amp;AB$5)=0,"",SUMIF('Competency Event Log'!$U$4:$U$803,$B32&amp;"|"&amp;AB$5,'Competency Event Log'!$D$4:$D$803)))</f>
        <v/>
      </c>
      <c r="AC32" s="8" t="str">
        <f>IF($B32="","",IF(COUNTIF('Competency Event Log'!$U$4:$U$803,$B32&amp;"|"&amp;AC$5)=0,"",SUMIF('Competency Event Log'!$U$4:$U$803,$B32&amp;"|"&amp;AC$5,'Competency Event Log'!$D$4:$D$803)))</f>
        <v/>
      </c>
      <c r="AD32" s="8" t="str">
        <f>IF($B32="","",IF(COUNTIF('Competency Event Log'!$U$4:$U$803,$B32&amp;"|"&amp;AD$5)=0,"",SUMIF('Competency Event Log'!$U$4:$U$803,$B32&amp;"|"&amp;AD$5,'Competency Event Log'!$D$4:$D$803)))</f>
        <v/>
      </c>
      <c r="AE32" s="8" t="str">
        <f>IF($B32="","",IF(COUNTIF('Competency Event Log'!$U$4:$U$803,$B32&amp;"|"&amp;AE$5)=0,"",SUMIF('Competency Event Log'!$U$4:$U$803,$B32&amp;"|"&amp;AE$5,'Competency Event Log'!$D$4:$D$803)))</f>
        <v/>
      </c>
      <c r="AF32" s="8" t="str">
        <f>IF($B32="","",IF(COUNTIF('Competency Event Log'!$U$4:$U$803,$B32&amp;"|"&amp;AF$5)=0,"",SUMIF('Competency Event Log'!$U$4:$U$803,$B32&amp;"|"&amp;AF$5,'Competency Event Log'!$D$4:$D$803)))</f>
        <v/>
      </c>
      <c r="AG32" s="8" t="str">
        <f>IF($B32="","",IF(COUNTIF('Competency Event Log'!$U$4:$U$803,$B32&amp;"|"&amp;AG$5)=0,"",SUMIF('Competency Event Log'!$U$4:$U$803,$B32&amp;"|"&amp;AG$5,'Competency Event Log'!$D$4:$D$803)))</f>
        <v/>
      </c>
      <c r="AH32" s="8" t="str">
        <f>IF($B32="","",IF(COUNTIF('Competency Event Log'!$U$4:$U$803,$B32&amp;"|"&amp;AH$5)=0,"",SUMIF('Competency Event Log'!$U$4:$U$803,$B32&amp;"|"&amp;AH$5,'Competency Event Log'!$D$4:$D$803)))</f>
        <v/>
      </c>
      <c r="AI32" s="8" t="str">
        <f>IF($B32="","",IF(COUNTIF('Competency Event Log'!$U$4:$U$803,$B32&amp;"|"&amp;AI$5)=0,"",SUMIF('Competency Event Log'!$U$4:$U$803,$B32&amp;"|"&amp;AI$5,'Competency Event Log'!$D$4:$D$803)))</f>
        <v/>
      </c>
      <c r="AJ32" s="8" t="str">
        <f>IF($B32="","",IF(COUNTIF('Competency Event Log'!$U$4:$U$803,$B32&amp;"|"&amp;AJ$5)=0,"",SUMIF('Competency Event Log'!$U$4:$U$803,$B32&amp;"|"&amp;AJ$5,'Competency Event Log'!$D$4:$D$803)))</f>
        <v/>
      </c>
      <c r="AK32" s="8" t="str">
        <f>IF($B32="","",IF(COUNTIF('Competency Event Log'!$U$4:$U$803,$B32&amp;"|"&amp;AK$5)=0,"",SUMIF('Competency Event Log'!$U$4:$U$803,$B32&amp;"|"&amp;AK$5,'Competency Event Log'!$D$4:$D$803)))</f>
        <v/>
      </c>
      <c r="AL32" s="8" t="str">
        <f>IF($B32="","",IF(COUNTIF('Competency Event Log'!$U$4:$U$803,$B32&amp;"|"&amp;AL$5)=0,"",SUMIF('Competency Event Log'!$U$4:$U$803,$B32&amp;"|"&amp;AL$5,'Competency Event Log'!$D$4:$D$803)))</f>
        <v/>
      </c>
      <c r="AM32" s="8" t="str">
        <f>IF($B32="","",IF(COUNTIF('Competency Event Log'!$U$4:$U$803,$B32&amp;"|"&amp;AM$5)=0,"",SUMIF('Competency Event Log'!$U$4:$U$803,$B32&amp;"|"&amp;AM$5,'Competency Event Log'!$D$4:$D$803)))</f>
        <v/>
      </c>
      <c r="AN32" s="8" t="str">
        <f>IF($B32="","",IF(COUNTIF('Competency Event Log'!$U$4:$U$803,$B32&amp;"|"&amp;AN$5)=0,"",SUMIF('Competency Event Log'!$U$4:$U$803,$B32&amp;"|"&amp;AN$5,'Competency Event Log'!$D$4:$D$803)))</f>
        <v/>
      </c>
      <c r="AO32" s="8" t="str">
        <f>IF($B32="","",IF(COUNTIF('Competency Event Log'!$U$4:$U$803,$B32&amp;"|"&amp;AO$5)=0,"",SUMIF('Competency Event Log'!$U$4:$U$803,$B32&amp;"|"&amp;AO$5,'Competency Event Log'!$D$4:$D$803)))</f>
        <v/>
      </c>
      <c r="AP32" s="8" t="str">
        <f>IF($B32="","",IF(COUNTIF('Competency Event Log'!$U$4:$U$803,$B32&amp;"|"&amp;AP$5)=0,"",SUMIF('Competency Event Log'!$U$4:$U$803,$B32&amp;"|"&amp;AP$5,'Competency Event Log'!$D$4:$D$803)))</f>
        <v/>
      </c>
      <c r="AQ32" s="8" t="str">
        <f>IF($B32="","",IF(COUNTIF('Competency Event Log'!$U$4:$U$803,$B32&amp;"|"&amp;AQ$5)=0,"",SUMIF('Competency Event Log'!$U$4:$U$803,$B32&amp;"|"&amp;AQ$5,'Competency Event Log'!$D$4:$D$803)))</f>
        <v/>
      </c>
      <c r="AR32" s="8" t="str">
        <f>IF($B32="","",IF(COUNTIF('Competency Event Log'!$U$4:$U$803,$B32&amp;"|"&amp;AR$5)=0,"",SUMIF('Competency Event Log'!$U$4:$U$803,$B32&amp;"|"&amp;AR$5,'Competency Event Log'!$D$4:$D$803)))</f>
        <v/>
      </c>
      <c r="AS32" s="8" t="str">
        <f>IF($B32="","",IF(COUNTIF('Competency Event Log'!$U$4:$U$803,$B32&amp;"|"&amp;AS$5)=0,"",SUMIF('Competency Event Log'!$U$4:$U$803,$B32&amp;"|"&amp;AS$5,'Competency Event Log'!$D$4:$D$803)))</f>
        <v/>
      </c>
      <c r="AT32" s="8" t="str">
        <f>IF($B32="","",IF(COUNTIF('Competency Event Log'!$U$4:$U$803,$B32&amp;"|"&amp;AT$5)=0,"",SUMIF('Competency Event Log'!$U$4:$U$803,$B32&amp;"|"&amp;AT$5,'Competency Event Log'!$D$4:$D$803)))</f>
        <v/>
      </c>
      <c r="AU32" s="8">
        <f>IF($B32="","",IF(COUNTIF('Competency Event Log'!$U$4:$U$803,$B32&amp;"|"&amp;AU$5)=0,"",SUMIF('Competency Event Log'!$U$4:$U$803,$B32&amp;"|"&amp;AU$5,'Competency Event Log'!$D$4:$D$803)))</f>
        <v>3</v>
      </c>
      <c r="AV32" s="8" t="str">
        <f>IF($B32="","",IF(COUNTIF('Competency Event Log'!$U$4:$U$803,$B32&amp;"|"&amp;AV$5)=0,"",SUMIF('Competency Event Log'!$U$4:$U$803,$B32&amp;"|"&amp;AV$5,'Competency Event Log'!$D$4:$D$803)))</f>
        <v/>
      </c>
      <c r="AW32" s="8" t="str">
        <f>IF($B32="","",IF(COUNTIF('Competency Event Log'!$U$4:$U$803,$B32&amp;"|"&amp;AW$5)=0,"",SUMIF('Competency Event Log'!$U$4:$U$803,$B32&amp;"|"&amp;AW$5,'Competency Event Log'!$D$4:$D$803)))</f>
        <v/>
      </c>
      <c r="AX32" s="8" t="str">
        <f>IF($B32="","",IF(COUNTIF('Competency Event Log'!$U$4:$U$803,$B32&amp;"|"&amp;AX$5)=0,"",SUMIF('Competency Event Log'!$U$4:$U$803,$B32&amp;"|"&amp;AX$5,'Competency Event Log'!$D$4:$D$803)))</f>
        <v/>
      </c>
      <c r="AY32" s="8" t="str">
        <f>IF($B32="","",IF(COUNTIF('Competency Event Log'!$U$4:$U$803,$B32&amp;"|"&amp;AY$5)=0,"",SUMIF('Competency Event Log'!$U$4:$U$803,$B32&amp;"|"&amp;AY$5,'Competency Event Log'!$D$4:$D$803)))</f>
        <v/>
      </c>
      <c r="AZ32" s="8" t="str">
        <f>IF($B32="","",IF(COUNTIF('Competency Event Log'!$U$4:$U$803,$B32&amp;"|"&amp;AZ$5)=0,"",SUMIF('Competency Event Log'!$U$4:$U$803,$B32&amp;"|"&amp;AZ$5,'Competency Event Log'!$D$4:$D$803)))</f>
        <v/>
      </c>
      <c r="BA32" s="8" t="str">
        <f>IF($B32="","",IF(COUNTIF('Competency Event Log'!$U$4:$U$803,$B32&amp;"|"&amp;BA$5)=0,"",SUMIF('Competency Event Log'!$U$4:$U$803,$B32&amp;"|"&amp;BA$5,'Competency Event Log'!$D$4:$D$803)))</f>
        <v/>
      </c>
      <c r="BB32" s="8">
        <f>IF($B32="","",IF(COUNTIF('Competency Event Log'!$U$4:$U$803,$B32&amp;"|"&amp;BB$5)=0,"",SUMIF('Competency Event Log'!$U$4:$U$803,$B32&amp;"|"&amp;BB$5,'Competency Event Log'!$D$4:$D$803)))</f>
        <v>2</v>
      </c>
      <c r="BC32" s="8">
        <f>IF($B32="","",IF(COUNTIF('Competency Event Log'!$U$4:$U$803,$B32&amp;"|"&amp;BC$5)=0,"",SUMIF('Competency Event Log'!$U$4:$U$803,$B32&amp;"|"&amp;BC$5,'Competency Event Log'!$D$4:$D$803)))</f>
        <v>3</v>
      </c>
      <c r="BD32" s="8">
        <f>IF($B32="","",IF(COUNTIF('Competency Event Log'!$U$4:$U$803,$B32&amp;"|"&amp;BD$5)=0,"",SUMIF('Competency Event Log'!$U$4:$U$803,$B32&amp;"|"&amp;BD$5,'Competency Event Log'!$D$4:$D$803)))</f>
        <v>3</v>
      </c>
      <c r="BE32" s="8">
        <f>IF($B32="","",IF(COUNTIF('Competency Event Log'!$U$4:$U$803,$B32&amp;"|"&amp;BE$5)=0,"",SUMIF('Competency Event Log'!$U$4:$U$803,$B32&amp;"|"&amp;BE$5,'Competency Event Log'!$D$4:$D$803)))</f>
        <v>3</v>
      </c>
      <c r="BF32" s="8" t="str">
        <f>IF($B32="","",IF(COUNTIF('Competency Event Log'!$U$4:$U$803,$B32&amp;"|"&amp;BF$5)=0,"",SUMIF('Competency Event Log'!$U$4:$U$803,$B32&amp;"|"&amp;BF$5,'Competency Event Log'!$D$4:$D$803)))</f>
        <v/>
      </c>
      <c r="BG32" s="8" t="str">
        <f>IF($B32="","",IF(COUNTIF('Competency Event Log'!$U$4:$U$803,$B32&amp;"|"&amp;BG$5)=0,"",SUMIF('Competency Event Log'!$U$4:$U$803,$B32&amp;"|"&amp;BG$5,'Competency Event Log'!$D$4:$D$803)))</f>
        <v/>
      </c>
      <c r="BH32" s="8">
        <f>IF($B32="","",IF(COUNTIF('Competency Event Log'!$U$4:$U$803,$B32&amp;"|"&amp;BH$5)=0,"",SUMIF('Competency Event Log'!$U$4:$U$803,$B32&amp;"|"&amp;BH$5,'Competency Event Log'!$D$4:$D$803)))</f>
        <v>1</v>
      </c>
      <c r="BI32" s="8" t="str">
        <f>IF($B32="","",IF(COUNTIF('Competency Event Log'!$U$4:$U$803,$B32&amp;"|"&amp;BI$5)=0,"",SUMIF('Competency Event Log'!$U$4:$U$803,$B32&amp;"|"&amp;BI$5,'Competency Event Log'!$D$4:$D$803)))</f>
        <v/>
      </c>
      <c r="BJ32" s="8" t="str">
        <f>IF($B32="","",IF(COUNTIF('Competency Event Log'!$U$4:$U$803,$B32&amp;"|"&amp;BJ$5)=0,"",SUMIF('Competency Event Log'!$U$4:$U$803,$B32&amp;"|"&amp;BJ$5,'Competency Event Log'!$D$4:$D$803)))</f>
        <v/>
      </c>
      <c r="BK32" s="8" t="str">
        <f>IF($B32="","",IF(COUNTIF('Competency Event Log'!$U$4:$U$803,$B32&amp;"|"&amp;BK$5)=0,"",SUMIF('Competency Event Log'!$U$4:$U$803,$B32&amp;"|"&amp;BK$5,'Competency Event Log'!$D$4:$D$803)))</f>
        <v/>
      </c>
      <c r="BL32" s="8" t="str">
        <f>IF($B32="","",IF(COUNTIF('Competency Event Log'!$U$4:$U$803,$B32&amp;"|"&amp;BL$5)=0,"",SUMIF('Competency Event Log'!$U$4:$U$803,$B32&amp;"|"&amp;BL$5,'Competency Event Log'!$D$4:$D$803)))</f>
        <v/>
      </c>
      <c r="BM32" s="8" t="str">
        <f>IF($B32="","",IF(COUNTIF('Competency Event Log'!$U$4:$U$803,$B32&amp;"|"&amp;BM$5)=0,"",SUMIF('Competency Event Log'!$U$4:$U$803,$B32&amp;"|"&amp;BM$5,'Competency Event Log'!$D$4:$D$803)))</f>
        <v/>
      </c>
      <c r="BN32" s="8" t="str">
        <f>IF($B32="","",IF(COUNTIF('Competency Event Log'!$U$4:$U$803,$B32&amp;"|"&amp;BN$5)=0,"",SUMIF('Competency Event Log'!$U$4:$U$803,$B32&amp;"|"&amp;BN$5,'Competency Event Log'!$D$4:$D$803)))</f>
        <v/>
      </c>
      <c r="BO32" s="8" t="str">
        <f>IF($B32="","",IF(COUNTIF('Competency Event Log'!$U$4:$U$803,$B32&amp;"|"&amp;BO$5)=0,"",SUMIF('Competency Event Log'!$U$4:$U$803,$B32&amp;"|"&amp;BO$5,'Competency Event Log'!$D$4:$D$803)))</f>
        <v/>
      </c>
      <c r="BP32" s="8" t="str">
        <f>IF($B32="","",IF(COUNTIF('Competency Event Log'!$U$4:$U$803,$B32&amp;"|"&amp;BP$5)=0,"",SUMIF('Competency Event Log'!$U$4:$U$803,$B32&amp;"|"&amp;BP$5,'Competency Event Log'!$D$4:$D$803)))</f>
        <v/>
      </c>
      <c r="BQ32" s="8" t="str">
        <f>IF($B32="","",IF(COUNTIF('Competency Event Log'!$U$4:$U$803,$B32&amp;"|"&amp;BQ$5)=0,"",SUMIF('Competency Event Log'!$U$4:$U$803,$B32&amp;"|"&amp;BQ$5,'Competency Event Log'!$D$4:$D$803)))</f>
        <v/>
      </c>
      <c r="BR32" s="8" t="str">
        <f>IF($B32="","",IF(COUNTIF('Competency Event Log'!$U$4:$U$803,$B32&amp;"|"&amp;BR$5)=0,"",SUMIF('Competency Event Log'!$U$4:$U$803,$B32&amp;"|"&amp;BR$5,'Competency Event Log'!$D$4:$D$803)))</f>
        <v/>
      </c>
      <c r="BS32" s="8" t="str">
        <f>IF($B32="","",IF(COUNTIF('Competency Event Log'!$U$4:$U$803,$B32&amp;"|"&amp;BS$5)=0,"",SUMIF('Competency Event Log'!$U$4:$U$803,$B32&amp;"|"&amp;BS$5,'Competency Event Log'!$D$4:$D$803)))</f>
        <v/>
      </c>
      <c r="BT32" s="8" t="str">
        <f>IF($B32="","",IF(COUNTIF('Competency Event Log'!$U$4:$U$803,$B32&amp;"|"&amp;BT$5)=0,"",SUMIF('Competency Event Log'!$U$4:$U$803,$B32&amp;"|"&amp;BT$5,'Competency Event Log'!$D$4:$D$803)))</f>
        <v/>
      </c>
      <c r="BU32" s="8" t="str">
        <f>IF($B32="","",IF(COUNTIF('Competency Event Log'!$U$4:$U$803,$B32&amp;"|"&amp;BU$5)=0,"",SUMIF('Competency Event Log'!$U$4:$U$803,$B32&amp;"|"&amp;BU$5,'Competency Event Log'!$D$4:$D$803)))</f>
        <v/>
      </c>
      <c r="BV32" s="8" t="str">
        <f>IF($B32="","",IF(COUNTIF('Competency Event Log'!$U$4:$U$803,$B32&amp;"|"&amp;BV$5)=0,"",SUMIF('Competency Event Log'!$U$4:$U$803,$B32&amp;"|"&amp;BV$5,'Competency Event Log'!$D$4:$D$803)))</f>
        <v/>
      </c>
      <c r="BW32" s="8" t="str">
        <f>IF($B32="","",IF(COUNTIF('Competency Event Log'!$U$4:$U$803,$B32&amp;"|"&amp;BW$5)=0,"",SUMIF('Competency Event Log'!$U$4:$U$803,$B32&amp;"|"&amp;BW$5,'Competency Event Log'!$D$4:$D$803)))</f>
        <v/>
      </c>
      <c r="BX32" s="8">
        <f>IF($B32="","",IF(COUNTIF('Competency Event Log'!$U$4:$U$803,$B32&amp;"|"&amp;BX$5)=0,"",SUMIF('Competency Event Log'!$U$4:$U$803,$B32&amp;"|"&amp;BX$5,'Competency Event Log'!$D$4:$D$803)))</f>
        <v>3</v>
      </c>
      <c r="BY32" s="8" t="str">
        <f>IF($B32="","",IF(COUNTIF('Competency Event Log'!$U$4:$U$803,$B32&amp;"|"&amp;BY$5)=0,"",SUMIF('Competency Event Log'!$U$4:$U$803,$B32&amp;"|"&amp;BY$5,'Competency Event Log'!$D$4:$D$803)))</f>
        <v/>
      </c>
      <c r="BZ32" s="8" t="str">
        <f>IF($B32="","",IF(COUNTIF('Competency Event Log'!$U$4:$U$803,$B32&amp;"|"&amp;BZ$5)=0,"",SUMIF('Competency Event Log'!$U$4:$U$803,$B32&amp;"|"&amp;BZ$5,'Competency Event Log'!$D$4:$D$803)))</f>
        <v/>
      </c>
      <c r="CA32" s="8" t="str">
        <f>IF($B32="","",IF(COUNTIF('Competency Event Log'!$U$4:$U$803,$B32&amp;"|"&amp;CA$5)=0,"",SUMIF('Competency Event Log'!$U$4:$U$803,$B32&amp;"|"&amp;CA$5,'Competency Event Log'!$D$4:$D$803)))</f>
        <v/>
      </c>
      <c r="CB32" s="8" t="str">
        <f>IF($B32="","",IF(COUNTIF('Competency Event Log'!$U$4:$U$803,$B32&amp;"|"&amp;CB$5)=0,"",SUMIF('Competency Event Log'!$U$4:$U$803,$B32&amp;"|"&amp;CB$5,'Competency Event Log'!$D$4:$D$803)))</f>
        <v/>
      </c>
      <c r="CC32" s="8" t="str">
        <f>IF($B32="","",IF(COUNTIF('Competency Event Log'!$U$4:$U$803,$B32&amp;"|"&amp;CC$5)=0,"",SUMIF('Competency Event Log'!$U$4:$U$803,$B32&amp;"|"&amp;CC$5,'Competency Event Log'!$D$4:$D$803)))</f>
        <v/>
      </c>
      <c r="CD32" s="8" t="str">
        <f>IF($B32="","",IF(COUNTIF('Competency Event Log'!$U$4:$U$803,$B32&amp;"|"&amp;CD$5)=0,"",SUMIF('Competency Event Log'!$U$4:$U$803,$B32&amp;"|"&amp;CD$5,'Competency Event Log'!$D$4:$D$803)))</f>
        <v/>
      </c>
      <c r="CE32" s="8" t="str">
        <f>IF($B32="","",IF(COUNTIF('Competency Event Log'!$U$4:$U$803,$B32&amp;"|"&amp;CE$5)=0,"",SUMIF('Competency Event Log'!$U$4:$U$803,$B32&amp;"|"&amp;CE$5,'Competency Event Log'!$D$4:$D$803)))</f>
        <v/>
      </c>
      <c r="CF32" s="8" t="str">
        <f>IF($B32="","",IF(COUNTIF('Competency Event Log'!$U$4:$U$803,$B32&amp;"|"&amp;CF$5)=0,"",SUMIF('Competency Event Log'!$U$4:$U$803,$B32&amp;"|"&amp;CF$5,'Competency Event Log'!$D$4:$D$803)))</f>
        <v/>
      </c>
      <c r="CG32" s="8" t="str">
        <f>IF($B32="","",IF(COUNTIF('Competency Event Log'!$U$4:$U$803,$B32&amp;"|"&amp;CG$5)=0,"",SUMIF('Competency Event Log'!$U$4:$U$803,$B32&amp;"|"&amp;CG$5,'Competency Event Log'!$D$4:$D$803)))</f>
        <v/>
      </c>
      <c r="CH32" s="8" t="str">
        <f>IF($B32="","",IF(COUNTIF('Competency Event Log'!$U$4:$U$803,$B32&amp;"|"&amp;CH$5)=0,"",SUMIF('Competency Event Log'!$U$4:$U$803,$B32&amp;"|"&amp;CH$5,'Competency Event Log'!$D$4:$D$803)))</f>
        <v/>
      </c>
      <c r="CI32" s="8" t="str">
        <f>IF($B32="","",IF(COUNTIF('Competency Event Log'!$U$4:$U$803,$B32&amp;"|"&amp;CI$5)=0,"",SUMIF('Competency Event Log'!$U$4:$U$803,$B32&amp;"|"&amp;CI$5,'Competency Event Log'!$D$4:$D$803)))</f>
        <v/>
      </c>
      <c r="CJ32" s="8" t="str">
        <f>IF($B32="","",IF(COUNTIF('Competency Event Log'!$U$4:$U$803,$B32&amp;"|"&amp;CJ$5)=0,"",SUMIF('Competency Event Log'!$U$4:$U$803,$B32&amp;"|"&amp;CJ$5,'Competency Event Log'!$D$4:$D$803)))</f>
        <v/>
      </c>
      <c r="CK32" s="8" t="str">
        <f>IF($B32="","",IF(COUNTIF('Competency Event Log'!$U$4:$U$803,$B32&amp;"|"&amp;CK$5)=0,"",SUMIF('Competency Event Log'!$U$4:$U$803,$B32&amp;"|"&amp;CK$5,'Competency Event Log'!$D$4:$D$803)))</f>
        <v/>
      </c>
      <c r="CL32" s="8" t="str">
        <f>IF($B32="","",IF(COUNTIF('Competency Event Log'!$U$4:$U$803,$B32&amp;"|"&amp;CL$5)=0,"",SUMIF('Competency Event Log'!$U$4:$U$803,$B32&amp;"|"&amp;CL$5,'Competency Event Log'!$D$4:$D$803)))</f>
        <v/>
      </c>
      <c r="CM32" s="8" t="str">
        <f>IF($B32="","",IF(COUNTIF('Competency Event Log'!$U$4:$U$803,$B32&amp;"|"&amp;CM$5)=0,"",SUMIF('Competency Event Log'!$U$4:$U$803,$B32&amp;"|"&amp;CM$5,'Competency Event Log'!$D$4:$D$803)))</f>
        <v/>
      </c>
      <c r="CN32" s="8" t="str">
        <f>IF($B32="","",IF(COUNTIF('Competency Event Log'!$U$4:$U$803,$B32&amp;"|"&amp;CN$5)=0,"",SUMIF('Competency Event Log'!$U$4:$U$803,$B32&amp;"|"&amp;CN$5,'Competency Event Log'!$D$4:$D$803)))</f>
        <v/>
      </c>
      <c r="CO32" s="8" t="str">
        <f>IF($B32="","",IF(COUNTIF('Competency Event Log'!$U$4:$U$803,$B32&amp;"|"&amp;CO$5)=0,"",SUMIF('Competency Event Log'!$U$4:$U$803,$B32&amp;"|"&amp;CO$5,'Competency Event Log'!$D$4:$D$803)))</f>
        <v/>
      </c>
      <c r="CP32" s="8" t="str">
        <f>IF($B32="","",IF(COUNTIF('Competency Event Log'!$U$4:$U$803,$B32&amp;"|"&amp;CP$5)=0,"",SUMIF('Competency Event Log'!$U$4:$U$803,$B32&amp;"|"&amp;CP$5,'Competency Event Log'!$D$4:$D$803)))</f>
        <v/>
      </c>
      <c r="CQ32" s="8" t="str">
        <f>IF($B32="","",IF(COUNTIF('Competency Event Log'!$U$4:$U$803,$B32&amp;"|"&amp;CQ$5)=0,"",SUMIF('Competency Event Log'!$U$4:$U$803,$B32&amp;"|"&amp;CQ$5,'Competency Event Log'!$D$4:$D$803)))</f>
        <v/>
      </c>
      <c r="CR32" s="8" t="str">
        <f>IF($B32="","",IF(COUNTIF('Competency Event Log'!$U$4:$U$803,$B32&amp;"|"&amp;CR$5)=0,"",SUMIF('Competency Event Log'!$U$4:$U$803,$B32&amp;"|"&amp;CR$5,'Competency Event Log'!$D$4:$D$803)))</f>
        <v/>
      </c>
      <c r="CS32" s="8" t="str">
        <f>IF($B32="","",IF(COUNTIF('Competency Event Log'!$U$4:$U$803,$B32&amp;"|"&amp;CS$5)=0,"",SUMIF('Competency Event Log'!$U$4:$U$803,$B32&amp;"|"&amp;CS$5,'Competency Event Log'!$D$4:$D$803)))</f>
        <v/>
      </c>
      <c r="CT32" s="8" t="str">
        <f>IF($B32="","",IF(COUNTIF('Competency Event Log'!$U$4:$U$803,$B32&amp;"|"&amp;CT$5)=0,"",SUMIF('Competency Event Log'!$U$4:$U$803,$B32&amp;"|"&amp;CT$5,'Competency Event Log'!$D$4:$D$803)))</f>
        <v/>
      </c>
      <c r="CU32" s="8" t="str">
        <f>IF($B32="","",IF(COUNTIF('Competency Event Log'!$U$4:$U$803,$B32&amp;"|"&amp;CU$5)=0,"",SUMIF('Competency Event Log'!$U$4:$U$803,$B32&amp;"|"&amp;CU$5,'Competency Event Log'!$D$4:$D$803)))</f>
        <v/>
      </c>
      <c r="CV32" s="8" t="str">
        <f>IF($B32="","",IF(COUNTIF('Competency Event Log'!$U$4:$U$803,$B32&amp;"|"&amp;CV$5)=0,"",SUMIF('Competency Event Log'!$U$4:$U$803,$B32&amp;"|"&amp;CV$5,'Competency Event Log'!$D$4:$D$803)))</f>
        <v/>
      </c>
      <c r="CW32" s="8" t="str">
        <f>IF($B32="","",IF(COUNTIF('Competency Event Log'!$U$4:$U$803,$B32&amp;"|"&amp;CW$5)=0,"",SUMIF('Competency Event Log'!$U$4:$U$803,$B32&amp;"|"&amp;CW$5,'Competency Event Log'!$D$4:$D$803)))</f>
        <v/>
      </c>
      <c r="CX32" s="8" t="str">
        <f>IF($B32="","",IF(COUNTIF('Competency Event Log'!$U$4:$U$803,$B32&amp;"|"&amp;CX$5)=0,"",SUMIF('Competency Event Log'!$U$4:$U$803,$B32&amp;"|"&amp;CX$5,'Competency Event Log'!$D$4:$D$803)))</f>
        <v/>
      </c>
      <c r="CY32" s="8" t="str">
        <f>IF($B32="","",IF(COUNTIF('Competency Event Log'!$U$4:$U$803,$B32&amp;"|"&amp;CY$5)=0,"",SUMIF('Competency Event Log'!$U$4:$U$803,$B32&amp;"|"&amp;CY$5,'Competency Event Log'!$D$4:$D$803)))</f>
        <v/>
      </c>
      <c r="CZ32" s="8">
        <f>IF($B32="","",IF(COUNTIF('Competency Event Log'!$U$4:$U$803,$B32&amp;"|"&amp;CZ$5)=0,"",SUMIF('Competency Event Log'!$U$4:$U$803,$B32&amp;"|"&amp;CZ$5,'Competency Event Log'!$D$4:$D$803)))</f>
        <v>2</v>
      </c>
      <c r="DA32" s="8" t="str">
        <f>IF($B32="","",IF(COUNTIF('Competency Event Log'!$U$4:$U$803,$B32&amp;"|"&amp;DA$5)=0,"",SUMIF('Competency Event Log'!$U$4:$U$803,$B32&amp;"|"&amp;DA$5,'Competency Event Log'!$D$4:$D$803)))</f>
        <v/>
      </c>
      <c r="DB32" s="8" t="str">
        <f>IF($B32="","",IF(COUNTIF('Competency Event Log'!$U$4:$U$803,$B32&amp;"|"&amp;DB$5)=0,"",SUMIF('Competency Event Log'!$U$4:$U$803,$B32&amp;"|"&amp;DB$5,'Competency Event Log'!$D$4:$D$803)))</f>
        <v/>
      </c>
      <c r="DC32" s="8" t="str">
        <f>IF($B32="","",IF(COUNTIF('Competency Event Log'!$U$4:$U$803,$B32&amp;"|"&amp;DC$5)=0,"",SUMIF('Competency Event Log'!$U$4:$U$803,$B32&amp;"|"&amp;DC$5,'Competency Event Log'!$D$4:$D$803)))</f>
        <v/>
      </c>
      <c r="DD32" s="8" t="str">
        <f>IF($B32="","",IF(COUNTIF('Competency Event Log'!$U$4:$U$803,$B32&amp;"|"&amp;DD$5)=0,"",SUMIF('Competency Event Log'!$U$4:$U$803,$B32&amp;"|"&amp;DD$5,'Competency Event Log'!$D$4:$D$803)))</f>
        <v/>
      </c>
      <c r="DE32" s="8">
        <f>IF($B32="","",IF(COUNTIF('Competency Event Log'!$U$4:$U$803,$B32&amp;"|"&amp;DE$5)=0,"",SUMIF('Competency Event Log'!$U$4:$U$803,$B32&amp;"|"&amp;DE$5,'Competency Event Log'!$D$4:$D$803)))</f>
        <v>3</v>
      </c>
      <c r="DF32" s="8">
        <f t="shared" si="0"/>
        <v>23</v>
      </c>
      <c r="DG32" s="8">
        <f t="shared" si="1"/>
        <v>9</v>
      </c>
      <c r="DH32" s="8">
        <f t="shared" si="2"/>
        <v>6</v>
      </c>
      <c r="DI32" s="11">
        <f t="shared" si="3"/>
        <v>0.83333333333333337</v>
      </c>
    </row>
    <row r="33" spans="1:113">
      <c r="A33" s="7" t="s">
        <v>308</v>
      </c>
      <c r="B33" s="7" t="s">
        <v>128</v>
      </c>
      <c r="C33" s="8">
        <v>1</v>
      </c>
      <c r="D33" s="9" t="s">
        <v>1000</v>
      </c>
      <c r="E33" s="10">
        <v>44997</v>
      </c>
      <c r="F33" s="8" t="s">
        <v>930</v>
      </c>
      <c r="G33" s="8" t="str">
        <f>IF($B33="","",IF(COUNTIF('Competency Event Log'!$U$4:$U$803,$B33&amp;"|"&amp;G$5)=0,"",SUMIF('Competency Event Log'!$U$4:$U$803,$B33&amp;"|"&amp;G$5,'Competency Event Log'!$D$4:$D$803)))</f>
        <v/>
      </c>
      <c r="H33" s="8" t="str">
        <f>IF($B33="","",IF(COUNTIF('Competency Event Log'!$U$4:$U$803,$B33&amp;"|"&amp;H$5)=0,"",SUMIF('Competency Event Log'!$U$4:$U$803,$B33&amp;"|"&amp;H$5,'Competency Event Log'!$D$4:$D$803)))</f>
        <v/>
      </c>
      <c r="I33" s="8" t="str">
        <f>IF($B33="","",IF(COUNTIF('Competency Event Log'!$U$4:$U$803,$B33&amp;"|"&amp;I$5)=0,"",SUMIF('Competency Event Log'!$U$4:$U$803,$B33&amp;"|"&amp;I$5,'Competency Event Log'!$D$4:$D$803)))</f>
        <v/>
      </c>
      <c r="J33" s="8" t="str">
        <f>IF($B33="","",IF(COUNTIF('Competency Event Log'!$U$4:$U$803,$B33&amp;"|"&amp;J$5)=0,"",SUMIF('Competency Event Log'!$U$4:$U$803,$B33&amp;"|"&amp;J$5,'Competency Event Log'!$D$4:$D$803)))</f>
        <v/>
      </c>
      <c r="K33" s="8" t="str">
        <f>IF($B33="","",IF(COUNTIF('Competency Event Log'!$U$4:$U$803,$B33&amp;"|"&amp;K$5)=0,"",SUMIF('Competency Event Log'!$U$4:$U$803,$B33&amp;"|"&amp;K$5,'Competency Event Log'!$D$4:$D$803)))</f>
        <v/>
      </c>
      <c r="L33" s="8" t="str">
        <f>IF($B33="","",IF(COUNTIF('Competency Event Log'!$U$4:$U$803,$B33&amp;"|"&amp;L$5)=0,"",SUMIF('Competency Event Log'!$U$4:$U$803,$B33&amp;"|"&amp;L$5,'Competency Event Log'!$D$4:$D$803)))</f>
        <v/>
      </c>
      <c r="M33" s="8" t="str">
        <f>IF($B33="","",IF(COUNTIF('Competency Event Log'!$U$4:$U$803,$B33&amp;"|"&amp;M$5)=0,"",SUMIF('Competency Event Log'!$U$4:$U$803,$B33&amp;"|"&amp;M$5,'Competency Event Log'!$D$4:$D$803)))</f>
        <v/>
      </c>
      <c r="N33" s="8" t="str">
        <f>IF($B33="","",IF(COUNTIF('Competency Event Log'!$U$4:$U$803,$B33&amp;"|"&amp;N$5)=0,"",SUMIF('Competency Event Log'!$U$4:$U$803,$B33&amp;"|"&amp;N$5,'Competency Event Log'!$D$4:$D$803)))</f>
        <v/>
      </c>
      <c r="O33" s="8" t="str">
        <f>IF($B33="","",IF(COUNTIF('Competency Event Log'!$U$4:$U$803,$B33&amp;"|"&amp;O$5)=0,"",SUMIF('Competency Event Log'!$U$4:$U$803,$B33&amp;"|"&amp;O$5,'Competency Event Log'!$D$4:$D$803)))</f>
        <v/>
      </c>
      <c r="P33" s="8" t="str">
        <f>IF($B33="","",IF(COUNTIF('Competency Event Log'!$U$4:$U$803,$B33&amp;"|"&amp;P$5)=0,"",SUMIF('Competency Event Log'!$U$4:$U$803,$B33&amp;"|"&amp;P$5,'Competency Event Log'!$D$4:$D$803)))</f>
        <v/>
      </c>
      <c r="Q33" s="8" t="str">
        <f>IF($B33="","",IF(COUNTIF('Competency Event Log'!$U$4:$U$803,$B33&amp;"|"&amp;Q$5)=0,"",SUMIF('Competency Event Log'!$U$4:$U$803,$B33&amp;"|"&amp;Q$5,'Competency Event Log'!$D$4:$D$803)))</f>
        <v/>
      </c>
      <c r="R33" s="8" t="str">
        <f>IF($B33="","",IF(COUNTIF('Competency Event Log'!$U$4:$U$803,$B33&amp;"|"&amp;R$5)=0,"",SUMIF('Competency Event Log'!$U$4:$U$803,$B33&amp;"|"&amp;R$5,'Competency Event Log'!$D$4:$D$803)))</f>
        <v/>
      </c>
      <c r="S33" s="8" t="str">
        <f>IF($B33="","",IF(COUNTIF('Competency Event Log'!$U$4:$U$803,$B33&amp;"|"&amp;S$5)=0,"",SUMIF('Competency Event Log'!$U$4:$U$803,$B33&amp;"|"&amp;S$5,'Competency Event Log'!$D$4:$D$803)))</f>
        <v/>
      </c>
      <c r="T33" s="8">
        <f>IF($B33="","",IF(COUNTIF('Competency Event Log'!$U$4:$U$803,$B33&amp;"|"&amp;T$5)=0,"",SUMIF('Competency Event Log'!$U$4:$U$803,$B33&amp;"|"&amp;T$5,'Competency Event Log'!$D$4:$D$803)))</f>
        <v>3</v>
      </c>
      <c r="U33" s="8" t="str">
        <f>IF($B33="","",IF(COUNTIF('Competency Event Log'!$U$4:$U$803,$B33&amp;"|"&amp;U$5)=0,"",SUMIF('Competency Event Log'!$U$4:$U$803,$B33&amp;"|"&amp;U$5,'Competency Event Log'!$D$4:$D$803)))</f>
        <v/>
      </c>
      <c r="V33" s="8" t="str">
        <f>IF($B33="","",IF(COUNTIF('Competency Event Log'!$U$4:$U$803,$B33&amp;"|"&amp;V$5)=0,"",SUMIF('Competency Event Log'!$U$4:$U$803,$B33&amp;"|"&amp;V$5,'Competency Event Log'!$D$4:$D$803)))</f>
        <v/>
      </c>
      <c r="W33" s="8" t="str">
        <f>IF($B33="","",IF(COUNTIF('Competency Event Log'!$U$4:$U$803,$B33&amp;"|"&amp;W$5)=0,"",SUMIF('Competency Event Log'!$U$4:$U$803,$B33&amp;"|"&amp;W$5,'Competency Event Log'!$D$4:$D$803)))</f>
        <v/>
      </c>
      <c r="X33" s="8" t="str">
        <f>IF($B33="","",IF(COUNTIF('Competency Event Log'!$U$4:$U$803,$B33&amp;"|"&amp;X$5)=0,"",SUMIF('Competency Event Log'!$U$4:$U$803,$B33&amp;"|"&amp;X$5,'Competency Event Log'!$D$4:$D$803)))</f>
        <v/>
      </c>
      <c r="Y33" s="8" t="str">
        <f>IF($B33="","",IF(COUNTIF('Competency Event Log'!$U$4:$U$803,$B33&amp;"|"&amp;Y$5)=0,"",SUMIF('Competency Event Log'!$U$4:$U$803,$B33&amp;"|"&amp;Y$5,'Competency Event Log'!$D$4:$D$803)))</f>
        <v/>
      </c>
      <c r="Z33" s="8" t="str">
        <f>IF($B33="","",IF(COUNTIF('Competency Event Log'!$U$4:$U$803,$B33&amp;"|"&amp;Z$5)=0,"",SUMIF('Competency Event Log'!$U$4:$U$803,$B33&amp;"|"&amp;Z$5,'Competency Event Log'!$D$4:$D$803)))</f>
        <v/>
      </c>
      <c r="AA33" s="8" t="str">
        <f>IF($B33="","",IF(COUNTIF('Competency Event Log'!$U$4:$U$803,$B33&amp;"|"&amp;AA$5)=0,"",SUMIF('Competency Event Log'!$U$4:$U$803,$B33&amp;"|"&amp;AA$5,'Competency Event Log'!$D$4:$D$803)))</f>
        <v/>
      </c>
      <c r="AB33" s="8" t="str">
        <f>IF($B33="","",IF(COUNTIF('Competency Event Log'!$U$4:$U$803,$B33&amp;"|"&amp;AB$5)=0,"",SUMIF('Competency Event Log'!$U$4:$U$803,$B33&amp;"|"&amp;AB$5,'Competency Event Log'!$D$4:$D$803)))</f>
        <v/>
      </c>
      <c r="AC33" s="8" t="str">
        <f>IF($B33="","",IF(COUNTIF('Competency Event Log'!$U$4:$U$803,$B33&amp;"|"&amp;AC$5)=0,"",SUMIF('Competency Event Log'!$U$4:$U$803,$B33&amp;"|"&amp;AC$5,'Competency Event Log'!$D$4:$D$803)))</f>
        <v/>
      </c>
      <c r="AD33" s="8" t="str">
        <f>IF($B33="","",IF(COUNTIF('Competency Event Log'!$U$4:$U$803,$B33&amp;"|"&amp;AD$5)=0,"",SUMIF('Competency Event Log'!$U$4:$U$803,$B33&amp;"|"&amp;AD$5,'Competency Event Log'!$D$4:$D$803)))</f>
        <v/>
      </c>
      <c r="AE33" s="8" t="str">
        <f>IF($B33="","",IF(COUNTIF('Competency Event Log'!$U$4:$U$803,$B33&amp;"|"&amp;AE$5)=0,"",SUMIF('Competency Event Log'!$U$4:$U$803,$B33&amp;"|"&amp;AE$5,'Competency Event Log'!$D$4:$D$803)))</f>
        <v/>
      </c>
      <c r="AF33" s="8" t="str">
        <f>IF($B33="","",IF(COUNTIF('Competency Event Log'!$U$4:$U$803,$B33&amp;"|"&amp;AF$5)=0,"",SUMIF('Competency Event Log'!$U$4:$U$803,$B33&amp;"|"&amp;AF$5,'Competency Event Log'!$D$4:$D$803)))</f>
        <v/>
      </c>
      <c r="AG33" s="8" t="str">
        <f>IF($B33="","",IF(COUNTIF('Competency Event Log'!$U$4:$U$803,$B33&amp;"|"&amp;AG$5)=0,"",SUMIF('Competency Event Log'!$U$4:$U$803,$B33&amp;"|"&amp;AG$5,'Competency Event Log'!$D$4:$D$803)))</f>
        <v/>
      </c>
      <c r="AH33" s="8" t="str">
        <f>IF($B33="","",IF(COUNTIF('Competency Event Log'!$U$4:$U$803,$B33&amp;"|"&amp;AH$5)=0,"",SUMIF('Competency Event Log'!$U$4:$U$803,$B33&amp;"|"&amp;AH$5,'Competency Event Log'!$D$4:$D$803)))</f>
        <v/>
      </c>
      <c r="AI33" s="8" t="str">
        <f>IF($B33="","",IF(COUNTIF('Competency Event Log'!$U$4:$U$803,$B33&amp;"|"&amp;AI$5)=0,"",SUMIF('Competency Event Log'!$U$4:$U$803,$B33&amp;"|"&amp;AI$5,'Competency Event Log'!$D$4:$D$803)))</f>
        <v/>
      </c>
      <c r="AJ33" s="8" t="str">
        <f>IF($B33="","",IF(COUNTIF('Competency Event Log'!$U$4:$U$803,$B33&amp;"|"&amp;AJ$5)=0,"",SUMIF('Competency Event Log'!$U$4:$U$803,$B33&amp;"|"&amp;AJ$5,'Competency Event Log'!$D$4:$D$803)))</f>
        <v/>
      </c>
      <c r="AK33" s="8" t="str">
        <f>IF($B33="","",IF(COUNTIF('Competency Event Log'!$U$4:$U$803,$B33&amp;"|"&amp;AK$5)=0,"",SUMIF('Competency Event Log'!$U$4:$U$803,$B33&amp;"|"&amp;AK$5,'Competency Event Log'!$D$4:$D$803)))</f>
        <v/>
      </c>
      <c r="AL33" s="8" t="str">
        <f>IF($B33="","",IF(COUNTIF('Competency Event Log'!$U$4:$U$803,$B33&amp;"|"&amp;AL$5)=0,"",SUMIF('Competency Event Log'!$U$4:$U$803,$B33&amp;"|"&amp;AL$5,'Competency Event Log'!$D$4:$D$803)))</f>
        <v/>
      </c>
      <c r="AM33" s="8" t="str">
        <f>IF($B33="","",IF(COUNTIF('Competency Event Log'!$U$4:$U$803,$B33&amp;"|"&amp;AM$5)=0,"",SUMIF('Competency Event Log'!$U$4:$U$803,$B33&amp;"|"&amp;AM$5,'Competency Event Log'!$D$4:$D$803)))</f>
        <v/>
      </c>
      <c r="AN33" s="8" t="str">
        <f>IF($B33="","",IF(COUNTIF('Competency Event Log'!$U$4:$U$803,$B33&amp;"|"&amp;AN$5)=0,"",SUMIF('Competency Event Log'!$U$4:$U$803,$B33&amp;"|"&amp;AN$5,'Competency Event Log'!$D$4:$D$803)))</f>
        <v/>
      </c>
      <c r="AO33" s="8" t="str">
        <f>IF($B33="","",IF(COUNTIF('Competency Event Log'!$U$4:$U$803,$B33&amp;"|"&amp;AO$5)=0,"",SUMIF('Competency Event Log'!$U$4:$U$803,$B33&amp;"|"&amp;AO$5,'Competency Event Log'!$D$4:$D$803)))</f>
        <v/>
      </c>
      <c r="AP33" s="8" t="str">
        <f>IF($B33="","",IF(COUNTIF('Competency Event Log'!$U$4:$U$803,$B33&amp;"|"&amp;AP$5)=0,"",SUMIF('Competency Event Log'!$U$4:$U$803,$B33&amp;"|"&amp;AP$5,'Competency Event Log'!$D$4:$D$803)))</f>
        <v/>
      </c>
      <c r="AQ33" s="8" t="str">
        <f>IF($B33="","",IF(COUNTIF('Competency Event Log'!$U$4:$U$803,$B33&amp;"|"&amp;AQ$5)=0,"",SUMIF('Competency Event Log'!$U$4:$U$803,$B33&amp;"|"&amp;AQ$5,'Competency Event Log'!$D$4:$D$803)))</f>
        <v/>
      </c>
      <c r="AR33" s="8" t="str">
        <f>IF($B33="","",IF(COUNTIF('Competency Event Log'!$U$4:$U$803,$B33&amp;"|"&amp;AR$5)=0,"",SUMIF('Competency Event Log'!$U$4:$U$803,$B33&amp;"|"&amp;AR$5,'Competency Event Log'!$D$4:$D$803)))</f>
        <v/>
      </c>
      <c r="AS33" s="8" t="str">
        <f>IF($B33="","",IF(COUNTIF('Competency Event Log'!$U$4:$U$803,$B33&amp;"|"&amp;AS$5)=0,"",SUMIF('Competency Event Log'!$U$4:$U$803,$B33&amp;"|"&amp;AS$5,'Competency Event Log'!$D$4:$D$803)))</f>
        <v/>
      </c>
      <c r="AT33" s="8" t="str">
        <f>IF($B33="","",IF(COUNTIF('Competency Event Log'!$U$4:$U$803,$B33&amp;"|"&amp;AT$5)=0,"",SUMIF('Competency Event Log'!$U$4:$U$803,$B33&amp;"|"&amp;AT$5,'Competency Event Log'!$D$4:$D$803)))</f>
        <v/>
      </c>
      <c r="AU33" s="8" t="str">
        <f>IF($B33="","",IF(COUNTIF('Competency Event Log'!$U$4:$U$803,$B33&amp;"|"&amp;AU$5)=0,"",SUMIF('Competency Event Log'!$U$4:$U$803,$B33&amp;"|"&amp;AU$5,'Competency Event Log'!$D$4:$D$803)))</f>
        <v/>
      </c>
      <c r="AV33" s="8" t="str">
        <f>IF($B33="","",IF(COUNTIF('Competency Event Log'!$U$4:$U$803,$B33&amp;"|"&amp;AV$5)=0,"",SUMIF('Competency Event Log'!$U$4:$U$803,$B33&amp;"|"&amp;AV$5,'Competency Event Log'!$D$4:$D$803)))</f>
        <v/>
      </c>
      <c r="AW33" s="8">
        <f>IF($B33="","",IF(COUNTIF('Competency Event Log'!$U$4:$U$803,$B33&amp;"|"&amp;AW$5)=0,"",SUMIF('Competency Event Log'!$U$4:$U$803,$B33&amp;"|"&amp;AW$5,'Competency Event Log'!$D$4:$D$803)))</f>
        <v>3</v>
      </c>
      <c r="AX33" s="8" t="str">
        <f>IF($B33="","",IF(COUNTIF('Competency Event Log'!$U$4:$U$803,$B33&amp;"|"&amp;AX$5)=0,"",SUMIF('Competency Event Log'!$U$4:$U$803,$B33&amp;"|"&amp;AX$5,'Competency Event Log'!$D$4:$D$803)))</f>
        <v/>
      </c>
      <c r="AY33" s="8" t="str">
        <f>IF($B33="","",IF(COUNTIF('Competency Event Log'!$U$4:$U$803,$B33&amp;"|"&amp;AY$5)=0,"",SUMIF('Competency Event Log'!$U$4:$U$803,$B33&amp;"|"&amp;AY$5,'Competency Event Log'!$D$4:$D$803)))</f>
        <v/>
      </c>
      <c r="AZ33" s="8" t="str">
        <f>IF($B33="","",IF(COUNTIF('Competency Event Log'!$U$4:$U$803,$B33&amp;"|"&amp;AZ$5)=0,"",SUMIF('Competency Event Log'!$U$4:$U$803,$B33&amp;"|"&amp;AZ$5,'Competency Event Log'!$D$4:$D$803)))</f>
        <v/>
      </c>
      <c r="BA33" s="8" t="str">
        <f>IF($B33="","",IF(COUNTIF('Competency Event Log'!$U$4:$U$803,$B33&amp;"|"&amp;BA$5)=0,"",SUMIF('Competency Event Log'!$U$4:$U$803,$B33&amp;"|"&amp;BA$5,'Competency Event Log'!$D$4:$D$803)))</f>
        <v/>
      </c>
      <c r="BB33" s="8">
        <f>IF($B33="","",IF(COUNTIF('Competency Event Log'!$U$4:$U$803,$B33&amp;"|"&amp;BB$5)=0,"",SUMIF('Competency Event Log'!$U$4:$U$803,$B33&amp;"|"&amp;BB$5,'Competency Event Log'!$D$4:$D$803)))</f>
        <v>3</v>
      </c>
      <c r="BC33" s="8">
        <f>IF($B33="","",IF(COUNTIF('Competency Event Log'!$U$4:$U$803,$B33&amp;"|"&amp;BC$5)=0,"",SUMIF('Competency Event Log'!$U$4:$U$803,$B33&amp;"|"&amp;BC$5,'Competency Event Log'!$D$4:$D$803)))</f>
        <v>2</v>
      </c>
      <c r="BD33" s="8">
        <f>IF($B33="","",IF(COUNTIF('Competency Event Log'!$U$4:$U$803,$B33&amp;"|"&amp;BD$5)=0,"",SUMIF('Competency Event Log'!$U$4:$U$803,$B33&amp;"|"&amp;BD$5,'Competency Event Log'!$D$4:$D$803)))</f>
        <v>3</v>
      </c>
      <c r="BE33" s="8">
        <f>IF($B33="","",IF(COUNTIF('Competency Event Log'!$U$4:$U$803,$B33&amp;"|"&amp;BE$5)=0,"",SUMIF('Competency Event Log'!$U$4:$U$803,$B33&amp;"|"&amp;BE$5,'Competency Event Log'!$D$4:$D$803)))</f>
        <v>3</v>
      </c>
      <c r="BF33" s="8" t="str">
        <f>IF($B33="","",IF(COUNTIF('Competency Event Log'!$U$4:$U$803,$B33&amp;"|"&amp;BF$5)=0,"",SUMIF('Competency Event Log'!$U$4:$U$803,$B33&amp;"|"&amp;BF$5,'Competency Event Log'!$D$4:$D$803)))</f>
        <v/>
      </c>
      <c r="BG33" s="8" t="str">
        <f>IF($B33="","",IF(COUNTIF('Competency Event Log'!$U$4:$U$803,$B33&amp;"|"&amp;BG$5)=0,"",SUMIF('Competency Event Log'!$U$4:$U$803,$B33&amp;"|"&amp;BG$5,'Competency Event Log'!$D$4:$D$803)))</f>
        <v/>
      </c>
      <c r="BH33" s="8">
        <f>IF($B33="","",IF(COUNTIF('Competency Event Log'!$U$4:$U$803,$B33&amp;"|"&amp;BH$5)=0,"",SUMIF('Competency Event Log'!$U$4:$U$803,$B33&amp;"|"&amp;BH$5,'Competency Event Log'!$D$4:$D$803)))</f>
        <v>3</v>
      </c>
      <c r="BI33" s="8" t="str">
        <f>IF($B33="","",IF(COUNTIF('Competency Event Log'!$U$4:$U$803,$B33&amp;"|"&amp;BI$5)=0,"",SUMIF('Competency Event Log'!$U$4:$U$803,$B33&amp;"|"&amp;BI$5,'Competency Event Log'!$D$4:$D$803)))</f>
        <v/>
      </c>
      <c r="BJ33" s="8" t="str">
        <f>IF($B33="","",IF(COUNTIF('Competency Event Log'!$U$4:$U$803,$B33&amp;"|"&amp;BJ$5)=0,"",SUMIF('Competency Event Log'!$U$4:$U$803,$B33&amp;"|"&amp;BJ$5,'Competency Event Log'!$D$4:$D$803)))</f>
        <v/>
      </c>
      <c r="BK33" s="8" t="str">
        <f>IF($B33="","",IF(COUNTIF('Competency Event Log'!$U$4:$U$803,$B33&amp;"|"&amp;BK$5)=0,"",SUMIF('Competency Event Log'!$U$4:$U$803,$B33&amp;"|"&amp;BK$5,'Competency Event Log'!$D$4:$D$803)))</f>
        <v/>
      </c>
      <c r="BL33" s="8" t="str">
        <f>IF($B33="","",IF(COUNTIF('Competency Event Log'!$U$4:$U$803,$B33&amp;"|"&amp;BL$5)=0,"",SUMIF('Competency Event Log'!$U$4:$U$803,$B33&amp;"|"&amp;BL$5,'Competency Event Log'!$D$4:$D$803)))</f>
        <v/>
      </c>
      <c r="BM33" s="8" t="str">
        <f>IF($B33="","",IF(COUNTIF('Competency Event Log'!$U$4:$U$803,$B33&amp;"|"&amp;BM$5)=0,"",SUMIF('Competency Event Log'!$U$4:$U$803,$B33&amp;"|"&amp;BM$5,'Competency Event Log'!$D$4:$D$803)))</f>
        <v/>
      </c>
      <c r="BN33" s="8" t="str">
        <f>IF($B33="","",IF(COUNTIF('Competency Event Log'!$U$4:$U$803,$B33&amp;"|"&amp;BN$5)=0,"",SUMIF('Competency Event Log'!$U$4:$U$803,$B33&amp;"|"&amp;BN$5,'Competency Event Log'!$D$4:$D$803)))</f>
        <v/>
      </c>
      <c r="BO33" s="8" t="str">
        <f>IF($B33="","",IF(COUNTIF('Competency Event Log'!$U$4:$U$803,$B33&amp;"|"&amp;BO$5)=0,"",SUMIF('Competency Event Log'!$U$4:$U$803,$B33&amp;"|"&amp;BO$5,'Competency Event Log'!$D$4:$D$803)))</f>
        <v/>
      </c>
      <c r="BP33" s="8" t="str">
        <f>IF($B33="","",IF(COUNTIF('Competency Event Log'!$U$4:$U$803,$B33&amp;"|"&amp;BP$5)=0,"",SUMIF('Competency Event Log'!$U$4:$U$803,$B33&amp;"|"&amp;BP$5,'Competency Event Log'!$D$4:$D$803)))</f>
        <v/>
      </c>
      <c r="BQ33" s="8" t="str">
        <f>IF($B33="","",IF(COUNTIF('Competency Event Log'!$U$4:$U$803,$B33&amp;"|"&amp;BQ$5)=0,"",SUMIF('Competency Event Log'!$U$4:$U$803,$B33&amp;"|"&amp;BQ$5,'Competency Event Log'!$D$4:$D$803)))</f>
        <v/>
      </c>
      <c r="BR33" s="8" t="str">
        <f>IF($B33="","",IF(COUNTIF('Competency Event Log'!$U$4:$U$803,$B33&amp;"|"&amp;BR$5)=0,"",SUMIF('Competency Event Log'!$U$4:$U$803,$B33&amp;"|"&amp;BR$5,'Competency Event Log'!$D$4:$D$803)))</f>
        <v/>
      </c>
      <c r="BS33" s="8" t="str">
        <f>IF($B33="","",IF(COUNTIF('Competency Event Log'!$U$4:$U$803,$B33&amp;"|"&amp;BS$5)=0,"",SUMIF('Competency Event Log'!$U$4:$U$803,$B33&amp;"|"&amp;BS$5,'Competency Event Log'!$D$4:$D$803)))</f>
        <v/>
      </c>
      <c r="BT33" s="8" t="str">
        <f>IF($B33="","",IF(COUNTIF('Competency Event Log'!$U$4:$U$803,$B33&amp;"|"&amp;BT$5)=0,"",SUMIF('Competency Event Log'!$U$4:$U$803,$B33&amp;"|"&amp;BT$5,'Competency Event Log'!$D$4:$D$803)))</f>
        <v/>
      </c>
      <c r="BU33" s="8" t="str">
        <f>IF($B33="","",IF(COUNTIF('Competency Event Log'!$U$4:$U$803,$B33&amp;"|"&amp;BU$5)=0,"",SUMIF('Competency Event Log'!$U$4:$U$803,$B33&amp;"|"&amp;BU$5,'Competency Event Log'!$D$4:$D$803)))</f>
        <v/>
      </c>
      <c r="BV33" s="8" t="str">
        <f>IF($B33="","",IF(COUNTIF('Competency Event Log'!$U$4:$U$803,$B33&amp;"|"&amp;BV$5)=0,"",SUMIF('Competency Event Log'!$U$4:$U$803,$B33&amp;"|"&amp;BV$5,'Competency Event Log'!$D$4:$D$803)))</f>
        <v/>
      </c>
      <c r="BW33" s="8" t="str">
        <f>IF($B33="","",IF(COUNTIF('Competency Event Log'!$U$4:$U$803,$B33&amp;"|"&amp;BW$5)=0,"",SUMIF('Competency Event Log'!$U$4:$U$803,$B33&amp;"|"&amp;BW$5,'Competency Event Log'!$D$4:$D$803)))</f>
        <v/>
      </c>
      <c r="BX33" s="8" t="str">
        <f>IF($B33="","",IF(COUNTIF('Competency Event Log'!$U$4:$U$803,$B33&amp;"|"&amp;BX$5)=0,"",SUMIF('Competency Event Log'!$U$4:$U$803,$B33&amp;"|"&amp;BX$5,'Competency Event Log'!$D$4:$D$803)))</f>
        <v/>
      </c>
      <c r="BY33" s="8" t="str">
        <f>IF($B33="","",IF(COUNTIF('Competency Event Log'!$U$4:$U$803,$B33&amp;"|"&amp;BY$5)=0,"",SUMIF('Competency Event Log'!$U$4:$U$803,$B33&amp;"|"&amp;BY$5,'Competency Event Log'!$D$4:$D$803)))</f>
        <v/>
      </c>
      <c r="BZ33" s="8" t="str">
        <f>IF($B33="","",IF(COUNTIF('Competency Event Log'!$U$4:$U$803,$B33&amp;"|"&amp;BZ$5)=0,"",SUMIF('Competency Event Log'!$U$4:$U$803,$B33&amp;"|"&amp;BZ$5,'Competency Event Log'!$D$4:$D$803)))</f>
        <v/>
      </c>
      <c r="CA33" s="8" t="str">
        <f>IF($B33="","",IF(COUNTIF('Competency Event Log'!$U$4:$U$803,$B33&amp;"|"&amp;CA$5)=0,"",SUMIF('Competency Event Log'!$U$4:$U$803,$B33&amp;"|"&amp;CA$5,'Competency Event Log'!$D$4:$D$803)))</f>
        <v/>
      </c>
      <c r="CB33" s="8" t="str">
        <f>IF($B33="","",IF(COUNTIF('Competency Event Log'!$U$4:$U$803,$B33&amp;"|"&amp;CB$5)=0,"",SUMIF('Competency Event Log'!$U$4:$U$803,$B33&amp;"|"&amp;CB$5,'Competency Event Log'!$D$4:$D$803)))</f>
        <v/>
      </c>
      <c r="CC33" s="8" t="str">
        <f>IF($B33="","",IF(COUNTIF('Competency Event Log'!$U$4:$U$803,$B33&amp;"|"&amp;CC$5)=0,"",SUMIF('Competency Event Log'!$U$4:$U$803,$B33&amp;"|"&amp;CC$5,'Competency Event Log'!$D$4:$D$803)))</f>
        <v/>
      </c>
      <c r="CD33" s="8" t="str">
        <f>IF($B33="","",IF(COUNTIF('Competency Event Log'!$U$4:$U$803,$B33&amp;"|"&amp;CD$5)=0,"",SUMIF('Competency Event Log'!$U$4:$U$803,$B33&amp;"|"&amp;CD$5,'Competency Event Log'!$D$4:$D$803)))</f>
        <v/>
      </c>
      <c r="CE33" s="8" t="str">
        <f>IF($B33="","",IF(COUNTIF('Competency Event Log'!$U$4:$U$803,$B33&amp;"|"&amp;CE$5)=0,"",SUMIF('Competency Event Log'!$U$4:$U$803,$B33&amp;"|"&amp;CE$5,'Competency Event Log'!$D$4:$D$803)))</f>
        <v/>
      </c>
      <c r="CF33" s="8" t="str">
        <f>IF($B33="","",IF(COUNTIF('Competency Event Log'!$U$4:$U$803,$B33&amp;"|"&amp;CF$5)=0,"",SUMIF('Competency Event Log'!$U$4:$U$803,$B33&amp;"|"&amp;CF$5,'Competency Event Log'!$D$4:$D$803)))</f>
        <v/>
      </c>
      <c r="CG33" s="8" t="str">
        <f>IF($B33="","",IF(COUNTIF('Competency Event Log'!$U$4:$U$803,$B33&amp;"|"&amp;CG$5)=0,"",SUMIF('Competency Event Log'!$U$4:$U$803,$B33&amp;"|"&amp;CG$5,'Competency Event Log'!$D$4:$D$803)))</f>
        <v/>
      </c>
      <c r="CH33" s="8" t="str">
        <f>IF($B33="","",IF(COUNTIF('Competency Event Log'!$U$4:$U$803,$B33&amp;"|"&amp;CH$5)=0,"",SUMIF('Competency Event Log'!$U$4:$U$803,$B33&amp;"|"&amp;CH$5,'Competency Event Log'!$D$4:$D$803)))</f>
        <v/>
      </c>
      <c r="CI33" s="8" t="str">
        <f>IF($B33="","",IF(COUNTIF('Competency Event Log'!$U$4:$U$803,$B33&amp;"|"&amp;CI$5)=0,"",SUMIF('Competency Event Log'!$U$4:$U$803,$B33&amp;"|"&amp;CI$5,'Competency Event Log'!$D$4:$D$803)))</f>
        <v/>
      </c>
      <c r="CJ33" s="8" t="str">
        <f>IF($B33="","",IF(COUNTIF('Competency Event Log'!$U$4:$U$803,$B33&amp;"|"&amp;CJ$5)=0,"",SUMIF('Competency Event Log'!$U$4:$U$803,$B33&amp;"|"&amp;CJ$5,'Competency Event Log'!$D$4:$D$803)))</f>
        <v/>
      </c>
      <c r="CK33" s="8" t="str">
        <f>IF($B33="","",IF(COUNTIF('Competency Event Log'!$U$4:$U$803,$B33&amp;"|"&amp;CK$5)=0,"",SUMIF('Competency Event Log'!$U$4:$U$803,$B33&amp;"|"&amp;CK$5,'Competency Event Log'!$D$4:$D$803)))</f>
        <v/>
      </c>
      <c r="CL33" s="8" t="str">
        <f>IF($B33="","",IF(COUNTIF('Competency Event Log'!$U$4:$U$803,$B33&amp;"|"&amp;CL$5)=0,"",SUMIF('Competency Event Log'!$U$4:$U$803,$B33&amp;"|"&amp;CL$5,'Competency Event Log'!$D$4:$D$803)))</f>
        <v/>
      </c>
      <c r="CM33" s="8">
        <f>IF($B33="","",IF(COUNTIF('Competency Event Log'!$U$4:$U$803,$B33&amp;"|"&amp;CM$5)=0,"",SUMIF('Competency Event Log'!$U$4:$U$803,$B33&amp;"|"&amp;CM$5,'Competency Event Log'!$D$4:$D$803)))</f>
        <v>2</v>
      </c>
      <c r="CN33" s="8" t="str">
        <f>IF($B33="","",IF(COUNTIF('Competency Event Log'!$U$4:$U$803,$B33&amp;"|"&amp;CN$5)=0,"",SUMIF('Competency Event Log'!$U$4:$U$803,$B33&amp;"|"&amp;CN$5,'Competency Event Log'!$D$4:$D$803)))</f>
        <v/>
      </c>
      <c r="CO33" s="8" t="str">
        <f>IF($B33="","",IF(COUNTIF('Competency Event Log'!$U$4:$U$803,$B33&amp;"|"&amp;CO$5)=0,"",SUMIF('Competency Event Log'!$U$4:$U$803,$B33&amp;"|"&amp;CO$5,'Competency Event Log'!$D$4:$D$803)))</f>
        <v/>
      </c>
      <c r="CP33" s="8" t="str">
        <f>IF($B33="","",IF(COUNTIF('Competency Event Log'!$U$4:$U$803,$B33&amp;"|"&amp;CP$5)=0,"",SUMIF('Competency Event Log'!$U$4:$U$803,$B33&amp;"|"&amp;CP$5,'Competency Event Log'!$D$4:$D$803)))</f>
        <v/>
      </c>
      <c r="CQ33" s="8" t="str">
        <f>IF($B33="","",IF(COUNTIF('Competency Event Log'!$U$4:$U$803,$B33&amp;"|"&amp;CQ$5)=0,"",SUMIF('Competency Event Log'!$U$4:$U$803,$B33&amp;"|"&amp;CQ$5,'Competency Event Log'!$D$4:$D$803)))</f>
        <v/>
      </c>
      <c r="CR33" s="8" t="str">
        <f>IF($B33="","",IF(COUNTIF('Competency Event Log'!$U$4:$U$803,$B33&amp;"|"&amp;CR$5)=0,"",SUMIF('Competency Event Log'!$U$4:$U$803,$B33&amp;"|"&amp;CR$5,'Competency Event Log'!$D$4:$D$803)))</f>
        <v/>
      </c>
      <c r="CS33" s="8" t="str">
        <f>IF($B33="","",IF(COUNTIF('Competency Event Log'!$U$4:$U$803,$B33&amp;"|"&amp;CS$5)=0,"",SUMIF('Competency Event Log'!$U$4:$U$803,$B33&amp;"|"&amp;CS$5,'Competency Event Log'!$D$4:$D$803)))</f>
        <v/>
      </c>
      <c r="CT33" s="8" t="str">
        <f>IF($B33="","",IF(COUNTIF('Competency Event Log'!$U$4:$U$803,$B33&amp;"|"&amp;CT$5)=0,"",SUMIF('Competency Event Log'!$U$4:$U$803,$B33&amp;"|"&amp;CT$5,'Competency Event Log'!$D$4:$D$803)))</f>
        <v/>
      </c>
      <c r="CU33" s="8" t="str">
        <f>IF($B33="","",IF(COUNTIF('Competency Event Log'!$U$4:$U$803,$B33&amp;"|"&amp;CU$5)=0,"",SUMIF('Competency Event Log'!$U$4:$U$803,$B33&amp;"|"&amp;CU$5,'Competency Event Log'!$D$4:$D$803)))</f>
        <v/>
      </c>
      <c r="CV33" s="8" t="str">
        <f>IF($B33="","",IF(COUNTIF('Competency Event Log'!$U$4:$U$803,$B33&amp;"|"&amp;CV$5)=0,"",SUMIF('Competency Event Log'!$U$4:$U$803,$B33&amp;"|"&amp;CV$5,'Competency Event Log'!$D$4:$D$803)))</f>
        <v/>
      </c>
      <c r="CW33" s="8" t="str">
        <f>IF($B33="","",IF(COUNTIF('Competency Event Log'!$U$4:$U$803,$B33&amp;"|"&amp;CW$5)=0,"",SUMIF('Competency Event Log'!$U$4:$U$803,$B33&amp;"|"&amp;CW$5,'Competency Event Log'!$D$4:$D$803)))</f>
        <v/>
      </c>
      <c r="CX33" s="8" t="str">
        <f>IF($B33="","",IF(COUNTIF('Competency Event Log'!$U$4:$U$803,$B33&amp;"|"&amp;CX$5)=0,"",SUMIF('Competency Event Log'!$U$4:$U$803,$B33&amp;"|"&amp;CX$5,'Competency Event Log'!$D$4:$D$803)))</f>
        <v/>
      </c>
      <c r="CY33" s="8" t="str">
        <f>IF($B33="","",IF(COUNTIF('Competency Event Log'!$U$4:$U$803,$B33&amp;"|"&amp;CY$5)=0,"",SUMIF('Competency Event Log'!$U$4:$U$803,$B33&amp;"|"&amp;CY$5,'Competency Event Log'!$D$4:$D$803)))</f>
        <v/>
      </c>
      <c r="CZ33" s="8" t="str">
        <f>IF($B33="","",IF(COUNTIF('Competency Event Log'!$U$4:$U$803,$B33&amp;"|"&amp;CZ$5)=0,"",SUMIF('Competency Event Log'!$U$4:$U$803,$B33&amp;"|"&amp;CZ$5,'Competency Event Log'!$D$4:$D$803)))</f>
        <v/>
      </c>
      <c r="DA33" s="8" t="str">
        <f>IF($B33="","",IF(COUNTIF('Competency Event Log'!$U$4:$U$803,$B33&amp;"|"&amp;DA$5)=0,"",SUMIF('Competency Event Log'!$U$4:$U$803,$B33&amp;"|"&amp;DA$5,'Competency Event Log'!$D$4:$D$803)))</f>
        <v/>
      </c>
      <c r="DB33" s="8" t="str">
        <f>IF($B33="","",IF(COUNTIF('Competency Event Log'!$U$4:$U$803,$B33&amp;"|"&amp;DB$5)=0,"",SUMIF('Competency Event Log'!$U$4:$U$803,$B33&amp;"|"&amp;DB$5,'Competency Event Log'!$D$4:$D$803)))</f>
        <v/>
      </c>
      <c r="DC33" s="8" t="str">
        <f>IF($B33="","",IF(COUNTIF('Competency Event Log'!$U$4:$U$803,$B33&amp;"|"&amp;DC$5)=0,"",SUMIF('Competency Event Log'!$U$4:$U$803,$B33&amp;"|"&amp;DC$5,'Competency Event Log'!$D$4:$D$803)))</f>
        <v/>
      </c>
      <c r="DD33" s="8" t="str">
        <f>IF($B33="","",IF(COUNTIF('Competency Event Log'!$U$4:$U$803,$B33&amp;"|"&amp;DD$5)=0,"",SUMIF('Competency Event Log'!$U$4:$U$803,$B33&amp;"|"&amp;DD$5,'Competency Event Log'!$D$4:$D$803)))</f>
        <v/>
      </c>
      <c r="DE33" s="8">
        <f>IF($B33="","",IF(COUNTIF('Competency Event Log'!$U$4:$U$803,$B33&amp;"|"&amp;DE$5)=0,"",SUMIF('Competency Event Log'!$U$4:$U$803,$B33&amp;"|"&amp;DE$5,'Competency Event Log'!$D$4:$D$803)))</f>
        <v>3</v>
      </c>
      <c r="DF33" s="8">
        <f t="shared" si="0"/>
        <v>25</v>
      </c>
      <c r="DG33" s="8">
        <f t="shared" si="1"/>
        <v>9</v>
      </c>
      <c r="DH33" s="8">
        <f t="shared" si="2"/>
        <v>7</v>
      </c>
      <c r="DI33" s="11">
        <f t="shared" si="3"/>
        <v>0.83333333333333337</v>
      </c>
    </row>
    <row r="34" spans="1:113">
      <c r="A34" s="7" t="s">
        <v>308</v>
      </c>
      <c r="B34" s="7" t="s">
        <v>131</v>
      </c>
      <c r="C34" s="8">
        <v>2</v>
      </c>
      <c r="D34" s="9" t="s">
        <v>1021</v>
      </c>
      <c r="E34" s="10">
        <v>45310</v>
      </c>
      <c r="F34" s="8" t="s">
        <v>930</v>
      </c>
      <c r="G34" s="8" t="str">
        <f>IF($B34="","",IF(COUNTIF('Competency Event Log'!$U$4:$U$803,$B34&amp;"|"&amp;G$5)=0,"",SUMIF('Competency Event Log'!$U$4:$U$803,$B34&amp;"|"&amp;G$5,'Competency Event Log'!$D$4:$D$803)))</f>
        <v/>
      </c>
      <c r="H34" s="8" t="str">
        <f>IF($B34="","",IF(COUNTIF('Competency Event Log'!$U$4:$U$803,$B34&amp;"|"&amp;H$5)=0,"",SUMIF('Competency Event Log'!$U$4:$U$803,$B34&amp;"|"&amp;H$5,'Competency Event Log'!$D$4:$D$803)))</f>
        <v/>
      </c>
      <c r="I34" s="8" t="str">
        <f>IF($B34="","",IF(COUNTIF('Competency Event Log'!$U$4:$U$803,$B34&amp;"|"&amp;I$5)=0,"",SUMIF('Competency Event Log'!$U$4:$U$803,$B34&amp;"|"&amp;I$5,'Competency Event Log'!$D$4:$D$803)))</f>
        <v/>
      </c>
      <c r="J34" s="8" t="str">
        <f>IF($B34="","",IF(COUNTIF('Competency Event Log'!$U$4:$U$803,$B34&amp;"|"&amp;J$5)=0,"",SUMIF('Competency Event Log'!$U$4:$U$803,$B34&amp;"|"&amp;J$5,'Competency Event Log'!$D$4:$D$803)))</f>
        <v/>
      </c>
      <c r="K34" s="8" t="str">
        <f>IF($B34="","",IF(COUNTIF('Competency Event Log'!$U$4:$U$803,$B34&amp;"|"&amp;K$5)=0,"",SUMIF('Competency Event Log'!$U$4:$U$803,$B34&amp;"|"&amp;K$5,'Competency Event Log'!$D$4:$D$803)))</f>
        <v/>
      </c>
      <c r="L34" s="8" t="str">
        <f>IF($B34="","",IF(COUNTIF('Competency Event Log'!$U$4:$U$803,$B34&amp;"|"&amp;L$5)=0,"",SUMIF('Competency Event Log'!$U$4:$U$803,$B34&amp;"|"&amp;L$5,'Competency Event Log'!$D$4:$D$803)))</f>
        <v/>
      </c>
      <c r="M34" s="8" t="str">
        <f>IF($B34="","",IF(COUNTIF('Competency Event Log'!$U$4:$U$803,$B34&amp;"|"&amp;M$5)=0,"",SUMIF('Competency Event Log'!$U$4:$U$803,$B34&amp;"|"&amp;M$5,'Competency Event Log'!$D$4:$D$803)))</f>
        <v/>
      </c>
      <c r="N34" s="8" t="str">
        <f>IF($B34="","",IF(COUNTIF('Competency Event Log'!$U$4:$U$803,$B34&amp;"|"&amp;N$5)=0,"",SUMIF('Competency Event Log'!$U$4:$U$803,$B34&amp;"|"&amp;N$5,'Competency Event Log'!$D$4:$D$803)))</f>
        <v/>
      </c>
      <c r="O34" s="8" t="str">
        <f>IF($B34="","",IF(COUNTIF('Competency Event Log'!$U$4:$U$803,$B34&amp;"|"&amp;O$5)=0,"",SUMIF('Competency Event Log'!$U$4:$U$803,$B34&amp;"|"&amp;O$5,'Competency Event Log'!$D$4:$D$803)))</f>
        <v/>
      </c>
      <c r="P34" s="8" t="str">
        <f>IF($B34="","",IF(COUNTIF('Competency Event Log'!$U$4:$U$803,$B34&amp;"|"&amp;P$5)=0,"",SUMIF('Competency Event Log'!$U$4:$U$803,$B34&amp;"|"&amp;P$5,'Competency Event Log'!$D$4:$D$803)))</f>
        <v/>
      </c>
      <c r="Q34" s="8" t="str">
        <f>IF($B34="","",IF(COUNTIF('Competency Event Log'!$U$4:$U$803,$B34&amp;"|"&amp;Q$5)=0,"",SUMIF('Competency Event Log'!$U$4:$U$803,$B34&amp;"|"&amp;Q$5,'Competency Event Log'!$D$4:$D$803)))</f>
        <v/>
      </c>
      <c r="R34" s="8" t="str">
        <f>IF($B34="","",IF(COUNTIF('Competency Event Log'!$U$4:$U$803,$B34&amp;"|"&amp;R$5)=0,"",SUMIF('Competency Event Log'!$U$4:$U$803,$B34&amp;"|"&amp;R$5,'Competency Event Log'!$D$4:$D$803)))</f>
        <v/>
      </c>
      <c r="S34" s="8" t="str">
        <f>IF($B34="","",IF(COUNTIF('Competency Event Log'!$U$4:$U$803,$B34&amp;"|"&amp;S$5)=0,"",SUMIF('Competency Event Log'!$U$4:$U$803,$B34&amp;"|"&amp;S$5,'Competency Event Log'!$D$4:$D$803)))</f>
        <v/>
      </c>
      <c r="T34" s="8" t="str">
        <f>IF($B34="","",IF(COUNTIF('Competency Event Log'!$U$4:$U$803,$B34&amp;"|"&amp;T$5)=0,"",SUMIF('Competency Event Log'!$U$4:$U$803,$B34&amp;"|"&amp;T$5,'Competency Event Log'!$D$4:$D$803)))</f>
        <v/>
      </c>
      <c r="U34" s="8">
        <f>IF($B34="","",IF(COUNTIF('Competency Event Log'!$U$4:$U$803,$B34&amp;"|"&amp;U$5)=0,"",SUMIF('Competency Event Log'!$U$4:$U$803,$B34&amp;"|"&amp;U$5,'Competency Event Log'!$D$4:$D$803)))</f>
        <v>3</v>
      </c>
      <c r="V34" s="8" t="str">
        <f>IF($B34="","",IF(COUNTIF('Competency Event Log'!$U$4:$U$803,$B34&amp;"|"&amp;V$5)=0,"",SUMIF('Competency Event Log'!$U$4:$U$803,$B34&amp;"|"&amp;V$5,'Competency Event Log'!$D$4:$D$803)))</f>
        <v/>
      </c>
      <c r="W34" s="8" t="str">
        <f>IF($B34="","",IF(COUNTIF('Competency Event Log'!$U$4:$U$803,$B34&amp;"|"&amp;W$5)=0,"",SUMIF('Competency Event Log'!$U$4:$U$803,$B34&amp;"|"&amp;W$5,'Competency Event Log'!$D$4:$D$803)))</f>
        <v/>
      </c>
      <c r="X34" s="8" t="str">
        <f>IF($B34="","",IF(COUNTIF('Competency Event Log'!$U$4:$U$803,$B34&amp;"|"&amp;X$5)=0,"",SUMIF('Competency Event Log'!$U$4:$U$803,$B34&amp;"|"&amp;X$5,'Competency Event Log'!$D$4:$D$803)))</f>
        <v/>
      </c>
      <c r="Y34" s="8" t="str">
        <f>IF($B34="","",IF(COUNTIF('Competency Event Log'!$U$4:$U$803,$B34&amp;"|"&amp;Y$5)=0,"",SUMIF('Competency Event Log'!$U$4:$U$803,$B34&amp;"|"&amp;Y$5,'Competency Event Log'!$D$4:$D$803)))</f>
        <v/>
      </c>
      <c r="Z34" s="8" t="str">
        <f>IF($B34="","",IF(COUNTIF('Competency Event Log'!$U$4:$U$803,$B34&amp;"|"&amp;Z$5)=0,"",SUMIF('Competency Event Log'!$U$4:$U$803,$B34&amp;"|"&amp;Z$5,'Competency Event Log'!$D$4:$D$803)))</f>
        <v/>
      </c>
      <c r="AA34" s="8" t="str">
        <f>IF($B34="","",IF(COUNTIF('Competency Event Log'!$U$4:$U$803,$B34&amp;"|"&amp;AA$5)=0,"",SUMIF('Competency Event Log'!$U$4:$U$803,$B34&amp;"|"&amp;AA$5,'Competency Event Log'!$D$4:$D$803)))</f>
        <v/>
      </c>
      <c r="AB34" s="8" t="str">
        <f>IF($B34="","",IF(COUNTIF('Competency Event Log'!$U$4:$U$803,$B34&amp;"|"&amp;AB$5)=0,"",SUMIF('Competency Event Log'!$U$4:$U$803,$B34&amp;"|"&amp;AB$5,'Competency Event Log'!$D$4:$D$803)))</f>
        <v/>
      </c>
      <c r="AC34" s="8" t="str">
        <f>IF($B34="","",IF(COUNTIF('Competency Event Log'!$U$4:$U$803,$B34&amp;"|"&amp;AC$5)=0,"",SUMIF('Competency Event Log'!$U$4:$U$803,$B34&amp;"|"&amp;AC$5,'Competency Event Log'!$D$4:$D$803)))</f>
        <v/>
      </c>
      <c r="AD34" s="8" t="str">
        <f>IF($B34="","",IF(COUNTIF('Competency Event Log'!$U$4:$U$803,$B34&amp;"|"&amp;AD$5)=0,"",SUMIF('Competency Event Log'!$U$4:$U$803,$B34&amp;"|"&amp;AD$5,'Competency Event Log'!$D$4:$D$803)))</f>
        <v/>
      </c>
      <c r="AE34" s="8" t="str">
        <f>IF($B34="","",IF(COUNTIF('Competency Event Log'!$U$4:$U$803,$B34&amp;"|"&amp;AE$5)=0,"",SUMIF('Competency Event Log'!$U$4:$U$803,$B34&amp;"|"&amp;AE$5,'Competency Event Log'!$D$4:$D$803)))</f>
        <v/>
      </c>
      <c r="AF34" s="8" t="str">
        <f>IF($B34="","",IF(COUNTIF('Competency Event Log'!$U$4:$U$803,$B34&amp;"|"&amp;AF$5)=0,"",SUMIF('Competency Event Log'!$U$4:$U$803,$B34&amp;"|"&amp;AF$5,'Competency Event Log'!$D$4:$D$803)))</f>
        <v/>
      </c>
      <c r="AG34" s="8" t="str">
        <f>IF($B34="","",IF(COUNTIF('Competency Event Log'!$U$4:$U$803,$B34&amp;"|"&amp;AG$5)=0,"",SUMIF('Competency Event Log'!$U$4:$U$803,$B34&amp;"|"&amp;AG$5,'Competency Event Log'!$D$4:$D$803)))</f>
        <v/>
      </c>
      <c r="AH34" s="8" t="str">
        <f>IF($B34="","",IF(COUNTIF('Competency Event Log'!$U$4:$U$803,$B34&amp;"|"&amp;AH$5)=0,"",SUMIF('Competency Event Log'!$U$4:$U$803,$B34&amp;"|"&amp;AH$5,'Competency Event Log'!$D$4:$D$803)))</f>
        <v/>
      </c>
      <c r="AI34" s="8" t="str">
        <f>IF($B34="","",IF(COUNTIF('Competency Event Log'!$U$4:$U$803,$B34&amp;"|"&amp;AI$5)=0,"",SUMIF('Competency Event Log'!$U$4:$U$803,$B34&amp;"|"&amp;AI$5,'Competency Event Log'!$D$4:$D$803)))</f>
        <v/>
      </c>
      <c r="AJ34" s="8" t="str">
        <f>IF($B34="","",IF(COUNTIF('Competency Event Log'!$U$4:$U$803,$B34&amp;"|"&amp;AJ$5)=0,"",SUMIF('Competency Event Log'!$U$4:$U$803,$B34&amp;"|"&amp;AJ$5,'Competency Event Log'!$D$4:$D$803)))</f>
        <v/>
      </c>
      <c r="AK34" s="8" t="str">
        <f>IF($B34="","",IF(COUNTIF('Competency Event Log'!$U$4:$U$803,$B34&amp;"|"&amp;AK$5)=0,"",SUMIF('Competency Event Log'!$U$4:$U$803,$B34&amp;"|"&amp;AK$5,'Competency Event Log'!$D$4:$D$803)))</f>
        <v/>
      </c>
      <c r="AL34" s="8" t="str">
        <f>IF($B34="","",IF(COUNTIF('Competency Event Log'!$U$4:$U$803,$B34&amp;"|"&amp;AL$5)=0,"",SUMIF('Competency Event Log'!$U$4:$U$803,$B34&amp;"|"&amp;AL$5,'Competency Event Log'!$D$4:$D$803)))</f>
        <v/>
      </c>
      <c r="AM34" s="8" t="str">
        <f>IF($B34="","",IF(COUNTIF('Competency Event Log'!$U$4:$U$803,$B34&amp;"|"&amp;AM$5)=0,"",SUMIF('Competency Event Log'!$U$4:$U$803,$B34&amp;"|"&amp;AM$5,'Competency Event Log'!$D$4:$D$803)))</f>
        <v/>
      </c>
      <c r="AN34" s="8" t="str">
        <f>IF($B34="","",IF(COUNTIF('Competency Event Log'!$U$4:$U$803,$B34&amp;"|"&amp;AN$5)=0,"",SUMIF('Competency Event Log'!$U$4:$U$803,$B34&amp;"|"&amp;AN$5,'Competency Event Log'!$D$4:$D$803)))</f>
        <v/>
      </c>
      <c r="AO34" s="8" t="str">
        <f>IF($B34="","",IF(COUNTIF('Competency Event Log'!$U$4:$U$803,$B34&amp;"|"&amp;AO$5)=0,"",SUMIF('Competency Event Log'!$U$4:$U$803,$B34&amp;"|"&amp;AO$5,'Competency Event Log'!$D$4:$D$803)))</f>
        <v/>
      </c>
      <c r="AP34" s="8" t="str">
        <f>IF($B34="","",IF(COUNTIF('Competency Event Log'!$U$4:$U$803,$B34&amp;"|"&amp;AP$5)=0,"",SUMIF('Competency Event Log'!$U$4:$U$803,$B34&amp;"|"&amp;AP$5,'Competency Event Log'!$D$4:$D$803)))</f>
        <v/>
      </c>
      <c r="AQ34" s="8" t="str">
        <f>IF($B34="","",IF(COUNTIF('Competency Event Log'!$U$4:$U$803,$B34&amp;"|"&amp;AQ$5)=0,"",SUMIF('Competency Event Log'!$U$4:$U$803,$B34&amp;"|"&amp;AQ$5,'Competency Event Log'!$D$4:$D$803)))</f>
        <v/>
      </c>
      <c r="AR34" s="8" t="str">
        <f>IF($B34="","",IF(COUNTIF('Competency Event Log'!$U$4:$U$803,$B34&amp;"|"&amp;AR$5)=0,"",SUMIF('Competency Event Log'!$U$4:$U$803,$B34&amp;"|"&amp;AR$5,'Competency Event Log'!$D$4:$D$803)))</f>
        <v/>
      </c>
      <c r="AS34" s="8" t="str">
        <f>IF($B34="","",IF(COUNTIF('Competency Event Log'!$U$4:$U$803,$B34&amp;"|"&amp;AS$5)=0,"",SUMIF('Competency Event Log'!$U$4:$U$803,$B34&amp;"|"&amp;AS$5,'Competency Event Log'!$D$4:$D$803)))</f>
        <v/>
      </c>
      <c r="AT34" s="8" t="str">
        <f>IF($B34="","",IF(COUNTIF('Competency Event Log'!$U$4:$U$803,$B34&amp;"|"&amp;AT$5)=0,"",SUMIF('Competency Event Log'!$U$4:$U$803,$B34&amp;"|"&amp;AT$5,'Competency Event Log'!$D$4:$D$803)))</f>
        <v/>
      </c>
      <c r="AU34" s="8" t="str">
        <f>IF($B34="","",IF(COUNTIF('Competency Event Log'!$U$4:$U$803,$B34&amp;"|"&amp;AU$5)=0,"",SUMIF('Competency Event Log'!$U$4:$U$803,$B34&amp;"|"&amp;AU$5,'Competency Event Log'!$D$4:$D$803)))</f>
        <v/>
      </c>
      <c r="AV34" s="8" t="str">
        <f>IF($B34="","",IF(COUNTIF('Competency Event Log'!$U$4:$U$803,$B34&amp;"|"&amp;AV$5)=0,"",SUMIF('Competency Event Log'!$U$4:$U$803,$B34&amp;"|"&amp;AV$5,'Competency Event Log'!$D$4:$D$803)))</f>
        <v/>
      </c>
      <c r="AW34" s="8" t="str">
        <f>IF($B34="","",IF(COUNTIF('Competency Event Log'!$U$4:$U$803,$B34&amp;"|"&amp;AW$5)=0,"",SUMIF('Competency Event Log'!$U$4:$U$803,$B34&amp;"|"&amp;AW$5,'Competency Event Log'!$D$4:$D$803)))</f>
        <v/>
      </c>
      <c r="AX34" s="8" t="str">
        <f>IF($B34="","",IF(COUNTIF('Competency Event Log'!$U$4:$U$803,$B34&amp;"|"&amp;AX$5)=0,"",SUMIF('Competency Event Log'!$U$4:$U$803,$B34&amp;"|"&amp;AX$5,'Competency Event Log'!$D$4:$D$803)))</f>
        <v/>
      </c>
      <c r="AY34" s="8" t="str">
        <f>IF($B34="","",IF(COUNTIF('Competency Event Log'!$U$4:$U$803,$B34&amp;"|"&amp;AY$5)=0,"",SUMIF('Competency Event Log'!$U$4:$U$803,$B34&amp;"|"&amp;AY$5,'Competency Event Log'!$D$4:$D$803)))</f>
        <v/>
      </c>
      <c r="AZ34" s="8" t="str">
        <f>IF($B34="","",IF(COUNTIF('Competency Event Log'!$U$4:$U$803,$B34&amp;"|"&amp;AZ$5)=0,"",SUMIF('Competency Event Log'!$U$4:$U$803,$B34&amp;"|"&amp;AZ$5,'Competency Event Log'!$D$4:$D$803)))</f>
        <v/>
      </c>
      <c r="BA34" s="8" t="str">
        <f>IF($B34="","",IF(COUNTIF('Competency Event Log'!$U$4:$U$803,$B34&amp;"|"&amp;BA$5)=0,"",SUMIF('Competency Event Log'!$U$4:$U$803,$B34&amp;"|"&amp;BA$5,'Competency Event Log'!$D$4:$D$803)))</f>
        <v/>
      </c>
      <c r="BB34" s="8">
        <f>IF($B34="","",IF(COUNTIF('Competency Event Log'!$U$4:$U$803,$B34&amp;"|"&amp;BB$5)=0,"",SUMIF('Competency Event Log'!$U$4:$U$803,$B34&amp;"|"&amp;BB$5,'Competency Event Log'!$D$4:$D$803)))</f>
        <v>3</v>
      </c>
      <c r="BC34" s="8">
        <f>IF($B34="","",IF(COUNTIF('Competency Event Log'!$U$4:$U$803,$B34&amp;"|"&amp;BC$5)=0,"",SUMIF('Competency Event Log'!$U$4:$U$803,$B34&amp;"|"&amp;BC$5,'Competency Event Log'!$D$4:$D$803)))</f>
        <v>3</v>
      </c>
      <c r="BD34" s="8">
        <f>IF($B34="","",IF(COUNTIF('Competency Event Log'!$U$4:$U$803,$B34&amp;"|"&amp;BD$5)=0,"",SUMIF('Competency Event Log'!$U$4:$U$803,$B34&amp;"|"&amp;BD$5,'Competency Event Log'!$D$4:$D$803)))</f>
        <v>2</v>
      </c>
      <c r="BE34" s="8" t="str">
        <f>IF($B34="","",IF(COUNTIF('Competency Event Log'!$U$4:$U$803,$B34&amp;"|"&amp;BE$5)=0,"",SUMIF('Competency Event Log'!$U$4:$U$803,$B34&amp;"|"&amp;BE$5,'Competency Event Log'!$D$4:$D$803)))</f>
        <v/>
      </c>
      <c r="BF34" s="8" t="str">
        <f>IF($B34="","",IF(COUNTIF('Competency Event Log'!$U$4:$U$803,$B34&amp;"|"&amp;BF$5)=0,"",SUMIF('Competency Event Log'!$U$4:$U$803,$B34&amp;"|"&amp;BF$5,'Competency Event Log'!$D$4:$D$803)))</f>
        <v/>
      </c>
      <c r="BG34" s="8" t="str">
        <f>IF($B34="","",IF(COUNTIF('Competency Event Log'!$U$4:$U$803,$B34&amp;"|"&amp;BG$5)=0,"",SUMIF('Competency Event Log'!$U$4:$U$803,$B34&amp;"|"&amp;BG$5,'Competency Event Log'!$D$4:$D$803)))</f>
        <v/>
      </c>
      <c r="BH34" s="8">
        <f>IF($B34="","",IF(COUNTIF('Competency Event Log'!$U$4:$U$803,$B34&amp;"|"&amp;BH$5)=0,"",SUMIF('Competency Event Log'!$U$4:$U$803,$B34&amp;"|"&amp;BH$5,'Competency Event Log'!$D$4:$D$803)))</f>
        <v>1</v>
      </c>
      <c r="BI34" s="8" t="str">
        <f>IF($B34="","",IF(COUNTIF('Competency Event Log'!$U$4:$U$803,$B34&amp;"|"&amp;BI$5)=0,"",SUMIF('Competency Event Log'!$U$4:$U$803,$B34&amp;"|"&amp;BI$5,'Competency Event Log'!$D$4:$D$803)))</f>
        <v/>
      </c>
      <c r="BJ34" s="8" t="str">
        <f>IF($B34="","",IF(COUNTIF('Competency Event Log'!$U$4:$U$803,$B34&amp;"|"&amp;BJ$5)=0,"",SUMIF('Competency Event Log'!$U$4:$U$803,$B34&amp;"|"&amp;BJ$5,'Competency Event Log'!$D$4:$D$803)))</f>
        <v/>
      </c>
      <c r="BK34" s="8" t="str">
        <f>IF($B34="","",IF(COUNTIF('Competency Event Log'!$U$4:$U$803,$B34&amp;"|"&amp;BK$5)=0,"",SUMIF('Competency Event Log'!$U$4:$U$803,$B34&amp;"|"&amp;BK$5,'Competency Event Log'!$D$4:$D$803)))</f>
        <v/>
      </c>
      <c r="BL34" s="8" t="str">
        <f>IF($B34="","",IF(COUNTIF('Competency Event Log'!$U$4:$U$803,$B34&amp;"|"&amp;BL$5)=0,"",SUMIF('Competency Event Log'!$U$4:$U$803,$B34&amp;"|"&amp;BL$5,'Competency Event Log'!$D$4:$D$803)))</f>
        <v/>
      </c>
      <c r="BM34" s="8" t="str">
        <f>IF($B34="","",IF(COUNTIF('Competency Event Log'!$U$4:$U$803,$B34&amp;"|"&amp;BM$5)=0,"",SUMIF('Competency Event Log'!$U$4:$U$803,$B34&amp;"|"&amp;BM$5,'Competency Event Log'!$D$4:$D$803)))</f>
        <v/>
      </c>
      <c r="BN34" s="8" t="str">
        <f>IF($B34="","",IF(COUNTIF('Competency Event Log'!$U$4:$U$803,$B34&amp;"|"&amp;BN$5)=0,"",SUMIF('Competency Event Log'!$U$4:$U$803,$B34&amp;"|"&amp;BN$5,'Competency Event Log'!$D$4:$D$803)))</f>
        <v/>
      </c>
      <c r="BO34" s="8" t="str">
        <f>IF($B34="","",IF(COUNTIF('Competency Event Log'!$U$4:$U$803,$B34&amp;"|"&amp;BO$5)=0,"",SUMIF('Competency Event Log'!$U$4:$U$803,$B34&amp;"|"&amp;BO$5,'Competency Event Log'!$D$4:$D$803)))</f>
        <v/>
      </c>
      <c r="BP34" s="8" t="str">
        <f>IF($B34="","",IF(COUNTIF('Competency Event Log'!$U$4:$U$803,$B34&amp;"|"&amp;BP$5)=0,"",SUMIF('Competency Event Log'!$U$4:$U$803,$B34&amp;"|"&amp;BP$5,'Competency Event Log'!$D$4:$D$803)))</f>
        <v/>
      </c>
      <c r="BQ34" s="8" t="str">
        <f>IF($B34="","",IF(COUNTIF('Competency Event Log'!$U$4:$U$803,$B34&amp;"|"&amp;BQ$5)=0,"",SUMIF('Competency Event Log'!$U$4:$U$803,$B34&amp;"|"&amp;BQ$5,'Competency Event Log'!$D$4:$D$803)))</f>
        <v/>
      </c>
      <c r="BR34" s="8">
        <f>IF($B34="","",IF(COUNTIF('Competency Event Log'!$U$4:$U$803,$B34&amp;"|"&amp;BR$5)=0,"",SUMIF('Competency Event Log'!$U$4:$U$803,$B34&amp;"|"&amp;BR$5,'Competency Event Log'!$D$4:$D$803)))</f>
        <v>1</v>
      </c>
      <c r="BS34" s="8" t="str">
        <f>IF($B34="","",IF(COUNTIF('Competency Event Log'!$U$4:$U$803,$B34&amp;"|"&amp;BS$5)=0,"",SUMIF('Competency Event Log'!$U$4:$U$803,$B34&amp;"|"&amp;BS$5,'Competency Event Log'!$D$4:$D$803)))</f>
        <v/>
      </c>
      <c r="BT34" s="8" t="str">
        <f>IF($B34="","",IF(COUNTIF('Competency Event Log'!$U$4:$U$803,$B34&amp;"|"&amp;BT$5)=0,"",SUMIF('Competency Event Log'!$U$4:$U$803,$B34&amp;"|"&amp;BT$5,'Competency Event Log'!$D$4:$D$803)))</f>
        <v/>
      </c>
      <c r="BU34" s="8" t="str">
        <f>IF($B34="","",IF(COUNTIF('Competency Event Log'!$U$4:$U$803,$B34&amp;"|"&amp;BU$5)=0,"",SUMIF('Competency Event Log'!$U$4:$U$803,$B34&amp;"|"&amp;BU$5,'Competency Event Log'!$D$4:$D$803)))</f>
        <v/>
      </c>
      <c r="BV34" s="8" t="str">
        <f>IF($B34="","",IF(COUNTIF('Competency Event Log'!$U$4:$U$803,$B34&amp;"|"&amp;BV$5)=0,"",SUMIF('Competency Event Log'!$U$4:$U$803,$B34&amp;"|"&amp;BV$5,'Competency Event Log'!$D$4:$D$803)))</f>
        <v/>
      </c>
      <c r="BW34" s="8" t="str">
        <f>IF($B34="","",IF(COUNTIF('Competency Event Log'!$U$4:$U$803,$B34&amp;"|"&amp;BW$5)=0,"",SUMIF('Competency Event Log'!$U$4:$U$803,$B34&amp;"|"&amp;BW$5,'Competency Event Log'!$D$4:$D$803)))</f>
        <v/>
      </c>
      <c r="BX34" s="8" t="str">
        <f>IF($B34="","",IF(COUNTIF('Competency Event Log'!$U$4:$U$803,$B34&amp;"|"&amp;BX$5)=0,"",SUMIF('Competency Event Log'!$U$4:$U$803,$B34&amp;"|"&amp;BX$5,'Competency Event Log'!$D$4:$D$803)))</f>
        <v/>
      </c>
      <c r="BY34" s="8" t="str">
        <f>IF($B34="","",IF(COUNTIF('Competency Event Log'!$U$4:$U$803,$B34&amp;"|"&amp;BY$5)=0,"",SUMIF('Competency Event Log'!$U$4:$U$803,$B34&amp;"|"&amp;BY$5,'Competency Event Log'!$D$4:$D$803)))</f>
        <v/>
      </c>
      <c r="BZ34" s="8" t="str">
        <f>IF($B34="","",IF(COUNTIF('Competency Event Log'!$U$4:$U$803,$B34&amp;"|"&amp;BZ$5)=0,"",SUMIF('Competency Event Log'!$U$4:$U$803,$B34&amp;"|"&amp;BZ$5,'Competency Event Log'!$D$4:$D$803)))</f>
        <v/>
      </c>
      <c r="CA34" s="8" t="str">
        <f>IF($B34="","",IF(COUNTIF('Competency Event Log'!$U$4:$U$803,$B34&amp;"|"&amp;CA$5)=0,"",SUMIF('Competency Event Log'!$U$4:$U$803,$B34&amp;"|"&amp;CA$5,'Competency Event Log'!$D$4:$D$803)))</f>
        <v/>
      </c>
      <c r="CB34" s="8" t="str">
        <f>IF($B34="","",IF(COUNTIF('Competency Event Log'!$U$4:$U$803,$B34&amp;"|"&amp;CB$5)=0,"",SUMIF('Competency Event Log'!$U$4:$U$803,$B34&amp;"|"&amp;CB$5,'Competency Event Log'!$D$4:$D$803)))</f>
        <v/>
      </c>
      <c r="CC34" s="8" t="str">
        <f>IF($B34="","",IF(COUNTIF('Competency Event Log'!$U$4:$U$803,$B34&amp;"|"&amp;CC$5)=0,"",SUMIF('Competency Event Log'!$U$4:$U$803,$B34&amp;"|"&amp;CC$5,'Competency Event Log'!$D$4:$D$803)))</f>
        <v/>
      </c>
      <c r="CD34" s="8" t="str">
        <f>IF($B34="","",IF(COUNTIF('Competency Event Log'!$U$4:$U$803,$B34&amp;"|"&amp;CD$5)=0,"",SUMIF('Competency Event Log'!$U$4:$U$803,$B34&amp;"|"&amp;CD$5,'Competency Event Log'!$D$4:$D$803)))</f>
        <v/>
      </c>
      <c r="CE34" s="8" t="str">
        <f>IF($B34="","",IF(COUNTIF('Competency Event Log'!$U$4:$U$803,$B34&amp;"|"&amp;CE$5)=0,"",SUMIF('Competency Event Log'!$U$4:$U$803,$B34&amp;"|"&amp;CE$5,'Competency Event Log'!$D$4:$D$803)))</f>
        <v/>
      </c>
      <c r="CF34" s="8" t="str">
        <f>IF($B34="","",IF(COUNTIF('Competency Event Log'!$U$4:$U$803,$B34&amp;"|"&amp;CF$5)=0,"",SUMIF('Competency Event Log'!$U$4:$U$803,$B34&amp;"|"&amp;CF$5,'Competency Event Log'!$D$4:$D$803)))</f>
        <v/>
      </c>
      <c r="CG34" s="8" t="str">
        <f>IF($B34="","",IF(COUNTIF('Competency Event Log'!$U$4:$U$803,$B34&amp;"|"&amp;CG$5)=0,"",SUMIF('Competency Event Log'!$U$4:$U$803,$B34&amp;"|"&amp;CG$5,'Competency Event Log'!$D$4:$D$803)))</f>
        <v/>
      </c>
      <c r="CH34" s="8" t="str">
        <f>IF($B34="","",IF(COUNTIF('Competency Event Log'!$U$4:$U$803,$B34&amp;"|"&amp;CH$5)=0,"",SUMIF('Competency Event Log'!$U$4:$U$803,$B34&amp;"|"&amp;CH$5,'Competency Event Log'!$D$4:$D$803)))</f>
        <v/>
      </c>
      <c r="CI34" s="8" t="str">
        <f>IF($B34="","",IF(COUNTIF('Competency Event Log'!$U$4:$U$803,$B34&amp;"|"&amp;CI$5)=0,"",SUMIF('Competency Event Log'!$U$4:$U$803,$B34&amp;"|"&amp;CI$5,'Competency Event Log'!$D$4:$D$803)))</f>
        <v/>
      </c>
      <c r="CJ34" s="8" t="str">
        <f>IF($B34="","",IF(COUNTIF('Competency Event Log'!$U$4:$U$803,$B34&amp;"|"&amp;CJ$5)=0,"",SUMIF('Competency Event Log'!$U$4:$U$803,$B34&amp;"|"&amp;CJ$5,'Competency Event Log'!$D$4:$D$803)))</f>
        <v/>
      </c>
      <c r="CK34" s="8" t="str">
        <f>IF($B34="","",IF(COUNTIF('Competency Event Log'!$U$4:$U$803,$B34&amp;"|"&amp;CK$5)=0,"",SUMIF('Competency Event Log'!$U$4:$U$803,$B34&amp;"|"&amp;CK$5,'Competency Event Log'!$D$4:$D$803)))</f>
        <v/>
      </c>
      <c r="CL34" s="8" t="str">
        <f>IF($B34="","",IF(COUNTIF('Competency Event Log'!$U$4:$U$803,$B34&amp;"|"&amp;CL$5)=0,"",SUMIF('Competency Event Log'!$U$4:$U$803,$B34&amp;"|"&amp;CL$5,'Competency Event Log'!$D$4:$D$803)))</f>
        <v/>
      </c>
      <c r="CM34" s="8" t="str">
        <f>IF($B34="","",IF(COUNTIF('Competency Event Log'!$U$4:$U$803,$B34&amp;"|"&amp;CM$5)=0,"",SUMIF('Competency Event Log'!$U$4:$U$803,$B34&amp;"|"&amp;CM$5,'Competency Event Log'!$D$4:$D$803)))</f>
        <v/>
      </c>
      <c r="CN34" s="8" t="str">
        <f>IF($B34="","",IF(COUNTIF('Competency Event Log'!$U$4:$U$803,$B34&amp;"|"&amp;CN$5)=0,"",SUMIF('Competency Event Log'!$U$4:$U$803,$B34&amp;"|"&amp;CN$5,'Competency Event Log'!$D$4:$D$803)))</f>
        <v/>
      </c>
      <c r="CO34" s="8" t="str">
        <f>IF($B34="","",IF(COUNTIF('Competency Event Log'!$U$4:$U$803,$B34&amp;"|"&amp;CO$5)=0,"",SUMIF('Competency Event Log'!$U$4:$U$803,$B34&amp;"|"&amp;CO$5,'Competency Event Log'!$D$4:$D$803)))</f>
        <v/>
      </c>
      <c r="CP34" s="8" t="str">
        <f>IF($B34="","",IF(COUNTIF('Competency Event Log'!$U$4:$U$803,$B34&amp;"|"&amp;CP$5)=0,"",SUMIF('Competency Event Log'!$U$4:$U$803,$B34&amp;"|"&amp;CP$5,'Competency Event Log'!$D$4:$D$803)))</f>
        <v/>
      </c>
      <c r="CQ34" s="8" t="str">
        <f>IF($B34="","",IF(COUNTIF('Competency Event Log'!$U$4:$U$803,$B34&amp;"|"&amp;CQ$5)=0,"",SUMIF('Competency Event Log'!$U$4:$U$803,$B34&amp;"|"&amp;CQ$5,'Competency Event Log'!$D$4:$D$803)))</f>
        <v/>
      </c>
      <c r="CR34" s="8" t="str">
        <f>IF($B34="","",IF(COUNTIF('Competency Event Log'!$U$4:$U$803,$B34&amp;"|"&amp;CR$5)=0,"",SUMIF('Competency Event Log'!$U$4:$U$803,$B34&amp;"|"&amp;CR$5,'Competency Event Log'!$D$4:$D$803)))</f>
        <v/>
      </c>
      <c r="CS34" s="8" t="str">
        <f>IF($B34="","",IF(COUNTIF('Competency Event Log'!$U$4:$U$803,$B34&amp;"|"&amp;CS$5)=0,"",SUMIF('Competency Event Log'!$U$4:$U$803,$B34&amp;"|"&amp;CS$5,'Competency Event Log'!$D$4:$D$803)))</f>
        <v/>
      </c>
      <c r="CT34" s="8" t="str">
        <f>IF($B34="","",IF(COUNTIF('Competency Event Log'!$U$4:$U$803,$B34&amp;"|"&amp;CT$5)=0,"",SUMIF('Competency Event Log'!$U$4:$U$803,$B34&amp;"|"&amp;CT$5,'Competency Event Log'!$D$4:$D$803)))</f>
        <v/>
      </c>
      <c r="CU34" s="8" t="str">
        <f>IF($B34="","",IF(COUNTIF('Competency Event Log'!$U$4:$U$803,$B34&amp;"|"&amp;CU$5)=0,"",SUMIF('Competency Event Log'!$U$4:$U$803,$B34&amp;"|"&amp;CU$5,'Competency Event Log'!$D$4:$D$803)))</f>
        <v/>
      </c>
      <c r="CV34" s="8" t="str">
        <f>IF($B34="","",IF(COUNTIF('Competency Event Log'!$U$4:$U$803,$B34&amp;"|"&amp;CV$5)=0,"",SUMIF('Competency Event Log'!$U$4:$U$803,$B34&amp;"|"&amp;CV$5,'Competency Event Log'!$D$4:$D$803)))</f>
        <v/>
      </c>
      <c r="CW34" s="8">
        <f>IF($B34="","",IF(COUNTIF('Competency Event Log'!$U$4:$U$803,$B34&amp;"|"&amp;CW$5)=0,"",SUMIF('Competency Event Log'!$U$4:$U$803,$B34&amp;"|"&amp;CW$5,'Competency Event Log'!$D$4:$D$803)))</f>
        <v>3</v>
      </c>
      <c r="CX34" s="8" t="str">
        <f>IF($B34="","",IF(COUNTIF('Competency Event Log'!$U$4:$U$803,$B34&amp;"|"&amp;CX$5)=0,"",SUMIF('Competency Event Log'!$U$4:$U$803,$B34&amp;"|"&amp;CX$5,'Competency Event Log'!$D$4:$D$803)))</f>
        <v/>
      </c>
      <c r="CY34" s="8" t="str">
        <f>IF($B34="","",IF(COUNTIF('Competency Event Log'!$U$4:$U$803,$B34&amp;"|"&amp;CY$5)=0,"",SUMIF('Competency Event Log'!$U$4:$U$803,$B34&amp;"|"&amp;CY$5,'Competency Event Log'!$D$4:$D$803)))</f>
        <v/>
      </c>
      <c r="CZ34" s="8" t="str">
        <f>IF($B34="","",IF(COUNTIF('Competency Event Log'!$U$4:$U$803,$B34&amp;"|"&amp;CZ$5)=0,"",SUMIF('Competency Event Log'!$U$4:$U$803,$B34&amp;"|"&amp;CZ$5,'Competency Event Log'!$D$4:$D$803)))</f>
        <v/>
      </c>
      <c r="DA34" s="8" t="str">
        <f>IF($B34="","",IF(COUNTIF('Competency Event Log'!$U$4:$U$803,$B34&amp;"|"&amp;DA$5)=0,"",SUMIF('Competency Event Log'!$U$4:$U$803,$B34&amp;"|"&amp;DA$5,'Competency Event Log'!$D$4:$D$803)))</f>
        <v/>
      </c>
      <c r="DB34" s="8" t="str">
        <f>IF($B34="","",IF(COUNTIF('Competency Event Log'!$U$4:$U$803,$B34&amp;"|"&amp;DB$5)=0,"",SUMIF('Competency Event Log'!$U$4:$U$803,$B34&amp;"|"&amp;DB$5,'Competency Event Log'!$D$4:$D$803)))</f>
        <v/>
      </c>
      <c r="DC34" s="8" t="str">
        <f>IF($B34="","",IF(COUNTIF('Competency Event Log'!$U$4:$U$803,$B34&amp;"|"&amp;DC$5)=0,"",SUMIF('Competency Event Log'!$U$4:$U$803,$B34&amp;"|"&amp;DC$5,'Competency Event Log'!$D$4:$D$803)))</f>
        <v/>
      </c>
      <c r="DD34" s="8" t="str">
        <f>IF($B34="","",IF(COUNTIF('Competency Event Log'!$U$4:$U$803,$B34&amp;"|"&amp;DD$5)=0,"",SUMIF('Competency Event Log'!$U$4:$U$803,$B34&amp;"|"&amp;DD$5,'Competency Event Log'!$D$4:$D$803)))</f>
        <v/>
      </c>
      <c r="DE34" s="8">
        <f>IF($B34="","",IF(COUNTIF('Competency Event Log'!$U$4:$U$803,$B34&amp;"|"&amp;DE$5)=0,"",SUMIF('Competency Event Log'!$U$4:$U$803,$B34&amp;"|"&amp;DE$5,'Competency Event Log'!$D$4:$D$803)))</f>
        <v>3</v>
      </c>
      <c r="DF34" s="8">
        <f t="shared" si="0"/>
        <v>19</v>
      </c>
      <c r="DG34" s="8">
        <f t="shared" si="1"/>
        <v>8</v>
      </c>
      <c r="DH34" s="8">
        <f t="shared" si="2"/>
        <v>5</v>
      </c>
      <c r="DI34" s="11">
        <f t="shared" si="3"/>
        <v>0.66666666666666663</v>
      </c>
    </row>
    <row r="35" spans="1:113">
      <c r="A35" s="7" t="s">
        <v>308</v>
      </c>
      <c r="B35" s="7" t="s">
        <v>134</v>
      </c>
      <c r="C35" s="8">
        <v>3</v>
      </c>
      <c r="D35" s="9" t="s">
        <v>1036</v>
      </c>
      <c r="E35" s="10">
        <v>45100</v>
      </c>
      <c r="F35" s="8" t="s">
        <v>930</v>
      </c>
      <c r="G35" s="8" t="str">
        <f>IF($B35="","",IF(COUNTIF('Competency Event Log'!$U$4:$U$803,$B35&amp;"|"&amp;G$5)=0,"",SUMIF('Competency Event Log'!$U$4:$U$803,$B35&amp;"|"&amp;G$5,'Competency Event Log'!$D$4:$D$803)))</f>
        <v/>
      </c>
      <c r="H35" s="8" t="str">
        <f>IF($B35="","",IF(COUNTIF('Competency Event Log'!$U$4:$U$803,$B35&amp;"|"&amp;H$5)=0,"",SUMIF('Competency Event Log'!$U$4:$U$803,$B35&amp;"|"&amp;H$5,'Competency Event Log'!$D$4:$D$803)))</f>
        <v/>
      </c>
      <c r="I35" s="8" t="str">
        <f>IF($B35="","",IF(COUNTIF('Competency Event Log'!$U$4:$U$803,$B35&amp;"|"&amp;I$5)=0,"",SUMIF('Competency Event Log'!$U$4:$U$803,$B35&amp;"|"&amp;I$5,'Competency Event Log'!$D$4:$D$803)))</f>
        <v/>
      </c>
      <c r="J35" s="8" t="str">
        <f>IF($B35="","",IF(COUNTIF('Competency Event Log'!$U$4:$U$803,$B35&amp;"|"&amp;J$5)=0,"",SUMIF('Competency Event Log'!$U$4:$U$803,$B35&amp;"|"&amp;J$5,'Competency Event Log'!$D$4:$D$803)))</f>
        <v/>
      </c>
      <c r="K35" s="8" t="str">
        <f>IF($B35="","",IF(COUNTIF('Competency Event Log'!$U$4:$U$803,$B35&amp;"|"&amp;K$5)=0,"",SUMIF('Competency Event Log'!$U$4:$U$803,$B35&amp;"|"&amp;K$5,'Competency Event Log'!$D$4:$D$803)))</f>
        <v/>
      </c>
      <c r="L35" s="8" t="str">
        <f>IF($B35="","",IF(COUNTIF('Competency Event Log'!$U$4:$U$803,$B35&amp;"|"&amp;L$5)=0,"",SUMIF('Competency Event Log'!$U$4:$U$803,$B35&amp;"|"&amp;L$5,'Competency Event Log'!$D$4:$D$803)))</f>
        <v/>
      </c>
      <c r="M35" s="8" t="str">
        <f>IF($B35="","",IF(COUNTIF('Competency Event Log'!$U$4:$U$803,$B35&amp;"|"&amp;M$5)=0,"",SUMIF('Competency Event Log'!$U$4:$U$803,$B35&amp;"|"&amp;M$5,'Competency Event Log'!$D$4:$D$803)))</f>
        <v/>
      </c>
      <c r="N35" s="8" t="str">
        <f>IF($B35="","",IF(COUNTIF('Competency Event Log'!$U$4:$U$803,$B35&amp;"|"&amp;N$5)=0,"",SUMIF('Competency Event Log'!$U$4:$U$803,$B35&amp;"|"&amp;N$5,'Competency Event Log'!$D$4:$D$803)))</f>
        <v/>
      </c>
      <c r="O35" s="8" t="str">
        <f>IF($B35="","",IF(COUNTIF('Competency Event Log'!$U$4:$U$803,$B35&amp;"|"&amp;O$5)=0,"",SUMIF('Competency Event Log'!$U$4:$U$803,$B35&amp;"|"&amp;O$5,'Competency Event Log'!$D$4:$D$803)))</f>
        <v/>
      </c>
      <c r="P35" s="8" t="str">
        <f>IF($B35="","",IF(COUNTIF('Competency Event Log'!$U$4:$U$803,$B35&amp;"|"&amp;P$5)=0,"",SUMIF('Competency Event Log'!$U$4:$U$803,$B35&amp;"|"&amp;P$5,'Competency Event Log'!$D$4:$D$803)))</f>
        <v/>
      </c>
      <c r="Q35" s="8" t="str">
        <f>IF($B35="","",IF(COUNTIF('Competency Event Log'!$U$4:$U$803,$B35&amp;"|"&amp;Q$5)=0,"",SUMIF('Competency Event Log'!$U$4:$U$803,$B35&amp;"|"&amp;Q$5,'Competency Event Log'!$D$4:$D$803)))</f>
        <v/>
      </c>
      <c r="R35" s="8" t="str">
        <f>IF($B35="","",IF(COUNTIF('Competency Event Log'!$U$4:$U$803,$B35&amp;"|"&amp;R$5)=0,"",SUMIF('Competency Event Log'!$U$4:$U$803,$B35&amp;"|"&amp;R$5,'Competency Event Log'!$D$4:$D$803)))</f>
        <v/>
      </c>
      <c r="S35" s="8" t="str">
        <f>IF($B35="","",IF(COUNTIF('Competency Event Log'!$U$4:$U$803,$B35&amp;"|"&amp;S$5)=0,"",SUMIF('Competency Event Log'!$U$4:$U$803,$B35&amp;"|"&amp;S$5,'Competency Event Log'!$D$4:$D$803)))</f>
        <v/>
      </c>
      <c r="T35" s="8" t="str">
        <f>IF($B35="","",IF(COUNTIF('Competency Event Log'!$U$4:$U$803,$B35&amp;"|"&amp;T$5)=0,"",SUMIF('Competency Event Log'!$U$4:$U$803,$B35&amp;"|"&amp;T$5,'Competency Event Log'!$D$4:$D$803)))</f>
        <v/>
      </c>
      <c r="U35" s="8" t="str">
        <f>IF($B35="","",IF(COUNTIF('Competency Event Log'!$U$4:$U$803,$B35&amp;"|"&amp;U$5)=0,"",SUMIF('Competency Event Log'!$U$4:$U$803,$B35&amp;"|"&amp;U$5,'Competency Event Log'!$D$4:$D$803)))</f>
        <v/>
      </c>
      <c r="V35" s="8" t="str">
        <f>IF($B35="","",IF(COUNTIF('Competency Event Log'!$U$4:$U$803,$B35&amp;"|"&amp;V$5)=0,"",SUMIF('Competency Event Log'!$U$4:$U$803,$B35&amp;"|"&amp;V$5,'Competency Event Log'!$D$4:$D$803)))</f>
        <v/>
      </c>
      <c r="W35" s="8" t="str">
        <f>IF($B35="","",IF(COUNTIF('Competency Event Log'!$U$4:$U$803,$B35&amp;"|"&amp;W$5)=0,"",SUMIF('Competency Event Log'!$U$4:$U$803,$B35&amp;"|"&amp;W$5,'Competency Event Log'!$D$4:$D$803)))</f>
        <v/>
      </c>
      <c r="X35" s="8" t="str">
        <f>IF($B35="","",IF(COUNTIF('Competency Event Log'!$U$4:$U$803,$B35&amp;"|"&amp;X$5)=0,"",SUMIF('Competency Event Log'!$U$4:$U$803,$B35&amp;"|"&amp;X$5,'Competency Event Log'!$D$4:$D$803)))</f>
        <v/>
      </c>
      <c r="Y35" s="8" t="str">
        <f>IF($B35="","",IF(COUNTIF('Competency Event Log'!$U$4:$U$803,$B35&amp;"|"&amp;Y$5)=0,"",SUMIF('Competency Event Log'!$U$4:$U$803,$B35&amp;"|"&amp;Y$5,'Competency Event Log'!$D$4:$D$803)))</f>
        <v/>
      </c>
      <c r="Z35" s="8" t="str">
        <f>IF($B35="","",IF(COUNTIF('Competency Event Log'!$U$4:$U$803,$B35&amp;"|"&amp;Z$5)=0,"",SUMIF('Competency Event Log'!$U$4:$U$803,$B35&amp;"|"&amp;Z$5,'Competency Event Log'!$D$4:$D$803)))</f>
        <v/>
      </c>
      <c r="AA35" s="8" t="str">
        <f>IF($B35="","",IF(COUNTIF('Competency Event Log'!$U$4:$U$803,$B35&amp;"|"&amp;AA$5)=0,"",SUMIF('Competency Event Log'!$U$4:$U$803,$B35&amp;"|"&amp;AA$5,'Competency Event Log'!$D$4:$D$803)))</f>
        <v/>
      </c>
      <c r="AB35" s="8" t="str">
        <f>IF($B35="","",IF(COUNTIF('Competency Event Log'!$U$4:$U$803,$B35&amp;"|"&amp;AB$5)=0,"",SUMIF('Competency Event Log'!$U$4:$U$803,$B35&amp;"|"&amp;AB$5,'Competency Event Log'!$D$4:$D$803)))</f>
        <v/>
      </c>
      <c r="AC35" s="8" t="str">
        <f>IF($B35="","",IF(COUNTIF('Competency Event Log'!$U$4:$U$803,$B35&amp;"|"&amp;AC$5)=0,"",SUMIF('Competency Event Log'!$U$4:$U$803,$B35&amp;"|"&amp;AC$5,'Competency Event Log'!$D$4:$D$803)))</f>
        <v/>
      </c>
      <c r="AD35" s="8" t="str">
        <f>IF($B35="","",IF(COUNTIF('Competency Event Log'!$U$4:$U$803,$B35&amp;"|"&amp;AD$5)=0,"",SUMIF('Competency Event Log'!$U$4:$U$803,$B35&amp;"|"&amp;AD$5,'Competency Event Log'!$D$4:$D$803)))</f>
        <v/>
      </c>
      <c r="AE35" s="8" t="str">
        <f>IF($B35="","",IF(COUNTIF('Competency Event Log'!$U$4:$U$803,$B35&amp;"|"&amp;AE$5)=0,"",SUMIF('Competency Event Log'!$U$4:$U$803,$B35&amp;"|"&amp;AE$5,'Competency Event Log'!$D$4:$D$803)))</f>
        <v/>
      </c>
      <c r="AF35" s="8" t="str">
        <f>IF($B35="","",IF(COUNTIF('Competency Event Log'!$U$4:$U$803,$B35&amp;"|"&amp;AF$5)=0,"",SUMIF('Competency Event Log'!$U$4:$U$803,$B35&amp;"|"&amp;AF$5,'Competency Event Log'!$D$4:$D$803)))</f>
        <v/>
      </c>
      <c r="AG35" s="8" t="str">
        <f>IF($B35="","",IF(COUNTIF('Competency Event Log'!$U$4:$U$803,$B35&amp;"|"&amp;AG$5)=0,"",SUMIF('Competency Event Log'!$U$4:$U$803,$B35&amp;"|"&amp;AG$5,'Competency Event Log'!$D$4:$D$803)))</f>
        <v/>
      </c>
      <c r="AH35" s="8" t="str">
        <f>IF($B35="","",IF(COUNTIF('Competency Event Log'!$U$4:$U$803,$B35&amp;"|"&amp;AH$5)=0,"",SUMIF('Competency Event Log'!$U$4:$U$803,$B35&amp;"|"&amp;AH$5,'Competency Event Log'!$D$4:$D$803)))</f>
        <v/>
      </c>
      <c r="AI35" s="8" t="str">
        <f>IF($B35="","",IF(COUNTIF('Competency Event Log'!$U$4:$U$803,$B35&amp;"|"&amp;AI$5)=0,"",SUMIF('Competency Event Log'!$U$4:$U$803,$B35&amp;"|"&amp;AI$5,'Competency Event Log'!$D$4:$D$803)))</f>
        <v/>
      </c>
      <c r="AJ35" s="8" t="str">
        <f>IF($B35="","",IF(COUNTIF('Competency Event Log'!$U$4:$U$803,$B35&amp;"|"&amp;AJ$5)=0,"",SUMIF('Competency Event Log'!$U$4:$U$803,$B35&amp;"|"&amp;AJ$5,'Competency Event Log'!$D$4:$D$803)))</f>
        <v/>
      </c>
      <c r="AK35" s="8" t="str">
        <f>IF($B35="","",IF(COUNTIF('Competency Event Log'!$U$4:$U$803,$B35&amp;"|"&amp;AK$5)=0,"",SUMIF('Competency Event Log'!$U$4:$U$803,$B35&amp;"|"&amp;AK$5,'Competency Event Log'!$D$4:$D$803)))</f>
        <v/>
      </c>
      <c r="AL35" s="8" t="str">
        <f>IF($B35="","",IF(COUNTIF('Competency Event Log'!$U$4:$U$803,$B35&amp;"|"&amp;AL$5)=0,"",SUMIF('Competency Event Log'!$U$4:$U$803,$B35&amp;"|"&amp;AL$5,'Competency Event Log'!$D$4:$D$803)))</f>
        <v/>
      </c>
      <c r="AM35" s="8" t="str">
        <f>IF($B35="","",IF(COUNTIF('Competency Event Log'!$U$4:$U$803,$B35&amp;"|"&amp;AM$5)=0,"",SUMIF('Competency Event Log'!$U$4:$U$803,$B35&amp;"|"&amp;AM$5,'Competency Event Log'!$D$4:$D$803)))</f>
        <v/>
      </c>
      <c r="AN35" s="8" t="str">
        <f>IF($B35="","",IF(COUNTIF('Competency Event Log'!$U$4:$U$803,$B35&amp;"|"&amp;AN$5)=0,"",SUMIF('Competency Event Log'!$U$4:$U$803,$B35&amp;"|"&amp;AN$5,'Competency Event Log'!$D$4:$D$803)))</f>
        <v/>
      </c>
      <c r="AO35" s="8" t="str">
        <f>IF($B35="","",IF(COUNTIF('Competency Event Log'!$U$4:$U$803,$B35&amp;"|"&amp;AO$5)=0,"",SUMIF('Competency Event Log'!$U$4:$U$803,$B35&amp;"|"&amp;AO$5,'Competency Event Log'!$D$4:$D$803)))</f>
        <v/>
      </c>
      <c r="AP35" s="8" t="str">
        <f>IF($B35="","",IF(COUNTIF('Competency Event Log'!$U$4:$U$803,$B35&amp;"|"&amp;AP$5)=0,"",SUMIF('Competency Event Log'!$U$4:$U$803,$B35&amp;"|"&amp;AP$5,'Competency Event Log'!$D$4:$D$803)))</f>
        <v/>
      </c>
      <c r="AQ35" s="8" t="str">
        <f>IF($B35="","",IF(COUNTIF('Competency Event Log'!$U$4:$U$803,$B35&amp;"|"&amp;AQ$5)=0,"",SUMIF('Competency Event Log'!$U$4:$U$803,$B35&amp;"|"&amp;AQ$5,'Competency Event Log'!$D$4:$D$803)))</f>
        <v/>
      </c>
      <c r="AR35" s="8" t="str">
        <f>IF($B35="","",IF(COUNTIF('Competency Event Log'!$U$4:$U$803,$B35&amp;"|"&amp;AR$5)=0,"",SUMIF('Competency Event Log'!$U$4:$U$803,$B35&amp;"|"&amp;AR$5,'Competency Event Log'!$D$4:$D$803)))</f>
        <v/>
      </c>
      <c r="AS35" s="8" t="str">
        <f>IF($B35="","",IF(COUNTIF('Competency Event Log'!$U$4:$U$803,$B35&amp;"|"&amp;AS$5)=0,"",SUMIF('Competency Event Log'!$U$4:$U$803,$B35&amp;"|"&amp;AS$5,'Competency Event Log'!$D$4:$D$803)))</f>
        <v/>
      </c>
      <c r="AT35" s="8" t="str">
        <f>IF($B35="","",IF(COUNTIF('Competency Event Log'!$U$4:$U$803,$B35&amp;"|"&amp;AT$5)=0,"",SUMIF('Competency Event Log'!$U$4:$U$803,$B35&amp;"|"&amp;AT$5,'Competency Event Log'!$D$4:$D$803)))</f>
        <v/>
      </c>
      <c r="AU35" s="8" t="str">
        <f>IF($B35="","",IF(COUNTIF('Competency Event Log'!$U$4:$U$803,$B35&amp;"|"&amp;AU$5)=0,"",SUMIF('Competency Event Log'!$U$4:$U$803,$B35&amp;"|"&amp;AU$5,'Competency Event Log'!$D$4:$D$803)))</f>
        <v/>
      </c>
      <c r="AV35" s="8" t="str">
        <f>IF($B35="","",IF(COUNTIF('Competency Event Log'!$U$4:$U$803,$B35&amp;"|"&amp;AV$5)=0,"",SUMIF('Competency Event Log'!$U$4:$U$803,$B35&amp;"|"&amp;AV$5,'Competency Event Log'!$D$4:$D$803)))</f>
        <v/>
      </c>
      <c r="AW35" s="8" t="str">
        <f>IF($B35="","",IF(COUNTIF('Competency Event Log'!$U$4:$U$803,$B35&amp;"|"&amp;AW$5)=0,"",SUMIF('Competency Event Log'!$U$4:$U$803,$B35&amp;"|"&amp;AW$5,'Competency Event Log'!$D$4:$D$803)))</f>
        <v/>
      </c>
      <c r="AX35" s="8" t="str">
        <f>IF($B35="","",IF(COUNTIF('Competency Event Log'!$U$4:$U$803,$B35&amp;"|"&amp;AX$5)=0,"",SUMIF('Competency Event Log'!$U$4:$U$803,$B35&amp;"|"&amp;AX$5,'Competency Event Log'!$D$4:$D$803)))</f>
        <v/>
      </c>
      <c r="AY35" s="8" t="str">
        <f>IF($B35="","",IF(COUNTIF('Competency Event Log'!$U$4:$U$803,$B35&amp;"|"&amp;AY$5)=0,"",SUMIF('Competency Event Log'!$U$4:$U$803,$B35&amp;"|"&amp;AY$5,'Competency Event Log'!$D$4:$D$803)))</f>
        <v/>
      </c>
      <c r="AZ35" s="8" t="str">
        <f>IF($B35="","",IF(COUNTIF('Competency Event Log'!$U$4:$U$803,$B35&amp;"|"&amp;AZ$5)=0,"",SUMIF('Competency Event Log'!$U$4:$U$803,$B35&amp;"|"&amp;AZ$5,'Competency Event Log'!$D$4:$D$803)))</f>
        <v/>
      </c>
      <c r="BA35" s="8" t="str">
        <f>IF($B35="","",IF(COUNTIF('Competency Event Log'!$U$4:$U$803,$B35&amp;"|"&amp;BA$5)=0,"",SUMIF('Competency Event Log'!$U$4:$U$803,$B35&amp;"|"&amp;BA$5,'Competency Event Log'!$D$4:$D$803)))</f>
        <v/>
      </c>
      <c r="BB35" s="8">
        <f>IF($B35="","",IF(COUNTIF('Competency Event Log'!$U$4:$U$803,$B35&amp;"|"&amp;BB$5)=0,"",SUMIF('Competency Event Log'!$U$4:$U$803,$B35&amp;"|"&amp;BB$5,'Competency Event Log'!$D$4:$D$803)))</f>
        <v>2</v>
      </c>
      <c r="BC35" s="8">
        <f>IF($B35="","",IF(COUNTIF('Competency Event Log'!$U$4:$U$803,$B35&amp;"|"&amp;BC$5)=0,"",SUMIF('Competency Event Log'!$U$4:$U$803,$B35&amp;"|"&amp;BC$5,'Competency Event Log'!$D$4:$D$803)))</f>
        <v>3</v>
      </c>
      <c r="BD35" s="8">
        <f>IF($B35="","",IF(COUNTIF('Competency Event Log'!$U$4:$U$803,$B35&amp;"|"&amp;BD$5)=0,"",SUMIF('Competency Event Log'!$U$4:$U$803,$B35&amp;"|"&amp;BD$5,'Competency Event Log'!$D$4:$D$803)))</f>
        <v>3</v>
      </c>
      <c r="BE35" s="8">
        <f>IF($B35="","",IF(COUNTIF('Competency Event Log'!$U$4:$U$803,$B35&amp;"|"&amp;BE$5)=0,"",SUMIF('Competency Event Log'!$U$4:$U$803,$B35&amp;"|"&amp;BE$5,'Competency Event Log'!$D$4:$D$803)))</f>
        <v>1</v>
      </c>
      <c r="BF35" s="8">
        <f>IF($B35="","",IF(COUNTIF('Competency Event Log'!$U$4:$U$803,$B35&amp;"|"&amp;BF$5)=0,"",SUMIF('Competency Event Log'!$U$4:$U$803,$B35&amp;"|"&amp;BF$5,'Competency Event Log'!$D$4:$D$803)))</f>
        <v>3</v>
      </c>
      <c r="BG35" s="8" t="str">
        <f>IF($B35="","",IF(COUNTIF('Competency Event Log'!$U$4:$U$803,$B35&amp;"|"&amp;BG$5)=0,"",SUMIF('Competency Event Log'!$U$4:$U$803,$B35&amp;"|"&amp;BG$5,'Competency Event Log'!$D$4:$D$803)))</f>
        <v/>
      </c>
      <c r="BH35" s="8" t="str">
        <f>IF($B35="","",IF(COUNTIF('Competency Event Log'!$U$4:$U$803,$B35&amp;"|"&amp;BH$5)=0,"",SUMIF('Competency Event Log'!$U$4:$U$803,$B35&amp;"|"&amp;BH$5,'Competency Event Log'!$D$4:$D$803)))</f>
        <v/>
      </c>
      <c r="BI35" s="8" t="str">
        <f>IF($B35="","",IF(COUNTIF('Competency Event Log'!$U$4:$U$803,$B35&amp;"|"&amp;BI$5)=0,"",SUMIF('Competency Event Log'!$U$4:$U$803,$B35&amp;"|"&amp;BI$5,'Competency Event Log'!$D$4:$D$803)))</f>
        <v/>
      </c>
      <c r="BJ35" s="8" t="str">
        <f>IF($B35="","",IF(COUNTIF('Competency Event Log'!$U$4:$U$803,$B35&amp;"|"&amp;BJ$5)=0,"",SUMIF('Competency Event Log'!$U$4:$U$803,$B35&amp;"|"&amp;BJ$5,'Competency Event Log'!$D$4:$D$803)))</f>
        <v/>
      </c>
      <c r="BK35" s="8" t="str">
        <f>IF($B35="","",IF(COUNTIF('Competency Event Log'!$U$4:$U$803,$B35&amp;"|"&amp;BK$5)=0,"",SUMIF('Competency Event Log'!$U$4:$U$803,$B35&amp;"|"&amp;BK$5,'Competency Event Log'!$D$4:$D$803)))</f>
        <v/>
      </c>
      <c r="BL35" s="8" t="str">
        <f>IF($B35="","",IF(COUNTIF('Competency Event Log'!$U$4:$U$803,$B35&amp;"|"&amp;BL$5)=0,"",SUMIF('Competency Event Log'!$U$4:$U$803,$B35&amp;"|"&amp;BL$5,'Competency Event Log'!$D$4:$D$803)))</f>
        <v/>
      </c>
      <c r="BM35" s="8" t="str">
        <f>IF($B35="","",IF(COUNTIF('Competency Event Log'!$U$4:$U$803,$B35&amp;"|"&amp;BM$5)=0,"",SUMIF('Competency Event Log'!$U$4:$U$803,$B35&amp;"|"&amp;BM$5,'Competency Event Log'!$D$4:$D$803)))</f>
        <v/>
      </c>
      <c r="BN35" s="8" t="str">
        <f>IF($B35="","",IF(COUNTIF('Competency Event Log'!$U$4:$U$803,$B35&amp;"|"&amp;BN$5)=0,"",SUMIF('Competency Event Log'!$U$4:$U$803,$B35&amp;"|"&amp;BN$5,'Competency Event Log'!$D$4:$D$803)))</f>
        <v/>
      </c>
      <c r="BO35" s="8" t="str">
        <f>IF($B35="","",IF(COUNTIF('Competency Event Log'!$U$4:$U$803,$B35&amp;"|"&amp;BO$5)=0,"",SUMIF('Competency Event Log'!$U$4:$U$803,$B35&amp;"|"&amp;BO$5,'Competency Event Log'!$D$4:$D$803)))</f>
        <v/>
      </c>
      <c r="BP35" s="8" t="str">
        <f>IF($B35="","",IF(COUNTIF('Competency Event Log'!$U$4:$U$803,$B35&amp;"|"&amp;BP$5)=0,"",SUMIF('Competency Event Log'!$U$4:$U$803,$B35&amp;"|"&amp;BP$5,'Competency Event Log'!$D$4:$D$803)))</f>
        <v/>
      </c>
      <c r="BQ35" s="8" t="str">
        <f>IF($B35="","",IF(COUNTIF('Competency Event Log'!$U$4:$U$803,$B35&amp;"|"&amp;BQ$5)=0,"",SUMIF('Competency Event Log'!$U$4:$U$803,$B35&amp;"|"&amp;BQ$5,'Competency Event Log'!$D$4:$D$803)))</f>
        <v/>
      </c>
      <c r="BR35" s="8" t="str">
        <f>IF($B35="","",IF(COUNTIF('Competency Event Log'!$U$4:$U$803,$B35&amp;"|"&amp;BR$5)=0,"",SUMIF('Competency Event Log'!$U$4:$U$803,$B35&amp;"|"&amp;BR$5,'Competency Event Log'!$D$4:$D$803)))</f>
        <v/>
      </c>
      <c r="BS35" s="8" t="str">
        <f>IF($B35="","",IF(COUNTIF('Competency Event Log'!$U$4:$U$803,$B35&amp;"|"&amp;BS$5)=0,"",SUMIF('Competency Event Log'!$U$4:$U$803,$B35&amp;"|"&amp;BS$5,'Competency Event Log'!$D$4:$D$803)))</f>
        <v/>
      </c>
      <c r="BT35" s="8" t="str">
        <f>IF($B35="","",IF(COUNTIF('Competency Event Log'!$U$4:$U$803,$B35&amp;"|"&amp;BT$5)=0,"",SUMIF('Competency Event Log'!$U$4:$U$803,$B35&amp;"|"&amp;BT$5,'Competency Event Log'!$D$4:$D$803)))</f>
        <v/>
      </c>
      <c r="BU35" s="8" t="str">
        <f>IF($B35="","",IF(COUNTIF('Competency Event Log'!$U$4:$U$803,$B35&amp;"|"&amp;BU$5)=0,"",SUMIF('Competency Event Log'!$U$4:$U$803,$B35&amp;"|"&amp;BU$5,'Competency Event Log'!$D$4:$D$803)))</f>
        <v/>
      </c>
      <c r="BV35" s="8" t="str">
        <f>IF($B35="","",IF(COUNTIF('Competency Event Log'!$U$4:$U$803,$B35&amp;"|"&amp;BV$5)=0,"",SUMIF('Competency Event Log'!$U$4:$U$803,$B35&amp;"|"&amp;BV$5,'Competency Event Log'!$D$4:$D$803)))</f>
        <v/>
      </c>
      <c r="BW35" s="8" t="str">
        <f>IF($B35="","",IF(COUNTIF('Competency Event Log'!$U$4:$U$803,$B35&amp;"|"&amp;BW$5)=0,"",SUMIF('Competency Event Log'!$U$4:$U$803,$B35&amp;"|"&amp;BW$5,'Competency Event Log'!$D$4:$D$803)))</f>
        <v/>
      </c>
      <c r="BX35" s="8" t="str">
        <f>IF($B35="","",IF(COUNTIF('Competency Event Log'!$U$4:$U$803,$B35&amp;"|"&amp;BX$5)=0,"",SUMIF('Competency Event Log'!$U$4:$U$803,$B35&amp;"|"&amp;BX$5,'Competency Event Log'!$D$4:$D$803)))</f>
        <v/>
      </c>
      <c r="BY35" s="8" t="str">
        <f>IF($B35="","",IF(COUNTIF('Competency Event Log'!$U$4:$U$803,$B35&amp;"|"&amp;BY$5)=0,"",SUMIF('Competency Event Log'!$U$4:$U$803,$B35&amp;"|"&amp;BY$5,'Competency Event Log'!$D$4:$D$803)))</f>
        <v/>
      </c>
      <c r="BZ35" s="8" t="str">
        <f>IF($B35="","",IF(COUNTIF('Competency Event Log'!$U$4:$U$803,$B35&amp;"|"&amp;BZ$5)=0,"",SUMIF('Competency Event Log'!$U$4:$U$803,$B35&amp;"|"&amp;BZ$5,'Competency Event Log'!$D$4:$D$803)))</f>
        <v/>
      </c>
      <c r="CA35" s="8" t="str">
        <f>IF($B35="","",IF(COUNTIF('Competency Event Log'!$U$4:$U$803,$B35&amp;"|"&amp;CA$5)=0,"",SUMIF('Competency Event Log'!$U$4:$U$803,$B35&amp;"|"&amp;CA$5,'Competency Event Log'!$D$4:$D$803)))</f>
        <v/>
      </c>
      <c r="CB35" s="8" t="str">
        <f>IF($B35="","",IF(COUNTIF('Competency Event Log'!$U$4:$U$803,$B35&amp;"|"&amp;CB$5)=0,"",SUMIF('Competency Event Log'!$U$4:$U$803,$B35&amp;"|"&amp;CB$5,'Competency Event Log'!$D$4:$D$803)))</f>
        <v/>
      </c>
      <c r="CC35" s="8" t="str">
        <f>IF($B35="","",IF(COUNTIF('Competency Event Log'!$U$4:$U$803,$B35&amp;"|"&amp;CC$5)=0,"",SUMIF('Competency Event Log'!$U$4:$U$803,$B35&amp;"|"&amp;CC$5,'Competency Event Log'!$D$4:$D$803)))</f>
        <v/>
      </c>
      <c r="CD35" s="8" t="str">
        <f>IF($B35="","",IF(COUNTIF('Competency Event Log'!$U$4:$U$803,$B35&amp;"|"&amp;CD$5)=0,"",SUMIF('Competency Event Log'!$U$4:$U$803,$B35&amp;"|"&amp;CD$5,'Competency Event Log'!$D$4:$D$803)))</f>
        <v/>
      </c>
      <c r="CE35" s="8" t="str">
        <f>IF($B35="","",IF(COUNTIF('Competency Event Log'!$U$4:$U$803,$B35&amp;"|"&amp;CE$5)=0,"",SUMIF('Competency Event Log'!$U$4:$U$803,$B35&amp;"|"&amp;CE$5,'Competency Event Log'!$D$4:$D$803)))</f>
        <v/>
      </c>
      <c r="CF35" s="8" t="str">
        <f>IF($B35="","",IF(COUNTIF('Competency Event Log'!$U$4:$U$803,$B35&amp;"|"&amp;CF$5)=0,"",SUMIF('Competency Event Log'!$U$4:$U$803,$B35&amp;"|"&amp;CF$5,'Competency Event Log'!$D$4:$D$803)))</f>
        <v/>
      </c>
      <c r="CG35" s="8" t="str">
        <f>IF($B35="","",IF(COUNTIF('Competency Event Log'!$U$4:$U$803,$B35&amp;"|"&amp;CG$5)=0,"",SUMIF('Competency Event Log'!$U$4:$U$803,$B35&amp;"|"&amp;CG$5,'Competency Event Log'!$D$4:$D$803)))</f>
        <v/>
      </c>
      <c r="CH35" s="8" t="str">
        <f>IF($B35="","",IF(COUNTIF('Competency Event Log'!$U$4:$U$803,$B35&amp;"|"&amp;CH$5)=0,"",SUMIF('Competency Event Log'!$U$4:$U$803,$B35&amp;"|"&amp;CH$5,'Competency Event Log'!$D$4:$D$803)))</f>
        <v/>
      </c>
      <c r="CI35" s="8" t="str">
        <f>IF($B35="","",IF(COUNTIF('Competency Event Log'!$U$4:$U$803,$B35&amp;"|"&amp;CI$5)=0,"",SUMIF('Competency Event Log'!$U$4:$U$803,$B35&amp;"|"&amp;CI$5,'Competency Event Log'!$D$4:$D$803)))</f>
        <v/>
      </c>
      <c r="CJ35" s="8" t="str">
        <f>IF($B35="","",IF(COUNTIF('Competency Event Log'!$U$4:$U$803,$B35&amp;"|"&amp;CJ$5)=0,"",SUMIF('Competency Event Log'!$U$4:$U$803,$B35&amp;"|"&amp;CJ$5,'Competency Event Log'!$D$4:$D$803)))</f>
        <v/>
      </c>
      <c r="CK35" s="8" t="str">
        <f>IF($B35="","",IF(COUNTIF('Competency Event Log'!$U$4:$U$803,$B35&amp;"|"&amp;CK$5)=0,"",SUMIF('Competency Event Log'!$U$4:$U$803,$B35&amp;"|"&amp;CK$5,'Competency Event Log'!$D$4:$D$803)))</f>
        <v/>
      </c>
      <c r="CL35" s="8" t="str">
        <f>IF($B35="","",IF(COUNTIF('Competency Event Log'!$U$4:$U$803,$B35&amp;"|"&amp;CL$5)=0,"",SUMIF('Competency Event Log'!$U$4:$U$803,$B35&amp;"|"&amp;CL$5,'Competency Event Log'!$D$4:$D$803)))</f>
        <v/>
      </c>
      <c r="CM35" s="8" t="str">
        <f>IF($B35="","",IF(COUNTIF('Competency Event Log'!$U$4:$U$803,$B35&amp;"|"&amp;CM$5)=0,"",SUMIF('Competency Event Log'!$U$4:$U$803,$B35&amp;"|"&amp;CM$5,'Competency Event Log'!$D$4:$D$803)))</f>
        <v/>
      </c>
      <c r="CN35" s="8" t="str">
        <f>IF($B35="","",IF(COUNTIF('Competency Event Log'!$U$4:$U$803,$B35&amp;"|"&amp;CN$5)=0,"",SUMIF('Competency Event Log'!$U$4:$U$803,$B35&amp;"|"&amp;CN$5,'Competency Event Log'!$D$4:$D$803)))</f>
        <v/>
      </c>
      <c r="CO35" s="8" t="str">
        <f>IF($B35="","",IF(COUNTIF('Competency Event Log'!$U$4:$U$803,$B35&amp;"|"&amp;CO$5)=0,"",SUMIF('Competency Event Log'!$U$4:$U$803,$B35&amp;"|"&amp;CO$5,'Competency Event Log'!$D$4:$D$803)))</f>
        <v/>
      </c>
      <c r="CP35" s="8" t="str">
        <f>IF($B35="","",IF(COUNTIF('Competency Event Log'!$U$4:$U$803,$B35&amp;"|"&amp;CP$5)=0,"",SUMIF('Competency Event Log'!$U$4:$U$803,$B35&amp;"|"&amp;CP$5,'Competency Event Log'!$D$4:$D$803)))</f>
        <v/>
      </c>
      <c r="CQ35" s="8" t="str">
        <f>IF($B35="","",IF(COUNTIF('Competency Event Log'!$U$4:$U$803,$B35&amp;"|"&amp;CQ$5)=0,"",SUMIF('Competency Event Log'!$U$4:$U$803,$B35&amp;"|"&amp;CQ$5,'Competency Event Log'!$D$4:$D$803)))</f>
        <v/>
      </c>
      <c r="CR35" s="8" t="str">
        <f>IF($B35="","",IF(COUNTIF('Competency Event Log'!$U$4:$U$803,$B35&amp;"|"&amp;CR$5)=0,"",SUMIF('Competency Event Log'!$U$4:$U$803,$B35&amp;"|"&amp;CR$5,'Competency Event Log'!$D$4:$D$803)))</f>
        <v/>
      </c>
      <c r="CS35" s="8" t="str">
        <f>IF($B35="","",IF(COUNTIF('Competency Event Log'!$U$4:$U$803,$B35&amp;"|"&amp;CS$5)=0,"",SUMIF('Competency Event Log'!$U$4:$U$803,$B35&amp;"|"&amp;CS$5,'Competency Event Log'!$D$4:$D$803)))</f>
        <v/>
      </c>
      <c r="CT35" s="8" t="str">
        <f>IF($B35="","",IF(COUNTIF('Competency Event Log'!$U$4:$U$803,$B35&amp;"|"&amp;CT$5)=0,"",SUMIF('Competency Event Log'!$U$4:$U$803,$B35&amp;"|"&amp;CT$5,'Competency Event Log'!$D$4:$D$803)))</f>
        <v/>
      </c>
      <c r="CU35" s="8" t="str">
        <f>IF($B35="","",IF(COUNTIF('Competency Event Log'!$U$4:$U$803,$B35&amp;"|"&amp;CU$5)=0,"",SUMIF('Competency Event Log'!$U$4:$U$803,$B35&amp;"|"&amp;CU$5,'Competency Event Log'!$D$4:$D$803)))</f>
        <v/>
      </c>
      <c r="CV35" s="8" t="str">
        <f>IF($B35="","",IF(COUNTIF('Competency Event Log'!$U$4:$U$803,$B35&amp;"|"&amp;CV$5)=0,"",SUMIF('Competency Event Log'!$U$4:$U$803,$B35&amp;"|"&amp;CV$5,'Competency Event Log'!$D$4:$D$803)))</f>
        <v/>
      </c>
      <c r="CW35" s="8" t="str">
        <f>IF($B35="","",IF(COUNTIF('Competency Event Log'!$U$4:$U$803,$B35&amp;"|"&amp;CW$5)=0,"",SUMIF('Competency Event Log'!$U$4:$U$803,$B35&amp;"|"&amp;CW$5,'Competency Event Log'!$D$4:$D$803)))</f>
        <v/>
      </c>
      <c r="CX35" s="8" t="str">
        <f>IF($B35="","",IF(COUNTIF('Competency Event Log'!$U$4:$U$803,$B35&amp;"|"&amp;CX$5)=0,"",SUMIF('Competency Event Log'!$U$4:$U$803,$B35&amp;"|"&amp;CX$5,'Competency Event Log'!$D$4:$D$803)))</f>
        <v/>
      </c>
      <c r="CY35" s="8" t="str">
        <f>IF($B35="","",IF(COUNTIF('Competency Event Log'!$U$4:$U$803,$B35&amp;"|"&amp;CY$5)=0,"",SUMIF('Competency Event Log'!$U$4:$U$803,$B35&amp;"|"&amp;CY$5,'Competency Event Log'!$D$4:$D$803)))</f>
        <v/>
      </c>
      <c r="CZ35" s="8" t="str">
        <f>IF($B35="","",IF(COUNTIF('Competency Event Log'!$U$4:$U$803,$B35&amp;"|"&amp;CZ$5)=0,"",SUMIF('Competency Event Log'!$U$4:$U$803,$B35&amp;"|"&amp;CZ$5,'Competency Event Log'!$D$4:$D$803)))</f>
        <v/>
      </c>
      <c r="DA35" s="8" t="str">
        <f>IF($B35="","",IF(COUNTIF('Competency Event Log'!$U$4:$U$803,$B35&amp;"|"&amp;DA$5)=0,"",SUMIF('Competency Event Log'!$U$4:$U$803,$B35&amp;"|"&amp;DA$5,'Competency Event Log'!$D$4:$D$803)))</f>
        <v/>
      </c>
      <c r="DB35" s="8" t="str">
        <f>IF($B35="","",IF(COUNTIF('Competency Event Log'!$U$4:$U$803,$B35&amp;"|"&amp;DB$5)=0,"",SUMIF('Competency Event Log'!$U$4:$U$803,$B35&amp;"|"&amp;DB$5,'Competency Event Log'!$D$4:$D$803)))</f>
        <v/>
      </c>
      <c r="DC35" s="8" t="str">
        <f>IF($B35="","",IF(COUNTIF('Competency Event Log'!$U$4:$U$803,$B35&amp;"|"&amp;DC$5)=0,"",SUMIF('Competency Event Log'!$U$4:$U$803,$B35&amp;"|"&amp;DC$5,'Competency Event Log'!$D$4:$D$803)))</f>
        <v/>
      </c>
      <c r="DD35" s="8" t="str">
        <f>IF($B35="","",IF(COUNTIF('Competency Event Log'!$U$4:$U$803,$B35&amp;"|"&amp;DD$5)=0,"",SUMIF('Competency Event Log'!$U$4:$U$803,$B35&amp;"|"&amp;DD$5,'Competency Event Log'!$D$4:$D$803)))</f>
        <v/>
      </c>
      <c r="DE35" s="8" t="str">
        <f>IF($B35="","",IF(COUNTIF('Competency Event Log'!$U$4:$U$803,$B35&amp;"|"&amp;DE$5)=0,"",SUMIF('Competency Event Log'!$U$4:$U$803,$B35&amp;"|"&amp;DE$5,'Competency Event Log'!$D$4:$D$803)))</f>
        <v/>
      </c>
      <c r="DF35" s="8">
        <f t="shared" si="0"/>
        <v>12</v>
      </c>
      <c r="DG35" s="8">
        <f t="shared" si="1"/>
        <v>5</v>
      </c>
      <c r="DH35" s="8">
        <f t="shared" si="2"/>
        <v>3</v>
      </c>
      <c r="DI35" s="11">
        <f t="shared" si="3"/>
        <v>0.66666666666666663</v>
      </c>
    </row>
    <row r="36" spans="1:113">
      <c r="A36" s="7" t="s">
        <v>309</v>
      </c>
      <c r="B36" s="7" t="s">
        <v>137</v>
      </c>
      <c r="C36" s="8">
        <v>1</v>
      </c>
      <c r="D36" s="9" t="s">
        <v>1049</v>
      </c>
      <c r="E36" s="10">
        <v>45621</v>
      </c>
      <c r="F36" s="8" t="s">
        <v>1047</v>
      </c>
      <c r="G36" s="8" t="str">
        <f>IF($B36="","",IF(COUNTIF('Competency Event Log'!$U$4:$U$803,$B36&amp;"|"&amp;G$5)=0,"",SUMIF('Competency Event Log'!$U$4:$U$803,$B36&amp;"|"&amp;G$5,'Competency Event Log'!$D$4:$D$803)))</f>
        <v/>
      </c>
      <c r="H36" s="8" t="str">
        <f>IF($B36="","",IF(COUNTIF('Competency Event Log'!$U$4:$U$803,$B36&amp;"|"&amp;H$5)=0,"",SUMIF('Competency Event Log'!$U$4:$U$803,$B36&amp;"|"&amp;H$5,'Competency Event Log'!$D$4:$D$803)))</f>
        <v/>
      </c>
      <c r="I36" s="8" t="str">
        <f>IF($B36="","",IF(COUNTIF('Competency Event Log'!$U$4:$U$803,$B36&amp;"|"&amp;I$5)=0,"",SUMIF('Competency Event Log'!$U$4:$U$803,$B36&amp;"|"&amp;I$5,'Competency Event Log'!$D$4:$D$803)))</f>
        <v/>
      </c>
      <c r="J36" s="8" t="str">
        <f>IF($B36="","",IF(COUNTIF('Competency Event Log'!$U$4:$U$803,$B36&amp;"|"&amp;J$5)=0,"",SUMIF('Competency Event Log'!$U$4:$U$803,$B36&amp;"|"&amp;J$5,'Competency Event Log'!$D$4:$D$803)))</f>
        <v/>
      </c>
      <c r="K36" s="8" t="str">
        <f>IF($B36="","",IF(COUNTIF('Competency Event Log'!$U$4:$U$803,$B36&amp;"|"&amp;K$5)=0,"",SUMIF('Competency Event Log'!$U$4:$U$803,$B36&amp;"|"&amp;K$5,'Competency Event Log'!$D$4:$D$803)))</f>
        <v/>
      </c>
      <c r="L36" s="8" t="str">
        <f>IF($B36="","",IF(COUNTIF('Competency Event Log'!$U$4:$U$803,$B36&amp;"|"&amp;L$5)=0,"",SUMIF('Competency Event Log'!$U$4:$U$803,$B36&amp;"|"&amp;L$5,'Competency Event Log'!$D$4:$D$803)))</f>
        <v/>
      </c>
      <c r="M36" s="8" t="str">
        <f>IF($B36="","",IF(COUNTIF('Competency Event Log'!$U$4:$U$803,$B36&amp;"|"&amp;M$5)=0,"",SUMIF('Competency Event Log'!$U$4:$U$803,$B36&amp;"|"&amp;M$5,'Competency Event Log'!$D$4:$D$803)))</f>
        <v/>
      </c>
      <c r="N36" s="8" t="str">
        <f>IF($B36="","",IF(COUNTIF('Competency Event Log'!$U$4:$U$803,$B36&amp;"|"&amp;N$5)=0,"",SUMIF('Competency Event Log'!$U$4:$U$803,$B36&amp;"|"&amp;N$5,'Competency Event Log'!$D$4:$D$803)))</f>
        <v/>
      </c>
      <c r="O36" s="8" t="str">
        <f>IF($B36="","",IF(COUNTIF('Competency Event Log'!$U$4:$U$803,$B36&amp;"|"&amp;O$5)=0,"",SUMIF('Competency Event Log'!$U$4:$U$803,$B36&amp;"|"&amp;O$5,'Competency Event Log'!$D$4:$D$803)))</f>
        <v/>
      </c>
      <c r="P36" s="8" t="str">
        <f>IF($B36="","",IF(COUNTIF('Competency Event Log'!$U$4:$U$803,$B36&amp;"|"&amp;P$5)=0,"",SUMIF('Competency Event Log'!$U$4:$U$803,$B36&amp;"|"&amp;P$5,'Competency Event Log'!$D$4:$D$803)))</f>
        <v/>
      </c>
      <c r="Q36" s="8" t="str">
        <f>IF($B36="","",IF(COUNTIF('Competency Event Log'!$U$4:$U$803,$B36&amp;"|"&amp;Q$5)=0,"",SUMIF('Competency Event Log'!$U$4:$U$803,$B36&amp;"|"&amp;Q$5,'Competency Event Log'!$D$4:$D$803)))</f>
        <v/>
      </c>
      <c r="R36" s="8" t="str">
        <f>IF($B36="","",IF(COUNTIF('Competency Event Log'!$U$4:$U$803,$B36&amp;"|"&amp;R$5)=0,"",SUMIF('Competency Event Log'!$U$4:$U$803,$B36&amp;"|"&amp;R$5,'Competency Event Log'!$D$4:$D$803)))</f>
        <v/>
      </c>
      <c r="S36" s="8" t="str">
        <f>IF($B36="","",IF(COUNTIF('Competency Event Log'!$U$4:$U$803,$B36&amp;"|"&amp;S$5)=0,"",SUMIF('Competency Event Log'!$U$4:$U$803,$B36&amp;"|"&amp;S$5,'Competency Event Log'!$D$4:$D$803)))</f>
        <v/>
      </c>
      <c r="T36" s="8" t="str">
        <f>IF($B36="","",IF(COUNTIF('Competency Event Log'!$U$4:$U$803,$B36&amp;"|"&amp;T$5)=0,"",SUMIF('Competency Event Log'!$U$4:$U$803,$B36&amp;"|"&amp;T$5,'Competency Event Log'!$D$4:$D$803)))</f>
        <v/>
      </c>
      <c r="U36" s="8" t="str">
        <f>IF($B36="","",IF(COUNTIF('Competency Event Log'!$U$4:$U$803,$B36&amp;"|"&amp;U$5)=0,"",SUMIF('Competency Event Log'!$U$4:$U$803,$B36&amp;"|"&amp;U$5,'Competency Event Log'!$D$4:$D$803)))</f>
        <v/>
      </c>
      <c r="V36" s="8" t="str">
        <f>IF($B36="","",IF(COUNTIF('Competency Event Log'!$U$4:$U$803,$B36&amp;"|"&amp;V$5)=0,"",SUMIF('Competency Event Log'!$U$4:$U$803,$B36&amp;"|"&amp;V$5,'Competency Event Log'!$D$4:$D$803)))</f>
        <v/>
      </c>
      <c r="W36" s="8" t="str">
        <f>IF($B36="","",IF(COUNTIF('Competency Event Log'!$U$4:$U$803,$B36&amp;"|"&amp;W$5)=0,"",SUMIF('Competency Event Log'!$U$4:$U$803,$B36&amp;"|"&amp;W$5,'Competency Event Log'!$D$4:$D$803)))</f>
        <v/>
      </c>
      <c r="X36" s="8" t="str">
        <f>IF($B36="","",IF(COUNTIF('Competency Event Log'!$U$4:$U$803,$B36&amp;"|"&amp;X$5)=0,"",SUMIF('Competency Event Log'!$U$4:$U$803,$B36&amp;"|"&amp;X$5,'Competency Event Log'!$D$4:$D$803)))</f>
        <v/>
      </c>
      <c r="Y36" s="8" t="str">
        <f>IF($B36="","",IF(COUNTIF('Competency Event Log'!$U$4:$U$803,$B36&amp;"|"&amp;Y$5)=0,"",SUMIF('Competency Event Log'!$U$4:$U$803,$B36&amp;"|"&amp;Y$5,'Competency Event Log'!$D$4:$D$803)))</f>
        <v/>
      </c>
      <c r="Z36" s="8" t="str">
        <f>IF($B36="","",IF(COUNTIF('Competency Event Log'!$U$4:$U$803,$B36&amp;"|"&amp;Z$5)=0,"",SUMIF('Competency Event Log'!$U$4:$U$803,$B36&amp;"|"&amp;Z$5,'Competency Event Log'!$D$4:$D$803)))</f>
        <v/>
      </c>
      <c r="AA36" s="8" t="str">
        <f>IF($B36="","",IF(COUNTIF('Competency Event Log'!$U$4:$U$803,$B36&amp;"|"&amp;AA$5)=0,"",SUMIF('Competency Event Log'!$U$4:$U$803,$B36&amp;"|"&amp;AA$5,'Competency Event Log'!$D$4:$D$803)))</f>
        <v/>
      </c>
      <c r="AB36" s="8" t="str">
        <f>IF($B36="","",IF(COUNTIF('Competency Event Log'!$U$4:$U$803,$B36&amp;"|"&amp;AB$5)=0,"",SUMIF('Competency Event Log'!$U$4:$U$803,$B36&amp;"|"&amp;AB$5,'Competency Event Log'!$D$4:$D$803)))</f>
        <v/>
      </c>
      <c r="AC36" s="8" t="str">
        <f>IF($B36="","",IF(COUNTIF('Competency Event Log'!$U$4:$U$803,$B36&amp;"|"&amp;AC$5)=0,"",SUMIF('Competency Event Log'!$U$4:$U$803,$B36&amp;"|"&amp;AC$5,'Competency Event Log'!$D$4:$D$803)))</f>
        <v/>
      </c>
      <c r="AD36" s="8" t="str">
        <f>IF($B36="","",IF(COUNTIF('Competency Event Log'!$U$4:$U$803,$B36&amp;"|"&amp;AD$5)=0,"",SUMIF('Competency Event Log'!$U$4:$U$803,$B36&amp;"|"&amp;AD$5,'Competency Event Log'!$D$4:$D$803)))</f>
        <v/>
      </c>
      <c r="AE36" s="8" t="str">
        <f>IF($B36="","",IF(COUNTIF('Competency Event Log'!$U$4:$U$803,$B36&amp;"|"&amp;AE$5)=0,"",SUMIF('Competency Event Log'!$U$4:$U$803,$B36&amp;"|"&amp;AE$5,'Competency Event Log'!$D$4:$D$803)))</f>
        <v/>
      </c>
      <c r="AF36" s="8" t="str">
        <f>IF($B36="","",IF(COUNTIF('Competency Event Log'!$U$4:$U$803,$B36&amp;"|"&amp;AF$5)=0,"",SUMIF('Competency Event Log'!$U$4:$U$803,$B36&amp;"|"&amp;AF$5,'Competency Event Log'!$D$4:$D$803)))</f>
        <v/>
      </c>
      <c r="AG36" s="8" t="str">
        <f>IF($B36="","",IF(COUNTIF('Competency Event Log'!$U$4:$U$803,$B36&amp;"|"&amp;AG$5)=0,"",SUMIF('Competency Event Log'!$U$4:$U$803,$B36&amp;"|"&amp;AG$5,'Competency Event Log'!$D$4:$D$803)))</f>
        <v/>
      </c>
      <c r="AH36" s="8" t="str">
        <f>IF($B36="","",IF(COUNTIF('Competency Event Log'!$U$4:$U$803,$B36&amp;"|"&amp;AH$5)=0,"",SUMIF('Competency Event Log'!$U$4:$U$803,$B36&amp;"|"&amp;AH$5,'Competency Event Log'!$D$4:$D$803)))</f>
        <v/>
      </c>
      <c r="AI36" s="8" t="str">
        <f>IF($B36="","",IF(COUNTIF('Competency Event Log'!$U$4:$U$803,$B36&amp;"|"&amp;AI$5)=0,"",SUMIF('Competency Event Log'!$U$4:$U$803,$B36&amp;"|"&amp;AI$5,'Competency Event Log'!$D$4:$D$803)))</f>
        <v/>
      </c>
      <c r="AJ36" s="8" t="str">
        <f>IF($B36="","",IF(COUNTIF('Competency Event Log'!$U$4:$U$803,$B36&amp;"|"&amp;AJ$5)=0,"",SUMIF('Competency Event Log'!$U$4:$U$803,$B36&amp;"|"&amp;AJ$5,'Competency Event Log'!$D$4:$D$803)))</f>
        <v/>
      </c>
      <c r="AK36" s="8" t="str">
        <f>IF($B36="","",IF(COUNTIF('Competency Event Log'!$U$4:$U$803,$B36&amp;"|"&amp;AK$5)=0,"",SUMIF('Competency Event Log'!$U$4:$U$803,$B36&amp;"|"&amp;AK$5,'Competency Event Log'!$D$4:$D$803)))</f>
        <v/>
      </c>
      <c r="AL36" s="8" t="str">
        <f>IF($B36="","",IF(COUNTIF('Competency Event Log'!$U$4:$U$803,$B36&amp;"|"&amp;AL$5)=0,"",SUMIF('Competency Event Log'!$U$4:$U$803,$B36&amp;"|"&amp;AL$5,'Competency Event Log'!$D$4:$D$803)))</f>
        <v/>
      </c>
      <c r="AM36" s="8" t="str">
        <f>IF($B36="","",IF(COUNTIF('Competency Event Log'!$U$4:$U$803,$B36&amp;"|"&amp;AM$5)=0,"",SUMIF('Competency Event Log'!$U$4:$U$803,$B36&amp;"|"&amp;AM$5,'Competency Event Log'!$D$4:$D$803)))</f>
        <v/>
      </c>
      <c r="AN36" s="8" t="str">
        <f>IF($B36="","",IF(COUNTIF('Competency Event Log'!$U$4:$U$803,$B36&amp;"|"&amp;AN$5)=0,"",SUMIF('Competency Event Log'!$U$4:$U$803,$B36&amp;"|"&amp;AN$5,'Competency Event Log'!$D$4:$D$803)))</f>
        <v/>
      </c>
      <c r="AO36" s="8" t="str">
        <f>IF($B36="","",IF(COUNTIF('Competency Event Log'!$U$4:$U$803,$B36&amp;"|"&amp;AO$5)=0,"",SUMIF('Competency Event Log'!$U$4:$U$803,$B36&amp;"|"&amp;AO$5,'Competency Event Log'!$D$4:$D$803)))</f>
        <v/>
      </c>
      <c r="AP36" s="8" t="str">
        <f>IF($B36="","",IF(COUNTIF('Competency Event Log'!$U$4:$U$803,$B36&amp;"|"&amp;AP$5)=0,"",SUMIF('Competency Event Log'!$U$4:$U$803,$B36&amp;"|"&amp;AP$5,'Competency Event Log'!$D$4:$D$803)))</f>
        <v/>
      </c>
      <c r="AQ36" s="8" t="str">
        <f>IF($B36="","",IF(COUNTIF('Competency Event Log'!$U$4:$U$803,$B36&amp;"|"&amp;AQ$5)=0,"",SUMIF('Competency Event Log'!$U$4:$U$803,$B36&amp;"|"&amp;AQ$5,'Competency Event Log'!$D$4:$D$803)))</f>
        <v/>
      </c>
      <c r="AR36" s="8" t="str">
        <f>IF($B36="","",IF(COUNTIF('Competency Event Log'!$U$4:$U$803,$B36&amp;"|"&amp;AR$5)=0,"",SUMIF('Competency Event Log'!$U$4:$U$803,$B36&amp;"|"&amp;AR$5,'Competency Event Log'!$D$4:$D$803)))</f>
        <v/>
      </c>
      <c r="AS36" s="8" t="str">
        <f>IF($B36="","",IF(COUNTIF('Competency Event Log'!$U$4:$U$803,$B36&amp;"|"&amp;AS$5)=0,"",SUMIF('Competency Event Log'!$U$4:$U$803,$B36&amp;"|"&amp;AS$5,'Competency Event Log'!$D$4:$D$803)))</f>
        <v/>
      </c>
      <c r="AT36" s="8" t="str">
        <f>IF($B36="","",IF(COUNTIF('Competency Event Log'!$U$4:$U$803,$B36&amp;"|"&amp;AT$5)=0,"",SUMIF('Competency Event Log'!$U$4:$U$803,$B36&amp;"|"&amp;AT$5,'Competency Event Log'!$D$4:$D$803)))</f>
        <v/>
      </c>
      <c r="AU36" s="8" t="str">
        <f>IF($B36="","",IF(COUNTIF('Competency Event Log'!$U$4:$U$803,$B36&amp;"|"&amp;AU$5)=0,"",SUMIF('Competency Event Log'!$U$4:$U$803,$B36&amp;"|"&amp;AU$5,'Competency Event Log'!$D$4:$D$803)))</f>
        <v/>
      </c>
      <c r="AV36" s="8" t="str">
        <f>IF($B36="","",IF(COUNTIF('Competency Event Log'!$U$4:$U$803,$B36&amp;"|"&amp;AV$5)=0,"",SUMIF('Competency Event Log'!$U$4:$U$803,$B36&amp;"|"&amp;AV$5,'Competency Event Log'!$D$4:$D$803)))</f>
        <v/>
      </c>
      <c r="AW36" s="8" t="str">
        <f>IF($B36="","",IF(COUNTIF('Competency Event Log'!$U$4:$U$803,$B36&amp;"|"&amp;AW$5)=0,"",SUMIF('Competency Event Log'!$U$4:$U$803,$B36&amp;"|"&amp;AW$5,'Competency Event Log'!$D$4:$D$803)))</f>
        <v/>
      </c>
      <c r="AX36" s="8" t="str">
        <f>IF($B36="","",IF(COUNTIF('Competency Event Log'!$U$4:$U$803,$B36&amp;"|"&amp;AX$5)=0,"",SUMIF('Competency Event Log'!$U$4:$U$803,$B36&amp;"|"&amp;AX$5,'Competency Event Log'!$D$4:$D$803)))</f>
        <v/>
      </c>
      <c r="AY36" s="8">
        <f>IF($B36="","",IF(COUNTIF('Competency Event Log'!$U$4:$U$803,$B36&amp;"|"&amp;AY$5)=0,"",SUMIF('Competency Event Log'!$U$4:$U$803,$B36&amp;"|"&amp;AY$5,'Competency Event Log'!$D$4:$D$803)))</f>
        <v>2</v>
      </c>
      <c r="AZ36" s="8" t="str">
        <f>IF($B36="","",IF(COUNTIF('Competency Event Log'!$U$4:$U$803,$B36&amp;"|"&amp;AZ$5)=0,"",SUMIF('Competency Event Log'!$U$4:$U$803,$B36&amp;"|"&amp;AZ$5,'Competency Event Log'!$D$4:$D$803)))</f>
        <v/>
      </c>
      <c r="BA36" s="8" t="str">
        <f>IF($B36="","",IF(COUNTIF('Competency Event Log'!$U$4:$U$803,$B36&amp;"|"&amp;BA$5)=0,"",SUMIF('Competency Event Log'!$U$4:$U$803,$B36&amp;"|"&amp;BA$5,'Competency Event Log'!$D$4:$D$803)))</f>
        <v/>
      </c>
      <c r="BB36" s="8" t="str">
        <f>IF($B36="","",IF(COUNTIF('Competency Event Log'!$U$4:$U$803,$B36&amp;"|"&amp;BB$5)=0,"",SUMIF('Competency Event Log'!$U$4:$U$803,$B36&amp;"|"&amp;BB$5,'Competency Event Log'!$D$4:$D$803)))</f>
        <v/>
      </c>
      <c r="BC36" s="8" t="str">
        <f>IF($B36="","",IF(COUNTIF('Competency Event Log'!$U$4:$U$803,$B36&amp;"|"&amp;BC$5)=0,"",SUMIF('Competency Event Log'!$U$4:$U$803,$B36&amp;"|"&amp;BC$5,'Competency Event Log'!$D$4:$D$803)))</f>
        <v/>
      </c>
      <c r="BD36" s="8" t="str">
        <f>IF($B36="","",IF(COUNTIF('Competency Event Log'!$U$4:$U$803,$B36&amp;"|"&amp;BD$5)=0,"",SUMIF('Competency Event Log'!$U$4:$U$803,$B36&amp;"|"&amp;BD$5,'Competency Event Log'!$D$4:$D$803)))</f>
        <v/>
      </c>
      <c r="BE36" s="8" t="str">
        <f>IF($B36="","",IF(COUNTIF('Competency Event Log'!$U$4:$U$803,$B36&amp;"|"&amp;BE$5)=0,"",SUMIF('Competency Event Log'!$U$4:$U$803,$B36&amp;"|"&amp;BE$5,'Competency Event Log'!$D$4:$D$803)))</f>
        <v/>
      </c>
      <c r="BF36" s="8" t="str">
        <f>IF($B36="","",IF(COUNTIF('Competency Event Log'!$U$4:$U$803,$B36&amp;"|"&amp;BF$5)=0,"",SUMIF('Competency Event Log'!$U$4:$U$803,$B36&amp;"|"&amp;BF$5,'Competency Event Log'!$D$4:$D$803)))</f>
        <v/>
      </c>
      <c r="BG36" s="8" t="str">
        <f>IF($B36="","",IF(COUNTIF('Competency Event Log'!$U$4:$U$803,$B36&amp;"|"&amp;BG$5)=0,"",SUMIF('Competency Event Log'!$U$4:$U$803,$B36&amp;"|"&amp;BG$5,'Competency Event Log'!$D$4:$D$803)))</f>
        <v/>
      </c>
      <c r="BH36" s="8" t="str">
        <f>IF($B36="","",IF(COUNTIF('Competency Event Log'!$U$4:$U$803,$B36&amp;"|"&amp;BH$5)=0,"",SUMIF('Competency Event Log'!$U$4:$U$803,$B36&amp;"|"&amp;BH$5,'Competency Event Log'!$D$4:$D$803)))</f>
        <v/>
      </c>
      <c r="BI36" s="8">
        <f>IF($B36="","",IF(COUNTIF('Competency Event Log'!$U$4:$U$803,$B36&amp;"|"&amp;BI$5)=0,"",SUMIF('Competency Event Log'!$U$4:$U$803,$B36&amp;"|"&amp;BI$5,'Competency Event Log'!$D$4:$D$803)))</f>
        <v>2</v>
      </c>
      <c r="BJ36" s="8" t="str">
        <f>IF($B36="","",IF(COUNTIF('Competency Event Log'!$U$4:$U$803,$B36&amp;"|"&amp;BJ$5)=0,"",SUMIF('Competency Event Log'!$U$4:$U$803,$B36&amp;"|"&amp;BJ$5,'Competency Event Log'!$D$4:$D$803)))</f>
        <v/>
      </c>
      <c r="BK36" s="8">
        <f>IF($B36="","",IF(COUNTIF('Competency Event Log'!$U$4:$U$803,$B36&amp;"|"&amp;BK$5)=0,"",SUMIF('Competency Event Log'!$U$4:$U$803,$B36&amp;"|"&amp;BK$5,'Competency Event Log'!$D$4:$D$803)))</f>
        <v>3</v>
      </c>
      <c r="BL36" s="8" t="str">
        <f>IF($B36="","",IF(COUNTIF('Competency Event Log'!$U$4:$U$803,$B36&amp;"|"&amp;BL$5)=0,"",SUMIF('Competency Event Log'!$U$4:$U$803,$B36&amp;"|"&amp;BL$5,'Competency Event Log'!$D$4:$D$803)))</f>
        <v/>
      </c>
      <c r="BM36" s="8" t="str">
        <f>IF($B36="","",IF(COUNTIF('Competency Event Log'!$U$4:$U$803,$B36&amp;"|"&amp;BM$5)=0,"",SUMIF('Competency Event Log'!$U$4:$U$803,$B36&amp;"|"&amp;BM$5,'Competency Event Log'!$D$4:$D$803)))</f>
        <v/>
      </c>
      <c r="BN36" s="8" t="str">
        <f>IF($B36="","",IF(COUNTIF('Competency Event Log'!$U$4:$U$803,$B36&amp;"|"&amp;BN$5)=0,"",SUMIF('Competency Event Log'!$U$4:$U$803,$B36&amp;"|"&amp;BN$5,'Competency Event Log'!$D$4:$D$803)))</f>
        <v/>
      </c>
      <c r="BO36" s="8">
        <f>IF($B36="","",IF(COUNTIF('Competency Event Log'!$U$4:$U$803,$B36&amp;"|"&amp;BO$5)=0,"",SUMIF('Competency Event Log'!$U$4:$U$803,$B36&amp;"|"&amp;BO$5,'Competency Event Log'!$D$4:$D$803)))</f>
        <v>2</v>
      </c>
      <c r="BP36" s="8" t="str">
        <f>IF($B36="","",IF(COUNTIF('Competency Event Log'!$U$4:$U$803,$B36&amp;"|"&amp;BP$5)=0,"",SUMIF('Competency Event Log'!$U$4:$U$803,$B36&amp;"|"&amp;BP$5,'Competency Event Log'!$D$4:$D$803)))</f>
        <v/>
      </c>
      <c r="BQ36" s="8">
        <f>IF($B36="","",IF(COUNTIF('Competency Event Log'!$U$4:$U$803,$B36&amp;"|"&amp;BQ$5)=0,"",SUMIF('Competency Event Log'!$U$4:$U$803,$B36&amp;"|"&amp;BQ$5,'Competency Event Log'!$D$4:$D$803)))</f>
        <v>1</v>
      </c>
      <c r="BR36" s="8">
        <f>IF($B36="","",IF(COUNTIF('Competency Event Log'!$U$4:$U$803,$B36&amp;"|"&amp;BR$5)=0,"",SUMIF('Competency Event Log'!$U$4:$U$803,$B36&amp;"|"&amp;BR$5,'Competency Event Log'!$D$4:$D$803)))</f>
        <v>3</v>
      </c>
      <c r="BS36" s="8" t="str">
        <f>IF($B36="","",IF(COUNTIF('Competency Event Log'!$U$4:$U$803,$B36&amp;"|"&amp;BS$5)=0,"",SUMIF('Competency Event Log'!$U$4:$U$803,$B36&amp;"|"&amp;BS$5,'Competency Event Log'!$D$4:$D$803)))</f>
        <v/>
      </c>
      <c r="BT36" s="8">
        <f>IF($B36="","",IF(COUNTIF('Competency Event Log'!$U$4:$U$803,$B36&amp;"|"&amp;BT$5)=0,"",SUMIF('Competency Event Log'!$U$4:$U$803,$B36&amp;"|"&amp;BT$5,'Competency Event Log'!$D$4:$D$803)))</f>
        <v>3</v>
      </c>
      <c r="BU36" s="8" t="str">
        <f>IF($B36="","",IF(COUNTIF('Competency Event Log'!$U$4:$U$803,$B36&amp;"|"&amp;BU$5)=0,"",SUMIF('Competency Event Log'!$U$4:$U$803,$B36&amp;"|"&amp;BU$5,'Competency Event Log'!$D$4:$D$803)))</f>
        <v/>
      </c>
      <c r="BV36" s="8" t="str">
        <f>IF($B36="","",IF(COUNTIF('Competency Event Log'!$U$4:$U$803,$B36&amp;"|"&amp;BV$5)=0,"",SUMIF('Competency Event Log'!$U$4:$U$803,$B36&amp;"|"&amp;BV$5,'Competency Event Log'!$D$4:$D$803)))</f>
        <v/>
      </c>
      <c r="BW36" s="8" t="str">
        <f>IF($B36="","",IF(COUNTIF('Competency Event Log'!$U$4:$U$803,$B36&amp;"|"&amp;BW$5)=0,"",SUMIF('Competency Event Log'!$U$4:$U$803,$B36&amp;"|"&amp;BW$5,'Competency Event Log'!$D$4:$D$803)))</f>
        <v/>
      </c>
      <c r="BX36" s="8">
        <f>IF($B36="","",IF(COUNTIF('Competency Event Log'!$U$4:$U$803,$B36&amp;"|"&amp;BX$5)=0,"",SUMIF('Competency Event Log'!$U$4:$U$803,$B36&amp;"|"&amp;BX$5,'Competency Event Log'!$D$4:$D$803)))</f>
        <v>3</v>
      </c>
      <c r="BY36" s="8">
        <f>IF($B36="","",IF(COUNTIF('Competency Event Log'!$U$4:$U$803,$B36&amp;"|"&amp;BY$5)=0,"",SUMIF('Competency Event Log'!$U$4:$U$803,$B36&amp;"|"&amp;BY$5,'Competency Event Log'!$D$4:$D$803)))</f>
        <v>1</v>
      </c>
      <c r="BZ36" s="8" t="str">
        <f>IF($B36="","",IF(COUNTIF('Competency Event Log'!$U$4:$U$803,$B36&amp;"|"&amp;BZ$5)=0,"",SUMIF('Competency Event Log'!$U$4:$U$803,$B36&amp;"|"&amp;BZ$5,'Competency Event Log'!$D$4:$D$803)))</f>
        <v/>
      </c>
      <c r="CA36" s="8" t="str">
        <f>IF($B36="","",IF(COUNTIF('Competency Event Log'!$U$4:$U$803,$B36&amp;"|"&amp;CA$5)=0,"",SUMIF('Competency Event Log'!$U$4:$U$803,$B36&amp;"|"&amp;CA$5,'Competency Event Log'!$D$4:$D$803)))</f>
        <v/>
      </c>
      <c r="CB36" s="8" t="str">
        <f>IF($B36="","",IF(COUNTIF('Competency Event Log'!$U$4:$U$803,$B36&amp;"|"&amp;CB$5)=0,"",SUMIF('Competency Event Log'!$U$4:$U$803,$B36&amp;"|"&amp;CB$5,'Competency Event Log'!$D$4:$D$803)))</f>
        <v/>
      </c>
      <c r="CC36" s="8" t="str">
        <f>IF($B36="","",IF(COUNTIF('Competency Event Log'!$U$4:$U$803,$B36&amp;"|"&amp;CC$5)=0,"",SUMIF('Competency Event Log'!$U$4:$U$803,$B36&amp;"|"&amp;CC$5,'Competency Event Log'!$D$4:$D$803)))</f>
        <v/>
      </c>
      <c r="CD36" s="8" t="str">
        <f>IF($B36="","",IF(COUNTIF('Competency Event Log'!$U$4:$U$803,$B36&amp;"|"&amp;CD$5)=0,"",SUMIF('Competency Event Log'!$U$4:$U$803,$B36&amp;"|"&amp;CD$5,'Competency Event Log'!$D$4:$D$803)))</f>
        <v/>
      </c>
      <c r="CE36" s="8" t="str">
        <f>IF($B36="","",IF(COUNTIF('Competency Event Log'!$U$4:$U$803,$B36&amp;"|"&amp;CE$5)=0,"",SUMIF('Competency Event Log'!$U$4:$U$803,$B36&amp;"|"&amp;CE$5,'Competency Event Log'!$D$4:$D$803)))</f>
        <v/>
      </c>
      <c r="CF36" s="8" t="str">
        <f>IF($B36="","",IF(COUNTIF('Competency Event Log'!$U$4:$U$803,$B36&amp;"|"&amp;CF$5)=0,"",SUMIF('Competency Event Log'!$U$4:$U$803,$B36&amp;"|"&amp;CF$5,'Competency Event Log'!$D$4:$D$803)))</f>
        <v/>
      </c>
      <c r="CG36" s="8" t="str">
        <f>IF($B36="","",IF(COUNTIF('Competency Event Log'!$U$4:$U$803,$B36&amp;"|"&amp;CG$5)=0,"",SUMIF('Competency Event Log'!$U$4:$U$803,$B36&amp;"|"&amp;CG$5,'Competency Event Log'!$D$4:$D$803)))</f>
        <v/>
      </c>
      <c r="CH36" s="8" t="str">
        <f>IF($B36="","",IF(COUNTIF('Competency Event Log'!$U$4:$U$803,$B36&amp;"|"&amp;CH$5)=0,"",SUMIF('Competency Event Log'!$U$4:$U$803,$B36&amp;"|"&amp;CH$5,'Competency Event Log'!$D$4:$D$803)))</f>
        <v/>
      </c>
      <c r="CI36" s="8" t="str">
        <f>IF($B36="","",IF(COUNTIF('Competency Event Log'!$U$4:$U$803,$B36&amp;"|"&amp;CI$5)=0,"",SUMIF('Competency Event Log'!$U$4:$U$803,$B36&amp;"|"&amp;CI$5,'Competency Event Log'!$D$4:$D$803)))</f>
        <v/>
      </c>
      <c r="CJ36" s="8" t="str">
        <f>IF($B36="","",IF(COUNTIF('Competency Event Log'!$U$4:$U$803,$B36&amp;"|"&amp;CJ$5)=0,"",SUMIF('Competency Event Log'!$U$4:$U$803,$B36&amp;"|"&amp;CJ$5,'Competency Event Log'!$D$4:$D$803)))</f>
        <v/>
      </c>
      <c r="CK36" s="8" t="str">
        <f>IF($B36="","",IF(COUNTIF('Competency Event Log'!$U$4:$U$803,$B36&amp;"|"&amp;CK$5)=0,"",SUMIF('Competency Event Log'!$U$4:$U$803,$B36&amp;"|"&amp;CK$5,'Competency Event Log'!$D$4:$D$803)))</f>
        <v/>
      </c>
      <c r="CL36" s="8" t="str">
        <f>IF($B36="","",IF(COUNTIF('Competency Event Log'!$U$4:$U$803,$B36&amp;"|"&amp;CL$5)=0,"",SUMIF('Competency Event Log'!$U$4:$U$803,$B36&amp;"|"&amp;CL$5,'Competency Event Log'!$D$4:$D$803)))</f>
        <v/>
      </c>
      <c r="CM36" s="8" t="str">
        <f>IF($B36="","",IF(COUNTIF('Competency Event Log'!$U$4:$U$803,$B36&amp;"|"&amp;CM$5)=0,"",SUMIF('Competency Event Log'!$U$4:$U$803,$B36&amp;"|"&amp;CM$5,'Competency Event Log'!$D$4:$D$803)))</f>
        <v/>
      </c>
      <c r="CN36" s="8" t="str">
        <f>IF($B36="","",IF(COUNTIF('Competency Event Log'!$U$4:$U$803,$B36&amp;"|"&amp;CN$5)=0,"",SUMIF('Competency Event Log'!$U$4:$U$803,$B36&amp;"|"&amp;CN$5,'Competency Event Log'!$D$4:$D$803)))</f>
        <v/>
      </c>
      <c r="CO36" s="8" t="str">
        <f>IF($B36="","",IF(COUNTIF('Competency Event Log'!$U$4:$U$803,$B36&amp;"|"&amp;CO$5)=0,"",SUMIF('Competency Event Log'!$U$4:$U$803,$B36&amp;"|"&amp;CO$5,'Competency Event Log'!$D$4:$D$803)))</f>
        <v/>
      </c>
      <c r="CP36" s="8" t="str">
        <f>IF($B36="","",IF(COUNTIF('Competency Event Log'!$U$4:$U$803,$B36&amp;"|"&amp;CP$5)=0,"",SUMIF('Competency Event Log'!$U$4:$U$803,$B36&amp;"|"&amp;CP$5,'Competency Event Log'!$D$4:$D$803)))</f>
        <v/>
      </c>
      <c r="CQ36" s="8" t="str">
        <f>IF($B36="","",IF(COUNTIF('Competency Event Log'!$U$4:$U$803,$B36&amp;"|"&amp;CQ$5)=0,"",SUMIF('Competency Event Log'!$U$4:$U$803,$B36&amp;"|"&amp;CQ$5,'Competency Event Log'!$D$4:$D$803)))</f>
        <v/>
      </c>
      <c r="CR36" s="8" t="str">
        <f>IF($B36="","",IF(COUNTIF('Competency Event Log'!$U$4:$U$803,$B36&amp;"|"&amp;CR$5)=0,"",SUMIF('Competency Event Log'!$U$4:$U$803,$B36&amp;"|"&amp;CR$5,'Competency Event Log'!$D$4:$D$803)))</f>
        <v/>
      </c>
      <c r="CS36" s="8" t="str">
        <f>IF($B36="","",IF(COUNTIF('Competency Event Log'!$U$4:$U$803,$B36&amp;"|"&amp;CS$5)=0,"",SUMIF('Competency Event Log'!$U$4:$U$803,$B36&amp;"|"&amp;CS$5,'Competency Event Log'!$D$4:$D$803)))</f>
        <v/>
      </c>
      <c r="CT36" s="8" t="str">
        <f>IF($B36="","",IF(COUNTIF('Competency Event Log'!$U$4:$U$803,$B36&amp;"|"&amp;CT$5)=0,"",SUMIF('Competency Event Log'!$U$4:$U$803,$B36&amp;"|"&amp;CT$5,'Competency Event Log'!$D$4:$D$803)))</f>
        <v/>
      </c>
      <c r="CU36" s="8" t="str">
        <f>IF($B36="","",IF(COUNTIF('Competency Event Log'!$U$4:$U$803,$B36&amp;"|"&amp;CU$5)=0,"",SUMIF('Competency Event Log'!$U$4:$U$803,$B36&amp;"|"&amp;CU$5,'Competency Event Log'!$D$4:$D$803)))</f>
        <v/>
      </c>
      <c r="CV36" s="8" t="str">
        <f>IF($B36="","",IF(COUNTIF('Competency Event Log'!$U$4:$U$803,$B36&amp;"|"&amp;CV$5)=0,"",SUMIF('Competency Event Log'!$U$4:$U$803,$B36&amp;"|"&amp;CV$5,'Competency Event Log'!$D$4:$D$803)))</f>
        <v/>
      </c>
      <c r="CW36" s="8" t="str">
        <f>IF($B36="","",IF(COUNTIF('Competency Event Log'!$U$4:$U$803,$B36&amp;"|"&amp;CW$5)=0,"",SUMIF('Competency Event Log'!$U$4:$U$803,$B36&amp;"|"&amp;CW$5,'Competency Event Log'!$D$4:$D$803)))</f>
        <v/>
      </c>
      <c r="CX36" s="8" t="str">
        <f>IF($B36="","",IF(COUNTIF('Competency Event Log'!$U$4:$U$803,$B36&amp;"|"&amp;CX$5)=0,"",SUMIF('Competency Event Log'!$U$4:$U$803,$B36&amp;"|"&amp;CX$5,'Competency Event Log'!$D$4:$D$803)))</f>
        <v/>
      </c>
      <c r="CY36" s="8" t="str">
        <f>IF($B36="","",IF(COUNTIF('Competency Event Log'!$U$4:$U$803,$B36&amp;"|"&amp;CY$5)=0,"",SUMIF('Competency Event Log'!$U$4:$U$803,$B36&amp;"|"&amp;CY$5,'Competency Event Log'!$D$4:$D$803)))</f>
        <v/>
      </c>
      <c r="CZ36" s="8" t="str">
        <f>IF($B36="","",IF(COUNTIF('Competency Event Log'!$U$4:$U$803,$B36&amp;"|"&amp;CZ$5)=0,"",SUMIF('Competency Event Log'!$U$4:$U$803,$B36&amp;"|"&amp;CZ$5,'Competency Event Log'!$D$4:$D$803)))</f>
        <v/>
      </c>
      <c r="DA36" s="8" t="str">
        <f>IF($B36="","",IF(COUNTIF('Competency Event Log'!$U$4:$U$803,$B36&amp;"|"&amp;DA$5)=0,"",SUMIF('Competency Event Log'!$U$4:$U$803,$B36&amp;"|"&amp;DA$5,'Competency Event Log'!$D$4:$D$803)))</f>
        <v/>
      </c>
      <c r="DB36" s="8" t="str">
        <f>IF($B36="","",IF(COUNTIF('Competency Event Log'!$U$4:$U$803,$B36&amp;"|"&amp;DB$5)=0,"",SUMIF('Competency Event Log'!$U$4:$U$803,$B36&amp;"|"&amp;DB$5,'Competency Event Log'!$D$4:$D$803)))</f>
        <v/>
      </c>
      <c r="DC36" s="8" t="str">
        <f>IF($B36="","",IF(COUNTIF('Competency Event Log'!$U$4:$U$803,$B36&amp;"|"&amp;DC$5)=0,"",SUMIF('Competency Event Log'!$U$4:$U$803,$B36&amp;"|"&amp;DC$5,'Competency Event Log'!$D$4:$D$803)))</f>
        <v/>
      </c>
      <c r="DD36" s="8" t="str">
        <f>IF($B36="","",IF(COUNTIF('Competency Event Log'!$U$4:$U$803,$B36&amp;"|"&amp;DD$5)=0,"",SUMIF('Competency Event Log'!$U$4:$U$803,$B36&amp;"|"&amp;DD$5,'Competency Event Log'!$D$4:$D$803)))</f>
        <v/>
      </c>
      <c r="DE36" s="8" t="str">
        <f>IF($B36="","",IF(COUNTIF('Competency Event Log'!$U$4:$U$803,$B36&amp;"|"&amp;DE$5)=0,"",SUMIF('Competency Event Log'!$U$4:$U$803,$B36&amp;"|"&amp;DE$5,'Competency Event Log'!$D$4:$D$803)))</f>
        <v/>
      </c>
      <c r="DF36" s="8">
        <f t="shared" si="0"/>
        <v>20</v>
      </c>
      <c r="DG36" s="8">
        <f t="shared" si="1"/>
        <v>9</v>
      </c>
      <c r="DH36" s="8">
        <f t="shared" si="2"/>
        <v>4</v>
      </c>
      <c r="DI36" s="11">
        <f t="shared" si="3"/>
        <v>0.47058823529411764</v>
      </c>
    </row>
    <row r="37" spans="1:113">
      <c r="A37" s="7" t="s">
        <v>309</v>
      </c>
      <c r="B37" s="7" t="s">
        <v>142</v>
      </c>
      <c r="C37" s="8">
        <v>2</v>
      </c>
      <c r="D37" s="9" t="s">
        <v>1075</v>
      </c>
      <c r="E37" s="10">
        <v>42923</v>
      </c>
      <c r="F37" s="8" t="s">
        <v>1047</v>
      </c>
      <c r="G37" s="8" t="str">
        <f>IF($B37="","",IF(COUNTIF('Competency Event Log'!$U$4:$U$803,$B37&amp;"|"&amp;G$5)=0,"",SUMIF('Competency Event Log'!$U$4:$U$803,$B37&amp;"|"&amp;G$5,'Competency Event Log'!$D$4:$D$803)))</f>
        <v/>
      </c>
      <c r="H37" s="8" t="str">
        <f>IF($B37="","",IF(COUNTIF('Competency Event Log'!$U$4:$U$803,$B37&amp;"|"&amp;H$5)=0,"",SUMIF('Competency Event Log'!$U$4:$U$803,$B37&amp;"|"&amp;H$5,'Competency Event Log'!$D$4:$D$803)))</f>
        <v/>
      </c>
      <c r="I37" s="8" t="str">
        <f>IF($B37="","",IF(COUNTIF('Competency Event Log'!$U$4:$U$803,$B37&amp;"|"&amp;I$5)=0,"",SUMIF('Competency Event Log'!$U$4:$U$803,$B37&amp;"|"&amp;I$5,'Competency Event Log'!$D$4:$D$803)))</f>
        <v/>
      </c>
      <c r="J37" s="8" t="str">
        <f>IF($B37="","",IF(COUNTIF('Competency Event Log'!$U$4:$U$803,$B37&amp;"|"&amp;J$5)=0,"",SUMIF('Competency Event Log'!$U$4:$U$803,$B37&amp;"|"&amp;J$5,'Competency Event Log'!$D$4:$D$803)))</f>
        <v/>
      </c>
      <c r="K37" s="8" t="str">
        <f>IF($B37="","",IF(COUNTIF('Competency Event Log'!$U$4:$U$803,$B37&amp;"|"&amp;K$5)=0,"",SUMIF('Competency Event Log'!$U$4:$U$803,$B37&amp;"|"&amp;K$5,'Competency Event Log'!$D$4:$D$803)))</f>
        <v/>
      </c>
      <c r="L37" s="8" t="str">
        <f>IF($B37="","",IF(COUNTIF('Competency Event Log'!$U$4:$U$803,$B37&amp;"|"&amp;L$5)=0,"",SUMIF('Competency Event Log'!$U$4:$U$803,$B37&amp;"|"&amp;L$5,'Competency Event Log'!$D$4:$D$803)))</f>
        <v/>
      </c>
      <c r="M37" s="8" t="str">
        <f>IF($B37="","",IF(COUNTIF('Competency Event Log'!$U$4:$U$803,$B37&amp;"|"&amp;M$5)=0,"",SUMIF('Competency Event Log'!$U$4:$U$803,$B37&amp;"|"&amp;M$5,'Competency Event Log'!$D$4:$D$803)))</f>
        <v/>
      </c>
      <c r="N37" s="8" t="str">
        <f>IF($B37="","",IF(COUNTIF('Competency Event Log'!$U$4:$U$803,$B37&amp;"|"&amp;N$5)=0,"",SUMIF('Competency Event Log'!$U$4:$U$803,$B37&amp;"|"&amp;N$5,'Competency Event Log'!$D$4:$D$803)))</f>
        <v/>
      </c>
      <c r="O37" s="8" t="str">
        <f>IF($B37="","",IF(COUNTIF('Competency Event Log'!$U$4:$U$803,$B37&amp;"|"&amp;O$5)=0,"",SUMIF('Competency Event Log'!$U$4:$U$803,$B37&amp;"|"&amp;O$5,'Competency Event Log'!$D$4:$D$803)))</f>
        <v/>
      </c>
      <c r="P37" s="8" t="str">
        <f>IF($B37="","",IF(COUNTIF('Competency Event Log'!$U$4:$U$803,$B37&amp;"|"&amp;P$5)=0,"",SUMIF('Competency Event Log'!$U$4:$U$803,$B37&amp;"|"&amp;P$5,'Competency Event Log'!$D$4:$D$803)))</f>
        <v/>
      </c>
      <c r="Q37" s="8" t="str">
        <f>IF($B37="","",IF(COUNTIF('Competency Event Log'!$U$4:$U$803,$B37&amp;"|"&amp;Q$5)=0,"",SUMIF('Competency Event Log'!$U$4:$U$803,$B37&amp;"|"&amp;Q$5,'Competency Event Log'!$D$4:$D$803)))</f>
        <v/>
      </c>
      <c r="R37" s="8" t="str">
        <f>IF($B37="","",IF(COUNTIF('Competency Event Log'!$U$4:$U$803,$B37&amp;"|"&amp;R$5)=0,"",SUMIF('Competency Event Log'!$U$4:$U$803,$B37&amp;"|"&amp;R$5,'Competency Event Log'!$D$4:$D$803)))</f>
        <v/>
      </c>
      <c r="S37" s="8" t="str">
        <f>IF($B37="","",IF(COUNTIF('Competency Event Log'!$U$4:$U$803,$B37&amp;"|"&amp;S$5)=0,"",SUMIF('Competency Event Log'!$U$4:$U$803,$B37&amp;"|"&amp;S$5,'Competency Event Log'!$D$4:$D$803)))</f>
        <v/>
      </c>
      <c r="T37" s="8" t="str">
        <f>IF($B37="","",IF(COUNTIF('Competency Event Log'!$U$4:$U$803,$B37&amp;"|"&amp;T$5)=0,"",SUMIF('Competency Event Log'!$U$4:$U$803,$B37&amp;"|"&amp;T$5,'Competency Event Log'!$D$4:$D$803)))</f>
        <v/>
      </c>
      <c r="U37" s="8" t="str">
        <f>IF($B37="","",IF(COUNTIF('Competency Event Log'!$U$4:$U$803,$B37&amp;"|"&amp;U$5)=0,"",SUMIF('Competency Event Log'!$U$4:$U$803,$B37&amp;"|"&amp;U$5,'Competency Event Log'!$D$4:$D$803)))</f>
        <v/>
      </c>
      <c r="V37" s="8" t="str">
        <f>IF($B37="","",IF(COUNTIF('Competency Event Log'!$U$4:$U$803,$B37&amp;"|"&amp;V$5)=0,"",SUMIF('Competency Event Log'!$U$4:$U$803,$B37&amp;"|"&amp;V$5,'Competency Event Log'!$D$4:$D$803)))</f>
        <v/>
      </c>
      <c r="W37" s="8" t="str">
        <f>IF($B37="","",IF(COUNTIF('Competency Event Log'!$U$4:$U$803,$B37&amp;"|"&amp;W$5)=0,"",SUMIF('Competency Event Log'!$U$4:$U$803,$B37&amp;"|"&amp;W$5,'Competency Event Log'!$D$4:$D$803)))</f>
        <v/>
      </c>
      <c r="X37" s="8" t="str">
        <f>IF($B37="","",IF(COUNTIF('Competency Event Log'!$U$4:$U$803,$B37&amp;"|"&amp;X$5)=0,"",SUMIF('Competency Event Log'!$U$4:$U$803,$B37&amp;"|"&amp;X$5,'Competency Event Log'!$D$4:$D$803)))</f>
        <v/>
      </c>
      <c r="Y37" s="8" t="str">
        <f>IF($B37="","",IF(COUNTIF('Competency Event Log'!$U$4:$U$803,$B37&amp;"|"&amp;Y$5)=0,"",SUMIF('Competency Event Log'!$U$4:$U$803,$B37&amp;"|"&amp;Y$5,'Competency Event Log'!$D$4:$D$803)))</f>
        <v/>
      </c>
      <c r="Z37" s="8" t="str">
        <f>IF($B37="","",IF(COUNTIF('Competency Event Log'!$U$4:$U$803,$B37&amp;"|"&amp;Z$5)=0,"",SUMIF('Competency Event Log'!$U$4:$U$803,$B37&amp;"|"&amp;Z$5,'Competency Event Log'!$D$4:$D$803)))</f>
        <v/>
      </c>
      <c r="AA37" s="8" t="str">
        <f>IF($B37="","",IF(COUNTIF('Competency Event Log'!$U$4:$U$803,$B37&amp;"|"&amp;AA$5)=0,"",SUMIF('Competency Event Log'!$U$4:$U$803,$B37&amp;"|"&amp;AA$5,'Competency Event Log'!$D$4:$D$803)))</f>
        <v/>
      </c>
      <c r="AB37" s="8" t="str">
        <f>IF($B37="","",IF(COUNTIF('Competency Event Log'!$U$4:$U$803,$B37&amp;"|"&amp;AB$5)=0,"",SUMIF('Competency Event Log'!$U$4:$U$803,$B37&amp;"|"&amp;AB$5,'Competency Event Log'!$D$4:$D$803)))</f>
        <v/>
      </c>
      <c r="AC37" s="8" t="str">
        <f>IF($B37="","",IF(COUNTIF('Competency Event Log'!$U$4:$U$803,$B37&amp;"|"&amp;AC$5)=0,"",SUMIF('Competency Event Log'!$U$4:$U$803,$B37&amp;"|"&amp;AC$5,'Competency Event Log'!$D$4:$D$803)))</f>
        <v/>
      </c>
      <c r="AD37" s="8" t="str">
        <f>IF($B37="","",IF(COUNTIF('Competency Event Log'!$U$4:$U$803,$B37&amp;"|"&amp;AD$5)=0,"",SUMIF('Competency Event Log'!$U$4:$U$803,$B37&amp;"|"&amp;AD$5,'Competency Event Log'!$D$4:$D$803)))</f>
        <v/>
      </c>
      <c r="AE37" s="8" t="str">
        <f>IF($B37="","",IF(COUNTIF('Competency Event Log'!$U$4:$U$803,$B37&amp;"|"&amp;AE$5)=0,"",SUMIF('Competency Event Log'!$U$4:$U$803,$B37&amp;"|"&amp;AE$5,'Competency Event Log'!$D$4:$D$803)))</f>
        <v/>
      </c>
      <c r="AF37" s="8" t="str">
        <f>IF($B37="","",IF(COUNTIF('Competency Event Log'!$U$4:$U$803,$B37&amp;"|"&amp;AF$5)=0,"",SUMIF('Competency Event Log'!$U$4:$U$803,$B37&amp;"|"&amp;AF$5,'Competency Event Log'!$D$4:$D$803)))</f>
        <v/>
      </c>
      <c r="AG37" s="8" t="str">
        <f>IF($B37="","",IF(COUNTIF('Competency Event Log'!$U$4:$U$803,$B37&amp;"|"&amp;AG$5)=0,"",SUMIF('Competency Event Log'!$U$4:$U$803,$B37&amp;"|"&amp;AG$5,'Competency Event Log'!$D$4:$D$803)))</f>
        <v/>
      </c>
      <c r="AH37" s="8" t="str">
        <f>IF($B37="","",IF(COUNTIF('Competency Event Log'!$U$4:$U$803,$B37&amp;"|"&amp;AH$5)=0,"",SUMIF('Competency Event Log'!$U$4:$U$803,$B37&amp;"|"&amp;AH$5,'Competency Event Log'!$D$4:$D$803)))</f>
        <v/>
      </c>
      <c r="AI37" s="8" t="str">
        <f>IF($B37="","",IF(COUNTIF('Competency Event Log'!$U$4:$U$803,$B37&amp;"|"&amp;AI$5)=0,"",SUMIF('Competency Event Log'!$U$4:$U$803,$B37&amp;"|"&amp;AI$5,'Competency Event Log'!$D$4:$D$803)))</f>
        <v/>
      </c>
      <c r="AJ37" s="8" t="str">
        <f>IF($B37="","",IF(COUNTIF('Competency Event Log'!$U$4:$U$803,$B37&amp;"|"&amp;AJ$5)=0,"",SUMIF('Competency Event Log'!$U$4:$U$803,$B37&amp;"|"&amp;AJ$5,'Competency Event Log'!$D$4:$D$803)))</f>
        <v/>
      </c>
      <c r="AK37" s="8" t="str">
        <f>IF($B37="","",IF(COUNTIF('Competency Event Log'!$U$4:$U$803,$B37&amp;"|"&amp;AK$5)=0,"",SUMIF('Competency Event Log'!$U$4:$U$803,$B37&amp;"|"&amp;AK$5,'Competency Event Log'!$D$4:$D$803)))</f>
        <v/>
      </c>
      <c r="AL37" s="8" t="str">
        <f>IF($B37="","",IF(COUNTIF('Competency Event Log'!$U$4:$U$803,$B37&amp;"|"&amp;AL$5)=0,"",SUMIF('Competency Event Log'!$U$4:$U$803,$B37&amp;"|"&amp;AL$5,'Competency Event Log'!$D$4:$D$803)))</f>
        <v/>
      </c>
      <c r="AM37" s="8" t="str">
        <f>IF($B37="","",IF(COUNTIF('Competency Event Log'!$U$4:$U$803,$B37&amp;"|"&amp;AM$5)=0,"",SUMIF('Competency Event Log'!$U$4:$U$803,$B37&amp;"|"&amp;AM$5,'Competency Event Log'!$D$4:$D$803)))</f>
        <v/>
      </c>
      <c r="AN37" s="8" t="str">
        <f>IF($B37="","",IF(COUNTIF('Competency Event Log'!$U$4:$U$803,$B37&amp;"|"&amp;AN$5)=0,"",SUMIF('Competency Event Log'!$U$4:$U$803,$B37&amp;"|"&amp;AN$5,'Competency Event Log'!$D$4:$D$803)))</f>
        <v/>
      </c>
      <c r="AO37" s="8" t="str">
        <f>IF($B37="","",IF(COUNTIF('Competency Event Log'!$U$4:$U$803,$B37&amp;"|"&amp;AO$5)=0,"",SUMIF('Competency Event Log'!$U$4:$U$803,$B37&amp;"|"&amp;AO$5,'Competency Event Log'!$D$4:$D$803)))</f>
        <v/>
      </c>
      <c r="AP37" s="8" t="str">
        <f>IF($B37="","",IF(COUNTIF('Competency Event Log'!$U$4:$U$803,$B37&amp;"|"&amp;AP$5)=0,"",SUMIF('Competency Event Log'!$U$4:$U$803,$B37&amp;"|"&amp;AP$5,'Competency Event Log'!$D$4:$D$803)))</f>
        <v/>
      </c>
      <c r="AQ37" s="8" t="str">
        <f>IF($B37="","",IF(COUNTIF('Competency Event Log'!$U$4:$U$803,$B37&amp;"|"&amp;AQ$5)=0,"",SUMIF('Competency Event Log'!$U$4:$U$803,$B37&amp;"|"&amp;AQ$5,'Competency Event Log'!$D$4:$D$803)))</f>
        <v/>
      </c>
      <c r="AR37" s="8">
        <f>IF($B37="","",IF(COUNTIF('Competency Event Log'!$U$4:$U$803,$B37&amp;"|"&amp;AR$5)=0,"",SUMIF('Competency Event Log'!$U$4:$U$803,$B37&amp;"|"&amp;AR$5,'Competency Event Log'!$D$4:$D$803)))</f>
        <v>1</v>
      </c>
      <c r="AS37" s="8" t="str">
        <f>IF($B37="","",IF(COUNTIF('Competency Event Log'!$U$4:$U$803,$B37&amp;"|"&amp;AS$5)=0,"",SUMIF('Competency Event Log'!$U$4:$U$803,$B37&amp;"|"&amp;AS$5,'Competency Event Log'!$D$4:$D$803)))</f>
        <v/>
      </c>
      <c r="AT37" s="8" t="str">
        <f>IF($B37="","",IF(COUNTIF('Competency Event Log'!$U$4:$U$803,$B37&amp;"|"&amp;AT$5)=0,"",SUMIF('Competency Event Log'!$U$4:$U$803,$B37&amp;"|"&amp;AT$5,'Competency Event Log'!$D$4:$D$803)))</f>
        <v/>
      </c>
      <c r="AU37" s="8" t="str">
        <f>IF($B37="","",IF(COUNTIF('Competency Event Log'!$U$4:$U$803,$B37&amp;"|"&amp;AU$5)=0,"",SUMIF('Competency Event Log'!$U$4:$U$803,$B37&amp;"|"&amp;AU$5,'Competency Event Log'!$D$4:$D$803)))</f>
        <v/>
      </c>
      <c r="AV37" s="8" t="str">
        <f>IF($B37="","",IF(COUNTIF('Competency Event Log'!$U$4:$U$803,$B37&amp;"|"&amp;AV$5)=0,"",SUMIF('Competency Event Log'!$U$4:$U$803,$B37&amp;"|"&amp;AV$5,'Competency Event Log'!$D$4:$D$803)))</f>
        <v/>
      </c>
      <c r="AW37" s="8" t="str">
        <f>IF($B37="","",IF(COUNTIF('Competency Event Log'!$U$4:$U$803,$B37&amp;"|"&amp;AW$5)=0,"",SUMIF('Competency Event Log'!$U$4:$U$803,$B37&amp;"|"&amp;AW$5,'Competency Event Log'!$D$4:$D$803)))</f>
        <v/>
      </c>
      <c r="AX37" s="8" t="str">
        <f>IF($B37="","",IF(COUNTIF('Competency Event Log'!$U$4:$U$803,$B37&amp;"|"&amp;AX$5)=0,"",SUMIF('Competency Event Log'!$U$4:$U$803,$B37&amp;"|"&amp;AX$5,'Competency Event Log'!$D$4:$D$803)))</f>
        <v/>
      </c>
      <c r="AY37" s="8" t="str">
        <f>IF($B37="","",IF(COUNTIF('Competency Event Log'!$U$4:$U$803,$B37&amp;"|"&amp;AY$5)=0,"",SUMIF('Competency Event Log'!$U$4:$U$803,$B37&amp;"|"&amp;AY$5,'Competency Event Log'!$D$4:$D$803)))</f>
        <v/>
      </c>
      <c r="AZ37" s="8" t="str">
        <f>IF($B37="","",IF(COUNTIF('Competency Event Log'!$U$4:$U$803,$B37&amp;"|"&amp;AZ$5)=0,"",SUMIF('Competency Event Log'!$U$4:$U$803,$B37&amp;"|"&amp;AZ$5,'Competency Event Log'!$D$4:$D$803)))</f>
        <v/>
      </c>
      <c r="BA37" s="8" t="str">
        <f>IF($B37="","",IF(COUNTIF('Competency Event Log'!$U$4:$U$803,$B37&amp;"|"&amp;BA$5)=0,"",SUMIF('Competency Event Log'!$U$4:$U$803,$B37&amp;"|"&amp;BA$5,'Competency Event Log'!$D$4:$D$803)))</f>
        <v/>
      </c>
      <c r="BB37" s="8" t="str">
        <f>IF($B37="","",IF(COUNTIF('Competency Event Log'!$U$4:$U$803,$B37&amp;"|"&amp;BB$5)=0,"",SUMIF('Competency Event Log'!$U$4:$U$803,$B37&amp;"|"&amp;BB$5,'Competency Event Log'!$D$4:$D$803)))</f>
        <v/>
      </c>
      <c r="BC37" s="8" t="str">
        <f>IF($B37="","",IF(COUNTIF('Competency Event Log'!$U$4:$U$803,$B37&amp;"|"&amp;BC$5)=0,"",SUMIF('Competency Event Log'!$U$4:$U$803,$B37&amp;"|"&amp;BC$5,'Competency Event Log'!$D$4:$D$803)))</f>
        <v/>
      </c>
      <c r="BD37" s="8" t="str">
        <f>IF($B37="","",IF(COUNTIF('Competency Event Log'!$U$4:$U$803,$B37&amp;"|"&amp;BD$5)=0,"",SUMIF('Competency Event Log'!$U$4:$U$803,$B37&amp;"|"&amp;BD$5,'Competency Event Log'!$D$4:$D$803)))</f>
        <v/>
      </c>
      <c r="BE37" s="8" t="str">
        <f>IF($B37="","",IF(COUNTIF('Competency Event Log'!$U$4:$U$803,$B37&amp;"|"&amp;BE$5)=0,"",SUMIF('Competency Event Log'!$U$4:$U$803,$B37&amp;"|"&amp;BE$5,'Competency Event Log'!$D$4:$D$803)))</f>
        <v/>
      </c>
      <c r="BF37" s="8" t="str">
        <f>IF($B37="","",IF(COUNTIF('Competency Event Log'!$U$4:$U$803,$B37&amp;"|"&amp;BF$5)=0,"",SUMIF('Competency Event Log'!$U$4:$U$803,$B37&amp;"|"&amp;BF$5,'Competency Event Log'!$D$4:$D$803)))</f>
        <v/>
      </c>
      <c r="BG37" s="8" t="str">
        <f>IF($B37="","",IF(COUNTIF('Competency Event Log'!$U$4:$U$803,$B37&amp;"|"&amp;BG$5)=0,"",SUMIF('Competency Event Log'!$U$4:$U$803,$B37&amp;"|"&amp;BG$5,'Competency Event Log'!$D$4:$D$803)))</f>
        <v/>
      </c>
      <c r="BH37" s="8" t="str">
        <f>IF($B37="","",IF(COUNTIF('Competency Event Log'!$U$4:$U$803,$B37&amp;"|"&amp;BH$5)=0,"",SUMIF('Competency Event Log'!$U$4:$U$803,$B37&amp;"|"&amp;BH$5,'Competency Event Log'!$D$4:$D$803)))</f>
        <v/>
      </c>
      <c r="BI37" s="8">
        <f>IF($B37="","",IF(COUNTIF('Competency Event Log'!$U$4:$U$803,$B37&amp;"|"&amp;BI$5)=0,"",SUMIF('Competency Event Log'!$U$4:$U$803,$B37&amp;"|"&amp;BI$5,'Competency Event Log'!$D$4:$D$803)))</f>
        <v>3</v>
      </c>
      <c r="BJ37" s="8" t="str">
        <f>IF($B37="","",IF(COUNTIF('Competency Event Log'!$U$4:$U$803,$B37&amp;"|"&amp;BJ$5)=0,"",SUMIF('Competency Event Log'!$U$4:$U$803,$B37&amp;"|"&amp;BJ$5,'Competency Event Log'!$D$4:$D$803)))</f>
        <v/>
      </c>
      <c r="BK37" s="8">
        <f>IF($B37="","",IF(COUNTIF('Competency Event Log'!$U$4:$U$803,$B37&amp;"|"&amp;BK$5)=0,"",SUMIF('Competency Event Log'!$U$4:$U$803,$B37&amp;"|"&amp;BK$5,'Competency Event Log'!$D$4:$D$803)))</f>
        <v>3</v>
      </c>
      <c r="BL37" s="8">
        <f>IF($B37="","",IF(COUNTIF('Competency Event Log'!$U$4:$U$803,$B37&amp;"|"&amp;BL$5)=0,"",SUMIF('Competency Event Log'!$U$4:$U$803,$B37&amp;"|"&amp;BL$5,'Competency Event Log'!$D$4:$D$803)))</f>
        <v>3</v>
      </c>
      <c r="BM37" s="8" t="str">
        <f>IF($B37="","",IF(COUNTIF('Competency Event Log'!$U$4:$U$803,$B37&amp;"|"&amp;BM$5)=0,"",SUMIF('Competency Event Log'!$U$4:$U$803,$B37&amp;"|"&amp;BM$5,'Competency Event Log'!$D$4:$D$803)))</f>
        <v/>
      </c>
      <c r="BN37" s="8" t="str">
        <f>IF($B37="","",IF(COUNTIF('Competency Event Log'!$U$4:$U$803,$B37&amp;"|"&amp;BN$5)=0,"",SUMIF('Competency Event Log'!$U$4:$U$803,$B37&amp;"|"&amp;BN$5,'Competency Event Log'!$D$4:$D$803)))</f>
        <v/>
      </c>
      <c r="BO37" s="8" t="str">
        <f>IF($B37="","",IF(COUNTIF('Competency Event Log'!$U$4:$U$803,$B37&amp;"|"&amp;BO$5)=0,"",SUMIF('Competency Event Log'!$U$4:$U$803,$B37&amp;"|"&amp;BO$5,'Competency Event Log'!$D$4:$D$803)))</f>
        <v/>
      </c>
      <c r="BP37" s="8" t="str">
        <f>IF($B37="","",IF(COUNTIF('Competency Event Log'!$U$4:$U$803,$B37&amp;"|"&amp;BP$5)=0,"",SUMIF('Competency Event Log'!$U$4:$U$803,$B37&amp;"|"&amp;BP$5,'Competency Event Log'!$D$4:$D$803)))</f>
        <v/>
      </c>
      <c r="BQ37" s="8" t="str">
        <f>IF($B37="","",IF(COUNTIF('Competency Event Log'!$U$4:$U$803,$B37&amp;"|"&amp;BQ$5)=0,"",SUMIF('Competency Event Log'!$U$4:$U$803,$B37&amp;"|"&amp;BQ$5,'Competency Event Log'!$D$4:$D$803)))</f>
        <v/>
      </c>
      <c r="BR37" s="8">
        <f>IF($B37="","",IF(COUNTIF('Competency Event Log'!$U$4:$U$803,$B37&amp;"|"&amp;BR$5)=0,"",SUMIF('Competency Event Log'!$U$4:$U$803,$B37&amp;"|"&amp;BR$5,'Competency Event Log'!$D$4:$D$803)))</f>
        <v>3</v>
      </c>
      <c r="BS37" s="8">
        <f>IF($B37="","",IF(COUNTIF('Competency Event Log'!$U$4:$U$803,$B37&amp;"|"&amp;BS$5)=0,"",SUMIF('Competency Event Log'!$U$4:$U$803,$B37&amp;"|"&amp;BS$5,'Competency Event Log'!$D$4:$D$803)))</f>
        <v>2</v>
      </c>
      <c r="BT37" s="8">
        <f>IF($B37="","",IF(COUNTIF('Competency Event Log'!$U$4:$U$803,$B37&amp;"|"&amp;BT$5)=0,"",SUMIF('Competency Event Log'!$U$4:$U$803,$B37&amp;"|"&amp;BT$5,'Competency Event Log'!$D$4:$D$803)))</f>
        <v>3</v>
      </c>
      <c r="BU37" s="8" t="str">
        <f>IF($B37="","",IF(COUNTIF('Competency Event Log'!$U$4:$U$803,$B37&amp;"|"&amp;BU$5)=0,"",SUMIF('Competency Event Log'!$U$4:$U$803,$B37&amp;"|"&amp;BU$5,'Competency Event Log'!$D$4:$D$803)))</f>
        <v/>
      </c>
      <c r="BV37" s="8">
        <f>IF($B37="","",IF(COUNTIF('Competency Event Log'!$U$4:$U$803,$B37&amp;"|"&amp;BV$5)=0,"",SUMIF('Competency Event Log'!$U$4:$U$803,$B37&amp;"|"&amp;BV$5,'Competency Event Log'!$D$4:$D$803)))</f>
        <v>2</v>
      </c>
      <c r="BW37" s="8" t="str">
        <f>IF($B37="","",IF(COUNTIF('Competency Event Log'!$U$4:$U$803,$B37&amp;"|"&amp;BW$5)=0,"",SUMIF('Competency Event Log'!$U$4:$U$803,$B37&amp;"|"&amp;BW$5,'Competency Event Log'!$D$4:$D$803)))</f>
        <v/>
      </c>
      <c r="BX37" s="8" t="str">
        <f>IF($B37="","",IF(COUNTIF('Competency Event Log'!$U$4:$U$803,$B37&amp;"|"&amp;BX$5)=0,"",SUMIF('Competency Event Log'!$U$4:$U$803,$B37&amp;"|"&amp;BX$5,'Competency Event Log'!$D$4:$D$803)))</f>
        <v/>
      </c>
      <c r="BY37" s="8" t="str">
        <f>IF($B37="","",IF(COUNTIF('Competency Event Log'!$U$4:$U$803,$B37&amp;"|"&amp;BY$5)=0,"",SUMIF('Competency Event Log'!$U$4:$U$803,$B37&amp;"|"&amp;BY$5,'Competency Event Log'!$D$4:$D$803)))</f>
        <v/>
      </c>
      <c r="BZ37" s="8">
        <f>IF($B37="","",IF(COUNTIF('Competency Event Log'!$U$4:$U$803,$B37&amp;"|"&amp;BZ$5)=0,"",SUMIF('Competency Event Log'!$U$4:$U$803,$B37&amp;"|"&amp;BZ$5,'Competency Event Log'!$D$4:$D$803)))</f>
        <v>3</v>
      </c>
      <c r="CA37" s="8" t="str">
        <f>IF($B37="","",IF(COUNTIF('Competency Event Log'!$U$4:$U$803,$B37&amp;"|"&amp;CA$5)=0,"",SUMIF('Competency Event Log'!$U$4:$U$803,$B37&amp;"|"&amp;CA$5,'Competency Event Log'!$D$4:$D$803)))</f>
        <v/>
      </c>
      <c r="CB37" s="8" t="str">
        <f>IF($B37="","",IF(COUNTIF('Competency Event Log'!$U$4:$U$803,$B37&amp;"|"&amp;CB$5)=0,"",SUMIF('Competency Event Log'!$U$4:$U$803,$B37&amp;"|"&amp;CB$5,'Competency Event Log'!$D$4:$D$803)))</f>
        <v/>
      </c>
      <c r="CC37" s="8" t="str">
        <f>IF($B37="","",IF(COUNTIF('Competency Event Log'!$U$4:$U$803,$B37&amp;"|"&amp;CC$5)=0,"",SUMIF('Competency Event Log'!$U$4:$U$803,$B37&amp;"|"&amp;CC$5,'Competency Event Log'!$D$4:$D$803)))</f>
        <v/>
      </c>
      <c r="CD37" s="8" t="str">
        <f>IF($B37="","",IF(COUNTIF('Competency Event Log'!$U$4:$U$803,$B37&amp;"|"&amp;CD$5)=0,"",SUMIF('Competency Event Log'!$U$4:$U$803,$B37&amp;"|"&amp;CD$5,'Competency Event Log'!$D$4:$D$803)))</f>
        <v/>
      </c>
      <c r="CE37" s="8" t="str">
        <f>IF($B37="","",IF(COUNTIF('Competency Event Log'!$U$4:$U$803,$B37&amp;"|"&amp;CE$5)=0,"",SUMIF('Competency Event Log'!$U$4:$U$803,$B37&amp;"|"&amp;CE$5,'Competency Event Log'!$D$4:$D$803)))</f>
        <v/>
      </c>
      <c r="CF37" s="8" t="str">
        <f>IF($B37="","",IF(COUNTIF('Competency Event Log'!$U$4:$U$803,$B37&amp;"|"&amp;CF$5)=0,"",SUMIF('Competency Event Log'!$U$4:$U$803,$B37&amp;"|"&amp;CF$5,'Competency Event Log'!$D$4:$D$803)))</f>
        <v/>
      </c>
      <c r="CG37" s="8" t="str">
        <f>IF($B37="","",IF(COUNTIF('Competency Event Log'!$U$4:$U$803,$B37&amp;"|"&amp;CG$5)=0,"",SUMIF('Competency Event Log'!$U$4:$U$803,$B37&amp;"|"&amp;CG$5,'Competency Event Log'!$D$4:$D$803)))</f>
        <v/>
      </c>
      <c r="CH37" s="8" t="str">
        <f>IF($B37="","",IF(COUNTIF('Competency Event Log'!$U$4:$U$803,$B37&amp;"|"&amp;CH$5)=0,"",SUMIF('Competency Event Log'!$U$4:$U$803,$B37&amp;"|"&amp;CH$5,'Competency Event Log'!$D$4:$D$803)))</f>
        <v/>
      </c>
      <c r="CI37" s="8" t="str">
        <f>IF($B37="","",IF(COUNTIF('Competency Event Log'!$U$4:$U$803,$B37&amp;"|"&amp;CI$5)=0,"",SUMIF('Competency Event Log'!$U$4:$U$803,$B37&amp;"|"&amp;CI$5,'Competency Event Log'!$D$4:$D$803)))</f>
        <v/>
      </c>
      <c r="CJ37" s="8" t="str">
        <f>IF($B37="","",IF(COUNTIF('Competency Event Log'!$U$4:$U$803,$B37&amp;"|"&amp;CJ$5)=0,"",SUMIF('Competency Event Log'!$U$4:$U$803,$B37&amp;"|"&amp;CJ$5,'Competency Event Log'!$D$4:$D$803)))</f>
        <v/>
      </c>
      <c r="CK37" s="8" t="str">
        <f>IF($B37="","",IF(COUNTIF('Competency Event Log'!$U$4:$U$803,$B37&amp;"|"&amp;CK$5)=0,"",SUMIF('Competency Event Log'!$U$4:$U$803,$B37&amp;"|"&amp;CK$5,'Competency Event Log'!$D$4:$D$803)))</f>
        <v/>
      </c>
      <c r="CL37" s="8" t="str">
        <f>IF($B37="","",IF(COUNTIF('Competency Event Log'!$U$4:$U$803,$B37&amp;"|"&amp;CL$5)=0,"",SUMIF('Competency Event Log'!$U$4:$U$803,$B37&amp;"|"&amp;CL$5,'Competency Event Log'!$D$4:$D$803)))</f>
        <v/>
      </c>
      <c r="CM37" s="8" t="str">
        <f>IF($B37="","",IF(COUNTIF('Competency Event Log'!$U$4:$U$803,$B37&amp;"|"&amp;CM$5)=0,"",SUMIF('Competency Event Log'!$U$4:$U$803,$B37&amp;"|"&amp;CM$5,'Competency Event Log'!$D$4:$D$803)))</f>
        <v/>
      </c>
      <c r="CN37" s="8" t="str">
        <f>IF($B37="","",IF(COUNTIF('Competency Event Log'!$U$4:$U$803,$B37&amp;"|"&amp;CN$5)=0,"",SUMIF('Competency Event Log'!$U$4:$U$803,$B37&amp;"|"&amp;CN$5,'Competency Event Log'!$D$4:$D$803)))</f>
        <v/>
      </c>
      <c r="CO37" s="8" t="str">
        <f>IF($B37="","",IF(COUNTIF('Competency Event Log'!$U$4:$U$803,$B37&amp;"|"&amp;CO$5)=0,"",SUMIF('Competency Event Log'!$U$4:$U$803,$B37&amp;"|"&amp;CO$5,'Competency Event Log'!$D$4:$D$803)))</f>
        <v/>
      </c>
      <c r="CP37" s="8" t="str">
        <f>IF($B37="","",IF(COUNTIF('Competency Event Log'!$U$4:$U$803,$B37&amp;"|"&amp;CP$5)=0,"",SUMIF('Competency Event Log'!$U$4:$U$803,$B37&amp;"|"&amp;CP$5,'Competency Event Log'!$D$4:$D$803)))</f>
        <v/>
      </c>
      <c r="CQ37" s="8" t="str">
        <f>IF($B37="","",IF(COUNTIF('Competency Event Log'!$U$4:$U$803,$B37&amp;"|"&amp;CQ$5)=0,"",SUMIF('Competency Event Log'!$U$4:$U$803,$B37&amp;"|"&amp;CQ$5,'Competency Event Log'!$D$4:$D$803)))</f>
        <v/>
      </c>
      <c r="CR37" s="8" t="str">
        <f>IF($B37="","",IF(COUNTIF('Competency Event Log'!$U$4:$U$803,$B37&amp;"|"&amp;CR$5)=0,"",SUMIF('Competency Event Log'!$U$4:$U$803,$B37&amp;"|"&amp;CR$5,'Competency Event Log'!$D$4:$D$803)))</f>
        <v/>
      </c>
      <c r="CS37" s="8" t="str">
        <f>IF($B37="","",IF(COUNTIF('Competency Event Log'!$U$4:$U$803,$B37&amp;"|"&amp;CS$5)=0,"",SUMIF('Competency Event Log'!$U$4:$U$803,$B37&amp;"|"&amp;CS$5,'Competency Event Log'!$D$4:$D$803)))</f>
        <v/>
      </c>
      <c r="CT37" s="8" t="str">
        <f>IF($B37="","",IF(COUNTIF('Competency Event Log'!$U$4:$U$803,$B37&amp;"|"&amp;CT$5)=0,"",SUMIF('Competency Event Log'!$U$4:$U$803,$B37&amp;"|"&amp;CT$5,'Competency Event Log'!$D$4:$D$803)))</f>
        <v/>
      </c>
      <c r="CU37" s="8">
        <f>IF($B37="","",IF(COUNTIF('Competency Event Log'!$U$4:$U$803,$B37&amp;"|"&amp;CU$5)=0,"",SUMIF('Competency Event Log'!$U$4:$U$803,$B37&amp;"|"&amp;CU$5,'Competency Event Log'!$D$4:$D$803)))</f>
        <v>2</v>
      </c>
      <c r="CV37" s="8" t="str">
        <f>IF($B37="","",IF(COUNTIF('Competency Event Log'!$U$4:$U$803,$B37&amp;"|"&amp;CV$5)=0,"",SUMIF('Competency Event Log'!$U$4:$U$803,$B37&amp;"|"&amp;CV$5,'Competency Event Log'!$D$4:$D$803)))</f>
        <v/>
      </c>
      <c r="CW37" s="8" t="str">
        <f>IF($B37="","",IF(COUNTIF('Competency Event Log'!$U$4:$U$803,$B37&amp;"|"&amp;CW$5)=0,"",SUMIF('Competency Event Log'!$U$4:$U$803,$B37&amp;"|"&amp;CW$5,'Competency Event Log'!$D$4:$D$803)))</f>
        <v/>
      </c>
      <c r="CX37" s="8" t="str">
        <f>IF($B37="","",IF(COUNTIF('Competency Event Log'!$U$4:$U$803,$B37&amp;"|"&amp;CX$5)=0,"",SUMIF('Competency Event Log'!$U$4:$U$803,$B37&amp;"|"&amp;CX$5,'Competency Event Log'!$D$4:$D$803)))</f>
        <v/>
      </c>
      <c r="CY37" s="8" t="str">
        <f>IF($B37="","",IF(COUNTIF('Competency Event Log'!$U$4:$U$803,$B37&amp;"|"&amp;CY$5)=0,"",SUMIF('Competency Event Log'!$U$4:$U$803,$B37&amp;"|"&amp;CY$5,'Competency Event Log'!$D$4:$D$803)))</f>
        <v/>
      </c>
      <c r="CZ37" s="8" t="str">
        <f>IF($B37="","",IF(COUNTIF('Competency Event Log'!$U$4:$U$803,$B37&amp;"|"&amp;CZ$5)=0,"",SUMIF('Competency Event Log'!$U$4:$U$803,$B37&amp;"|"&amp;CZ$5,'Competency Event Log'!$D$4:$D$803)))</f>
        <v/>
      </c>
      <c r="DA37" s="8" t="str">
        <f>IF($B37="","",IF(COUNTIF('Competency Event Log'!$U$4:$U$803,$B37&amp;"|"&amp;DA$5)=0,"",SUMIF('Competency Event Log'!$U$4:$U$803,$B37&amp;"|"&amp;DA$5,'Competency Event Log'!$D$4:$D$803)))</f>
        <v/>
      </c>
      <c r="DB37" s="8" t="str">
        <f>IF($B37="","",IF(COUNTIF('Competency Event Log'!$U$4:$U$803,$B37&amp;"|"&amp;DB$5)=0,"",SUMIF('Competency Event Log'!$U$4:$U$803,$B37&amp;"|"&amp;DB$5,'Competency Event Log'!$D$4:$D$803)))</f>
        <v/>
      </c>
      <c r="DC37" s="8" t="str">
        <f>IF($B37="","",IF(COUNTIF('Competency Event Log'!$U$4:$U$803,$B37&amp;"|"&amp;DC$5)=0,"",SUMIF('Competency Event Log'!$U$4:$U$803,$B37&amp;"|"&amp;DC$5,'Competency Event Log'!$D$4:$D$803)))</f>
        <v/>
      </c>
      <c r="DD37" s="8">
        <f>IF($B37="","",IF(COUNTIF('Competency Event Log'!$U$4:$U$803,$B37&amp;"|"&amp;DD$5)=0,"",SUMIF('Competency Event Log'!$U$4:$U$803,$B37&amp;"|"&amp;DD$5,'Competency Event Log'!$D$4:$D$803)))</f>
        <v>1</v>
      </c>
      <c r="DE37" s="8" t="str">
        <f>IF($B37="","",IF(COUNTIF('Competency Event Log'!$U$4:$U$803,$B37&amp;"|"&amp;DE$5)=0,"",SUMIF('Competency Event Log'!$U$4:$U$803,$B37&amp;"|"&amp;DE$5,'Competency Event Log'!$D$4:$D$803)))</f>
        <v/>
      </c>
      <c r="DF37" s="8">
        <f t="shared" si="0"/>
        <v>26</v>
      </c>
      <c r="DG37" s="8">
        <f t="shared" si="1"/>
        <v>11</v>
      </c>
      <c r="DH37" s="8">
        <f t="shared" si="2"/>
        <v>6</v>
      </c>
      <c r="DI37" s="11">
        <f t="shared" si="3"/>
        <v>0.41176470588235292</v>
      </c>
    </row>
    <row r="38" spans="1:113">
      <c r="A38" s="7" t="s">
        <v>309</v>
      </c>
      <c r="B38" s="7" t="s">
        <v>145</v>
      </c>
      <c r="C38" s="8">
        <v>3</v>
      </c>
      <c r="D38" s="9" t="s">
        <v>1101</v>
      </c>
      <c r="E38" s="10">
        <v>45902</v>
      </c>
      <c r="F38" s="8" t="s">
        <v>1047</v>
      </c>
      <c r="G38" s="8" t="str">
        <f>IF($B38="","",IF(COUNTIF('Competency Event Log'!$U$4:$U$803,$B38&amp;"|"&amp;G$5)=0,"",SUMIF('Competency Event Log'!$U$4:$U$803,$B38&amp;"|"&amp;G$5,'Competency Event Log'!$D$4:$D$803)))</f>
        <v/>
      </c>
      <c r="H38" s="8" t="str">
        <f>IF($B38="","",IF(COUNTIF('Competency Event Log'!$U$4:$U$803,$B38&amp;"|"&amp;H$5)=0,"",SUMIF('Competency Event Log'!$U$4:$U$803,$B38&amp;"|"&amp;H$5,'Competency Event Log'!$D$4:$D$803)))</f>
        <v/>
      </c>
      <c r="I38" s="8" t="str">
        <f>IF($B38="","",IF(COUNTIF('Competency Event Log'!$U$4:$U$803,$B38&amp;"|"&amp;I$5)=0,"",SUMIF('Competency Event Log'!$U$4:$U$803,$B38&amp;"|"&amp;I$5,'Competency Event Log'!$D$4:$D$803)))</f>
        <v/>
      </c>
      <c r="J38" s="8" t="str">
        <f>IF($B38="","",IF(COUNTIF('Competency Event Log'!$U$4:$U$803,$B38&amp;"|"&amp;J$5)=0,"",SUMIF('Competency Event Log'!$U$4:$U$803,$B38&amp;"|"&amp;J$5,'Competency Event Log'!$D$4:$D$803)))</f>
        <v/>
      </c>
      <c r="K38" s="8" t="str">
        <f>IF($B38="","",IF(COUNTIF('Competency Event Log'!$U$4:$U$803,$B38&amp;"|"&amp;K$5)=0,"",SUMIF('Competency Event Log'!$U$4:$U$803,$B38&amp;"|"&amp;K$5,'Competency Event Log'!$D$4:$D$803)))</f>
        <v/>
      </c>
      <c r="L38" s="8" t="str">
        <f>IF($B38="","",IF(COUNTIF('Competency Event Log'!$U$4:$U$803,$B38&amp;"|"&amp;L$5)=0,"",SUMIF('Competency Event Log'!$U$4:$U$803,$B38&amp;"|"&amp;L$5,'Competency Event Log'!$D$4:$D$803)))</f>
        <v/>
      </c>
      <c r="M38" s="8" t="str">
        <f>IF($B38="","",IF(COUNTIF('Competency Event Log'!$U$4:$U$803,$B38&amp;"|"&amp;M$5)=0,"",SUMIF('Competency Event Log'!$U$4:$U$803,$B38&amp;"|"&amp;M$5,'Competency Event Log'!$D$4:$D$803)))</f>
        <v/>
      </c>
      <c r="N38" s="8" t="str">
        <f>IF($B38="","",IF(COUNTIF('Competency Event Log'!$U$4:$U$803,$B38&amp;"|"&amp;N$5)=0,"",SUMIF('Competency Event Log'!$U$4:$U$803,$B38&amp;"|"&amp;N$5,'Competency Event Log'!$D$4:$D$803)))</f>
        <v/>
      </c>
      <c r="O38" s="8" t="str">
        <f>IF($B38="","",IF(COUNTIF('Competency Event Log'!$U$4:$U$803,$B38&amp;"|"&amp;O$5)=0,"",SUMIF('Competency Event Log'!$U$4:$U$803,$B38&amp;"|"&amp;O$5,'Competency Event Log'!$D$4:$D$803)))</f>
        <v/>
      </c>
      <c r="P38" s="8" t="str">
        <f>IF($B38="","",IF(COUNTIF('Competency Event Log'!$U$4:$U$803,$B38&amp;"|"&amp;P$5)=0,"",SUMIF('Competency Event Log'!$U$4:$U$803,$B38&amp;"|"&amp;P$5,'Competency Event Log'!$D$4:$D$803)))</f>
        <v/>
      </c>
      <c r="Q38" s="8" t="str">
        <f>IF($B38="","",IF(COUNTIF('Competency Event Log'!$U$4:$U$803,$B38&amp;"|"&amp;Q$5)=0,"",SUMIF('Competency Event Log'!$U$4:$U$803,$B38&amp;"|"&amp;Q$5,'Competency Event Log'!$D$4:$D$803)))</f>
        <v/>
      </c>
      <c r="R38" s="8" t="str">
        <f>IF($B38="","",IF(COUNTIF('Competency Event Log'!$U$4:$U$803,$B38&amp;"|"&amp;R$5)=0,"",SUMIF('Competency Event Log'!$U$4:$U$803,$B38&amp;"|"&amp;R$5,'Competency Event Log'!$D$4:$D$803)))</f>
        <v/>
      </c>
      <c r="S38" s="8" t="str">
        <f>IF($B38="","",IF(COUNTIF('Competency Event Log'!$U$4:$U$803,$B38&amp;"|"&amp;S$5)=0,"",SUMIF('Competency Event Log'!$U$4:$U$803,$B38&amp;"|"&amp;S$5,'Competency Event Log'!$D$4:$D$803)))</f>
        <v/>
      </c>
      <c r="T38" s="8" t="str">
        <f>IF($B38="","",IF(COUNTIF('Competency Event Log'!$U$4:$U$803,$B38&amp;"|"&amp;T$5)=0,"",SUMIF('Competency Event Log'!$U$4:$U$803,$B38&amp;"|"&amp;T$5,'Competency Event Log'!$D$4:$D$803)))</f>
        <v/>
      </c>
      <c r="U38" s="8" t="str">
        <f>IF($B38="","",IF(COUNTIF('Competency Event Log'!$U$4:$U$803,$B38&amp;"|"&amp;U$5)=0,"",SUMIF('Competency Event Log'!$U$4:$U$803,$B38&amp;"|"&amp;U$5,'Competency Event Log'!$D$4:$D$803)))</f>
        <v/>
      </c>
      <c r="V38" s="8" t="str">
        <f>IF($B38="","",IF(COUNTIF('Competency Event Log'!$U$4:$U$803,$B38&amp;"|"&amp;V$5)=0,"",SUMIF('Competency Event Log'!$U$4:$U$803,$B38&amp;"|"&amp;V$5,'Competency Event Log'!$D$4:$D$803)))</f>
        <v/>
      </c>
      <c r="W38" s="8" t="str">
        <f>IF($B38="","",IF(COUNTIF('Competency Event Log'!$U$4:$U$803,$B38&amp;"|"&amp;W$5)=0,"",SUMIF('Competency Event Log'!$U$4:$U$803,$B38&amp;"|"&amp;W$5,'Competency Event Log'!$D$4:$D$803)))</f>
        <v/>
      </c>
      <c r="X38" s="8" t="str">
        <f>IF($B38="","",IF(COUNTIF('Competency Event Log'!$U$4:$U$803,$B38&amp;"|"&amp;X$5)=0,"",SUMIF('Competency Event Log'!$U$4:$U$803,$B38&amp;"|"&amp;X$5,'Competency Event Log'!$D$4:$D$803)))</f>
        <v/>
      </c>
      <c r="Y38" s="8" t="str">
        <f>IF($B38="","",IF(COUNTIF('Competency Event Log'!$U$4:$U$803,$B38&amp;"|"&amp;Y$5)=0,"",SUMIF('Competency Event Log'!$U$4:$U$803,$B38&amp;"|"&amp;Y$5,'Competency Event Log'!$D$4:$D$803)))</f>
        <v/>
      </c>
      <c r="Z38" s="8" t="str">
        <f>IF($B38="","",IF(COUNTIF('Competency Event Log'!$U$4:$U$803,$B38&amp;"|"&amp;Z$5)=0,"",SUMIF('Competency Event Log'!$U$4:$U$803,$B38&amp;"|"&amp;Z$5,'Competency Event Log'!$D$4:$D$803)))</f>
        <v/>
      </c>
      <c r="AA38" s="8" t="str">
        <f>IF($B38="","",IF(COUNTIF('Competency Event Log'!$U$4:$U$803,$B38&amp;"|"&amp;AA$5)=0,"",SUMIF('Competency Event Log'!$U$4:$U$803,$B38&amp;"|"&amp;AA$5,'Competency Event Log'!$D$4:$D$803)))</f>
        <v/>
      </c>
      <c r="AB38" s="8" t="str">
        <f>IF($B38="","",IF(COUNTIF('Competency Event Log'!$U$4:$U$803,$B38&amp;"|"&amp;AB$5)=0,"",SUMIF('Competency Event Log'!$U$4:$U$803,$B38&amp;"|"&amp;AB$5,'Competency Event Log'!$D$4:$D$803)))</f>
        <v/>
      </c>
      <c r="AC38" s="8" t="str">
        <f>IF($B38="","",IF(COUNTIF('Competency Event Log'!$U$4:$U$803,$B38&amp;"|"&amp;AC$5)=0,"",SUMIF('Competency Event Log'!$U$4:$U$803,$B38&amp;"|"&amp;AC$5,'Competency Event Log'!$D$4:$D$803)))</f>
        <v/>
      </c>
      <c r="AD38" s="8" t="str">
        <f>IF($B38="","",IF(COUNTIF('Competency Event Log'!$U$4:$U$803,$B38&amp;"|"&amp;AD$5)=0,"",SUMIF('Competency Event Log'!$U$4:$U$803,$B38&amp;"|"&amp;AD$5,'Competency Event Log'!$D$4:$D$803)))</f>
        <v/>
      </c>
      <c r="AE38" s="8" t="str">
        <f>IF($B38="","",IF(COUNTIF('Competency Event Log'!$U$4:$U$803,$B38&amp;"|"&amp;AE$5)=0,"",SUMIF('Competency Event Log'!$U$4:$U$803,$B38&amp;"|"&amp;AE$5,'Competency Event Log'!$D$4:$D$803)))</f>
        <v/>
      </c>
      <c r="AF38" s="8" t="str">
        <f>IF($B38="","",IF(COUNTIF('Competency Event Log'!$U$4:$U$803,$B38&amp;"|"&amp;AF$5)=0,"",SUMIF('Competency Event Log'!$U$4:$U$803,$B38&amp;"|"&amp;AF$5,'Competency Event Log'!$D$4:$D$803)))</f>
        <v/>
      </c>
      <c r="AG38" s="8" t="str">
        <f>IF($B38="","",IF(COUNTIF('Competency Event Log'!$U$4:$U$803,$B38&amp;"|"&amp;AG$5)=0,"",SUMIF('Competency Event Log'!$U$4:$U$803,$B38&amp;"|"&amp;AG$5,'Competency Event Log'!$D$4:$D$803)))</f>
        <v/>
      </c>
      <c r="AH38" s="8" t="str">
        <f>IF($B38="","",IF(COUNTIF('Competency Event Log'!$U$4:$U$803,$B38&amp;"|"&amp;AH$5)=0,"",SUMIF('Competency Event Log'!$U$4:$U$803,$B38&amp;"|"&amp;AH$5,'Competency Event Log'!$D$4:$D$803)))</f>
        <v/>
      </c>
      <c r="AI38" s="8" t="str">
        <f>IF($B38="","",IF(COUNTIF('Competency Event Log'!$U$4:$U$803,$B38&amp;"|"&amp;AI$5)=0,"",SUMIF('Competency Event Log'!$U$4:$U$803,$B38&amp;"|"&amp;AI$5,'Competency Event Log'!$D$4:$D$803)))</f>
        <v/>
      </c>
      <c r="AJ38" s="8" t="str">
        <f>IF($B38="","",IF(COUNTIF('Competency Event Log'!$U$4:$U$803,$B38&amp;"|"&amp;AJ$5)=0,"",SUMIF('Competency Event Log'!$U$4:$U$803,$B38&amp;"|"&amp;AJ$5,'Competency Event Log'!$D$4:$D$803)))</f>
        <v/>
      </c>
      <c r="AK38" s="8" t="str">
        <f>IF($B38="","",IF(COUNTIF('Competency Event Log'!$U$4:$U$803,$B38&amp;"|"&amp;AK$5)=0,"",SUMIF('Competency Event Log'!$U$4:$U$803,$B38&amp;"|"&amp;AK$5,'Competency Event Log'!$D$4:$D$803)))</f>
        <v/>
      </c>
      <c r="AL38" s="8" t="str">
        <f>IF($B38="","",IF(COUNTIF('Competency Event Log'!$U$4:$U$803,$B38&amp;"|"&amp;AL$5)=0,"",SUMIF('Competency Event Log'!$U$4:$U$803,$B38&amp;"|"&amp;AL$5,'Competency Event Log'!$D$4:$D$803)))</f>
        <v/>
      </c>
      <c r="AM38" s="8" t="str">
        <f>IF($B38="","",IF(COUNTIF('Competency Event Log'!$U$4:$U$803,$B38&amp;"|"&amp;AM$5)=0,"",SUMIF('Competency Event Log'!$U$4:$U$803,$B38&amp;"|"&amp;AM$5,'Competency Event Log'!$D$4:$D$803)))</f>
        <v/>
      </c>
      <c r="AN38" s="8" t="str">
        <f>IF($B38="","",IF(COUNTIF('Competency Event Log'!$U$4:$U$803,$B38&amp;"|"&amp;AN$5)=0,"",SUMIF('Competency Event Log'!$U$4:$U$803,$B38&amp;"|"&amp;AN$5,'Competency Event Log'!$D$4:$D$803)))</f>
        <v/>
      </c>
      <c r="AO38" s="8">
        <f>IF($B38="","",IF(COUNTIF('Competency Event Log'!$U$4:$U$803,$B38&amp;"|"&amp;AO$5)=0,"",SUMIF('Competency Event Log'!$U$4:$U$803,$B38&amp;"|"&amp;AO$5,'Competency Event Log'!$D$4:$D$803)))</f>
        <v>2</v>
      </c>
      <c r="AP38" s="8" t="str">
        <f>IF($B38="","",IF(COUNTIF('Competency Event Log'!$U$4:$U$803,$B38&amp;"|"&amp;AP$5)=0,"",SUMIF('Competency Event Log'!$U$4:$U$803,$B38&amp;"|"&amp;AP$5,'Competency Event Log'!$D$4:$D$803)))</f>
        <v/>
      </c>
      <c r="AQ38" s="8" t="str">
        <f>IF($B38="","",IF(COUNTIF('Competency Event Log'!$U$4:$U$803,$B38&amp;"|"&amp;AQ$5)=0,"",SUMIF('Competency Event Log'!$U$4:$U$803,$B38&amp;"|"&amp;AQ$5,'Competency Event Log'!$D$4:$D$803)))</f>
        <v/>
      </c>
      <c r="AR38" s="8" t="str">
        <f>IF($B38="","",IF(COUNTIF('Competency Event Log'!$U$4:$U$803,$B38&amp;"|"&amp;AR$5)=0,"",SUMIF('Competency Event Log'!$U$4:$U$803,$B38&amp;"|"&amp;AR$5,'Competency Event Log'!$D$4:$D$803)))</f>
        <v/>
      </c>
      <c r="AS38" s="8" t="str">
        <f>IF($B38="","",IF(COUNTIF('Competency Event Log'!$U$4:$U$803,$B38&amp;"|"&amp;AS$5)=0,"",SUMIF('Competency Event Log'!$U$4:$U$803,$B38&amp;"|"&amp;AS$5,'Competency Event Log'!$D$4:$D$803)))</f>
        <v/>
      </c>
      <c r="AT38" s="8" t="str">
        <f>IF($B38="","",IF(COUNTIF('Competency Event Log'!$U$4:$U$803,$B38&amp;"|"&amp;AT$5)=0,"",SUMIF('Competency Event Log'!$U$4:$U$803,$B38&amp;"|"&amp;AT$5,'Competency Event Log'!$D$4:$D$803)))</f>
        <v/>
      </c>
      <c r="AU38" s="8" t="str">
        <f>IF($B38="","",IF(COUNTIF('Competency Event Log'!$U$4:$U$803,$B38&amp;"|"&amp;AU$5)=0,"",SUMIF('Competency Event Log'!$U$4:$U$803,$B38&amp;"|"&amp;AU$5,'Competency Event Log'!$D$4:$D$803)))</f>
        <v/>
      </c>
      <c r="AV38" s="8" t="str">
        <f>IF($B38="","",IF(COUNTIF('Competency Event Log'!$U$4:$U$803,$B38&amp;"|"&amp;AV$5)=0,"",SUMIF('Competency Event Log'!$U$4:$U$803,$B38&amp;"|"&amp;AV$5,'Competency Event Log'!$D$4:$D$803)))</f>
        <v/>
      </c>
      <c r="AW38" s="8" t="str">
        <f>IF($B38="","",IF(COUNTIF('Competency Event Log'!$U$4:$U$803,$B38&amp;"|"&amp;AW$5)=0,"",SUMIF('Competency Event Log'!$U$4:$U$803,$B38&amp;"|"&amp;AW$5,'Competency Event Log'!$D$4:$D$803)))</f>
        <v/>
      </c>
      <c r="AX38" s="8" t="str">
        <f>IF($B38="","",IF(COUNTIF('Competency Event Log'!$U$4:$U$803,$B38&amp;"|"&amp;AX$5)=0,"",SUMIF('Competency Event Log'!$U$4:$U$803,$B38&amp;"|"&amp;AX$5,'Competency Event Log'!$D$4:$D$803)))</f>
        <v/>
      </c>
      <c r="AY38" s="8" t="str">
        <f>IF($B38="","",IF(COUNTIF('Competency Event Log'!$U$4:$U$803,$B38&amp;"|"&amp;AY$5)=0,"",SUMIF('Competency Event Log'!$U$4:$U$803,$B38&amp;"|"&amp;AY$5,'Competency Event Log'!$D$4:$D$803)))</f>
        <v/>
      </c>
      <c r="AZ38" s="8" t="str">
        <f>IF($B38="","",IF(COUNTIF('Competency Event Log'!$U$4:$U$803,$B38&amp;"|"&amp;AZ$5)=0,"",SUMIF('Competency Event Log'!$U$4:$U$803,$B38&amp;"|"&amp;AZ$5,'Competency Event Log'!$D$4:$D$803)))</f>
        <v/>
      </c>
      <c r="BA38" s="8" t="str">
        <f>IF($B38="","",IF(COUNTIF('Competency Event Log'!$U$4:$U$803,$B38&amp;"|"&amp;BA$5)=0,"",SUMIF('Competency Event Log'!$U$4:$U$803,$B38&amp;"|"&amp;BA$5,'Competency Event Log'!$D$4:$D$803)))</f>
        <v/>
      </c>
      <c r="BB38" s="8" t="str">
        <f>IF($B38="","",IF(COUNTIF('Competency Event Log'!$U$4:$U$803,$B38&amp;"|"&amp;BB$5)=0,"",SUMIF('Competency Event Log'!$U$4:$U$803,$B38&amp;"|"&amp;BB$5,'Competency Event Log'!$D$4:$D$803)))</f>
        <v/>
      </c>
      <c r="BC38" s="8" t="str">
        <f>IF($B38="","",IF(COUNTIF('Competency Event Log'!$U$4:$U$803,$B38&amp;"|"&amp;BC$5)=0,"",SUMIF('Competency Event Log'!$U$4:$U$803,$B38&amp;"|"&amp;BC$5,'Competency Event Log'!$D$4:$D$803)))</f>
        <v/>
      </c>
      <c r="BD38" s="8" t="str">
        <f>IF($B38="","",IF(COUNTIF('Competency Event Log'!$U$4:$U$803,$B38&amp;"|"&amp;BD$5)=0,"",SUMIF('Competency Event Log'!$U$4:$U$803,$B38&amp;"|"&amp;BD$5,'Competency Event Log'!$D$4:$D$803)))</f>
        <v/>
      </c>
      <c r="BE38" s="8" t="str">
        <f>IF($B38="","",IF(COUNTIF('Competency Event Log'!$U$4:$U$803,$B38&amp;"|"&amp;BE$5)=0,"",SUMIF('Competency Event Log'!$U$4:$U$803,$B38&amp;"|"&amp;BE$5,'Competency Event Log'!$D$4:$D$803)))</f>
        <v/>
      </c>
      <c r="BF38" s="8">
        <f>IF($B38="","",IF(COUNTIF('Competency Event Log'!$U$4:$U$803,$B38&amp;"|"&amp;BF$5)=0,"",SUMIF('Competency Event Log'!$U$4:$U$803,$B38&amp;"|"&amp;BF$5,'Competency Event Log'!$D$4:$D$803)))</f>
        <v>3</v>
      </c>
      <c r="BG38" s="8" t="str">
        <f>IF($B38="","",IF(COUNTIF('Competency Event Log'!$U$4:$U$803,$B38&amp;"|"&amp;BG$5)=0,"",SUMIF('Competency Event Log'!$U$4:$U$803,$B38&amp;"|"&amp;BG$5,'Competency Event Log'!$D$4:$D$803)))</f>
        <v/>
      </c>
      <c r="BH38" s="8" t="str">
        <f>IF($B38="","",IF(COUNTIF('Competency Event Log'!$U$4:$U$803,$B38&amp;"|"&amp;BH$5)=0,"",SUMIF('Competency Event Log'!$U$4:$U$803,$B38&amp;"|"&amp;BH$5,'Competency Event Log'!$D$4:$D$803)))</f>
        <v/>
      </c>
      <c r="BI38" s="8">
        <f>IF($B38="","",IF(COUNTIF('Competency Event Log'!$U$4:$U$803,$B38&amp;"|"&amp;BI$5)=0,"",SUMIF('Competency Event Log'!$U$4:$U$803,$B38&amp;"|"&amp;BI$5,'Competency Event Log'!$D$4:$D$803)))</f>
        <v>2</v>
      </c>
      <c r="BJ38" s="8">
        <f>IF($B38="","",IF(COUNTIF('Competency Event Log'!$U$4:$U$803,$B38&amp;"|"&amp;BJ$5)=0,"",SUMIF('Competency Event Log'!$U$4:$U$803,$B38&amp;"|"&amp;BJ$5,'Competency Event Log'!$D$4:$D$803)))</f>
        <v>3</v>
      </c>
      <c r="BK38" s="8" t="str">
        <f>IF($B38="","",IF(COUNTIF('Competency Event Log'!$U$4:$U$803,$B38&amp;"|"&amp;BK$5)=0,"",SUMIF('Competency Event Log'!$U$4:$U$803,$B38&amp;"|"&amp;BK$5,'Competency Event Log'!$D$4:$D$803)))</f>
        <v/>
      </c>
      <c r="BL38" s="8">
        <f>IF($B38="","",IF(COUNTIF('Competency Event Log'!$U$4:$U$803,$B38&amp;"|"&amp;BL$5)=0,"",SUMIF('Competency Event Log'!$U$4:$U$803,$B38&amp;"|"&amp;BL$5,'Competency Event Log'!$D$4:$D$803)))</f>
        <v>2</v>
      </c>
      <c r="BM38" s="8" t="str">
        <f>IF($B38="","",IF(COUNTIF('Competency Event Log'!$U$4:$U$803,$B38&amp;"|"&amp;BM$5)=0,"",SUMIF('Competency Event Log'!$U$4:$U$803,$B38&amp;"|"&amp;BM$5,'Competency Event Log'!$D$4:$D$803)))</f>
        <v/>
      </c>
      <c r="BN38" s="8" t="str">
        <f>IF($B38="","",IF(COUNTIF('Competency Event Log'!$U$4:$U$803,$B38&amp;"|"&amp;BN$5)=0,"",SUMIF('Competency Event Log'!$U$4:$U$803,$B38&amp;"|"&amp;BN$5,'Competency Event Log'!$D$4:$D$803)))</f>
        <v/>
      </c>
      <c r="BO38" s="8" t="str">
        <f>IF($B38="","",IF(COUNTIF('Competency Event Log'!$U$4:$U$803,$B38&amp;"|"&amp;BO$5)=0,"",SUMIF('Competency Event Log'!$U$4:$U$803,$B38&amp;"|"&amp;BO$5,'Competency Event Log'!$D$4:$D$803)))</f>
        <v/>
      </c>
      <c r="BP38" s="8" t="str">
        <f>IF($B38="","",IF(COUNTIF('Competency Event Log'!$U$4:$U$803,$B38&amp;"|"&amp;BP$5)=0,"",SUMIF('Competency Event Log'!$U$4:$U$803,$B38&amp;"|"&amp;BP$5,'Competency Event Log'!$D$4:$D$803)))</f>
        <v/>
      </c>
      <c r="BQ38" s="8">
        <f>IF($B38="","",IF(COUNTIF('Competency Event Log'!$U$4:$U$803,$B38&amp;"|"&amp;BQ$5)=0,"",SUMIF('Competency Event Log'!$U$4:$U$803,$B38&amp;"|"&amp;BQ$5,'Competency Event Log'!$D$4:$D$803)))</f>
        <v>3</v>
      </c>
      <c r="BR38" s="8">
        <f>IF($B38="","",IF(COUNTIF('Competency Event Log'!$U$4:$U$803,$B38&amp;"|"&amp;BR$5)=0,"",SUMIF('Competency Event Log'!$U$4:$U$803,$B38&amp;"|"&amp;BR$5,'Competency Event Log'!$D$4:$D$803)))</f>
        <v>3</v>
      </c>
      <c r="BS38" s="8">
        <f>IF($B38="","",IF(COUNTIF('Competency Event Log'!$U$4:$U$803,$B38&amp;"|"&amp;BS$5)=0,"",SUMIF('Competency Event Log'!$U$4:$U$803,$B38&amp;"|"&amp;BS$5,'Competency Event Log'!$D$4:$D$803)))</f>
        <v>3</v>
      </c>
      <c r="BT38" s="8" t="str">
        <f>IF($B38="","",IF(COUNTIF('Competency Event Log'!$U$4:$U$803,$B38&amp;"|"&amp;BT$5)=0,"",SUMIF('Competency Event Log'!$U$4:$U$803,$B38&amp;"|"&amp;BT$5,'Competency Event Log'!$D$4:$D$803)))</f>
        <v/>
      </c>
      <c r="BU38" s="8" t="str">
        <f>IF($B38="","",IF(COUNTIF('Competency Event Log'!$U$4:$U$803,$B38&amp;"|"&amp;BU$5)=0,"",SUMIF('Competency Event Log'!$U$4:$U$803,$B38&amp;"|"&amp;BU$5,'Competency Event Log'!$D$4:$D$803)))</f>
        <v/>
      </c>
      <c r="BV38" s="8">
        <f>IF($B38="","",IF(COUNTIF('Competency Event Log'!$U$4:$U$803,$B38&amp;"|"&amp;BV$5)=0,"",SUMIF('Competency Event Log'!$U$4:$U$803,$B38&amp;"|"&amp;BV$5,'Competency Event Log'!$D$4:$D$803)))</f>
        <v>3</v>
      </c>
      <c r="BW38" s="8" t="str">
        <f>IF($B38="","",IF(COUNTIF('Competency Event Log'!$U$4:$U$803,$B38&amp;"|"&amp;BW$5)=0,"",SUMIF('Competency Event Log'!$U$4:$U$803,$B38&amp;"|"&amp;BW$5,'Competency Event Log'!$D$4:$D$803)))</f>
        <v/>
      </c>
      <c r="BX38" s="8" t="str">
        <f>IF($B38="","",IF(COUNTIF('Competency Event Log'!$U$4:$U$803,$B38&amp;"|"&amp;BX$5)=0,"",SUMIF('Competency Event Log'!$U$4:$U$803,$B38&amp;"|"&amp;BX$5,'Competency Event Log'!$D$4:$D$803)))</f>
        <v/>
      </c>
      <c r="BY38" s="8">
        <f>IF($B38="","",IF(COUNTIF('Competency Event Log'!$U$4:$U$803,$B38&amp;"|"&amp;BY$5)=0,"",SUMIF('Competency Event Log'!$U$4:$U$803,$B38&amp;"|"&amp;BY$5,'Competency Event Log'!$D$4:$D$803)))</f>
        <v>2</v>
      </c>
      <c r="BZ38" s="8" t="str">
        <f>IF($B38="","",IF(COUNTIF('Competency Event Log'!$U$4:$U$803,$B38&amp;"|"&amp;BZ$5)=0,"",SUMIF('Competency Event Log'!$U$4:$U$803,$B38&amp;"|"&amp;BZ$5,'Competency Event Log'!$D$4:$D$803)))</f>
        <v/>
      </c>
      <c r="CA38" s="8" t="str">
        <f>IF($B38="","",IF(COUNTIF('Competency Event Log'!$U$4:$U$803,$B38&amp;"|"&amp;CA$5)=0,"",SUMIF('Competency Event Log'!$U$4:$U$803,$B38&amp;"|"&amp;CA$5,'Competency Event Log'!$D$4:$D$803)))</f>
        <v/>
      </c>
      <c r="CB38" s="8" t="str">
        <f>IF($B38="","",IF(COUNTIF('Competency Event Log'!$U$4:$U$803,$B38&amp;"|"&amp;CB$5)=0,"",SUMIF('Competency Event Log'!$U$4:$U$803,$B38&amp;"|"&amp;CB$5,'Competency Event Log'!$D$4:$D$803)))</f>
        <v/>
      </c>
      <c r="CC38" s="8" t="str">
        <f>IF($B38="","",IF(COUNTIF('Competency Event Log'!$U$4:$U$803,$B38&amp;"|"&amp;CC$5)=0,"",SUMIF('Competency Event Log'!$U$4:$U$803,$B38&amp;"|"&amp;CC$5,'Competency Event Log'!$D$4:$D$803)))</f>
        <v/>
      </c>
      <c r="CD38" s="8" t="str">
        <f>IF($B38="","",IF(COUNTIF('Competency Event Log'!$U$4:$U$803,$B38&amp;"|"&amp;CD$5)=0,"",SUMIF('Competency Event Log'!$U$4:$U$803,$B38&amp;"|"&amp;CD$5,'Competency Event Log'!$D$4:$D$803)))</f>
        <v/>
      </c>
      <c r="CE38" s="8" t="str">
        <f>IF($B38="","",IF(COUNTIF('Competency Event Log'!$U$4:$U$803,$B38&amp;"|"&amp;CE$5)=0,"",SUMIF('Competency Event Log'!$U$4:$U$803,$B38&amp;"|"&amp;CE$5,'Competency Event Log'!$D$4:$D$803)))</f>
        <v/>
      </c>
      <c r="CF38" s="8" t="str">
        <f>IF($B38="","",IF(COUNTIF('Competency Event Log'!$U$4:$U$803,$B38&amp;"|"&amp;CF$5)=0,"",SUMIF('Competency Event Log'!$U$4:$U$803,$B38&amp;"|"&amp;CF$5,'Competency Event Log'!$D$4:$D$803)))</f>
        <v/>
      </c>
      <c r="CG38" s="8">
        <f>IF($B38="","",IF(COUNTIF('Competency Event Log'!$U$4:$U$803,$B38&amp;"|"&amp;CG$5)=0,"",SUMIF('Competency Event Log'!$U$4:$U$803,$B38&amp;"|"&amp;CG$5,'Competency Event Log'!$D$4:$D$803)))</f>
        <v>3</v>
      </c>
      <c r="CH38" s="8" t="str">
        <f>IF($B38="","",IF(COUNTIF('Competency Event Log'!$U$4:$U$803,$B38&amp;"|"&amp;CH$5)=0,"",SUMIF('Competency Event Log'!$U$4:$U$803,$B38&amp;"|"&amp;CH$5,'Competency Event Log'!$D$4:$D$803)))</f>
        <v/>
      </c>
      <c r="CI38" s="8" t="str">
        <f>IF($B38="","",IF(COUNTIF('Competency Event Log'!$U$4:$U$803,$B38&amp;"|"&amp;CI$5)=0,"",SUMIF('Competency Event Log'!$U$4:$U$803,$B38&amp;"|"&amp;CI$5,'Competency Event Log'!$D$4:$D$803)))</f>
        <v/>
      </c>
      <c r="CJ38" s="8" t="str">
        <f>IF($B38="","",IF(COUNTIF('Competency Event Log'!$U$4:$U$803,$B38&amp;"|"&amp;CJ$5)=0,"",SUMIF('Competency Event Log'!$U$4:$U$803,$B38&amp;"|"&amp;CJ$5,'Competency Event Log'!$D$4:$D$803)))</f>
        <v/>
      </c>
      <c r="CK38" s="8" t="str">
        <f>IF($B38="","",IF(COUNTIF('Competency Event Log'!$U$4:$U$803,$B38&amp;"|"&amp;CK$5)=0,"",SUMIF('Competency Event Log'!$U$4:$U$803,$B38&amp;"|"&amp;CK$5,'Competency Event Log'!$D$4:$D$803)))</f>
        <v/>
      </c>
      <c r="CL38" s="8" t="str">
        <f>IF($B38="","",IF(COUNTIF('Competency Event Log'!$U$4:$U$803,$B38&amp;"|"&amp;CL$5)=0,"",SUMIF('Competency Event Log'!$U$4:$U$803,$B38&amp;"|"&amp;CL$5,'Competency Event Log'!$D$4:$D$803)))</f>
        <v/>
      </c>
      <c r="CM38" s="8" t="str">
        <f>IF($B38="","",IF(COUNTIF('Competency Event Log'!$U$4:$U$803,$B38&amp;"|"&amp;CM$5)=0,"",SUMIF('Competency Event Log'!$U$4:$U$803,$B38&amp;"|"&amp;CM$5,'Competency Event Log'!$D$4:$D$803)))</f>
        <v/>
      </c>
      <c r="CN38" s="8" t="str">
        <f>IF($B38="","",IF(COUNTIF('Competency Event Log'!$U$4:$U$803,$B38&amp;"|"&amp;CN$5)=0,"",SUMIF('Competency Event Log'!$U$4:$U$803,$B38&amp;"|"&amp;CN$5,'Competency Event Log'!$D$4:$D$803)))</f>
        <v/>
      </c>
      <c r="CO38" s="8" t="str">
        <f>IF($B38="","",IF(COUNTIF('Competency Event Log'!$U$4:$U$803,$B38&amp;"|"&amp;CO$5)=0,"",SUMIF('Competency Event Log'!$U$4:$U$803,$B38&amp;"|"&amp;CO$5,'Competency Event Log'!$D$4:$D$803)))</f>
        <v/>
      </c>
      <c r="CP38" s="8" t="str">
        <f>IF($B38="","",IF(COUNTIF('Competency Event Log'!$U$4:$U$803,$B38&amp;"|"&amp;CP$5)=0,"",SUMIF('Competency Event Log'!$U$4:$U$803,$B38&amp;"|"&amp;CP$5,'Competency Event Log'!$D$4:$D$803)))</f>
        <v/>
      </c>
      <c r="CQ38" s="8" t="str">
        <f>IF($B38="","",IF(COUNTIF('Competency Event Log'!$U$4:$U$803,$B38&amp;"|"&amp;CQ$5)=0,"",SUMIF('Competency Event Log'!$U$4:$U$803,$B38&amp;"|"&amp;CQ$5,'Competency Event Log'!$D$4:$D$803)))</f>
        <v/>
      </c>
      <c r="CR38" s="8" t="str">
        <f>IF($B38="","",IF(COUNTIF('Competency Event Log'!$U$4:$U$803,$B38&amp;"|"&amp;CR$5)=0,"",SUMIF('Competency Event Log'!$U$4:$U$803,$B38&amp;"|"&amp;CR$5,'Competency Event Log'!$D$4:$D$803)))</f>
        <v/>
      </c>
      <c r="CS38" s="8">
        <f>IF($B38="","",IF(COUNTIF('Competency Event Log'!$U$4:$U$803,$B38&amp;"|"&amp;CS$5)=0,"",SUMIF('Competency Event Log'!$U$4:$U$803,$B38&amp;"|"&amp;CS$5,'Competency Event Log'!$D$4:$D$803)))</f>
        <v>1</v>
      </c>
      <c r="CT38" s="8" t="str">
        <f>IF($B38="","",IF(COUNTIF('Competency Event Log'!$U$4:$U$803,$B38&amp;"|"&amp;CT$5)=0,"",SUMIF('Competency Event Log'!$U$4:$U$803,$B38&amp;"|"&amp;CT$5,'Competency Event Log'!$D$4:$D$803)))</f>
        <v/>
      </c>
      <c r="CU38" s="8" t="str">
        <f>IF($B38="","",IF(COUNTIF('Competency Event Log'!$U$4:$U$803,$B38&amp;"|"&amp;CU$5)=0,"",SUMIF('Competency Event Log'!$U$4:$U$803,$B38&amp;"|"&amp;CU$5,'Competency Event Log'!$D$4:$D$803)))</f>
        <v/>
      </c>
      <c r="CV38" s="8" t="str">
        <f>IF($B38="","",IF(COUNTIF('Competency Event Log'!$U$4:$U$803,$B38&amp;"|"&amp;CV$5)=0,"",SUMIF('Competency Event Log'!$U$4:$U$803,$B38&amp;"|"&amp;CV$5,'Competency Event Log'!$D$4:$D$803)))</f>
        <v/>
      </c>
      <c r="CW38" s="8" t="str">
        <f>IF($B38="","",IF(COUNTIF('Competency Event Log'!$U$4:$U$803,$B38&amp;"|"&amp;CW$5)=0,"",SUMIF('Competency Event Log'!$U$4:$U$803,$B38&amp;"|"&amp;CW$5,'Competency Event Log'!$D$4:$D$803)))</f>
        <v/>
      </c>
      <c r="CX38" s="8" t="str">
        <f>IF($B38="","",IF(COUNTIF('Competency Event Log'!$U$4:$U$803,$B38&amp;"|"&amp;CX$5)=0,"",SUMIF('Competency Event Log'!$U$4:$U$803,$B38&amp;"|"&amp;CX$5,'Competency Event Log'!$D$4:$D$803)))</f>
        <v/>
      </c>
      <c r="CY38" s="8" t="str">
        <f>IF($B38="","",IF(COUNTIF('Competency Event Log'!$U$4:$U$803,$B38&amp;"|"&amp;CY$5)=0,"",SUMIF('Competency Event Log'!$U$4:$U$803,$B38&amp;"|"&amp;CY$5,'Competency Event Log'!$D$4:$D$803)))</f>
        <v/>
      </c>
      <c r="CZ38" s="8" t="str">
        <f>IF($B38="","",IF(COUNTIF('Competency Event Log'!$U$4:$U$803,$B38&amp;"|"&amp;CZ$5)=0,"",SUMIF('Competency Event Log'!$U$4:$U$803,$B38&amp;"|"&amp;CZ$5,'Competency Event Log'!$D$4:$D$803)))</f>
        <v/>
      </c>
      <c r="DA38" s="8" t="str">
        <f>IF($B38="","",IF(COUNTIF('Competency Event Log'!$U$4:$U$803,$B38&amp;"|"&amp;DA$5)=0,"",SUMIF('Competency Event Log'!$U$4:$U$803,$B38&amp;"|"&amp;DA$5,'Competency Event Log'!$D$4:$D$803)))</f>
        <v/>
      </c>
      <c r="DB38" s="8" t="str">
        <f>IF($B38="","",IF(COUNTIF('Competency Event Log'!$U$4:$U$803,$B38&amp;"|"&amp;DB$5)=0,"",SUMIF('Competency Event Log'!$U$4:$U$803,$B38&amp;"|"&amp;DB$5,'Competency Event Log'!$D$4:$D$803)))</f>
        <v/>
      </c>
      <c r="DC38" s="8" t="str">
        <f>IF($B38="","",IF(COUNTIF('Competency Event Log'!$U$4:$U$803,$B38&amp;"|"&amp;DC$5)=0,"",SUMIF('Competency Event Log'!$U$4:$U$803,$B38&amp;"|"&amp;DC$5,'Competency Event Log'!$D$4:$D$803)))</f>
        <v/>
      </c>
      <c r="DD38" s="8" t="str">
        <f>IF($B38="","",IF(COUNTIF('Competency Event Log'!$U$4:$U$803,$B38&amp;"|"&amp;DD$5)=0,"",SUMIF('Competency Event Log'!$U$4:$U$803,$B38&amp;"|"&amp;DD$5,'Competency Event Log'!$D$4:$D$803)))</f>
        <v/>
      </c>
      <c r="DE38" s="8" t="str">
        <f>IF($B38="","",IF(COUNTIF('Competency Event Log'!$U$4:$U$803,$B38&amp;"|"&amp;DE$5)=0,"",SUMIF('Competency Event Log'!$U$4:$U$803,$B38&amp;"|"&amp;DE$5,'Competency Event Log'!$D$4:$D$803)))</f>
        <v/>
      </c>
      <c r="DF38" s="8">
        <f t="shared" ref="DF38:DF69" si="4">IF($B38="","",SUM($G38:$DE38))</f>
        <v>30</v>
      </c>
      <c r="DG38" s="8">
        <f t="shared" ref="DG38:DG69" si="5">IF($B38="","",COUNT($G38:$DE38))</f>
        <v>12</v>
      </c>
      <c r="DH38" s="8">
        <f t="shared" ref="DH38:DH69" si="6">IF($B38="","",COUNTIF($G38:$DE38,3))</f>
        <v>7</v>
      </c>
      <c r="DI38" s="11">
        <f t="shared" ref="DI38:DI69" si="7">IF($B38="","",IFERROR(SUMPRODUCT(--(($G$4:$DE$4=$A38)+($G$4:$DE$4="All Departments")&gt;0),--($G38:$DE38&lt;&gt;""))/(COUNTIF($G$4:$DE$4,$A38)+COUNTIF($G$4:$DE$4,"All Departments")),0))</f>
        <v>0.47058823529411764</v>
      </c>
    </row>
    <row r="39" spans="1:113">
      <c r="A39" s="7" t="s">
        <v>309</v>
      </c>
      <c r="B39" s="7" t="s">
        <v>148</v>
      </c>
      <c r="C39" s="8">
        <v>1</v>
      </c>
      <c r="D39" s="9" t="s">
        <v>1127</v>
      </c>
      <c r="E39" s="10">
        <v>43062</v>
      </c>
      <c r="F39" s="8" t="s">
        <v>1047</v>
      </c>
      <c r="G39" s="8" t="str">
        <f>IF($B39="","",IF(COUNTIF('Competency Event Log'!$U$4:$U$803,$B39&amp;"|"&amp;G$5)=0,"",SUMIF('Competency Event Log'!$U$4:$U$803,$B39&amp;"|"&amp;G$5,'Competency Event Log'!$D$4:$D$803)))</f>
        <v/>
      </c>
      <c r="H39" s="8" t="str">
        <f>IF($B39="","",IF(COUNTIF('Competency Event Log'!$U$4:$U$803,$B39&amp;"|"&amp;H$5)=0,"",SUMIF('Competency Event Log'!$U$4:$U$803,$B39&amp;"|"&amp;H$5,'Competency Event Log'!$D$4:$D$803)))</f>
        <v/>
      </c>
      <c r="I39" s="8" t="str">
        <f>IF($B39="","",IF(COUNTIF('Competency Event Log'!$U$4:$U$803,$B39&amp;"|"&amp;I$5)=0,"",SUMIF('Competency Event Log'!$U$4:$U$803,$B39&amp;"|"&amp;I$5,'Competency Event Log'!$D$4:$D$803)))</f>
        <v/>
      </c>
      <c r="J39" s="8" t="str">
        <f>IF($B39="","",IF(COUNTIF('Competency Event Log'!$U$4:$U$803,$B39&amp;"|"&amp;J$5)=0,"",SUMIF('Competency Event Log'!$U$4:$U$803,$B39&amp;"|"&amp;J$5,'Competency Event Log'!$D$4:$D$803)))</f>
        <v/>
      </c>
      <c r="K39" s="8" t="str">
        <f>IF($B39="","",IF(COUNTIF('Competency Event Log'!$U$4:$U$803,$B39&amp;"|"&amp;K$5)=0,"",SUMIF('Competency Event Log'!$U$4:$U$803,$B39&amp;"|"&amp;K$5,'Competency Event Log'!$D$4:$D$803)))</f>
        <v/>
      </c>
      <c r="L39" s="8" t="str">
        <f>IF($B39="","",IF(COUNTIF('Competency Event Log'!$U$4:$U$803,$B39&amp;"|"&amp;L$5)=0,"",SUMIF('Competency Event Log'!$U$4:$U$803,$B39&amp;"|"&amp;L$5,'Competency Event Log'!$D$4:$D$803)))</f>
        <v/>
      </c>
      <c r="M39" s="8" t="str">
        <f>IF($B39="","",IF(COUNTIF('Competency Event Log'!$U$4:$U$803,$B39&amp;"|"&amp;M$5)=0,"",SUMIF('Competency Event Log'!$U$4:$U$803,$B39&amp;"|"&amp;M$5,'Competency Event Log'!$D$4:$D$803)))</f>
        <v/>
      </c>
      <c r="N39" s="8" t="str">
        <f>IF($B39="","",IF(COUNTIF('Competency Event Log'!$U$4:$U$803,$B39&amp;"|"&amp;N$5)=0,"",SUMIF('Competency Event Log'!$U$4:$U$803,$B39&amp;"|"&amp;N$5,'Competency Event Log'!$D$4:$D$803)))</f>
        <v/>
      </c>
      <c r="O39" s="8" t="str">
        <f>IF($B39="","",IF(COUNTIF('Competency Event Log'!$U$4:$U$803,$B39&amp;"|"&amp;O$5)=0,"",SUMIF('Competency Event Log'!$U$4:$U$803,$B39&amp;"|"&amp;O$5,'Competency Event Log'!$D$4:$D$803)))</f>
        <v/>
      </c>
      <c r="P39" s="8" t="str">
        <f>IF($B39="","",IF(COUNTIF('Competency Event Log'!$U$4:$U$803,$B39&amp;"|"&amp;P$5)=0,"",SUMIF('Competency Event Log'!$U$4:$U$803,$B39&amp;"|"&amp;P$5,'Competency Event Log'!$D$4:$D$803)))</f>
        <v/>
      </c>
      <c r="Q39" s="8" t="str">
        <f>IF($B39="","",IF(COUNTIF('Competency Event Log'!$U$4:$U$803,$B39&amp;"|"&amp;Q$5)=0,"",SUMIF('Competency Event Log'!$U$4:$U$803,$B39&amp;"|"&amp;Q$5,'Competency Event Log'!$D$4:$D$803)))</f>
        <v/>
      </c>
      <c r="R39" s="8" t="str">
        <f>IF($B39="","",IF(COUNTIF('Competency Event Log'!$U$4:$U$803,$B39&amp;"|"&amp;R$5)=0,"",SUMIF('Competency Event Log'!$U$4:$U$803,$B39&amp;"|"&amp;R$5,'Competency Event Log'!$D$4:$D$803)))</f>
        <v/>
      </c>
      <c r="S39" s="8" t="str">
        <f>IF($B39="","",IF(COUNTIF('Competency Event Log'!$U$4:$U$803,$B39&amp;"|"&amp;S$5)=0,"",SUMIF('Competency Event Log'!$U$4:$U$803,$B39&amp;"|"&amp;S$5,'Competency Event Log'!$D$4:$D$803)))</f>
        <v/>
      </c>
      <c r="T39" s="8" t="str">
        <f>IF($B39="","",IF(COUNTIF('Competency Event Log'!$U$4:$U$803,$B39&amp;"|"&amp;T$5)=0,"",SUMIF('Competency Event Log'!$U$4:$U$803,$B39&amp;"|"&amp;T$5,'Competency Event Log'!$D$4:$D$803)))</f>
        <v/>
      </c>
      <c r="U39" s="8" t="str">
        <f>IF($B39="","",IF(COUNTIF('Competency Event Log'!$U$4:$U$803,$B39&amp;"|"&amp;U$5)=0,"",SUMIF('Competency Event Log'!$U$4:$U$803,$B39&amp;"|"&amp;U$5,'Competency Event Log'!$D$4:$D$803)))</f>
        <v/>
      </c>
      <c r="V39" s="8" t="str">
        <f>IF($B39="","",IF(COUNTIF('Competency Event Log'!$U$4:$U$803,$B39&amp;"|"&amp;V$5)=0,"",SUMIF('Competency Event Log'!$U$4:$U$803,$B39&amp;"|"&amp;V$5,'Competency Event Log'!$D$4:$D$803)))</f>
        <v/>
      </c>
      <c r="W39" s="8" t="str">
        <f>IF($B39="","",IF(COUNTIF('Competency Event Log'!$U$4:$U$803,$B39&amp;"|"&amp;W$5)=0,"",SUMIF('Competency Event Log'!$U$4:$U$803,$B39&amp;"|"&amp;W$5,'Competency Event Log'!$D$4:$D$803)))</f>
        <v/>
      </c>
      <c r="X39" s="8" t="str">
        <f>IF($B39="","",IF(COUNTIF('Competency Event Log'!$U$4:$U$803,$B39&amp;"|"&amp;X$5)=0,"",SUMIF('Competency Event Log'!$U$4:$U$803,$B39&amp;"|"&amp;X$5,'Competency Event Log'!$D$4:$D$803)))</f>
        <v/>
      </c>
      <c r="Y39" s="8" t="str">
        <f>IF($B39="","",IF(COUNTIF('Competency Event Log'!$U$4:$U$803,$B39&amp;"|"&amp;Y$5)=0,"",SUMIF('Competency Event Log'!$U$4:$U$803,$B39&amp;"|"&amp;Y$5,'Competency Event Log'!$D$4:$D$803)))</f>
        <v/>
      </c>
      <c r="Z39" s="8" t="str">
        <f>IF($B39="","",IF(COUNTIF('Competency Event Log'!$U$4:$U$803,$B39&amp;"|"&amp;Z$5)=0,"",SUMIF('Competency Event Log'!$U$4:$U$803,$B39&amp;"|"&amp;Z$5,'Competency Event Log'!$D$4:$D$803)))</f>
        <v/>
      </c>
      <c r="AA39" s="8" t="str">
        <f>IF($B39="","",IF(COUNTIF('Competency Event Log'!$U$4:$U$803,$B39&amp;"|"&amp;AA$5)=0,"",SUMIF('Competency Event Log'!$U$4:$U$803,$B39&amp;"|"&amp;AA$5,'Competency Event Log'!$D$4:$D$803)))</f>
        <v/>
      </c>
      <c r="AB39" s="8" t="str">
        <f>IF($B39="","",IF(COUNTIF('Competency Event Log'!$U$4:$U$803,$B39&amp;"|"&amp;AB$5)=0,"",SUMIF('Competency Event Log'!$U$4:$U$803,$B39&amp;"|"&amp;AB$5,'Competency Event Log'!$D$4:$D$803)))</f>
        <v/>
      </c>
      <c r="AC39" s="8" t="str">
        <f>IF($B39="","",IF(COUNTIF('Competency Event Log'!$U$4:$U$803,$B39&amp;"|"&amp;AC$5)=0,"",SUMIF('Competency Event Log'!$U$4:$U$803,$B39&amp;"|"&amp;AC$5,'Competency Event Log'!$D$4:$D$803)))</f>
        <v/>
      </c>
      <c r="AD39" s="8" t="str">
        <f>IF($B39="","",IF(COUNTIF('Competency Event Log'!$U$4:$U$803,$B39&amp;"|"&amp;AD$5)=0,"",SUMIF('Competency Event Log'!$U$4:$U$803,$B39&amp;"|"&amp;AD$5,'Competency Event Log'!$D$4:$D$803)))</f>
        <v/>
      </c>
      <c r="AE39" s="8" t="str">
        <f>IF($B39="","",IF(COUNTIF('Competency Event Log'!$U$4:$U$803,$B39&amp;"|"&amp;AE$5)=0,"",SUMIF('Competency Event Log'!$U$4:$U$803,$B39&amp;"|"&amp;AE$5,'Competency Event Log'!$D$4:$D$803)))</f>
        <v/>
      </c>
      <c r="AF39" s="8" t="str">
        <f>IF($B39="","",IF(COUNTIF('Competency Event Log'!$U$4:$U$803,$B39&amp;"|"&amp;AF$5)=0,"",SUMIF('Competency Event Log'!$U$4:$U$803,$B39&amp;"|"&amp;AF$5,'Competency Event Log'!$D$4:$D$803)))</f>
        <v/>
      </c>
      <c r="AG39" s="8" t="str">
        <f>IF($B39="","",IF(COUNTIF('Competency Event Log'!$U$4:$U$803,$B39&amp;"|"&amp;AG$5)=0,"",SUMIF('Competency Event Log'!$U$4:$U$803,$B39&amp;"|"&amp;AG$5,'Competency Event Log'!$D$4:$D$803)))</f>
        <v/>
      </c>
      <c r="AH39" s="8" t="str">
        <f>IF($B39="","",IF(COUNTIF('Competency Event Log'!$U$4:$U$803,$B39&amp;"|"&amp;AH$5)=0,"",SUMIF('Competency Event Log'!$U$4:$U$803,$B39&amp;"|"&amp;AH$5,'Competency Event Log'!$D$4:$D$803)))</f>
        <v/>
      </c>
      <c r="AI39" s="8" t="str">
        <f>IF($B39="","",IF(COUNTIF('Competency Event Log'!$U$4:$U$803,$B39&amp;"|"&amp;AI$5)=0,"",SUMIF('Competency Event Log'!$U$4:$U$803,$B39&amp;"|"&amp;AI$5,'Competency Event Log'!$D$4:$D$803)))</f>
        <v/>
      </c>
      <c r="AJ39" s="8" t="str">
        <f>IF($B39="","",IF(COUNTIF('Competency Event Log'!$U$4:$U$803,$B39&amp;"|"&amp;AJ$5)=0,"",SUMIF('Competency Event Log'!$U$4:$U$803,$B39&amp;"|"&amp;AJ$5,'Competency Event Log'!$D$4:$D$803)))</f>
        <v/>
      </c>
      <c r="AK39" s="8" t="str">
        <f>IF($B39="","",IF(COUNTIF('Competency Event Log'!$U$4:$U$803,$B39&amp;"|"&amp;AK$5)=0,"",SUMIF('Competency Event Log'!$U$4:$U$803,$B39&amp;"|"&amp;AK$5,'Competency Event Log'!$D$4:$D$803)))</f>
        <v/>
      </c>
      <c r="AL39" s="8" t="str">
        <f>IF($B39="","",IF(COUNTIF('Competency Event Log'!$U$4:$U$803,$B39&amp;"|"&amp;AL$5)=0,"",SUMIF('Competency Event Log'!$U$4:$U$803,$B39&amp;"|"&amp;AL$5,'Competency Event Log'!$D$4:$D$803)))</f>
        <v/>
      </c>
      <c r="AM39" s="8" t="str">
        <f>IF($B39="","",IF(COUNTIF('Competency Event Log'!$U$4:$U$803,$B39&amp;"|"&amp;AM$5)=0,"",SUMIF('Competency Event Log'!$U$4:$U$803,$B39&amp;"|"&amp;AM$5,'Competency Event Log'!$D$4:$D$803)))</f>
        <v/>
      </c>
      <c r="AN39" s="8" t="str">
        <f>IF($B39="","",IF(COUNTIF('Competency Event Log'!$U$4:$U$803,$B39&amp;"|"&amp;AN$5)=0,"",SUMIF('Competency Event Log'!$U$4:$U$803,$B39&amp;"|"&amp;AN$5,'Competency Event Log'!$D$4:$D$803)))</f>
        <v/>
      </c>
      <c r="AO39" s="8" t="str">
        <f>IF($B39="","",IF(COUNTIF('Competency Event Log'!$U$4:$U$803,$B39&amp;"|"&amp;AO$5)=0,"",SUMIF('Competency Event Log'!$U$4:$U$803,$B39&amp;"|"&amp;AO$5,'Competency Event Log'!$D$4:$D$803)))</f>
        <v/>
      </c>
      <c r="AP39" s="8" t="str">
        <f>IF($B39="","",IF(COUNTIF('Competency Event Log'!$U$4:$U$803,$B39&amp;"|"&amp;AP$5)=0,"",SUMIF('Competency Event Log'!$U$4:$U$803,$B39&amp;"|"&amp;AP$5,'Competency Event Log'!$D$4:$D$803)))</f>
        <v/>
      </c>
      <c r="AQ39" s="8" t="str">
        <f>IF($B39="","",IF(COUNTIF('Competency Event Log'!$U$4:$U$803,$B39&amp;"|"&amp;AQ$5)=0,"",SUMIF('Competency Event Log'!$U$4:$U$803,$B39&amp;"|"&amp;AQ$5,'Competency Event Log'!$D$4:$D$803)))</f>
        <v/>
      </c>
      <c r="AR39" s="8" t="str">
        <f>IF($B39="","",IF(COUNTIF('Competency Event Log'!$U$4:$U$803,$B39&amp;"|"&amp;AR$5)=0,"",SUMIF('Competency Event Log'!$U$4:$U$803,$B39&amp;"|"&amp;AR$5,'Competency Event Log'!$D$4:$D$803)))</f>
        <v/>
      </c>
      <c r="AS39" s="8">
        <f>IF($B39="","",IF(COUNTIF('Competency Event Log'!$U$4:$U$803,$B39&amp;"|"&amp;AS$5)=0,"",SUMIF('Competency Event Log'!$U$4:$U$803,$B39&amp;"|"&amp;AS$5,'Competency Event Log'!$D$4:$D$803)))</f>
        <v>3</v>
      </c>
      <c r="AT39" s="8" t="str">
        <f>IF($B39="","",IF(COUNTIF('Competency Event Log'!$U$4:$U$803,$B39&amp;"|"&amp;AT$5)=0,"",SUMIF('Competency Event Log'!$U$4:$U$803,$B39&amp;"|"&amp;AT$5,'Competency Event Log'!$D$4:$D$803)))</f>
        <v/>
      </c>
      <c r="AU39" s="8" t="str">
        <f>IF($B39="","",IF(COUNTIF('Competency Event Log'!$U$4:$U$803,$B39&amp;"|"&amp;AU$5)=0,"",SUMIF('Competency Event Log'!$U$4:$U$803,$B39&amp;"|"&amp;AU$5,'Competency Event Log'!$D$4:$D$803)))</f>
        <v/>
      </c>
      <c r="AV39" s="8" t="str">
        <f>IF($B39="","",IF(COUNTIF('Competency Event Log'!$U$4:$U$803,$B39&amp;"|"&amp;AV$5)=0,"",SUMIF('Competency Event Log'!$U$4:$U$803,$B39&amp;"|"&amp;AV$5,'Competency Event Log'!$D$4:$D$803)))</f>
        <v/>
      </c>
      <c r="AW39" s="8" t="str">
        <f>IF($B39="","",IF(COUNTIF('Competency Event Log'!$U$4:$U$803,$B39&amp;"|"&amp;AW$5)=0,"",SUMIF('Competency Event Log'!$U$4:$U$803,$B39&amp;"|"&amp;AW$5,'Competency Event Log'!$D$4:$D$803)))</f>
        <v/>
      </c>
      <c r="AX39" s="8" t="str">
        <f>IF($B39="","",IF(COUNTIF('Competency Event Log'!$U$4:$U$803,$B39&amp;"|"&amp;AX$5)=0,"",SUMIF('Competency Event Log'!$U$4:$U$803,$B39&amp;"|"&amp;AX$5,'Competency Event Log'!$D$4:$D$803)))</f>
        <v/>
      </c>
      <c r="AY39" s="8" t="str">
        <f>IF($B39="","",IF(COUNTIF('Competency Event Log'!$U$4:$U$803,$B39&amp;"|"&amp;AY$5)=0,"",SUMIF('Competency Event Log'!$U$4:$U$803,$B39&amp;"|"&amp;AY$5,'Competency Event Log'!$D$4:$D$803)))</f>
        <v/>
      </c>
      <c r="AZ39" s="8" t="str">
        <f>IF($B39="","",IF(COUNTIF('Competency Event Log'!$U$4:$U$803,$B39&amp;"|"&amp;AZ$5)=0,"",SUMIF('Competency Event Log'!$U$4:$U$803,$B39&amp;"|"&amp;AZ$5,'Competency Event Log'!$D$4:$D$803)))</f>
        <v/>
      </c>
      <c r="BA39" s="8" t="str">
        <f>IF($B39="","",IF(COUNTIF('Competency Event Log'!$U$4:$U$803,$B39&amp;"|"&amp;BA$5)=0,"",SUMIF('Competency Event Log'!$U$4:$U$803,$B39&amp;"|"&amp;BA$5,'Competency Event Log'!$D$4:$D$803)))</f>
        <v/>
      </c>
      <c r="BB39" s="8" t="str">
        <f>IF($B39="","",IF(COUNTIF('Competency Event Log'!$U$4:$U$803,$B39&amp;"|"&amp;BB$5)=0,"",SUMIF('Competency Event Log'!$U$4:$U$803,$B39&amp;"|"&amp;BB$5,'Competency Event Log'!$D$4:$D$803)))</f>
        <v/>
      </c>
      <c r="BC39" s="8" t="str">
        <f>IF($B39="","",IF(COUNTIF('Competency Event Log'!$U$4:$U$803,$B39&amp;"|"&amp;BC$5)=0,"",SUMIF('Competency Event Log'!$U$4:$U$803,$B39&amp;"|"&amp;BC$5,'Competency Event Log'!$D$4:$D$803)))</f>
        <v/>
      </c>
      <c r="BD39" s="8" t="str">
        <f>IF($B39="","",IF(COUNTIF('Competency Event Log'!$U$4:$U$803,$B39&amp;"|"&amp;BD$5)=0,"",SUMIF('Competency Event Log'!$U$4:$U$803,$B39&amp;"|"&amp;BD$5,'Competency Event Log'!$D$4:$D$803)))</f>
        <v/>
      </c>
      <c r="BE39" s="8" t="str">
        <f>IF($B39="","",IF(COUNTIF('Competency Event Log'!$U$4:$U$803,$B39&amp;"|"&amp;BE$5)=0,"",SUMIF('Competency Event Log'!$U$4:$U$803,$B39&amp;"|"&amp;BE$5,'Competency Event Log'!$D$4:$D$803)))</f>
        <v/>
      </c>
      <c r="BF39" s="8">
        <f>IF($B39="","",IF(COUNTIF('Competency Event Log'!$U$4:$U$803,$B39&amp;"|"&amp;BF$5)=0,"",SUMIF('Competency Event Log'!$U$4:$U$803,$B39&amp;"|"&amp;BF$5,'Competency Event Log'!$D$4:$D$803)))</f>
        <v>3</v>
      </c>
      <c r="BG39" s="8" t="str">
        <f>IF($B39="","",IF(COUNTIF('Competency Event Log'!$U$4:$U$803,$B39&amp;"|"&amp;BG$5)=0,"",SUMIF('Competency Event Log'!$U$4:$U$803,$B39&amp;"|"&amp;BG$5,'Competency Event Log'!$D$4:$D$803)))</f>
        <v/>
      </c>
      <c r="BH39" s="8" t="str">
        <f>IF($B39="","",IF(COUNTIF('Competency Event Log'!$U$4:$U$803,$B39&amp;"|"&amp;BH$5)=0,"",SUMIF('Competency Event Log'!$U$4:$U$803,$B39&amp;"|"&amp;BH$5,'Competency Event Log'!$D$4:$D$803)))</f>
        <v/>
      </c>
      <c r="BI39" s="8" t="str">
        <f>IF($B39="","",IF(COUNTIF('Competency Event Log'!$U$4:$U$803,$B39&amp;"|"&amp;BI$5)=0,"",SUMIF('Competency Event Log'!$U$4:$U$803,$B39&amp;"|"&amp;BI$5,'Competency Event Log'!$D$4:$D$803)))</f>
        <v/>
      </c>
      <c r="BJ39" s="8">
        <f>IF($B39="","",IF(COUNTIF('Competency Event Log'!$U$4:$U$803,$B39&amp;"|"&amp;BJ$5)=0,"",SUMIF('Competency Event Log'!$U$4:$U$803,$B39&amp;"|"&amp;BJ$5,'Competency Event Log'!$D$4:$D$803)))</f>
        <v>3</v>
      </c>
      <c r="BK39" s="8">
        <f>IF($B39="","",IF(COUNTIF('Competency Event Log'!$U$4:$U$803,$B39&amp;"|"&amp;BK$5)=0,"",SUMIF('Competency Event Log'!$U$4:$U$803,$B39&amp;"|"&amp;BK$5,'Competency Event Log'!$D$4:$D$803)))</f>
        <v>3</v>
      </c>
      <c r="BL39" s="8" t="str">
        <f>IF($B39="","",IF(COUNTIF('Competency Event Log'!$U$4:$U$803,$B39&amp;"|"&amp;BL$5)=0,"",SUMIF('Competency Event Log'!$U$4:$U$803,$B39&amp;"|"&amp;BL$5,'Competency Event Log'!$D$4:$D$803)))</f>
        <v/>
      </c>
      <c r="BM39" s="8">
        <f>IF($B39="","",IF(COUNTIF('Competency Event Log'!$U$4:$U$803,$B39&amp;"|"&amp;BM$5)=0,"",SUMIF('Competency Event Log'!$U$4:$U$803,$B39&amp;"|"&amp;BM$5,'Competency Event Log'!$D$4:$D$803)))</f>
        <v>3</v>
      </c>
      <c r="BN39" s="8">
        <f>IF($B39="","",IF(COUNTIF('Competency Event Log'!$U$4:$U$803,$B39&amp;"|"&amp;BN$5)=0,"",SUMIF('Competency Event Log'!$U$4:$U$803,$B39&amp;"|"&amp;BN$5,'Competency Event Log'!$D$4:$D$803)))</f>
        <v>2</v>
      </c>
      <c r="BO39" s="8" t="str">
        <f>IF($B39="","",IF(COUNTIF('Competency Event Log'!$U$4:$U$803,$B39&amp;"|"&amp;BO$5)=0,"",SUMIF('Competency Event Log'!$U$4:$U$803,$B39&amp;"|"&amp;BO$5,'Competency Event Log'!$D$4:$D$803)))</f>
        <v/>
      </c>
      <c r="BP39" s="8">
        <f>IF($B39="","",IF(COUNTIF('Competency Event Log'!$U$4:$U$803,$B39&amp;"|"&amp;BP$5)=0,"",SUMIF('Competency Event Log'!$U$4:$U$803,$B39&amp;"|"&amp;BP$5,'Competency Event Log'!$D$4:$D$803)))</f>
        <v>2</v>
      </c>
      <c r="BQ39" s="8" t="str">
        <f>IF($B39="","",IF(COUNTIF('Competency Event Log'!$U$4:$U$803,$B39&amp;"|"&amp;BQ$5)=0,"",SUMIF('Competency Event Log'!$U$4:$U$803,$B39&amp;"|"&amp;BQ$5,'Competency Event Log'!$D$4:$D$803)))</f>
        <v/>
      </c>
      <c r="BR39" s="8" t="str">
        <f>IF($B39="","",IF(COUNTIF('Competency Event Log'!$U$4:$U$803,$B39&amp;"|"&amp;BR$5)=0,"",SUMIF('Competency Event Log'!$U$4:$U$803,$B39&amp;"|"&amp;BR$5,'Competency Event Log'!$D$4:$D$803)))</f>
        <v/>
      </c>
      <c r="BS39" s="8" t="str">
        <f>IF($B39="","",IF(COUNTIF('Competency Event Log'!$U$4:$U$803,$B39&amp;"|"&amp;BS$5)=0,"",SUMIF('Competency Event Log'!$U$4:$U$803,$B39&amp;"|"&amp;BS$5,'Competency Event Log'!$D$4:$D$803)))</f>
        <v/>
      </c>
      <c r="BT39" s="8" t="str">
        <f>IF($B39="","",IF(COUNTIF('Competency Event Log'!$U$4:$U$803,$B39&amp;"|"&amp;BT$5)=0,"",SUMIF('Competency Event Log'!$U$4:$U$803,$B39&amp;"|"&amp;BT$5,'Competency Event Log'!$D$4:$D$803)))</f>
        <v/>
      </c>
      <c r="BU39" s="8" t="str">
        <f>IF($B39="","",IF(COUNTIF('Competency Event Log'!$U$4:$U$803,$B39&amp;"|"&amp;BU$5)=0,"",SUMIF('Competency Event Log'!$U$4:$U$803,$B39&amp;"|"&amp;BU$5,'Competency Event Log'!$D$4:$D$803)))</f>
        <v/>
      </c>
      <c r="BV39" s="8">
        <f>IF($B39="","",IF(COUNTIF('Competency Event Log'!$U$4:$U$803,$B39&amp;"|"&amp;BV$5)=0,"",SUMIF('Competency Event Log'!$U$4:$U$803,$B39&amp;"|"&amp;BV$5,'Competency Event Log'!$D$4:$D$803)))</f>
        <v>3</v>
      </c>
      <c r="BW39" s="8">
        <f>IF($B39="","",IF(COUNTIF('Competency Event Log'!$U$4:$U$803,$B39&amp;"|"&amp;BW$5)=0,"",SUMIF('Competency Event Log'!$U$4:$U$803,$B39&amp;"|"&amp;BW$5,'Competency Event Log'!$D$4:$D$803)))</f>
        <v>3</v>
      </c>
      <c r="BX39" s="8">
        <f>IF($B39="","",IF(COUNTIF('Competency Event Log'!$U$4:$U$803,$B39&amp;"|"&amp;BX$5)=0,"",SUMIF('Competency Event Log'!$U$4:$U$803,$B39&amp;"|"&amp;BX$5,'Competency Event Log'!$D$4:$D$803)))</f>
        <v>3</v>
      </c>
      <c r="BY39" s="8" t="str">
        <f>IF($B39="","",IF(COUNTIF('Competency Event Log'!$U$4:$U$803,$B39&amp;"|"&amp;BY$5)=0,"",SUMIF('Competency Event Log'!$U$4:$U$803,$B39&amp;"|"&amp;BY$5,'Competency Event Log'!$D$4:$D$803)))</f>
        <v/>
      </c>
      <c r="BZ39" s="8">
        <f>IF($B39="","",IF(COUNTIF('Competency Event Log'!$U$4:$U$803,$B39&amp;"|"&amp;BZ$5)=0,"",SUMIF('Competency Event Log'!$U$4:$U$803,$B39&amp;"|"&amp;BZ$5,'Competency Event Log'!$D$4:$D$803)))</f>
        <v>1</v>
      </c>
      <c r="CA39" s="8" t="str">
        <f>IF($B39="","",IF(COUNTIF('Competency Event Log'!$U$4:$U$803,$B39&amp;"|"&amp;CA$5)=0,"",SUMIF('Competency Event Log'!$U$4:$U$803,$B39&amp;"|"&amp;CA$5,'Competency Event Log'!$D$4:$D$803)))</f>
        <v/>
      </c>
      <c r="CB39" s="8" t="str">
        <f>IF($B39="","",IF(COUNTIF('Competency Event Log'!$U$4:$U$803,$B39&amp;"|"&amp;CB$5)=0,"",SUMIF('Competency Event Log'!$U$4:$U$803,$B39&amp;"|"&amp;CB$5,'Competency Event Log'!$D$4:$D$803)))</f>
        <v/>
      </c>
      <c r="CC39" s="8" t="str">
        <f>IF($B39="","",IF(COUNTIF('Competency Event Log'!$U$4:$U$803,$B39&amp;"|"&amp;CC$5)=0,"",SUMIF('Competency Event Log'!$U$4:$U$803,$B39&amp;"|"&amp;CC$5,'Competency Event Log'!$D$4:$D$803)))</f>
        <v/>
      </c>
      <c r="CD39" s="8" t="str">
        <f>IF($B39="","",IF(COUNTIF('Competency Event Log'!$U$4:$U$803,$B39&amp;"|"&amp;CD$5)=0,"",SUMIF('Competency Event Log'!$U$4:$U$803,$B39&amp;"|"&amp;CD$5,'Competency Event Log'!$D$4:$D$803)))</f>
        <v/>
      </c>
      <c r="CE39" s="8" t="str">
        <f>IF($B39="","",IF(COUNTIF('Competency Event Log'!$U$4:$U$803,$B39&amp;"|"&amp;CE$5)=0,"",SUMIF('Competency Event Log'!$U$4:$U$803,$B39&amp;"|"&amp;CE$5,'Competency Event Log'!$D$4:$D$803)))</f>
        <v/>
      </c>
      <c r="CF39" s="8" t="str">
        <f>IF($B39="","",IF(COUNTIF('Competency Event Log'!$U$4:$U$803,$B39&amp;"|"&amp;CF$5)=0,"",SUMIF('Competency Event Log'!$U$4:$U$803,$B39&amp;"|"&amp;CF$5,'Competency Event Log'!$D$4:$D$803)))</f>
        <v/>
      </c>
      <c r="CG39" s="8" t="str">
        <f>IF($B39="","",IF(COUNTIF('Competency Event Log'!$U$4:$U$803,$B39&amp;"|"&amp;CG$5)=0,"",SUMIF('Competency Event Log'!$U$4:$U$803,$B39&amp;"|"&amp;CG$5,'Competency Event Log'!$D$4:$D$803)))</f>
        <v/>
      </c>
      <c r="CH39" s="8" t="str">
        <f>IF($B39="","",IF(COUNTIF('Competency Event Log'!$U$4:$U$803,$B39&amp;"|"&amp;CH$5)=0,"",SUMIF('Competency Event Log'!$U$4:$U$803,$B39&amp;"|"&amp;CH$5,'Competency Event Log'!$D$4:$D$803)))</f>
        <v/>
      </c>
      <c r="CI39" s="8" t="str">
        <f>IF($B39="","",IF(COUNTIF('Competency Event Log'!$U$4:$U$803,$B39&amp;"|"&amp;CI$5)=0,"",SUMIF('Competency Event Log'!$U$4:$U$803,$B39&amp;"|"&amp;CI$5,'Competency Event Log'!$D$4:$D$803)))</f>
        <v/>
      </c>
      <c r="CJ39" s="8" t="str">
        <f>IF($B39="","",IF(COUNTIF('Competency Event Log'!$U$4:$U$803,$B39&amp;"|"&amp;CJ$5)=0,"",SUMIF('Competency Event Log'!$U$4:$U$803,$B39&amp;"|"&amp;CJ$5,'Competency Event Log'!$D$4:$D$803)))</f>
        <v/>
      </c>
      <c r="CK39" s="8" t="str">
        <f>IF($B39="","",IF(COUNTIF('Competency Event Log'!$U$4:$U$803,$B39&amp;"|"&amp;CK$5)=0,"",SUMIF('Competency Event Log'!$U$4:$U$803,$B39&amp;"|"&amp;CK$5,'Competency Event Log'!$D$4:$D$803)))</f>
        <v/>
      </c>
      <c r="CL39" s="8" t="str">
        <f>IF($B39="","",IF(COUNTIF('Competency Event Log'!$U$4:$U$803,$B39&amp;"|"&amp;CL$5)=0,"",SUMIF('Competency Event Log'!$U$4:$U$803,$B39&amp;"|"&amp;CL$5,'Competency Event Log'!$D$4:$D$803)))</f>
        <v/>
      </c>
      <c r="CM39" s="8" t="str">
        <f>IF($B39="","",IF(COUNTIF('Competency Event Log'!$U$4:$U$803,$B39&amp;"|"&amp;CM$5)=0,"",SUMIF('Competency Event Log'!$U$4:$U$803,$B39&amp;"|"&amp;CM$5,'Competency Event Log'!$D$4:$D$803)))</f>
        <v/>
      </c>
      <c r="CN39" s="8" t="str">
        <f>IF($B39="","",IF(COUNTIF('Competency Event Log'!$U$4:$U$803,$B39&amp;"|"&amp;CN$5)=0,"",SUMIF('Competency Event Log'!$U$4:$U$803,$B39&amp;"|"&amp;CN$5,'Competency Event Log'!$D$4:$D$803)))</f>
        <v/>
      </c>
      <c r="CO39" s="8" t="str">
        <f>IF($B39="","",IF(COUNTIF('Competency Event Log'!$U$4:$U$803,$B39&amp;"|"&amp;CO$5)=0,"",SUMIF('Competency Event Log'!$U$4:$U$803,$B39&amp;"|"&amp;CO$5,'Competency Event Log'!$D$4:$D$803)))</f>
        <v/>
      </c>
      <c r="CP39" s="8" t="str">
        <f>IF($B39="","",IF(COUNTIF('Competency Event Log'!$U$4:$U$803,$B39&amp;"|"&amp;CP$5)=0,"",SUMIF('Competency Event Log'!$U$4:$U$803,$B39&amp;"|"&amp;CP$5,'Competency Event Log'!$D$4:$D$803)))</f>
        <v/>
      </c>
      <c r="CQ39" s="8" t="str">
        <f>IF($B39="","",IF(COUNTIF('Competency Event Log'!$U$4:$U$803,$B39&amp;"|"&amp;CQ$5)=0,"",SUMIF('Competency Event Log'!$U$4:$U$803,$B39&amp;"|"&amp;CQ$5,'Competency Event Log'!$D$4:$D$803)))</f>
        <v/>
      </c>
      <c r="CR39" s="8" t="str">
        <f>IF($B39="","",IF(COUNTIF('Competency Event Log'!$U$4:$U$803,$B39&amp;"|"&amp;CR$5)=0,"",SUMIF('Competency Event Log'!$U$4:$U$803,$B39&amp;"|"&amp;CR$5,'Competency Event Log'!$D$4:$D$803)))</f>
        <v/>
      </c>
      <c r="CS39" s="8" t="str">
        <f>IF($B39="","",IF(COUNTIF('Competency Event Log'!$U$4:$U$803,$B39&amp;"|"&amp;CS$5)=0,"",SUMIF('Competency Event Log'!$U$4:$U$803,$B39&amp;"|"&amp;CS$5,'Competency Event Log'!$D$4:$D$803)))</f>
        <v/>
      </c>
      <c r="CT39" s="8" t="str">
        <f>IF($B39="","",IF(COUNTIF('Competency Event Log'!$U$4:$U$803,$B39&amp;"|"&amp;CT$5)=0,"",SUMIF('Competency Event Log'!$U$4:$U$803,$B39&amp;"|"&amp;CT$5,'Competency Event Log'!$D$4:$D$803)))</f>
        <v/>
      </c>
      <c r="CU39" s="8" t="str">
        <f>IF($B39="","",IF(COUNTIF('Competency Event Log'!$U$4:$U$803,$B39&amp;"|"&amp;CU$5)=0,"",SUMIF('Competency Event Log'!$U$4:$U$803,$B39&amp;"|"&amp;CU$5,'Competency Event Log'!$D$4:$D$803)))</f>
        <v/>
      </c>
      <c r="CV39" s="8" t="str">
        <f>IF($B39="","",IF(COUNTIF('Competency Event Log'!$U$4:$U$803,$B39&amp;"|"&amp;CV$5)=0,"",SUMIF('Competency Event Log'!$U$4:$U$803,$B39&amp;"|"&amp;CV$5,'Competency Event Log'!$D$4:$D$803)))</f>
        <v/>
      </c>
      <c r="CW39" s="8" t="str">
        <f>IF($B39="","",IF(COUNTIF('Competency Event Log'!$U$4:$U$803,$B39&amp;"|"&amp;CW$5)=0,"",SUMIF('Competency Event Log'!$U$4:$U$803,$B39&amp;"|"&amp;CW$5,'Competency Event Log'!$D$4:$D$803)))</f>
        <v/>
      </c>
      <c r="CX39" s="8" t="str">
        <f>IF($B39="","",IF(COUNTIF('Competency Event Log'!$U$4:$U$803,$B39&amp;"|"&amp;CX$5)=0,"",SUMIF('Competency Event Log'!$U$4:$U$803,$B39&amp;"|"&amp;CX$5,'Competency Event Log'!$D$4:$D$803)))</f>
        <v/>
      </c>
      <c r="CY39" s="8" t="str">
        <f>IF($B39="","",IF(COUNTIF('Competency Event Log'!$U$4:$U$803,$B39&amp;"|"&amp;CY$5)=0,"",SUMIF('Competency Event Log'!$U$4:$U$803,$B39&amp;"|"&amp;CY$5,'Competency Event Log'!$D$4:$D$803)))</f>
        <v/>
      </c>
      <c r="CZ39" s="8" t="str">
        <f>IF($B39="","",IF(COUNTIF('Competency Event Log'!$U$4:$U$803,$B39&amp;"|"&amp;CZ$5)=0,"",SUMIF('Competency Event Log'!$U$4:$U$803,$B39&amp;"|"&amp;CZ$5,'Competency Event Log'!$D$4:$D$803)))</f>
        <v/>
      </c>
      <c r="DA39" s="8" t="str">
        <f>IF($B39="","",IF(COUNTIF('Competency Event Log'!$U$4:$U$803,$B39&amp;"|"&amp;DA$5)=0,"",SUMIF('Competency Event Log'!$U$4:$U$803,$B39&amp;"|"&amp;DA$5,'Competency Event Log'!$D$4:$D$803)))</f>
        <v/>
      </c>
      <c r="DB39" s="8" t="str">
        <f>IF($B39="","",IF(COUNTIF('Competency Event Log'!$U$4:$U$803,$B39&amp;"|"&amp;DB$5)=0,"",SUMIF('Competency Event Log'!$U$4:$U$803,$B39&amp;"|"&amp;DB$5,'Competency Event Log'!$D$4:$D$803)))</f>
        <v/>
      </c>
      <c r="DC39" s="8" t="str">
        <f>IF($B39="","",IF(COUNTIF('Competency Event Log'!$U$4:$U$803,$B39&amp;"|"&amp;DC$5)=0,"",SUMIF('Competency Event Log'!$U$4:$U$803,$B39&amp;"|"&amp;DC$5,'Competency Event Log'!$D$4:$D$803)))</f>
        <v/>
      </c>
      <c r="DD39" s="8" t="str">
        <f>IF($B39="","",IF(COUNTIF('Competency Event Log'!$U$4:$U$803,$B39&amp;"|"&amp;DD$5)=0,"",SUMIF('Competency Event Log'!$U$4:$U$803,$B39&amp;"|"&amp;DD$5,'Competency Event Log'!$D$4:$D$803)))</f>
        <v/>
      </c>
      <c r="DE39" s="8" t="str">
        <f>IF($B39="","",IF(COUNTIF('Competency Event Log'!$U$4:$U$803,$B39&amp;"|"&amp;DE$5)=0,"",SUMIF('Competency Event Log'!$U$4:$U$803,$B39&amp;"|"&amp;DE$5,'Competency Event Log'!$D$4:$D$803)))</f>
        <v/>
      </c>
      <c r="DF39" s="8">
        <f t="shared" si="4"/>
        <v>29</v>
      </c>
      <c r="DG39" s="8">
        <f t="shared" si="5"/>
        <v>11</v>
      </c>
      <c r="DH39" s="8">
        <f t="shared" si="6"/>
        <v>8</v>
      </c>
      <c r="DI39" s="11">
        <f t="shared" si="7"/>
        <v>0.47058823529411764</v>
      </c>
    </row>
    <row r="40" spans="1:113">
      <c r="A40" s="7" t="s">
        <v>309</v>
      </c>
      <c r="B40" s="7" t="s">
        <v>151</v>
      </c>
      <c r="C40" s="8">
        <v>2</v>
      </c>
      <c r="D40" s="9" t="s">
        <v>1148</v>
      </c>
      <c r="E40" s="10">
        <v>43149</v>
      </c>
      <c r="F40" s="8" t="s">
        <v>1047</v>
      </c>
      <c r="G40" s="8" t="str">
        <f>IF($B40="","",IF(COUNTIF('Competency Event Log'!$U$4:$U$803,$B40&amp;"|"&amp;G$5)=0,"",SUMIF('Competency Event Log'!$U$4:$U$803,$B40&amp;"|"&amp;G$5,'Competency Event Log'!$D$4:$D$803)))</f>
        <v/>
      </c>
      <c r="H40" s="8" t="str">
        <f>IF($B40="","",IF(COUNTIF('Competency Event Log'!$U$4:$U$803,$B40&amp;"|"&amp;H$5)=0,"",SUMIF('Competency Event Log'!$U$4:$U$803,$B40&amp;"|"&amp;H$5,'Competency Event Log'!$D$4:$D$803)))</f>
        <v/>
      </c>
      <c r="I40" s="8" t="str">
        <f>IF($B40="","",IF(COUNTIF('Competency Event Log'!$U$4:$U$803,$B40&amp;"|"&amp;I$5)=0,"",SUMIF('Competency Event Log'!$U$4:$U$803,$B40&amp;"|"&amp;I$5,'Competency Event Log'!$D$4:$D$803)))</f>
        <v/>
      </c>
      <c r="J40" s="8" t="str">
        <f>IF($B40="","",IF(COUNTIF('Competency Event Log'!$U$4:$U$803,$B40&amp;"|"&amp;J$5)=0,"",SUMIF('Competency Event Log'!$U$4:$U$803,$B40&amp;"|"&amp;J$5,'Competency Event Log'!$D$4:$D$803)))</f>
        <v/>
      </c>
      <c r="K40" s="8" t="str">
        <f>IF($B40="","",IF(COUNTIF('Competency Event Log'!$U$4:$U$803,$B40&amp;"|"&amp;K$5)=0,"",SUMIF('Competency Event Log'!$U$4:$U$803,$B40&amp;"|"&amp;K$5,'Competency Event Log'!$D$4:$D$803)))</f>
        <v/>
      </c>
      <c r="L40" s="8" t="str">
        <f>IF($B40="","",IF(COUNTIF('Competency Event Log'!$U$4:$U$803,$B40&amp;"|"&amp;L$5)=0,"",SUMIF('Competency Event Log'!$U$4:$U$803,$B40&amp;"|"&amp;L$5,'Competency Event Log'!$D$4:$D$803)))</f>
        <v/>
      </c>
      <c r="M40" s="8" t="str">
        <f>IF($B40="","",IF(COUNTIF('Competency Event Log'!$U$4:$U$803,$B40&amp;"|"&amp;M$5)=0,"",SUMIF('Competency Event Log'!$U$4:$U$803,$B40&amp;"|"&amp;M$5,'Competency Event Log'!$D$4:$D$803)))</f>
        <v/>
      </c>
      <c r="N40" s="8" t="str">
        <f>IF($B40="","",IF(COUNTIF('Competency Event Log'!$U$4:$U$803,$B40&amp;"|"&amp;N$5)=0,"",SUMIF('Competency Event Log'!$U$4:$U$803,$B40&amp;"|"&amp;N$5,'Competency Event Log'!$D$4:$D$803)))</f>
        <v/>
      </c>
      <c r="O40" s="8" t="str">
        <f>IF($B40="","",IF(COUNTIF('Competency Event Log'!$U$4:$U$803,$B40&amp;"|"&amp;O$5)=0,"",SUMIF('Competency Event Log'!$U$4:$U$803,$B40&amp;"|"&amp;O$5,'Competency Event Log'!$D$4:$D$803)))</f>
        <v/>
      </c>
      <c r="P40" s="8" t="str">
        <f>IF($B40="","",IF(COUNTIF('Competency Event Log'!$U$4:$U$803,$B40&amp;"|"&amp;P$5)=0,"",SUMIF('Competency Event Log'!$U$4:$U$803,$B40&amp;"|"&amp;P$5,'Competency Event Log'!$D$4:$D$803)))</f>
        <v/>
      </c>
      <c r="Q40" s="8" t="str">
        <f>IF($B40="","",IF(COUNTIF('Competency Event Log'!$U$4:$U$803,$B40&amp;"|"&amp;Q$5)=0,"",SUMIF('Competency Event Log'!$U$4:$U$803,$B40&amp;"|"&amp;Q$5,'Competency Event Log'!$D$4:$D$803)))</f>
        <v/>
      </c>
      <c r="R40" s="8" t="str">
        <f>IF($B40="","",IF(COUNTIF('Competency Event Log'!$U$4:$U$803,$B40&amp;"|"&amp;R$5)=0,"",SUMIF('Competency Event Log'!$U$4:$U$803,$B40&amp;"|"&amp;R$5,'Competency Event Log'!$D$4:$D$803)))</f>
        <v/>
      </c>
      <c r="S40" s="8" t="str">
        <f>IF($B40="","",IF(COUNTIF('Competency Event Log'!$U$4:$U$803,$B40&amp;"|"&amp;S$5)=0,"",SUMIF('Competency Event Log'!$U$4:$U$803,$B40&amp;"|"&amp;S$5,'Competency Event Log'!$D$4:$D$803)))</f>
        <v/>
      </c>
      <c r="T40" s="8" t="str">
        <f>IF($B40="","",IF(COUNTIF('Competency Event Log'!$U$4:$U$803,$B40&amp;"|"&amp;T$5)=0,"",SUMIF('Competency Event Log'!$U$4:$U$803,$B40&amp;"|"&amp;T$5,'Competency Event Log'!$D$4:$D$803)))</f>
        <v/>
      </c>
      <c r="U40" s="8" t="str">
        <f>IF($B40="","",IF(COUNTIF('Competency Event Log'!$U$4:$U$803,$B40&amp;"|"&amp;U$5)=0,"",SUMIF('Competency Event Log'!$U$4:$U$803,$B40&amp;"|"&amp;U$5,'Competency Event Log'!$D$4:$D$803)))</f>
        <v/>
      </c>
      <c r="V40" s="8" t="str">
        <f>IF($B40="","",IF(COUNTIF('Competency Event Log'!$U$4:$U$803,$B40&amp;"|"&amp;V$5)=0,"",SUMIF('Competency Event Log'!$U$4:$U$803,$B40&amp;"|"&amp;V$5,'Competency Event Log'!$D$4:$D$803)))</f>
        <v/>
      </c>
      <c r="W40" s="8" t="str">
        <f>IF($B40="","",IF(COUNTIF('Competency Event Log'!$U$4:$U$803,$B40&amp;"|"&amp;W$5)=0,"",SUMIF('Competency Event Log'!$U$4:$U$803,$B40&amp;"|"&amp;W$5,'Competency Event Log'!$D$4:$D$803)))</f>
        <v/>
      </c>
      <c r="X40" s="8" t="str">
        <f>IF($B40="","",IF(COUNTIF('Competency Event Log'!$U$4:$U$803,$B40&amp;"|"&amp;X$5)=0,"",SUMIF('Competency Event Log'!$U$4:$U$803,$B40&amp;"|"&amp;X$5,'Competency Event Log'!$D$4:$D$803)))</f>
        <v/>
      </c>
      <c r="Y40" s="8" t="str">
        <f>IF($B40="","",IF(COUNTIF('Competency Event Log'!$U$4:$U$803,$B40&amp;"|"&amp;Y$5)=0,"",SUMIF('Competency Event Log'!$U$4:$U$803,$B40&amp;"|"&amp;Y$5,'Competency Event Log'!$D$4:$D$803)))</f>
        <v/>
      </c>
      <c r="Z40" s="8" t="str">
        <f>IF($B40="","",IF(COUNTIF('Competency Event Log'!$U$4:$U$803,$B40&amp;"|"&amp;Z$5)=0,"",SUMIF('Competency Event Log'!$U$4:$U$803,$B40&amp;"|"&amp;Z$5,'Competency Event Log'!$D$4:$D$803)))</f>
        <v/>
      </c>
      <c r="AA40" s="8" t="str">
        <f>IF($B40="","",IF(COUNTIF('Competency Event Log'!$U$4:$U$803,$B40&amp;"|"&amp;AA$5)=0,"",SUMIF('Competency Event Log'!$U$4:$U$803,$B40&amp;"|"&amp;AA$5,'Competency Event Log'!$D$4:$D$803)))</f>
        <v/>
      </c>
      <c r="AB40" s="8" t="str">
        <f>IF($B40="","",IF(COUNTIF('Competency Event Log'!$U$4:$U$803,$B40&amp;"|"&amp;AB$5)=0,"",SUMIF('Competency Event Log'!$U$4:$U$803,$B40&amp;"|"&amp;AB$5,'Competency Event Log'!$D$4:$D$803)))</f>
        <v/>
      </c>
      <c r="AC40" s="8" t="str">
        <f>IF($B40="","",IF(COUNTIF('Competency Event Log'!$U$4:$U$803,$B40&amp;"|"&amp;AC$5)=0,"",SUMIF('Competency Event Log'!$U$4:$U$803,$B40&amp;"|"&amp;AC$5,'Competency Event Log'!$D$4:$D$803)))</f>
        <v/>
      </c>
      <c r="AD40" s="8" t="str">
        <f>IF($B40="","",IF(COUNTIF('Competency Event Log'!$U$4:$U$803,$B40&amp;"|"&amp;AD$5)=0,"",SUMIF('Competency Event Log'!$U$4:$U$803,$B40&amp;"|"&amp;AD$5,'Competency Event Log'!$D$4:$D$803)))</f>
        <v/>
      </c>
      <c r="AE40" s="8" t="str">
        <f>IF($B40="","",IF(COUNTIF('Competency Event Log'!$U$4:$U$803,$B40&amp;"|"&amp;AE$5)=0,"",SUMIF('Competency Event Log'!$U$4:$U$803,$B40&amp;"|"&amp;AE$5,'Competency Event Log'!$D$4:$D$803)))</f>
        <v/>
      </c>
      <c r="AF40" s="8" t="str">
        <f>IF($B40="","",IF(COUNTIF('Competency Event Log'!$U$4:$U$803,$B40&amp;"|"&amp;AF$5)=0,"",SUMIF('Competency Event Log'!$U$4:$U$803,$B40&amp;"|"&amp;AF$5,'Competency Event Log'!$D$4:$D$803)))</f>
        <v/>
      </c>
      <c r="AG40" s="8" t="str">
        <f>IF($B40="","",IF(COUNTIF('Competency Event Log'!$U$4:$U$803,$B40&amp;"|"&amp;AG$5)=0,"",SUMIF('Competency Event Log'!$U$4:$U$803,$B40&amp;"|"&amp;AG$5,'Competency Event Log'!$D$4:$D$803)))</f>
        <v/>
      </c>
      <c r="AH40" s="8" t="str">
        <f>IF($B40="","",IF(COUNTIF('Competency Event Log'!$U$4:$U$803,$B40&amp;"|"&amp;AH$5)=0,"",SUMIF('Competency Event Log'!$U$4:$U$803,$B40&amp;"|"&amp;AH$5,'Competency Event Log'!$D$4:$D$803)))</f>
        <v/>
      </c>
      <c r="AI40" s="8" t="str">
        <f>IF($B40="","",IF(COUNTIF('Competency Event Log'!$U$4:$U$803,$B40&amp;"|"&amp;AI$5)=0,"",SUMIF('Competency Event Log'!$U$4:$U$803,$B40&amp;"|"&amp;AI$5,'Competency Event Log'!$D$4:$D$803)))</f>
        <v/>
      </c>
      <c r="AJ40" s="8" t="str">
        <f>IF($B40="","",IF(COUNTIF('Competency Event Log'!$U$4:$U$803,$B40&amp;"|"&amp;AJ$5)=0,"",SUMIF('Competency Event Log'!$U$4:$U$803,$B40&amp;"|"&amp;AJ$5,'Competency Event Log'!$D$4:$D$803)))</f>
        <v/>
      </c>
      <c r="AK40" s="8" t="str">
        <f>IF($B40="","",IF(COUNTIF('Competency Event Log'!$U$4:$U$803,$B40&amp;"|"&amp;AK$5)=0,"",SUMIF('Competency Event Log'!$U$4:$U$803,$B40&amp;"|"&amp;AK$5,'Competency Event Log'!$D$4:$D$803)))</f>
        <v/>
      </c>
      <c r="AL40" s="8" t="str">
        <f>IF($B40="","",IF(COUNTIF('Competency Event Log'!$U$4:$U$803,$B40&amp;"|"&amp;AL$5)=0,"",SUMIF('Competency Event Log'!$U$4:$U$803,$B40&amp;"|"&amp;AL$5,'Competency Event Log'!$D$4:$D$803)))</f>
        <v/>
      </c>
      <c r="AM40" s="8" t="str">
        <f>IF($B40="","",IF(COUNTIF('Competency Event Log'!$U$4:$U$803,$B40&amp;"|"&amp;AM$5)=0,"",SUMIF('Competency Event Log'!$U$4:$U$803,$B40&amp;"|"&amp;AM$5,'Competency Event Log'!$D$4:$D$803)))</f>
        <v/>
      </c>
      <c r="AN40" s="8" t="str">
        <f>IF($B40="","",IF(COUNTIF('Competency Event Log'!$U$4:$U$803,$B40&amp;"|"&amp;AN$5)=0,"",SUMIF('Competency Event Log'!$U$4:$U$803,$B40&amp;"|"&amp;AN$5,'Competency Event Log'!$D$4:$D$803)))</f>
        <v/>
      </c>
      <c r="AO40" s="8" t="str">
        <f>IF($B40="","",IF(COUNTIF('Competency Event Log'!$U$4:$U$803,$B40&amp;"|"&amp;AO$5)=0,"",SUMIF('Competency Event Log'!$U$4:$U$803,$B40&amp;"|"&amp;AO$5,'Competency Event Log'!$D$4:$D$803)))</f>
        <v/>
      </c>
      <c r="AP40" s="8" t="str">
        <f>IF($B40="","",IF(COUNTIF('Competency Event Log'!$U$4:$U$803,$B40&amp;"|"&amp;AP$5)=0,"",SUMIF('Competency Event Log'!$U$4:$U$803,$B40&amp;"|"&amp;AP$5,'Competency Event Log'!$D$4:$D$803)))</f>
        <v/>
      </c>
      <c r="AQ40" s="8" t="str">
        <f>IF($B40="","",IF(COUNTIF('Competency Event Log'!$U$4:$U$803,$B40&amp;"|"&amp;AQ$5)=0,"",SUMIF('Competency Event Log'!$U$4:$U$803,$B40&amp;"|"&amp;AQ$5,'Competency Event Log'!$D$4:$D$803)))</f>
        <v/>
      </c>
      <c r="AR40" s="8" t="str">
        <f>IF($B40="","",IF(COUNTIF('Competency Event Log'!$U$4:$U$803,$B40&amp;"|"&amp;AR$5)=0,"",SUMIF('Competency Event Log'!$U$4:$U$803,$B40&amp;"|"&amp;AR$5,'Competency Event Log'!$D$4:$D$803)))</f>
        <v/>
      </c>
      <c r="AS40" s="8" t="str">
        <f>IF($B40="","",IF(COUNTIF('Competency Event Log'!$U$4:$U$803,$B40&amp;"|"&amp;AS$5)=0,"",SUMIF('Competency Event Log'!$U$4:$U$803,$B40&amp;"|"&amp;AS$5,'Competency Event Log'!$D$4:$D$803)))</f>
        <v/>
      </c>
      <c r="AT40" s="8" t="str">
        <f>IF($B40="","",IF(COUNTIF('Competency Event Log'!$U$4:$U$803,$B40&amp;"|"&amp;AT$5)=0,"",SUMIF('Competency Event Log'!$U$4:$U$803,$B40&amp;"|"&amp;AT$5,'Competency Event Log'!$D$4:$D$803)))</f>
        <v/>
      </c>
      <c r="AU40" s="8" t="str">
        <f>IF($B40="","",IF(COUNTIF('Competency Event Log'!$U$4:$U$803,$B40&amp;"|"&amp;AU$5)=0,"",SUMIF('Competency Event Log'!$U$4:$U$803,$B40&amp;"|"&amp;AU$5,'Competency Event Log'!$D$4:$D$803)))</f>
        <v/>
      </c>
      <c r="AV40" s="8" t="str">
        <f>IF($B40="","",IF(COUNTIF('Competency Event Log'!$U$4:$U$803,$B40&amp;"|"&amp;AV$5)=0,"",SUMIF('Competency Event Log'!$U$4:$U$803,$B40&amp;"|"&amp;AV$5,'Competency Event Log'!$D$4:$D$803)))</f>
        <v/>
      </c>
      <c r="AW40" s="8">
        <f>IF($B40="","",IF(COUNTIF('Competency Event Log'!$U$4:$U$803,$B40&amp;"|"&amp;AW$5)=0,"",SUMIF('Competency Event Log'!$U$4:$U$803,$B40&amp;"|"&amp;AW$5,'Competency Event Log'!$D$4:$D$803)))</f>
        <v>3</v>
      </c>
      <c r="AX40" s="8" t="str">
        <f>IF($B40="","",IF(COUNTIF('Competency Event Log'!$U$4:$U$803,$B40&amp;"|"&amp;AX$5)=0,"",SUMIF('Competency Event Log'!$U$4:$U$803,$B40&amp;"|"&amp;AX$5,'Competency Event Log'!$D$4:$D$803)))</f>
        <v/>
      </c>
      <c r="AY40" s="8" t="str">
        <f>IF($B40="","",IF(COUNTIF('Competency Event Log'!$U$4:$U$803,$B40&amp;"|"&amp;AY$5)=0,"",SUMIF('Competency Event Log'!$U$4:$U$803,$B40&amp;"|"&amp;AY$5,'Competency Event Log'!$D$4:$D$803)))</f>
        <v/>
      </c>
      <c r="AZ40" s="8" t="str">
        <f>IF($B40="","",IF(COUNTIF('Competency Event Log'!$U$4:$U$803,$B40&amp;"|"&amp;AZ$5)=0,"",SUMIF('Competency Event Log'!$U$4:$U$803,$B40&amp;"|"&amp;AZ$5,'Competency Event Log'!$D$4:$D$803)))</f>
        <v/>
      </c>
      <c r="BA40" s="8" t="str">
        <f>IF($B40="","",IF(COUNTIF('Competency Event Log'!$U$4:$U$803,$B40&amp;"|"&amp;BA$5)=0,"",SUMIF('Competency Event Log'!$U$4:$U$803,$B40&amp;"|"&amp;BA$5,'Competency Event Log'!$D$4:$D$803)))</f>
        <v/>
      </c>
      <c r="BB40" s="8" t="str">
        <f>IF($B40="","",IF(COUNTIF('Competency Event Log'!$U$4:$U$803,$B40&amp;"|"&amp;BB$5)=0,"",SUMIF('Competency Event Log'!$U$4:$U$803,$B40&amp;"|"&amp;BB$5,'Competency Event Log'!$D$4:$D$803)))</f>
        <v/>
      </c>
      <c r="BC40" s="8" t="str">
        <f>IF($B40="","",IF(COUNTIF('Competency Event Log'!$U$4:$U$803,$B40&amp;"|"&amp;BC$5)=0,"",SUMIF('Competency Event Log'!$U$4:$U$803,$B40&amp;"|"&amp;BC$5,'Competency Event Log'!$D$4:$D$803)))</f>
        <v/>
      </c>
      <c r="BD40" s="8" t="str">
        <f>IF($B40="","",IF(COUNTIF('Competency Event Log'!$U$4:$U$803,$B40&amp;"|"&amp;BD$5)=0,"",SUMIF('Competency Event Log'!$U$4:$U$803,$B40&amp;"|"&amp;BD$5,'Competency Event Log'!$D$4:$D$803)))</f>
        <v/>
      </c>
      <c r="BE40" s="8" t="str">
        <f>IF($B40="","",IF(COUNTIF('Competency Event Log'!$U$4:$U$803,$B40&amp;"|"&amp;BE$5)=0,"",SUMIF('Competency Event Log'!$U$4:$U$803,$B40&amp;"|"&amp;BE$5,'Competency Event Log'!$D$4:$D$803)))</f>
        <v/>
      </c>
      <c r="BF40" s="8" t="str">
        <f>IF($B40="","",IF(COUNTIF('Competency Event Log'!$U$4:$U$803,$B40&amp;"|"&amp;BF$5)=0,"",SUMIF('Competency Event Log'!$U$4:$U$803,$B40&amp;"|"&amp;BF$5,'Competency Event Log'!$D$4:$D$803)))</f>
        <v/>
      </c>
      <c r="BG40" s="8" t="str">
        <f>IF($B40="","",IF(COUNTIF('Competency Event Log'!$U$4:$U$803,$B40&amp;"|"&amp;BG$5)=0,"",SUMIF('Competency Event Log'!$U$4:$U$803,$B40&amp;"|"&amp;BG$5,'Competency Event Log'!$D$4:$D$803)))</f>
        <v/>
      </c>
      <c r="BH40" s="8" t="str">
        <f>IF($B40="","",IF(COUNTIF('Competency Event Log'!$U$4:$U$803,$B40&amp;"|"&amp;BH$5)=0,"",SUMIF('Competency Event Log'!$U$4:$U$803,$B40&amp;"|"&amp;BH$5,'Competency Event Log'!$D$4:$D$803)))</f>
        <v/>
      </c>
      <c r="BI40" s="8" t="str">
        <f>IF($B40="","",IF(COUNTIF('Competency Event Log'!$U$4:$U$803,$B40&amp;"|"&amp;BI$5)=0,"",SUMIF('Competency Event Log'!$U$4:$U$803,$B40&amp;"|"&amp;BI$5,'Competency Event Log'!$D$4:$D$803)))</f>
        <v/>
      </c>
      <c r="BJ40" s="8" t="str">
        <f>IF($B40="","",IF(COUNTIF('Competency Event Log'!$U$4:$U$803,$B40&amp;"|"&amp;BJ$5)=0,"",SUMIF('Competency Event Log'!$U$4:$U$803,$B40&amp;"|"&amp;BJ$5,'Competency Event Log'!$D$4:$D$803)))</f>
        <v/>
      </c>
      <c r="BK40" s="8">
        <f>IF($B40="","",IF(COUNTIF('Competency Event Log'!$U$4:$U$803,$B40&amp;"|"&amp;BK$5)=0,"",SUMIF('Competency Event Log'!$U$4:$U$803,$B40&amp;"|"&amp;BK$5,'Competency Event Log'!$D$4:$D$803)))</f>
        <v>3</v>
      </c>
      <c r="BL40" s="8" t="str">
        <f>IF($B40="","",IF(COUNTIF('Competency Event Log'!$U$4:$U$803,$B40&amp;"|"&amp;BL$5)=0,"",SUMIF('Competency Event Log'!$U$4:$U$803,$B40&amp;"|"&amp;BL$5,'Competency Event Log'!$D$4:$D$803)))</f>
        <v/>
      </c>
      <c r="BM40" s="8" t="str">
        <f>IF($B40="","",IF(COUNTIF('Competency Event Log'!$U$4:$U$803,$B40&amp;"|"&amp;BM$5)=0,"",SUMIF('Competency Event Log'!$U$4:$U$803,$B40&amp;"|"&amp;BM$5,'Competency Event Log'!$D$4:$D$803)))</f>
        <v/>
      </c>
      <c r="BN40" s="8" t="str">
        <f>IF($B40="","",IF(COUNTIF('Competency Event Log'!$U$4:$U$803,$B40&amp;"|"&amp;BN$5)=0,"",SUMIF('Competency Event Log'!$U$4:$U$803,$B40&amp;"|"&amp;BN$5,'Competency Event Log'!$D$4:$D$803)))</f>
        <v/>
      </c>
      <c r="BO40" s="8" t="str">
        <f>IF($B40="","",IF(COUNTIF('Competency Event Log'!$U$4:$U$803,$B40&amp;"|"&amp;BO$5)=0,"",SUMIF('Competency Event Log'!$U$4:$U$803,$B40&amp;"|"&amp;BO$5,'Competency Event Log'!$D$4:$D$803)))</f>
        <v/>
      </c>
      <c r="BP40" s="8">
        <f>IF($B40="","",IF(COUNTIF('Competency Event Log'!$U$4:$U$803,$B40&amp;"|"&amp;BP$5)=0,"",SUMIF('Competency Event Log'!$U$4:$U$803,$B40&amp;"|"&amp;BP$5,'Competency Event Log'!$D$4:$D$803)))</f>
        <v>2</v>
      </c>
      <c r="BQ40" s="8" t="str">
        <f>IF($B40="","",IF(COUNTIF('Competency Event Log'!$U$4:$U$803,$B40&amp;"|"&amp;BQ$5)=0,"",SUMIF('Competency Event Log'!$U$4:$U$803,$B40&amp;"|"&amp;BQ$5,'Competency Event Log'!$D$4:$D$803)))</f>
        <v/>
      </c>
      <c r="BR40" s="8">
        <f>IF($B40="","",IF(COUNTIF('Competency Event Log'!$U$4:$U$803,$B40&amp;"|"&amp;BR$5)=0,"",SUMIF('Competency Event Log'!$U$4:$U$803,$B40&amp;"|"&amp;BR$5,'Competency Event Log'!$D$4:$D$803)))</f>
        <v>2</v>
      </c>
      <c r="BS40" s="8">
        <f>IF($B40="","",IF(COUNTIF('Competency Event Log'!$U$4:$U$803,$B40&amp;"|"&amp;BS$5)=0,"",SUMIF('Competency Event Log'!$U$4:$U$803,$B40&amp;"|"&amp;BS$5,'Competency Event Log'!$D$4:$D$803)))</f>
        <v>3</v>
      </c>
      <c r="BT40" s="8">
        <f>IF($B40="","",IF(COUNTIF('Competency Event Log'!$U$4:$U$803,$B40&amp;"|"&amp;BT$5)=0,"",SUMIF('Competency Event Log'!$U$4:$U$803,$B40&amp;"|"&amp;BT$5,'Competency Event Log'!$D$4:$D$803)))</f>
        <v>3</v>
      </c>
      <c r="BU40" s="8" t="str">
        <f>IF($B40="","",IF(COUNTIF('Competency Event Log'!$U$4:$U$803,$B40&amp;"|"&amp;BU$5)=0,"",SUMIF('Competency Event Log'!$U$4:$U$803,$B40&amp;"|"&amp;BU$5,'Competency Event Log'!$D$4:$D$803)))</f>
        <v/>
      </c>
      <c r="BV40" s="8" t="str">
        <f>IF($B40="","",IF(COUNTIF('Competency Event Log'!$U$4:$U$803,$B40&amp;"|"&amp;BV$5)=0,"",SUMIF('Competency Event Log'!$U$4:$U$803,$B40&amp;"|"&amp;BV$5,'Competency Event Log'!$D$4:$D$803)))</f>
        <v/>
      </c>
      <c r="BW40" s="8" t="str">
        <f>IF($B40="","",IF(COUNTIF('Competency Event Log'!$U$4:$U$803,$B40&amp;"|"&amp;BW$5)=0,"",SUMIF('Competency Event Log'!$U$4:$U$803,$B40&amp;"|"&amp;BW$5,'Competency Event Log'!$D$4:$D$803)))</f>
        <v/>
      </c>
      <c r="BX40" s="8" t="str">
        <f>IF($B40="","",IF(COUNTIF('Competency Event Log'!$U$4:$U$803,$B40&amp;"|"&amp;BX$5)=0,"",SUMIF('Competency Event Log'!$U$4:$U$803,$B40&amp;"|"&amp;BX$5,'Competency Event Log'!$D$4:$D$803)))</f>
        <v/>
      </c>
      <c r="BY40" s="8" t="str">
        <f>IF($B40="","",IF(COUNTIF('Competency Event Log'!$U$4:$U$803,$B40&amp;"|"&amp;BY$5)=0,"",SUMIF('Competency Event Log'!$U$4:$U$803,$B40&amp;"|"&amp;BY$5,'Competency Event Log'!$D$4:$D$803)))</f>
        <v/>
      </c>
      <c r="BZ40" s="8" t="str">
        <f>IF($B40="","",IF(COUNTIF('Competency Event Log'!$U$4:$U$803,$B40&amp;"|"&amp;BZ$5)=0,"",SUMIF('Competency Event Log'!$U$4:$U$803,$B40&amp;"|"&amp;BZ$5,'Competency Event Log'!$D$4:$D$803)))</f>
        <v/>
      </c>
      <c r="CA40" s="8" t="str">
        <f>IF($B40="","",IF(COUNTIF('Competency Event Log'!$U$4:$U$803,$B40&amp;"|"&amp;CA$5)=0,"",SUMIF('Competency Event Log'!$U$4:$U$803,$B40&amp;"|"&amp;CA$5,'Competency Event Log'!$D$4:$D$803)))</f>
        <v/>
      </c>
      <c r="CB40" s="8" t="str">
        <f>IF($B40="","",IF(COUNTIF('Competency Event Log'!$U$4:$U$803,$B40&amp;"|"&amp;CB$5)=0,"",SUMIF('Competency Event Log'!$U$4:$U$803,$B40&amp;"|"&amp;CB$5,'Competency Event Log'!$D$4:$D$803)))</f>
        <v/>
      </c>
      <c r="CC40" s="8" t="str">
        <f>IF($B40="","",IF(COUNTIF('Competency Event Log'!$U$4:$U$803,$B40&amp;"|"&amp;CC$5)=0,"",SUMIF('Competency Event Log'!$U$4:$U$803,$B40&amp;"|"&amp;CC$5,'Competency Event Log'!$D$4:$D$803)))</f>
        <v/>
      </c>
      <c r="CD40" s="8" t="str">
        <f>IF($B40="","",IF(COUNTIF('Competency Event Log'!$U$4:$U$803,$B40&amp;"|"&amp;CD$5)=0,"",SUMIF('Competency Event Log'!$U$4:$U$803,$B40&amp;"|"&amp;CD$5,'Competency Event Log'!$D$4:$D$803)))</f>
        <v/>
      </c>
      <c r="CE40" s="8" t="str">
        <f>IF($B40="","",IF(COUNTIF('Competency Event Log'!$U$4:$U$803,$B40&amp;"|"&amp;CE$5)=0,"",SUMIF('Competency Event Log'!$U$4:$U$803,$B40&amp;"|"&amp;CE$5,'Competency Event Log'!$D$4:$D$803)))</f>
        <v/>
      </c>
      <c r="CF40" s="8" t="str">
        <f>IF($B40="","",IF(COUNTIF('Competency Event Log'!$U$4:$U$803,$B40&amp;"|"&amp;CF$5)=0,"",SUMIF('Competency Event Log'!$U$4:$U$803,$B40&amp;"|"&amp;CF$5,'Competency Event Log'!$D$4:$D$803)))</f>
        <v/>
      </c>
      <c r="CG40" s="8" t="str">
        <f>IF($B40="","",IF(COUNTIF('Competency Event Log'!$U$4:$U$803,$B40&amp;"|"&amp;CG$5)=0,"",SUMIF('Competency Event Log'!$U$4:$U$803,$B40&amp;"|"&amp;CG$5,'Competency Event Log'!$D$4:$D$803)))</f>
        <v/>
      </c>
      <c r="CH40" s="8" t="str">
        <f>IF($B40="","",IF(COUNTIF('Competency Event Log'!$U$4:$U$803,$B40&amp;"|"&amp;CH$5)=0,"",SUMIF('Competency Event Log'!$U$4:$U$803,$B40&amp;"|"&amp;CH$5,'Competency Event Log'!$D$4:$D$803)))</f>
        <v/>
      </c>
      <c r="CI40" s="8" t="str">
        <f>IF($B40="","",IF(COUNTIF('Competency Event Log'!$U$4:$U$803,$B40&amp;"|"&amp;CI$5)=0,"",SUMIF('Competency Event Log'!$U$4:$U$803,$B40&amp;"|"&amp;CI$5,'Competency Event Log'!$D$4:$D$803)))</f>
        <v/>
      </c>
      <c r="CJ40" s="8" t="str">
        <f>IF($B40="","",IF(COUNTIF('Competency Event Log'!$U$4:$U$803,$B40&amp;"|"&amp;CJ$5)=0,"",SUMIF('Competency Event Log'!$U$4:$U$803,$B40&amp;"|"&amp;CJ$5,'Competency Event Log'!$D$4:$D$803)))</f>
        <v/>
      </c>
      <c r="CK40" s="8" t="str">
        <f>IF($B40="","",IF(COUNTIF('Competency Event Log'!$U$4:$U$803,$B40&amp;"|"&amp;CK$5)=0,"",SUMIF('Competency Event Log'!$U$4:$U$803,$B40&amp;"|"&amp;CK$5,'Competency Event Log'!$D$4:$D$803)))</f>
        <v/>
      </c>
      <c r="CL40" s="8" t="str">
        <f>IF($B40="","",IF(COUNTIF('Competency Event Log'!$U$4:$U$803,$B40&amp;"|"&amp;CL$5)=0,"",SUMIF('Competency Event Log'!$U$4:$U$803,$B40&amp;"|"&amp;CL$5,'Competency Event Log'!$D$4:$D$803)))</f>
        <v/>
      </c>
      <c r="CM40" s="8" t="str">
        <f>IF($B40="","",IF(COUNTIF('Competency Event Log'!$U$4:$U$803,$B40&amp;"|"&amp;CM$5)=0,"",SUMIF('Competency Event Log'!$U$4:$U$803,$B40&amp;"|"&amp;CM$5,'Competency Event Log'!$D$4:$D$803)))</f>
        <v/>
      </c>
      <c r="CN40" s="8" t="str">
        <f>IF($B40="","",IF(COUNTIF('Competency Event Log'!$U$4:$U$803,$B40&amp;"|"&amp;CN$5)=0,"",SUMIF('Competency Event Log'!$U$4:$U$803,$B40&amp;"|"&amp;CN$5,'Competency Event Log'!$D$4:$D$803)))</f>
        <v/>
      </c>
      <c r="CO40" s="8" t="str">
        <f>IF($B40="","",IF(COUNTIF('Competency Event Log'!$U$4:$U$803,$B40&amp;"|"&amp;CO$5)=0,"",SUMIF('Competency Event Log'!$U$4:$U$803,$B40&amp;"|"&amp;CO$5,'Competency Event Log'!$D$4:$D$803)))</f>
        <v/>
      </c>
      <c r="CP40" s="8" t="str">
        <f>IF($B40="","",IF(COUNTIF('Competency Event Log'!$U$4:$U$803,$B40&amp;"|"&amp;CP$5)=0,"",SUMIF('Competency Event Log'!$U$4:$U$803,$B40&amp;"|"&amp;CP$5,'Competency Event Log'!$D$4:$D$803)))</f>
        <v/>
      </c>
      <c r="CQ40" s="8" t="str">
        <f>IF($B40="","",IF(COUNTIF('Competency Event Log'!$U$4:$U$803,$B40&amp;"|"&amp;CQ$5)=0,"",SUMIF('Competency Event Log'!$U$4:$U$803,$B40&amp;"|"&amp;CQ$5,'Competency Event Log'!$D$4:$D$803)))</f>
        <v/>
      </c>
      <c r="CR40" s="8" t="str">
        <f>IF($B40="","",IF(COUNTIF('Competency Event Log'!$U$4:$U$803,$B40&amp;"|"&amp;CR$5)=0,"",SUMIF('Competency Event Log'!$U$4:$U$803,$B40&amp;"|"&amp;CR$5,'Competency Event Log'!$D$4:$D$803)))</f>
        <v/>
      </c>
      <c r="CS40" s="8" t="str">
        <f>IF($B40="","",IF(COUNTIF('Competency Event Log'!$U$4:$U$803,$B40&amp;"|"&amp;CS$5)=0,"",SUMIF('Competency Event Log'!$U$4:$U$803,$B40&amp;"|"&amp;CS$5,'Competency Event Log'!$D$4:$D$803)))</f>
        <v/>
      </c>
      <c r="CT40" s="8" t="str">
        <f>IF($B40="","",IF(COUNTIF('Competency Event Log'!$U$4:$U$803,$B40&amp;"|"&amp;CT$5)=0,"",SUMIF('Competency Event Log'!$U$4:$U$803,$B40&amp;"|"&amp;CT$5,'Competency Event Log'!$D$4:$D$803)))</f>
        <v/>
      </c>
      <c r="CU40" s="8" t="str">
        <f>IF($B40="","",IF(COUNTIF('Competency Event Log'!$U$4:$U$803,$B40&amp;"|"&amp;CU$5)=0,"",SUMIF('Competency Event Log'!$U$4:$U$803,$B40&amp;"|"&amp;CU$5,'Competency Event Log'!$D$4:$D$803)))</f>
        <v/>
      </c>
      <c r="CV40" s="8" t="str">
        <f>IF($B40="","",IF(COUNTIF('Competency Event Log'!$U$4:$U$803,$B40&amp;"|"&amp;CV$5)=0,"",SUMIF('Competency Event Log'!$U$4:$U$803,$B40&amp;"|"&amp;CV$5,'Competency Event Log'!$D$4:$D$803)))</f>
        <v/>
      </c>
      <c r="CW40" s="8" t="str">
        <f>IF($B40="","",IF(COUNTIF('Competency Event Log'!$U$4:$U$803,$B40&amp;"|"&amp;CW$5)=0,"",SUMIF('Competency Event Log'!$U$4:$U$803,$B40&amp;"|"&amp;CW$5,'Competency Event Log'!$D$4:$D$803)))</f>
        <v/>
      </c>
      <c r="CX40" s="8" t="str">
        <f>IF($B40="","",IF(COUNTIF('Competency Event Log'!$U$4:$U$803,$B40&amp;"|"&amp;CX$5)=0,"",SUMIF('Competency Event Log'!$U$4:$U$803,$B40&amp;"|"&amp;CX$5,'Competency Event Log'!$D$4:$D$803)))</f>
        <v/>
      </c>
      <c r="CY40" s="8" t="str">
        <f>IF($B40="","",IF(COUNTIF('Competency Event Log'!$U$4:$U$803,$B40&amp;"|"&amp;CY$5)=0,"",SUMIF('Competency Event Log'!$U$4:$U$803,$B40&amp;"|"&amp;CY$5,'Competency Event Log'!$D$4:$D$803)))</f>
        <v/>
      </c>
      <c r="CZ40" s="8" t="str">
        <f>IF($B40="","",IF(COUNTIF('Competency Event Log'!$U$4:$U$803,$B40&amp;"|"&amp;CZ$5)=0,"",SUMIF('Competency Event Log'!$U$4:$U$803,$B40&amp;"|"&amp;CZ$5,'Competency Event Log'!$D$4:$D$803)))</f>
        <v/>
      </c>
      <c r="DA40" s="8" t="str">
        <f>IF($B40="","",IF(COUNTIF('Competency Event Log'!$U$4:$U$803,$B40&amp;"|"&amp;DA$5)=0,"",SUMIF('Competency Event Log'!$U$4:$U$803,$B40&amp;"|"&amp;DA$5,'Competency Event Log'!$D$4:$D$803)))</f>
        <v/>
      </c>
      <c r="DB40" s="8" t="str">
        <f>IF($B40="","",IF(COUNTIF('Competency Event Log'!$U$4:$U$803,$B40&amp;"|"&amp;DB$5)=0,"",SUMIF('Competency Event Log'!$U$4:$U$803,$B40&amp;"|"&amp;DB$5,'Competency Event Log'!$D$4:$D$803)))</f>
        <v/>
      </c>
      <c r="DC40" s="8">
        <f>IF($B40="","",IF(COUNTIF('Competency Event Log'!$U$4:$U$803,$B40&amp;"|"&amp;DC$5)=0,"",SUMIF('Competency Event Log'!$U$4:$U$803,$B40&amp;"|"&amp;DC$5,'Competency Event Log'!$D$4:$D$803)))</f>
        <v>1</v>
      </c>
      <c r="DD40" s="8" t="str">
        <f>IF($B40="","",IF(COUNTIF('Competency Event Log'!$U$4:$U$803,$B40&amp;"|"&amp;DD$5)=0,"",SUMIF('Competency Event Log'!$U$4:$U$803,$B40&amp;"|"&amp;DD$5,'Competency Event Log'!$D$4:$D$803)))</f>
        <v/>
      </c>
      <c r="DE40" s="8" t="str">
        <f>IF($B40="","",IF(COUNTIF('Competency Event Log'!$U$4:$U$803,$B40&amp;"|"&amp;DE$5)=0,"",SUMIF('Competency Event Log'!$U$4:$U$803,$B40&amp;"|"&amp;DE$5,'Competency Event Log'!$D$4:$D$803)))</f>
        <v/>
      </c>
      <c r="DF40" s="8">
        <f t="shared" si="4"/>
        <v>17</v>
      </c>
      <c r="DG40" s="8">
        <f t="shared" si="5"/>
        <v>7</v>
      </c>
      <c r="DH40" s="8">
        <f t="shared" si="6"/>
        <v>4</v>
      </c>
      <c r="DI40" s="11">
        <f t="shared" si="7"/>
        <v>0.29411764705882354</v>
      </c>
    </row>
    <row r="41" spans="1:113">
      <c r="A41" s="7" t="s">
        <v>309</v>
      </c>
      <c r="B41" s="7" t="s">
        <v>154</v>
      </c>
      <c r="C41" s="8">
        <v>3</v>
      </c>
      <c r="D41" s="9" t="s">
        <v>1164</v>
      </c>
      <c r="E41" s="10">
        <v>43874</v>
      </c>
      <c r="F41" s="8" t="s">
        <v>1047</v>
      </c>
      <c r="G41" s="8" t="str">
        <f>IF($B41="","",IF(COUNTIF('Competency Event Log'!$U$4:$U$803,$B41&amp;"|"&amp;G$5)=0,"",SUMIF('Competency Event Log'!$U$4:$U$803,$B41&amp;"|"&amp;G$5,'Competency Event Log'!$D$4:$D$803)))</f>
        <v/>
      </c>
      <c r="H41" s="8" t="str">
        <f>IF($B41="","",IF(COUNTIF('Competency Event Log'!$U$4:$U$803,$B41&amp;"|"&amp;H$5)=0,"",SUMIF('Competency Event Log'!$U$4:$U$803,$B41&amp;"|"&amp;H$5,'Competency Event Log'!$D$4:$D$803)))</f>
        <v/>
      </c>
      <c r="I41" s="8" t="str">
        <f>IF($B41="","",IF(COUNTIF('Competency Event Log'!$U$4:$U$803,$B41&amp;"|"&amp;I$5)=0,"",SUMIF('Competency Event Log'!$U$4:$U$803,$B41&amp;"|"&amp;I$5,'Competency Event Log'!$D$4:$D$803)))</f>
        <v/>
      </c>
      <c r="J41" s="8" t="str">
        <f>IF($B41="","",IF(COUNTIF('Competency Event Log'!$U$4:$U$803,$B41&amp;"|"&amp;J$5)=0,"",SUMIF('Competency Event Log'!$U$4:$U$803,$B41&amp;"|"&amp;J$5,'Competency Event Log'!$D$4:$D$803)))</f>
        <v/>
      </c>
      <c r="K41" s="8" t="str">
        <f>IF($B41="","",IF(COUNTIF('Competency Event Log'!$U$4:$U$803,$B41&amp;"|"&amp;K$5)=0,"",SUMIF('Competency Event Log'!$U$4:$U$803,$B41&amp;"|"&amp;K$5,'Competency Event Log'!$D$4:$D$803)))</f>
        <v/>
      </c>
      <c r="L41" s="8" t="str">
        <f>IF($B41="","",IF(COUNTIF('Competency Event Log'!$U$4:$U$803,$B41&amp;"|"&amp;L$5)=0,"",SUMIF('Competency Event Log'!$U$4:$U$803,$B41&amp;"|"&amp;L$5,'Competency Event Log'!$D$4:$D$803)))</f>
        <v/>
      </c>
      <c r="M41" s="8" t="str">
        <f>IF($B41="","",IF(COUNTIF('Competency Event Log'!$U$4:$U$803,$B41&amp;"|"&amp;M$5)=0,"",SUMIF('Competency Event Log'!$U$4:$U$803,$B41&amp;"|"&amp;M$5,'Competency Event Log'!$D$4:$D$803)))</f>
        <v/>
      </c>
      <c r="N41" s="8" t="str">
        <f>IF($B41="","",IF(COUNTIF('Competency Event Log'!$U$4:$U$803,$B41&amp;"|"&amp;N$5)=0,"",SUMIF('Competency Event Log'!$U$4:$U$803,$B41&amp;"|"&amp;N$5,'Competency Event Log'!$D$4:$D$803)))</f>
        <v/>
      </c>
      <c r="O41" s="8" t="str">
        <f>IF($B41="","",IF(COUNTIF('Competency Event Log'!$U$4:$U$803,$B41&amp;"|"&amp;O$5)=0,"",SUMIF('Competency Event Log'!$U$4:$U$803,$B41&amp;"|"&amp;O$5,'Competency Event Log'!$D$4:$D$803)))</f>
        <v/>
      </c>
      <c r="P41" s="8" t="str">
        <f>IF($B41="","",IF(COUNTIF('Competency Event Log'!$U$4:$U$803,$B41&amp;"|"&amp;P$5)=0,"",SUMIF('Competency Event Log'!$U$4:$U$803,$B41&amp;"|"&amp;P$5,'Competency Event Log'!$D$4:$D$803)))</f>
        <v/>
      </c>
      <c r="Q41" s="8" t="str">
        <f>IF($B41="","",IF(COUNTIF('Competency Event Log'!$U$4:$U$803,$B41&amp;"|"&amp;Q$5)=0,"",SUMIF('Competency Event Log'!$U$4:$U$803,$B41&amp;"|"&amp;Q$5,'Competency Event Log'!$D$4:$D$803)))</f>
        <v/>
      </c>
      <c r="R41" s="8" t="str">
        <f>IF($B41="","",IF(COUNTIF('Competency Event Log'!$U$4:$U$803,$B41&amp;"|"&amp;R$5)=0,"",SUMIF('Competency Event Log'!$U$4:$U$803,$B41&amp;"|"&amp;R$5,'Competency Event Log'!$D$4:$D$803)))</f>
        <v/>
      </c>
      <c r="S41" s="8" t="str">
        <f>IF($B41="","",IF(COUNTIF('Competency Event Log'!$U$4:$U$803,$B41&amp;"|"&amp;S$5)=0,"",SUMIF('Competency Event Log'!$U$4:$U$803,$B41&amp;"|"&amp;S$5,'Competency Event Log'!$D$4:$D$803)))</f>
        <v/>
      </c>
      <c r="T41" s="8" t="str">
        <f>IF($B41="","",IF(COUNTIF('Competency Event Log'!$U$4:$U$803,$B41&amp;"|"&amp;T$5)=0,"",SUMIF('Competency Event Log'!$U$4:$U$803,$B41&amp;"|"&amp;T$5,'Competency Event Log'!$D$4:$D$803)))</f>
        <v/>
      </c>
      <c r="U41" s="8" t="str">
        <f>IF($B41="","",IF(COUNTIF('Competency Event Log'!$U$4:$U$803,$B41&amp;"|"&amp;U$5)=0,"",SUMIF('Competency Event Log'!$U$4:$U$803,$B41&amp;"|"&amp;U$5,'Competency Event Log'!$D$4:$D$803)))</f>
        <v/>
      </c>
      <c r="V41" s="8" t="str">
        <f>IF($B41="","",IF(COUNTIF('Competency Event Log'!$U$4:$U$803,$B41&amp;"|"&amp;V$5)=0,"",SUMIF('Competency Event Log'!$U$4:$U$803,$B41&amp;"|"&amp;V$5,'Competency Event Log'!$D$4:$D$803)))</f>
        <v/>
      </c>
      <c r="W41" s="8" t="str">
        <f>IF($B41="","",IF(COUNTIF('Competency Event Log'!$U$4:$U$803,$B41&amp;"|"&amp;W$5)=0,"",SUMIF('Competency Event Log'!$U$4:$U$803,$B41&amp;"|"&amp;W$5,'Competency Event Log'!$D$4:$D$803)))</f>
        <v/>
      </c>
      <c r="X41" s="8" t="str">
        <f>IF($B41="","",IF(COUNTIF('Competency Event Log'!$U$4:$U$803,$B41&amp;"|"&amp;X$5)=0,"",SUMIF('Competency Event Log'!$U$4:$U$803,$B41&amp;"|"&amp;X$5,'Competency Event Log'!$D$4:$D$803)))</f>
        <v/>
      </c>
      <c r="Y41" s="8" t="str">
        <f>IF($B41="","",IF(COUNTIF('Competency Event Log'!$U$4:$U$803,$B41&amp;"|"&amp;Y$5)=0,"",SUMIF('Competency Event Log'!$U$4:$U$803,$B41&amp;"|"&amp;Y$5,'Competency Event Log'!$D$4:$D$803)))</f>
        <v/>
      </c>
      <c r="Z41" s="8" t="str">
        <f>IF($B41="","",IF(COUNTIF('Competency Event Log'!$U$4:$U$803,$B41&amp;"|"&amp;Z$5)=0,"",SUMIF('Competency Event Log'!$U$4:$U$803,$B41&amp;"|"&amp;Z$5,'Competency Event Log'!$D$4:$D$803)))</f>
        <v/>
      </c>
      <c r="AA41" s="8" t="str">
        <f>IF($B41="","",IF(COUNTIF('Competency Event Log'!$U$4:$U$803,$B41&amp;"|"&amp;AA$5)=0,"",SUMIF('Competency Event Log'!$U$4:$U$803,$B41&amp;"|"&amp;AA$5,'Competency Event Log'!$D$4:$D$803)))</f>
        <v/>
      </c>
      <c r="AB41" s="8" t="str">
        <f>IF($B41="","",IF(COUNTIF('Competency Event Log'!$U$4:$U$803,$B41&amp;"|"&amp;AB$5)=0,"",SUMIF('Competency Event Log'!$U$4:$U$803,$B41&amp;"|"&amp;AB$5,'Competency Event Log'!$D$4:$D$803)))</f>
        <v/>
      </c>
      <c r="AC41" s="8" t="str">
        <f>IF($B41="","",IF(COUNTIF('Competency Event Log'!$U$4:$U$803,$B41&amp;"|"&amp;AC$5)=0,"",SUMIF('Competency Event Log'!$U$4:$U$803,$B41&amp;"|"&amp;AC$5,'Competency Event Log'!$D$4:$D$803)))</f>
        <v/>
      </c>
      <c r="AD41" s="8" t="str">
        <f>IF($B41="","",IF(COUNTIF('Competency Event Log'!$U$4:$U$803,$B41&amp;"|"&amp;AD$5)=0,"",SUMIF('Competency Event Log'!$U$4:$U$803,$B41&amp;"|"&amp;AD$5,'Competency Event Log'!$D$4:$D$803)))</f>
        <v/>
      </c>
      <c r="AE41" s="8" t="str">
        <f>IF($B41="","",IF(COUNTIF('Competency Event Log'!$U$4:$U$803,$B41&amp;"|"&amp;AE$5)=0,"",SUMIF('Competency Event Log'!$U$4:$U$803,$B41&amp;"|"&amp;AE$5,'Competency Event Log'!$D$4:$D$803)))</f>
        <v/>
      </c>
      <c r="AF41" s="8" t="str">
        <f>IF($B41="","",IF(COUNTIF('Competency Event Log'!$U$4:$U$803,$B41&amp;"|"&amp;AF$5)=0,"",SUMIF('Competency Event Log'!$U$4:$U$803,$B41&amp;"|"&amp;AF$5,'Competency Event Log'!$D$4:$D$803)))</f>
        <v/>
      </c>
      <c r="AG41" s="8">
        <f>IF($B41="","",IF(COUNTIF('Competency Event Log'!$U$4:$U$803,$B41&amp;"|"&amp;AG$5)=0,"",SUMIF('Competency Event Log'!$U$4:$U$803,$B41&amp;"|"&amp;AG$5,'Competency Event Log'!$D$4:$D$803)))</f>
        <v>3</v>
      </c>
      <c r="AH41" s="8" t="str">
        <f>IF($B41="","",IF(COUNTIF('Competency Event Log'!$U$4:$U$803,$B41&amp;"|"&amp;AH$5)=0,"",SUMIF('Competency Event Log'!$U$4:$U$803,$B41&amp;"|"&amp;AH$5,'Competency Event Log'!$D$4:$D$803)))</f>
        <v/>
      </c>
      <c r="AI41" s="8" t="str">
        <f>IF($B41="","",IF(COUNTIF('Competency Event Log'!$U$4:$U$803,$B41&amp;"|"&amp;AI$5)=0,"",SUMIF('Competency Event Log'!$U$4:$U$803,$B41&amp;"|"&amp;AI$5,'Competency Event Log'!$D$4:$D$803)))</f>
        <v/>
      </c>
      <c r="AJ41" s="8" t="str">
        <f>IF($B41="","",IF(COUNTIF('Competency Event Log'!$U$4:$U$803,$B41&amp;"|"&amp;AJ$5)=0,"",SUMIF('Competency Event Log'!$U$4:$U$803,$B41&amp;"|"&amp;AJ$5,'Competency Event Log'!$D$4:$D$803)))</f>
        <v/>
      </c>
      <c r="AK41" s="8" t="str">
        <f>IF($B41="","",IF(COUNTIF('Competency Event Log'!$U$4:$U$803,$B41&amp;"|"&amp;AK$5)=0,"",SUMIF('Competency Event Log'!$U$4:$U$803,$B41&amp;"|"&amp;AK$5,'Competency Event Log'!$D$4:$D$803)))</f>
        <v/>
      </c>
      <c r="AL41" s="8" t="str">
        <f>IF($B41="","",IF(COUNTIF('Competency Event Log'!$U$4:$U$803,$B41&amp;"|"&amp;AL$5)=0,"",SUMIF('Competency Event Log'!$U$4:$U$803,$B41&amp;"|"&amp;AL$5,'Competency Event Log'!$D$4:$D$803)))</f>
        <v/>
      </c>
      <c r="AM41" s="8" t="str">
        <f>IF($B41="","",IF(COUNTIF('Competency Event Log'!$U$4:$U$803,$B41&amp;"|"&amp;AM$5)=0,"",SUMIF('Competency Event Log'!$U$4:$U$803,$B41&amp;"|"&amp;AM$5,'Competency Event Log'!$D$4:$D$803)))</f>
        <v/>
      </c>
      <c r="AN41" s="8" t="str">
        <f>IF($B41="","",IF(COUNTIF('Competency Event Log'!$U$4:$U$803,$B41&amp;"|"&amp;AN$5)=0,"",SUMIF('Competency Event Log'!$U$4:$U$803,$B41&amp;"|"&amp;AN$5,'Competency Event Log'!$D$4:$D$803)))</f>
        <v/>
      </c>
      <c r="AO41" s="8" t="str">
        <f>IF($B41="","",IF(COUNTIF('Competency Event Log'!$U$4:$U$803,$B41&amp;"|"&amp;AO$5)=0,"",SUMIF('Competency Event Log'!$U$4:$U$803,$B41&amp;"|"&amp;AO$5,'Competency Event Log'!$D$4:$D$803)))</f>
        <v/>
      </c>
      <c r="AP41" s="8" t="str">
        <f>IF($B41="","",IF(COUNTIF('Competency Event Log'!$U$4:$U$803,$B41&amp;"|"&amp;AP$5)=0,"",SUMIF('Competency Event Log'!$U$4:$U$803,$B41&amp;"|"&amp;AP$5,'Competency Event Log'!$D$4:$D$803)))</f>
        <v/>
      </c>
      <c r="AQ41" s="8" t="str">
        <f>IF($B41="","",IF(COUNTIF('Competency Event Log'!$U$4:$U$803,$B41&amp;"|"&amp;AQ$5)=0,"",SUMIF('Competency Event Log'!$U$4:$U$803,$B41&amp;"|"&amp;AQ$5,'Competency Event Log'!$D$4:$D$803)))</f>
        <v/>
      </c>
      <c r="AR41" s="8" t="str">
        <f>IF($B41="","",IF(COUNTIF('Competency Event Log'!$U$4:$U$803,$B41&amp;"|"&amp;AR$5)=0,"",SUMIF('Competency Event Log'!$U$4:$U$803,$B41&amp;"|"&amp;AR$5,'Competency Event Log'!$D$4:$D$803)))</f>
        <v/>
      </c>
      <c r="AS41" s="8" t="str">
        <f>IF($B41="","",IF(COUNTIF('Competency Event Log'!$U$4:$U$803,$B41&amp;"|"&amp;AS$5)=0,"",SUMIF('Competency Event Log'!$U$4:$U$803,$B41&amp;"|"&amp;AS$5,'Competency Event Log'!$D$4:$D$803)))</f>
        <v/>
      </c>
      <c r="AT41" s="8" t="str">
        <f>IF($B41="","",IF(COUNTIF('Competency Event Log'!$U$4:$U$803,$B41&amp;"|"&amp;AT$5)=0,"",SUMIF('Competency Event Log'!$U$4:$U$803,$B41&amp;"|"&amp;AT$5,'Competency Event Log'!$D$4:$D$803)))</f>
        <v/>
      </c>
      <c r="AU41" s="8" t="str">
        <f>IF($B41="","",IF(COUNTIF('Competency Event Log'!$U$4:$U$803,$B41&amp;"|"&amp;AU$5)=0,"",SUMIF('Competency Event Log'!$U$4:$U$803,$B41&amp;"|"&amp;AU$5,'Competency Event Log'!$D$4:$D$803)))</f>
        <v/>
      </c>
      <c r="AV41" s="8" t="str">
        <f>IF($B41="","",IF(COUNTIF('Competency Event Log'!$U$4:$U$803,$B41&amp;"|"&amp;AV$5)=0,"",SUMIF('Competency Event Log'!$U$4:$U$803,$B41&amp;"|"&amp;AV$5,'Competency Event Log'!$D$4:$D$803)))</f>
        <v/>
      </c>
      <c r="AW41" s="8" t="str">
        <f>IF($B41="","",IF(COUNTIF('Competency Event Log'!$U$4:$U$803,$B41&amp;"|"&amp;AW$5)=0,"",SUMIF('Competency Event Log'!$U$4:$U$803,$B41&amp;"|"&amp;AW$5,'Competency Event Log'!$D$4:$D$803)))</f>
        <v/>
      </c>
      <c r="AX41" s="8" t="str">
        <f>IF($B41="","",IF(COUNTIF('Competency Event Log'!$U$4:$U$803,$B41&amp;"|"&amp;AX$5)=0,"",SUMIF('Competency Event Log'!$U$4:$U$803,$B41&amp;"|"&amp;AX$5,'Competency Event Log'!$D$4:$D$803)))</f>
        <v/>
      </c>
      <c r="AY41" s="8" t="str">
        <f>IF($B41="","",IF(COUNTIF('Competency Event Log'!$U$4:$U$803,$B41&amp;"|"&amp;AY$5)=0,"",SUMIF('Competency Event Log'!$U$4:$U$803,$B41&amp;"|"&amp;AY$5,'Competency Event Log'!$D$4:$D$803)))</f>
        <v/>
      </c>
      <c r="AZ41" s="8" t="str">
        <f>IF($B41="","",IF(COUNTIF('Competency Event Log'!$U$4:$U$803,$B41&amp;"|"&amp;AZ$5)=0,"",SUMIF('Competency Event Log'!$U$4:$U$803,$B41&amp;"|"&amp;AZ$5,'Competency Event Log'!$D$4:$D$803)))</f>
        <v/>
      </c>
      <c r="BA41" s="8" t="str">
        <f>IF($B41="","",IF(COUNTIF('Competency Event Log'!$U$4:$U$803,$B41&amp;"|"&amp;BA$5)=0,"",SUMIF('Competency Event Log'!$U$4:$U$803,$B41&amp;"|"&amp;BA$5,'Competency Event Log'!$D$4:$D$803)))</f>
        <v/>
      </c>
      <c r="BB41" s="8" t="str">
        <f>IF($B41="","",IF(COUNTIF('Competency Event Log'!$U$4:$U$803,$B41&amp;"|"&amp;BB$5)=0,"",SUMIF('Competency Event Log'!$U$4:$U$803,$B41&amp;"|"&amp;BB$5,'Competency Event Log'!$D$4:$D$803)))</f>
        <v/>
      </c>
      <c r="BC41" s="8" t="str">
        <f>IF($B41="","",IF(COUNTIF('Competency Event Log'!$U$4:$U$803,$B41&amp;"|"&amp;BC$5)=0,"",SUMIF('Competency Event Log'!$U$4:$U$803,$B41&amp;"|"&amp;BC$5,'Competency Event Log'!$D$4:$D$803)))</f>
        <v/>
      </c>
      <c r="BD41" s="8" t="str">
        <f>IF($B41="","",IF(COUNTIF('Competency Event Log'!$U$4:$U$803,$B41&amp;"|"&amp;BD$5)=0,"",SUMIF('Competency Event Log'!$U$4:$U$803,$B41&amp;"|"&amp;BD$5,'Competency Event Log'!$D$4:$D$803)))</f>
        <v/>
      </c>
      <c r="BE41" s="8" t="str">
        <f>IF($B41="","",IF(COUNTIF('Competency Event Log'!$U$4:$U$803,$B41&amp;"|"&amp;BE$5)=0,"",SUMIF('Competency Event Log'!$U$4:$U$803,$B41&amp;"|"&amp;BE$5,'Competency Event Log'!$D$4:$D$803)))</f>
        <v/>
      </c>
      <c r="BF41" s="8" t="str">
        <f>IF($B41="","",IF(COUNTIF('Competency Event Log'!$U$4:$U$803,$B41&amp;"|"&amp;BF$5)=0,"",SUMIF('Competency Event Log'!$U$4:$U$803,$B41&amp;"|"&amp;BF$5,'Competency Event Log'!$D$4:$D$803)))</f>
        <v/>
      </c>
      <c r="BG41" s="8" t="str">
        <f>IF($B41="","",IF(COUNTIF('Competency Event Log'!$U$4:$U$803,$B41&amp;"|"&amp;BG$5)=0,"",SUMIF('Competency Event Log'!$U$4:$U$803,$B41&amp;"|"&amp;BG$5,'Competency Event Log'!$D$4:$D$803)))</f>
        <v/>
      </c>
      <c r="BH41" s="8" t="str">
        <f>IF($B41="","",IF(COUNTIF('Competency Event Log'!$U$4:$U$803,$B41&amp;"|"&amp;BH$5)=0,"",SUMIF('Competency Event Log'!$U$4:$U$803,$B41&amp;"|"&amp;BH$5,'Competency Event Log'!$D$4:$D$803)))</f>
        <v/>
      </c>
      <c r="BI41" s="8" t="str">
        <f>IF($B41="","",IF(COUNTIF('Competency Event Log'!$U$4:$U$803,$B41&amp;"|"&amp;BI$5)=0,"",SUMIF('Competency Event Log'!$U$4:$U$803,$B41&amp;"|"&amp;BI$5,'Competency Event Log'!$D$4:$D$803)))</f>
        <v/>
      </c>
      <c r="BJ41" s="8" t="str">
        <f>IF($B41="","",IF(COUNTIF('Competency Event Log'!$U$4:$U$803,$B41&amp;"|"&amp;BJ$5)=0,"",SUMIF('Competency Event Log'!$U$4:$U$803,$B41&amp;"|"&amp;BJ$5,'Competency Event Log'!$D$4:$D$803)))</f>
        <v/>
      </c>
      <c r="BK41" s="8" t="str">
        <f>IF($B41="","",IF(COUNTIF('Competency Event Log'!$U$4:$U$803,$B41&amp;"|"&amp;BK$5)=0,"",SUMIF('Competency Event Log'!$U$4:$U$803,$B41&amp;"|"&amp;BK$5,'Competency Event Log'!$D$4:$D$803)))</f>
        <v/>
      </c>
      <c r="BL41" s="8" t="str">
        <f>IF($B41="","",IF(COUNTIF('Competency Event Log'!$U$4:$U$803,$B41&amp;"|"&amp;BL$5)=0,"",SUMIF('Competency Event Log'!$U$4:$U$803,$B41&amp;"|"&amp;BL$5,'Competency Event Log'!$D$4:$D$803)))</f>
        <v/>
      </c>
      <c r="BM41" s="8" t="str">
        <f>IF($B41="","",IF(COUNTIF('Competency Event Log'!$U$4:$U$803,$B41&amp;"|"&amp;BM$5)=0,"",SUMIF('Competency Event Log'!$U$4:$U$803,$B41&amp;"|"&amp;BM$5,'Competency Event Log'!$D$4:$D$803)))</f>
        <v/>
      </c>
      <c r="BN41" s="8" t="str">
        <f>IF($B41="","",IF(COUNTIF('Competency Event Log'!$U$4:$U$803,$B41&amp;"|"&amp;BN$5)=0,"",SUMIF('Competency Event Log'!$U$4:$U$803,$B41&amp;"|"&amp;BN$5,'Competency Event Log'!$D$4:$D$803)))</f>
        <v/>
      </c>
      <c r="BO41" s="8">
        <f>IF($B41="","",IF(COUNTIF('Competency Event Log'!$U$4:$U$803,$B41&amp;"|"&amp;BO$5)=0,"",SUMIF('Competency Event Log'!$U$4:$U$803,$B41&amp;"|"&amp;BO$5,'Competency Event Log'!$D$4:$D$803)))</f>
        <v>3</v>
      </c>
      <c r="BP41" s="8" t="str">
        <f>IF($B41="","",IF(COUNTIF('Competency Event Log'!$U$4:$U$803,$B41&amp;"|"&amp;BP$5)=0,"",SUMIF('Competency Event Log'!$U$4:$U$803,$B41&amp;"|"&amp;BP$5,'Competency Event Log'!$D$4:$D$803)))</f>
        <v/>
      </c>
      <c r="BQ41" s="8" t="str">
        <f>IF($B41="","",IF(COUNTIF('Competency Event Log'!$U$4:$U$803,$B41&amp;"|"&amp;BQ$5)=0,"",SUMIF('Competency Event Log'!$U$4:$U$803,$B41&amp;"|"&amp;BQ$5,'Competency Event Log'!$D$4:$D$803)))</f>
        <v/>
      </c>
      <c r="BR41" s="8">
        <f>IF($B41="","",IF(COUNTIF('Competency Event Log'!$U$4:$U$803,$B41&amp;"|"&amp;BR$5)=0,"",SUMIF('Competency Event Log'!$U$4:$U$803,$B41&amp;"|"&amp;BR$5,'Competency Event Log'!$D$4:$D$803)))</f>
        <v>3</v>
      </c>
      <c r="BS41" s="8" t="str">
        <f>IF($B41="","",IF(COUNTIF('Competency Event Log'!$U$4:$U$803,$B41&amp;"|"&amp;BS$5)=0,"",SUMIF('Competency Event Log'!$U$4:$U$803,$B41&amp;"|"&amp;BS$5,'Competency Event Log'!$D$4:$D$803)))</f>
        <v/>
      </c>
      <c r="BT41" s="8" t="str">
        <f>IF($B41="","",IF(COUNTIF('Competency Event Log'!$U$4:$U$803,$B41&amp;"|"&amp;BT$5)=0,"",SUMIF('Competency Event Log'!$U$4:$U$803,$B41&amp;"|"&amp;BT$5,'Competency Event Log'!$D$4:$D$803)))</f>
        <v/>
      </c>
      <c r="BU41" s="8" t="str">
        <f>IF($B41="","",IF(COUNTIF('Competency Event Log'!$U$4:$U$803,$B41&amp;"|"&amp;BU$5)=0,"",SUMIF('Competency Event Log'!$U$4:$U$803,$B41&amp;"|"&amp;BU$5,'Competency Event Log'!$D$4:$D$803)))</f>
        <v/>
      </c>
      <c r="BV41" s="8">
        <f>IF($B41="","",IF(COUNTIF('Competency Event Log'!$U$4:$U$803,$B41&amp;"|"&amp;BV$5)=0,"",SUMIF('Competency Event Log'!$U$4:$U$803,$B41&amp;"|"&amp;BV$5,'Competency Event Log'!$D$4:$D$803)))</f>
        <v>3</v>
      </c>
      <c r="BW41" s="8">
        <f>IF($B41="","",IF(COUNTIF('Competency Event Log'!$U$4:$U$803,$B41&amp;"|"&amp;BW$5)=0,"",SUMIF('Competency Event Log'!$U$4:$U$803,$B41&amp;"|"&amp;BW$5,'Competency Event Log'!$D$4:$D$803)))</f>
        <v>3</v>
      </c>
      <c r="BX41" s="8" t="str">
        <f>IF($B41="","",IF(COUNTIF('Competency Event Log'!$U$4:$U$803,$B41&amp;"|"&amp;BX$5)=0,"",SUMIF('Competency Event Log'!$U$4:$U$803,$B41&amp;"|"&amp;BX$5,'Competency Event Log'!$D$4:$D$803)))</f>
        <v/>
      </c>
      <c r="BY41" s="8">
        <f>IF($B41="","",IF(COUNTIF('Competency Event Log'!$U$4:$U$803,$B41&amp;"|"&amp;BY$5)=0,"",SUMIF('Competency Event Log'!$U$4:$U$803,$B41&amp;"|"&amp;BY$5,'Competency Event Log'!$D$4:$D$803)))</f>
        <v>3</v>
      </c>
      <c r="BZ41" s="8" t="str">
        <f>IF($B41="","",IF(COUNTIF('Competency Event Log'!$U$4:$U$803,$B41&amp;"|"&amp;BZ$5)=0,"",SUMIF('Competency Event Log'!$U$4:$U$803,$B41&amp;"|"&amp;BZ$5,'Competency Event Log'!$D$4:$D$803)))</f>
        <v/>
      </c>
      <c r="CA41" s="8" t="str">
        <f>IF($B41="","",IF(COUNTIF('Competency Event Log'!$U$4:$U$803,$B41&amp;"|"&amp;CA$5)=0,"",SUMIF('Competency Event Log'!$U$4:$U$803,$B41&amp;"|"&amp;CA$5,'Competency Event Log'!$D$4:$D$803)))</f>
        <v/>
      </c>
      <c r="CB41" s="8" t="str">
        <f>IF($B41="","",IF(COUNTIF('Competency Event Log'!$U$4:$U$803,$B41&amp;"|"&amp;CB$5)=0,"",SUMIF('Competency Event Log'!$U$4:$U$803,$B41&amp;"|"&amp;CB$5,'Competency Event Log'!$D$4:$D$803)))</f>
        <v/>
      </c>
      <c r="CC41" s="8" t="str">
        <f>IF($B41="","",IF(COUNTIF('Competency Event Log'!$U$4:$U$803,$B41&amp;"|"&amp;CC$5)=0,"",SUMIF('Competency Event Log'!$U$4:$U$803,$B41&amp;"|"&amp;CC$5,'Competency Event Log'!$D$4:$D$803)))</f>
        <v/>
      </c>
      <c r="CD41" s="8" t="str">
        <f>IF($B41="","",IF(COUNTIF('Competency Event Log'!$U$4:$U$803,$B41&amp;"|"&amp;CD$5)=0,"",SUMIF('Competency Event Log'!$U$4:$U$803,$B41&amp;"|"&amp;CD$5,'Competency Event Log'!$D$4:$D$803)))</f>
        <v/>
      </c>
      <c r="CE41" s="8" t="str">
        <f>IF($B41="","",IF(COUNTIF('Competency Event Log'!$U$4:$U$803,$B41&amp;"|"&amp;CE$5)=0,"",SUMIF('Competency Event Log'!$U$4:$U$803,$B41&amp;"|"&amp;CE$5,'Competency Event Log'!$D$4:$D$803)))</f>
        <v/>
      </c>
      <c r="CF41" s="8" t="str">
        <f>IF($B41="","",IF(COUNTIF('Competency Event Log'!$U$4:$U$803,$B41&amp;"|"&amp;CF$5)=0,"",SUMIF('Competency Event Log'!$U$4:$U$803,$B41&amp;"|"&amp;CF$5,'Competency Event Log'!$D$4:$D$803)))</f>
        <v/>
      </c>
      <c r="CG41" s="8" t="str">
        <f>IF($B41="","",IF(COUNTIF('Competency Event Log'!$U$4:$U$803,$B41&amp;"|"&amp;CG$5)=0,"",SUMIF('Competency Event Log'!$U$4:$U$803,$B41&amp;"|"&amp;CG$5,'Competency Event Log'!$D$4:$D$803)))</f>
        <v/>
      </c>
      <c r="CH41" s="8" t="str">
        <f>IF($B41="","",IF(COUNTIF('Competency Event Log'!$U$4:$U$803,$B41&amp;"|"&amp;CH$5)=0,"",SUMIF('Competency Event Log'!$U$4:$U$803,$B41&amp;"|"&amp;CH$5,'Competency Event Log'!$D$4:$D$803)))</f>
        <v/>
      </c>
      <c r="CI41" s="8" t="str">
        <f>IF($B41="","",IF(COUNTIF('Competency Event Log'!$U$4:$U$803,$B41&amp;"|"&amp;CI$5)=0,"",SUMIF('Competency Event Log'!$U$4:$U$803,$B41&amp;"|"&amp;CI$5,'Competency Event Log'!$D$4:$D$803)))</f>
        <v/>
      </c>
      <c r="CJ41" s="8" t="str">
        <f>IF($B41="","",IF(COUNTIF('Competency Event Log'!$U$4:$U$803,$B41&amp;"|"&amp;CJ$5)=0,"",SUMIF('Competency Event Log'!$U$4:$U$803,$B41&amp;"|"&amp;CJ$5,'Competency Event Log'!$D$4:$D$803)))</f>
        <v/>
      </c>
      <c r="CK41" s="8" t="str">
        <f>IF($B41="","",IF(COUNTIF('Competency Event Log'!$U$4:$U$803,$B41&amp;"|"&amp;CK$5)=0,"",SUMIF('Competency Event Log'!$U$4:$U$803,$B41&amp;"|"&amp;CK$5,'Competency Event Log'!$D$4:$D$803)))</f>
        <v/>
      </c>
      <c r="CL41" s="8" t="str">
        <f>IF($B41="","",IF(COUNTIF('Competency Event Log'!$U$4:$U$803,$B41&amp;"|"&amp;CL$5)=0,"",SUMIF('Competency Event Log'!$U$4:$U$803,$B41&amp;"|"&amp;CL$5,'Competency Event Log'!$D$4:$D$803)))</f>
        <v/>
      </c>
      <c r="CM41" s="8" t="str">
        <f>IF($B41="","",IF(COUNTIF('Competency Event Log'!$U$4:$U$803,$B41&amp;"|"&amp;CM$5)=0,"",SUMIF('Competency Event Log'!$U$4:$U$803,$B41&amp;"|"&amp;CM$5,'Competency Event Log'!$D$4:$D$803)))</f>
        <v/>
      </c>
      <c r="CN41" s="8" t="str">
        <f>IF($B41="","",IF(COUNTIF('Competency Event Log'!$U$4:$U$803,$B41&amp;"|"&amp;CN$5)=0,"",SUMIF('Competency Event Log'!$U$4:$U$803,$B41&amp;"|"&amp;CN$5,'Competency Event Log'!$D$4:$D$803)))</f>
        <v/>
      </c>
      <c r="CO41" s="8" t="str">
        <f>IF($B41="","",IF(COUNTIF('Competency Event Log'!$U$4:$U$803,$B41&amp;"|"&amp;CO$5)=0,"",SUMIF('Competency Event Log'!$U$4:$U$803,$B41&amp;"|"&amp;CO$5,'Competency Event Log'!$D$4:$D$803)))</f>
        <v/>
      </c>
      <c r="CP41" s="8" t="str">
        <f>IF($B41="","",IF(COUNTIF('Competency Event Log'!$U$4:$U$803,$B41&amp;"|"&amp;CP$5)=0,"",SUMIF('Competency Event Log'!$U$4:$U$803,$B41&amp;"|"&amp;CP$5,'Competency Event Log'!$D$4:$D$803)))</f>
        <v/>
      </c>
      <c r="CQ41" s="8" t="str">
        <f>IF($B41="","",IF(COUNTIF('Competency Event Log'!$U$4:$U$803,$B41&amp;"|"&amp;CQ$5)=0,"",SUMIF('Competency Event Log'!$U$4:$U$803,$B41&amp;"|"&amp;CQ$5,'Competency Event Log'!$D$4:$D$803)))</f>
        <v/>
      </c>
      <c r="CR41" s="8" t="str">
        <f>IF($B41="","",IF(COUNTIF('Competency Event Log'!$U$4:$U$803,$B41&amp;"|"&amp;CR$5)=0,"",SUMIF('Competency Event Log'!$U$4:$U$803,$B41&amp;"|"&amp;CR$5,'Competency Event Log'!$D$4:$D$803)))</f>
        <v/>
      </c>
      <c r="CS41" s="8" t="str">
        <f>IF($B41="","",IF(COUNTIF('Competency Event Log'!$U$4:$U$803,$B41&amp;"|"&amp;CS$5)=0,"",SUMIF('Competency Event Log'!$U$4:$U$803,$B41&amp;"|"&amp;CS$5,'Competency Event Log'!$D$4:$D$803)))</f>
        <v/>
      </c>
      <c r="CT41" s="8" t="str">
        <f>IF($B41="","",IF(COUNTIF('Competency Event Log'!$U$4:$U$803,$B41&amp;"|"&amp;CT$5)=0,"",SUMIF('Competency Event Log'!$U$4:$U$803,$B41&amp;"|"&amp;CT$5,'Competency Event Log'!$D$4:$D$803)))</f>
        <v/>
      </c>
      <c r="CU41" s="8" t="str">
        <f>IF($B41="","",IF(COUNTIF('Competency Event Log'!$U$4:$U$803,$B41&amp;"|"&amp;CU$5)=0,"",SUMIF('Competency Event Log'!$U$4:$U$803,$B41&amp;"|"&amp;CU$5,'Competency Event Log'!$D$4:$D$803)))</f>
        <v/>
      </c>
      <c r="CV41" s="8" t="str">
        <f>IF($B41="","",IF(COUNTIF('Competency Event Log'!$U$4:$U$803,$B41&amp;"|"&amp;CV$5)=0,"",SUMIF('Competency Event Log'!$U$4:$U$803,$B41&amp;"|"&amp;CV$5,'Competency Event Log'!$D$4:$D$803)))</f>
        <v/>
      </c>
      <c r="CW41" s="8" t="str">
        <f>IF($B41="","",IF(COUNTIF('Competency Event Log'!$U$4:$U$803,$B41&amp;"|"&amp;CW$5)=0,"",SUMIF('Competency Event Log'!$U$4:$U$803,$B41&amp;"|"&amp;CW$5,'Competency Event Log'!$D$4:$D$803)))</f>
        <v/>
      </c>
      <c r="CX41" s="8" t="str">
        <f>IF($B41="","",IF(COUNTIF('Competency Event Log'!$U$4:$U$803,$B41&amp;"|"&amp;CX$5)=0,"",SUMIF('Competency Event Log'!$U$4:$U$803,$B41&amp;"|"&amp;CX$5,'Competency Event Log'!$D$4:$D$803)))</f>
        <v/>
      </c>
      <c r="CY41" s="8" t="str">
        <f>IF($B41="","",IF(COUNTIF('Competency Event Log'!$U$4:$U$803,$B41&amp;"|"&amp;CY$5)=0,"",SUMIF('Competency Event Log'!$U$4:$U$803,$B41&amp;"|"&amp;CY$5,'Competency Event Log'!$D$4:$D$803)))</f>
        <v/>
      </c>
      <c r="CZ41" s="8" t="str">
        <f>IF($B41="","",IF(COUNTIF('Competency Event Log'!$U$4:$U$803,$B41&amp;"|"&amp;CZ$5)=0,"",SUMIF('Competency Event Log'!$U$4:$U$803,$B41&amp;"|"&amp;CZ$5,'Competency Event Log'!$D$4:$D$803)))</f>
        <v/>
      </c>
      <c r="DA41" s="8" t="str">
        <f>IF($B41="","",IF(COUNTIF('Competency Event Log'!$U$4:$U$803,$B41&amp;"|"&amp;DA$5)=0,"",SUMIF('Competency Event Log'!$U$4:$U$803,$B41&amp;"|"&amp;DA$5,'Competency Event Log'!$D$4:$D$803)))</f>
        <v/>
      </c>
      <c r="DB41" s="8" t="str">
        <f>IF($B41="","",IF(COUNTIF('Competency Event Log'!$U$4:$U$803,$B41&amp;"|"&amp;DB$5)=0,"",SUMIF('Competency Event Log'!$U$4:$U$803,$B41&amp;"|"&amp;DB$5,'Competency Event Log'!$D$4:$D$803)))</f>
        <v/>
      </c>
      <c r="DC41" s="8" t="str">
        <f>IF($B41="","",IF(COUNTIF('Competency Event Log'!$U$4:$U$803,$B41&amp;"|"&amp;DC$5)=0,"",SUMIF('Competency Event Log'!$U$4:$U$803,$B41&amp;"|"&amp;DC$5,'Competency Event Log'!$D$4:$D$803)))</f>
        <v/>
      </c>
      <c r="DD41" s="8" t="str">
        <f>IF($B41="","",IF(COUNTIF('Competency Event Log'!$U$4:$U$803,$B41&amp;"|"&amp;DD$5)=0,"",SUMIF('Competency Event Log'!$U$4:$U$803,$B41&amp;"|"&amp;DD$5,'Competency Event Log'!$D$4:$D$803)))</f>
        <v/>
      </c>
      <c r="DE41" s="8">
        <f>IF($B41="","",IF(COUNTIF('Competency Event Log'!$U$4:$U$803,$B41&amp;"|"&amp;DE$5)=0,"",SUMIF('Competency Event Log'!$U$4:$U$803,$B41&amp;"|"&amp;DE$5,'Competency Event Log'!$D$4:$D$803)))</f>
        <v>3</v>
      </c>
      <c r="DF41" s="8">
        <f t="shared" si="4"/>
        <v>21</v>
      </c>
      <c r="DG41" s="8">
        <f t="shared" si="5"/>
        <v>7</v>
      </c>
      <c r="DH41" s="8">
        <f t="shared" si="6"/>
        <v>7</v>
      </c>
      <c r="DI41" s="11">
        <f t="shared" si="7"/>
        <v>0.29411764705882354</v>
      </c>
    </row>
    <row r="42" spans="1:113">
      <c r="A42" s="7"/>
      <c r="B42" s="7"/>
      <c r="C42" s="8"/>
      <c r="D42" s="9"/>
      <c r="E42" s="10"/>
      <c r="F42" s="8"/>
      <c r="G42" s="8" t="str">
        <f>IF($B42="","",IF(COUNTIF('Competency Event Log'!$U$4:$U$803,$B42&amp;"|"&amp;G$5)=0,"",SUMIF('Competency Event Log'!$U$4:$U$803,$B42&amp;"|"&amp;G$5,'Competency Event Log'!$D$4:$D$803)))</f>
        <v/>
      </c>
      <c r="H42" s="8" t="str">
        <f>IF($B42="","",IF(COUNTIF('Competency Event Log'!$U$4:$U$803,$B42&amp;"|"&amp;H$5)=0,"",SUMIF('Competency Event Log'!$U$4:$U$803,$B42&amp;"|"&amp;H$5,'Competency Event Log'!$D$4:$D$803)))</f>
        <v/>
      </c>
      <c r="I42" s="8" t="str">
        <f>IF($B42="","",IF(COUNTIF('Competency Event Log'!$U$4:$U$803,$B42&amp;"|"&amp;I$5)=0,"",SUMIF('Competency Event Log'!$U$4:$U$803,$B42&amp;"|"&amp;I$5,'Competency Event Log'!$D$4:$D$803)))</f>
        <v/>
      </c>
      <c r="J42" s="8" t="str">
        <f>IF($B42="","",IF(COUNTIF('Competency Event Log'!$U$4:$U$803,$B42&amp;"|"&amp;J$5)=0,"",SUMIF('Competency Event Log'!$U$4:$U$803,$B42&amp;"|"&amp;J$5,'Competency Event Log'!$D$4:$D$803)))</f>
        <v/>
      </c>
      <c r="K42" s="8" t="str">
        <f>IF($B42="","",IF(COUNTIF('Competency Event Log'!$U$4:$U$803,$B42&amp;"|"&amp;K$5)=0,"",SUMIF('Competency Event Log'!$U$4:$U$803,$B42&amp;"|"&amp;K$5,'Competency Event Log'!$D$4:$D$803)))</f>
        <v/>
      </c>
      <c r="L42" s="8" t="str">
        <f>IF($B42="","",IF(COUNTIF('Competency Event Log'!$U$4:$U$803,$B42&amp;"|"&amp;L$5)=0,"",SUMIF('Competency Event Log'!$U$4:$U$803,$B42&amp;"|"&amp;L$5,'Competency Event Log'!$D$4:$D$803)))</f>
        <v/>
      </c>
      <c r="M42" s="8" t="str">
        <f>IF($B42="","",IF(COUNTIF('Competency Event Log'!$U$4:$U$803,$B42&amp;"|"&amp;M$5)=0,"",SUMIF('Competency Event Log'!$U$4:$U$803,$B42&amp;"|"&amp;M$5,'Competency Event Log'!$D$4:$D$803)))</f>
        <v/>
      </c>
      <c r="N42" s="8" t="str">
        <f>IF($B42="","",IF(COUNTIF('Competency Event Log'!$U$4:$U$803,$B42&amp;"|"&amp;N$5)=0,"",SUMIF('Competency Event Log'!$U$4:$U$803,$B42&amp;"|"&amp;N$5,'Competency Event Log'!$D$4:$D$803)))</f>
        <v/>
      </c>
      <c r="O42" s="8" t="str">
        <f>IF($B42="","",IF(COUNTIF('Competency Event Log'!$U$4:$U$803,$B42&amp;"|"&amp;O$5)=0,"",SUMIF('Competency Event Log'!$U$4:$U$803,$B42&amp;"|"&amp;O$5,'Competency Event Log'!$D$4:$D$803)))</f>
        <v/>
      </c>
      <c r="P42" s="8" t="str">
        <f>IF($B42="","",IF(COUNTIF('Competency Event Log'!$U$4:$U$803,$B42&amp;"|"&amp;P$5)=0,"",SUMIF('Competency Event Log'!$U$4:$U$803,$B42&amp;"|"&amp;P$5,'Competency Event Log'!$D$4:$D$803)))</f>
        <v/>
      </c>
      <c r="Q42" s="8" t="str">
        <f>IF($B42="","",IF(COUNTIF('Competency Event Log'!$U$4:$U$803,$B42&amp;"|"&amp;Q$5)=0,"",SUMIF('Competency Event Log'!$U$4:$U$803,$B42&amp;"|"&amp;Q$5,'Competency Event Log'!$D$4:$D$803)))</f>
        <v/>
      </c>
      <c r="R42" s="8" t="str">
        <f>IF($B42="","",IF(COUNTIF('Competency Event Log'!$U$4:$U$803,$B42&amp;"|"&amp;R$5)=0,"",SUMIF('Competency Event Log'!$U$4:$U$803,$B42&amp;"|"&amp;R$5,'Competency Event Log'!$D$4:$D$803)))</f>
        <v/>
      </c>
      <c r="S42" s="8" t="str">
        <f>IF($B42="","",IF(COUNTIF('Competency Event Log'!$U$4:$U$803,$B42&amp;"|"&amp;S$5)=0,"",SUMIF('Competency Event Log'!$U$4:$U$803,$B42&amp;"|"&amp;S$5,'Competency Event Log'!$D$4:$D$803)))</f>
        <v/>
      </c>
      <c r="T42" s="8" t="str">
        <f>IF($B42="","",IF(COUNTIF('Competency Event Log'!$U$4:$U$803,$B42&amp;"|"&amp;T$5)=0,"",SUMIF('Competency Event Log'!$U$4:$U$803,$B42&amp;"|"&amp;T$5,'Competency Event Log'!$D$4:$D$803)))</f>
        <v/>
      </c>
      <c r="U42" s="8" t="str">
        <f>IF($B42="","",IF(COUNTIF('Competency Event Log'!$U$4:$U$803,$B42&amp;"|"&amp;U$5)=0,"",SUMIF('Competency Event Log'!$U$4:$U$803,$B42&amp;"|"&amp;U$5,'Competency Event Log'!$D$4:$D$803)))</f>
        <v/>
      </c>
      <c r="V42" s="8" t="str">
        <f>IF($B42="","",IF(COUNTIF('Competency Event Log'!$U$4:$U$803,$B42&amp;"|"&amp;V$5)=0,"",SUMIF('Competency Event Log'!$U$4:$U$803,$B42&amp;"|"&amp;V$5,'Competency Event Log'!$D$4:$D$803)))</f>
        <v/>
      </c>
      <c r="W42" s="8" t="str">
        <f>IF($B42="","",IF(COUNTIF('Competency Event Log'!$U$4:$U$803,$B42&amp;"|"&amp;W$5)=0,"",SUMIF('Competency Event Log'!$U$4:$U$803,$B42&amp;"|"&amp;W$5,'Competency Event Log'!$D$4:$D$803)))</f>
        <v/>
      </c>
      <c r="X42" s="8" t="str">
        <f>IF($B42="","",IF(COUNTIF('Competency Event Log'!$U$4:$U$803,$B42&amp;"|"&amp;X$5)=0,"",SUMIF('Competency Event Log'!$U$4:$U$803,$B42&amp;"|"&amp;X$5,'Competency Event Log'!$D$4:$D$803)))</f>
        <v/>
      </c>
      <c r="Y42" s="8" t="str">
        <f>IF($B42="","",IF(COUNTIF('Competency Event Log'!$U$4:$U$803,$B42&amp;"|"&amp;Y$5)=0,"",SUMIF('Competency Event Log'!$U$4:$U$803,$B42&amp;"|"&amp;Y$5,'Competency Event Log'!$D$4:$D$803)))</f>
        <v/>
      </c>
      <c r="Z42" s="8" t="str">
        <f>IF($B42="","",IF(COUNTIF('Competency Event Log'!$U$4:$U$803,$B42&amp;"|"&amp;Z$5)=0,"",SUMIF('Competency Event Log'!$U$4:$U$803,$B42&amp;"|"&amp;Z$5,'Competency Event Log'!$D$4:$D$803)))</f>
        <v/>
      </c>
      <c r="AA42" s="8" t="str">
        <f>IF($B42="","",IF(COUNTIF('Competency Event Log'!$U$4:$U$803,$B42&amp;"|"&amp;AA$5)=0,"",SUMIF('Competency Event Log'!$U$4:$U$803,$B42&amp;"|"&amp;AA$5,'Competency Event Log'!$D$4:$D$803)))</f>
        <v/>
      </c>
      <c r="AB42" s="8" t="str">
        <f>IF($B42="","",IF(COUNTIF('Competency Event Log'!$U$4:$U$803,$B42&amp;"|"&amp;AB$5)=0,"",SUMIF('Competency Event Log'!$U$4:$U$803,$B42&amp;"|"&amp;AB$5,'Competency Event Log'!$D$4:$D$803)))</f>
        <v/>
      </c>
      <c r="AC42" s="8" t="str">
        <f>IF($B42="","",IF(COUNTIF('Competency Event Log'!$U$4:$U$803,$B42&amp;"|"&amp;AC$5)=0,"",SUMIF('Competency Event Log'!$U$4:$U$803,$B42&amp;"|"&amp;AC$5,'Competency Event Log'!$D$4:$D$803)))</f>
        <v/>
      </c>
      <c r="AD42" s="8" t="str">
        <f>IF($B42="","",IF(COUNTIF('Competency Event Log'!$U$4:$U$803,$B42&amp;"|"&amp;AD$5)=0,"",SUMIF('Competency Event Log'!$U$4:$U$803,$B42&amp;"|"&amp;AD$5,'Competency Event Log'!$D$4:$D$803)))</f>
        <v/>
      </c>
      <c r="AE42" s="8" t="str">
        <f>IF($B42="","",IF(COUNTIF('Competency Event Log'!$U$4:$U$803,$B42&amp;"|"&amp;AE$5)=0,"",SUMIF('Competency Event Log'!$U$4:$U$803,$B42&amp;"|"&amp;AE$5,'Competency Event Log'!$D$4:$D$803)))</f>
        <v/>
      </c>
      <c r="AF42" s="8" t="str">
        <f>IF($B42="","",IF(COUNTIF('Competency Event Log'!$U$4:$U$803,$B42&amp;"|"&amp;AF$5)=0,"",SUMIF('Competency Event Log'!$U$4:$U$803,$B42&amp;"|"&amp;AF$5,'Competency Event Log'!$D$4:$D$803)))</f>
        <v/>
      </c>
      <c r="AG42" s="8" t="str">
        <f>IF($B42="","",IF(COUNTIF('Competency Event Log'!$U$4:$U$803,$B42&amp;"|"&amp;AG$5)=0,"",SUMIF('Competency Event Log'!$U$4:$U$803,$B42&amp;"|"&amp;AG$5,'Competency Event Log'!$D$4:$D$803)))</f>
        <v/>
      </c>
      <c r="AH42" s="8" t="str">
        <f>IF($B42="","",IF(COUNTIF('Competency Event Log'!$U$4:$U$803,$B42&amp;"|"&amp;AH$5)=0,"",SUMIF('Competency Event Log'!$U$4:$U$803,$B42&amp;"|"&amp;AH$5,'Competency Event Log'!$D$4:$D$803)))</f>
        <v/>
      </c>
      <c r="AI42" s="8" t="str">
        <f>IF($B42="","",IF(COUNTIF('Competency Event Log'!$U$4:$U$803,$B42&amp;"|"&amp;AI$5)=0,"",SUMIF('Competency Event Log'!$U$4:$U$803,$B42&amp;"|"&amp;AI$5,'Competency Event Log'!$D$4:$D$803)))</f>
        <v/>
      </c>
      <c r="AJ42" s="8" t="str">
        <f>IF($B42="","",IF(COUNTIF('Competency Event Log'!$U$4:$U$803,$B42&amp;"|"&amp;AJ$5)=0,"",SUMIF('Competency Event Log'!$U$4:$U$803,$B42&amp;"|"&amp;AJ$5,'Competency Event Log'!$D$4:$D$803)))</f>
        <v/>
      </c>
      <c r="AK42" s="8" t="str">
        <f>IF($B42="","",IF(COUNTIF('Competency Event Log'!$U$4:$U$803,$B42&amp;"|"&amp;AK$5)=0,"",SUMIF('Competency Event Log'!$U$4:$U$803,$B42&amp;"|"&amp;AK$5,'Competency Event Log'!$D$4:$D$803)))</f>
        <v/>
      </c>
      <c r="AL42" s="8" t="str">
        <f>IF($B42="","",IF(COUNTIF('Competency Event Log'!$U$4:$U$803,$B42&amp;"|"&amp;AL$5)=0,"",SUMIF('Competency Event Log'!$U$4:$U$803,$B42&amp;"|"&amp;AL$5,'Competency Event Log'!$D$4:$D$803)))</f>
        <v/>
      </c>
      <c r="AM42" s="8" t="str">
        <f>IF($B42="","",IF(COUNTIF('Competency Event Log'!$U$4:$U$803,$B42&amp;"|"&amp;AM$5)=0,"",SUMIF('Competency Event Log'!$U$4:$U$803,$B42&amp;"|"&amp;AM$5,'Competency Event Log'!$D$4:$D$803)))</f>
        <v/>
      </c>
      <c r="AN42" s="8" t="str">
        <f>IF($B42="","",IF(COUNTIF('Competency Event Log'!$U$4:$U$803,$B42&amp;"|"&amp;AN$5)=0,"",SUMIF('Competency Event Log'!$U$4:$U$803,$B42&amp;"|"&amp;AN$5,'Competency Event Log'!$D$4:$D$803)))</f>
        <v/>
      </c>
      <c r="AO42" s="8" t="str">
        <f>IF($B42="","",IF(COUNTIF('Competency Event Log'!$U$4:$U$803,$B42&amp;"|"&amp;AO$5)=0,"",SUMIF('Competency Event Log'!$U$4:$U$803,$B42&amp;"|"&amp;AO$5,'Competency Event Log'!$D$4:$D$803)))</f>
        <v/>
      </c>
      <c r="AP42" s="8" t="str">
        <f>IF($B42="","",IF(COUNTIF('Competency Event Log'!$U$4:$U$803,$B42&amp;"|"&amp;AP$5)=0,"",SUMIF('Competency Event Log'!$U$4:$U$803,$B42&amp;"|"&amp;AP$5,'Competency Event Log'!$D$4:$D$803)))</f>
        <v/>
      </c>
      <c r="AQ42" s="8" t="str">
        <f>IF($B42="","",IF(COUNTIF('Competency Event Log'!$U$4:$U$803,$B42&amp;"|"&amp;AQ$5)=0,"",SUMIF('Competency Event Log'!$U$4:$U$803,$B42&amp;"|"&amp;AQ$5,'Competency Event Log'!$D$4:$D$803)))</f>
        <v/>
      </c>
      <c r="AR42" s="8" t="str">
        <f>IF($B42="","",IF(COUNTIF('Competency Event Log'!$U$4:$U$803,$B42&amp;"|"&amp;AR$5)=0,"",SUMIF('Competency Event Log'!$U$4:$U$803,$B42&amp;"|"&amp;AR$5,'Competency Event Log'!$D$4:$D$803)))</f>
        <v/>
      </c>
      <c r="AS42" s="8" t="str">
        <f>IF($B42="","",IF(COUNTIF('Competency Event Log'!$U$4:$U$803,$B42&amp;"|"&amp;AS$5)=0,"",SUMIF('Competency Event Log'!$U$4:$U$803,$B42&amp;"|"&amp;AS$5,'Competency Event Log'!$D$4:$D$803)))</f>
        <v/>
      </c>
      <c r="AT42" s="8" t="str">
        <f>IF($B42="","",IF(COUNTIF('Competency Event Log'!$U$4:$U$803,$B42&amp;"|"&amp;AT$5)=0,"",SUMIF('Competency Event Log'!$U$4:$U$803,$B42&amp;"|"&amp;AT$5,'Competency Event Log'!$D$4:$D$803)))</f>
        <v/>
      </c>
      <c r="AU42" s="8" t="str">
        <f>IF($B42="","",IF(COUNTIF('Competency Event Log'!$U$4:$U$803,$B42&amp;"|"&amp;AU$5)=0,"",SUMIF('Competency Event Log'!$U$4:$U$803,$B42&amp;"|"&amp;AU$5,'Competency Event Log'!$D$4:$D$803)))</f>
        <v/>
      </c>
      <c r="AV42" s="8" t="str">
        <f>IF($B42="","",IF(COUNTIF('Competency Event Log'!$U$4:$U$803,$B42&amp;"|"&amp;AV$5)=0,"",SUMIF('Competency Event Log'!$U$4:$U$803,$B42&amp;"|"&amp;AV$5,'Competency Event Log'!$D$4:$D$803)))</f>
        <v/>
      </c>
      <c r="AW42" s="8" t="str">
        <f>IF($B42="","",IF(COUNTIF('Competency Event Log'!$U$4:$U$803,$B42&amp;"|"&amp;AW$5)=0,"",SUMIF('Competency Event Log'!$U$4:$U$803,$B42&amp;"|"&amp;AW$5,'Competency Event Log'!$D$4:$D$803)))</f>
        <v/>
      </c>
      <c r="AX42" s="8" t="str">
        <f>IF($B42="","",IF(COUNTIF('Competency Event Log'!$U$4:$U$803,$B42&amp;"|"&amp;AX$5)=0,"",SUMIF('Competency Event Log'!$U$4:$U$803,$B42&amp;"|"&amp;AX$5,'Competency Event Log'!$D$4:$D$803)))</f>
        <v/>
      </c>
      <c r="AY42" s="8" t="str">
        <f>IF($B42="","",IF(COUNTIF('Competency Event Log'!$U$4:$U$803,$B42&amp;"|"&amp;AY$5)=0,"",SUMIF('Competency Event Log'!$U$4:$U$803,$B42&amp;"|"&amp;AY$5,'Competency Event Log'!$D$4:$D$803)))</f>
        <v/>
      </c>
      <c r="AZ42" s="8" t="str">
        <f>IF($B42="","",IF(COUNTIF('Competency Event Log'!$U$4:$U$803,$B42&amp;"|"&amp;AZ$5)=0,"",SUMIF('Competency Event Log'!$U$4:$U$803,$B42&amp;"|"&amp;AZ$5,'Competency Event Log'!$D$4:$D$803)))</f>
        <v/>
      </c>
      <c r="BA42" s="8" t="str">
        <f>IF($B42="","",IF(COUNTIF('Competency Event Log'!$U$4:$U$803,$B42&amp;"|"&amp;BA$5)=0,"",SUMIF('Competency Event Log'!$U$4:$U$803,$B42&amp;"|"&amp;BA$5,'Competency Event Log'!$D$4:$D$803)))</f>
        <v/>
      </c>
      <c r="BB42" s="8" t="str">
        <f>IF($B42="","",IF(COUNTIF('Competency Event Log'!$U$4:$U$803,$B42&amp;"|"&amp;BB$5)=0,"",SUMIF('Competency Event Log'!$U$4:$U$803,$B42&amp;"|"&amp;BB$5,'Competency Event Log'!$D$4:$D$803)))</f>
        <v/>
      </c>
      <c r="BC42" s="8" t="str">
        <f>IF($B42="","",IF(COUNTIF('Competency Event Log'!$U$4:$U$803,$B42&amp;"|"&amp;BC$5)=0,"",SUMIF('Competency Event Log'!$U$4:$U$803,$B42&amp;"|"&amp;BC$5,'Competency Event Log'!$D$4:$D$803)))</f>
        <v/>
      </c>
      <c r="BD42" s="8" t="str">
        <f>IF($B42="","",IF(COUNTIF('Competency Event Log'!$U$4:$U$803,$B42&amp;"|"&amp;BD$5)=0,"",SUMIF('Competency Event Log'!$U$4:$U$803,$B42&amp;"|"&amp;BD$5,'Competency Event Log'!$D$4:$D$803)))</f>
        <v/>
      </c>
      <c r="BE42" s="8" t="str">
        <f>IF($B42="","",IF(COUNTIF('Competency Event Log'!$U$4:$U$803,$B42&amp;"|"&amp;BE$5)=0,"",SUMIF('Competency Event Log'!$U$4:$U$803,$B42&amp;"|"&amp;BE$5,'Competency Event Log'!$D$4:$D$803)))</f>
        <v/>
      </c>
      <c r="BF42" s="8" t="str">
        <f>IF($B42="","",IF(COUNTIF('Competency Event Log'!$U$4:$U$803,$B42&amp;"|"&amp;BF$5)=0,"",SUMIF('Competency Event Log'!$U$4:$U$803,$B42&amp;"|"&amp;BF$5,'Competency Event Log'!$D$4:$D$803)))</f>
        <v/>
      </c>
      <c r="BG42" s="8" t="str">
        <f>IF($B42="","",IF(COUNTIF('Competency Event Log'!$U$4:$U$803,$B42&amp;"|"&amp;BG$5)=0,"",SUMIF('Competency Event Log'!$U$4:$U$803,$B42&amp;"|"&amp;BG$5,'Competency Event Log'!$D$4:$D$803)))</f>
        <v/>
      </c>
      <c r="BH42" s="8" t="str">
        <f>IF($B42="","",IF(COUNTIF('Competency Event Log'!$U$4:$U$803,$B42&amp;"|"&amp;BH$5)=0,"",SUMIF('Competency Event Log'!$U$4:$U$803,$B42&amp;"|"&amp;BH$5,'Competency Event Log'!$D$4:$D$803)))</f>
        <v/>
      </c>
      <c r="BI42" s="8" t="str">
        <f>IF($B42="","",IF(COUNTIF('Competency Event Log'!$U$4:$U$803,$B42&amp;"|"&amp;BI$5)=0,"",SUMIF('Competency Event Log'!$U$4:$U$803,$B42&amp;"|"&amp;BI$5,'Competency Event Log'!$D$4:$D$803)))</f>
        <v/>
      </c>
      <c r="BJ42" s="8" t="str">
        <f>IF($B42="","",IF(COUNTIF('Competency Event Log'!$U$4:$U$803,$B42&amp;"|"&amp;BJ$5)=0,"",SUMIF('Competency Event Log'!$U$4:$U$803,$B42&amp;"|"&amp;BJ$5,'Competency Event Log'!$D$4:$D$803)))</f>
        <v/>
      </c>
      <c r="BK42" s="8" t="str">
        <f>IF($B42="","",IF(COUNTIF('Competency Event Log'!$U$4:$U$803,$B42&amp;"|"&amp;BK$5)=0,"",SUMIF('Competency Event Log'!$U$4:$U$803,$B42&amp;"|"&amp;BK$5,'Competency Event Log'!$D$4:$D$803)))</f>
        <v/>
      </c>
      <c r="BL42" s="8" t="str">
        <f>IF($B42="","",IF(COUNTIF('Competency Event Log'!$U$4:$U$803,$B42&amp;"|"&amp;BL$5)=0,"",SUMIF('Competency Event Log'!$U$4:$U$803,$B42&amp;"|"&amp;BL$5,'Competency Event Log'!$D$4:$D$803)))</f>
        <v/>
      </c>
      <c r="BM42" s="8" t="str">
        <f>IF($B42="","",IF(COUNTIF('Competency Event Log'!$U$4:$U$803,$B42&amp;"|"&amp;BM$5)=0,"",SUMIF('Competency Event Log'!$U$4:$U$803,$B42&amp;"|"&amp;BM$5,'Competency Event Log'!$D$4:$D$803)))</f>
        <v/>
      </c>
      <c r="BN42" s="8" t="str">
        <f>IF($B42="","",IF(COUNTIF('Competency Event Log'!$U$4:$U$803,$B42&amp;"|"&amp;BN$5)=0,"",SUMIF('Competency Event Log'!$U$4:$U$803,$B42&amp;"|"&amp;BN$5,'Competency Event Log'!$D$4:$D$803)))</f>
        <v/>
      </c>
      <c r="BO42" s="8" t="str">
        <f>IF($B42="","",IF(COUNTIF('Competency Event Log'!$U$4:$U$803,$B42&amp;"|"&amp;BO$5)=0,"",SUMIF('Competency Event Log'!$U$4:$U$803,$B42&amp;"|"&amp;BO$5,'Competency Event Log'!$D$4:$D$803)))</f>
        <v/>
      </c>
      <c r="BP42" s="8" t="str">
        <f>IF($B42="","",IF(COUNTIF('Competency Event Log'!$U$4:$U$803,$B42&amp;"|"&amp;BP$5)=0,"",SUMIF('Competency Event Log'!$U$4:$U$803,$B42&amp;"|"&amp;BP$5,'Competency Event Log'!$D$4:$D$803)))</f>
        <v/>
      </c>
      <c r="BQ42" s="8" t="str">
        <f>IF($B42="","",IF(COUNTIF('Competency Event Log'!$U$4:$U$803,$B42&amp;"|"&amp;BQ$5)=0,"",SUMIF('Competency Event Log'!$U$4:$U$803,$B42&amp;"|"&amp;BQ$5,'Competency Event Log'!$D$4:$D$803)))</f>
        <v/>
      </c>
      <c r="BR42" s="8" t="str">
        <f>IF($B42="","",IF(COUNTIF('Competency Event Log'!$U$4:$U$803,$B42&amp;"|"&amp;BR$5)=0,"",SUMIF('Competency Event Log'!$U$4:$U$803,$B42&amp;"|"&amp;BR$5,'Competency Event Log'!$D$4:$D$803)))</f>
        <v/>
      </c>
      <c r="BS42" s="8" t="str">
        <f>IF($B42="","",IF(COUNTIF('Competency Event Log'!$U$4:$U$803,$B42&amp;"|"&amp;BS$5)=0,"",SUMIF('Competency Event Log'!$U$4:$U$803,$B42&amp;"|"&amp;BS$5,'Competency Event Log'!$D$4:$D$803)))</f>
        <v/>
      </c>
      <c r="BT42" s="8" t="str">
        <f>IF($B42="","",IF(COUNTIF('Competency Event Log'!$U$4:$U$803,$B42&amp;"|"&amp;BT$5)=0,"",SUMIF('Competency Event Log'!$U$4:$U$803,$B42&amp;"|"&amp;BT$5,'Competency Event Log'!$D$4:$D$803)))</f>
        <v/>
      </c>
      <c r="BU42" s="8" t="str">
        <f>IF($B42="","",IF(COUNTIF('Competency Event Log'!$U$4:$U$803,$B42&amp;"|"&amp;BU$5)=0,"",SUMIF('Competency Event Log'!$U$4:$U$803,$B42&amp;"|"&amp;BU$5,'Competency Event Log'!$D$4:$D$803)))</f>
        <v/>
      </c>
      <c r="BV42" s="8" t="str">
        <f>IF($B42="","",IF(COUNTIF('Competency Event Log'!$U$4:$U$803,$B42&amp;"|"&amp;BV$5)=0,"",SUMIF('Competency Event Log'!$U$4:$U$803,$B42&amp;"|"&amp;BV$5,'Competency Event Log'!$D$4:$D$803)))</f>
        <v/>
      </c>
      <c r="BW42" s="8" t="str">
        <f>IF($B42="","",IF(COUNTIF('Competency Event Log'!$U$4:$U$803,$B42&amp;"|"&amp;BW$5)=0,"",SUMIF('Competency Event Log'!$U$4:$U$803,$B42&amp;"|"&amp;BW$5,'Competency Event Log'!$D$4:$D$803)))</f>
        <v/>
      </c>
      <c r="BX42" s="8" t="str">
        <f>IF($B42="","",IF(COUNTIF('Competency Event Log'!$U$4:$U$803,$B42&amp;"|"&amp;BX$5)=0,"",SUMIF('Competency Event Log'!$U$4:$U$803,$B42&amp;"|"&amp;BX$5,'Competency Event Log'!$D$4:$D$803)))</f>
        <v/>
      </c>
      <c r="BY42" s="8" t="str">
        <f>IF($B42="","",IF(COUNTIF('Competency Event Log'!$U$4:$U$803,$B42&amp;"|"&amp;BY$5)=0,"",SUMIF('Competency Event Log'!$U$4:$U$803,$B42&amp;"|"&amp;BY$5,'Competency Event Log'!$D$4:$D$803)))</f>
        <v/>
      </c>
      <c r="BZ42" s="8" t="str">
        <f>IF($B42="","",IF(COUNTIF('Competency Event Log'!$U$4:$U$803,$B42&amp;"|"&amp;BZ$5)=0,"",SUMIF('Competency Event Log'!$U$4:$U$803,$B42&amp;"|"&amp;BZ$5,'Competency Event Log'!$D$4:$D$803)))</f>
        <v/>
      </c>
      <c r="CA42" s="8" t="str">
        <f>IF($B42="","",IF(COUNTIF('Competency Event Log'!$U$4:$U$803,$B42&amp;"|"&amp;CA$5)=0,"",SUMIF('Competency Event Log'!$U$4:$U$803,$B42&amp;"|"&amp;CA$5,'Competency Event Log'!$D$4:$D$803)))</f>
        <v/>
      </c>
      <c r="CB42" s="8" t="str">
        <f>IF($B42="","",IF(COUNTIF('Competency Event Log'!$U$4:$U$803,$B42&amp;"|"&amp;CB$5)=0,"",SUMIF('Competency Event Log'!$U$4:$U$803,$B42&amp;"|"&amp;CB$5,'Competency Event Log'!$D$4:$D$803)))</f>
        <v/>
      </c>
      <c r="CC42" s="8" t="str">
        <f>IF($B42="","",IF(COUNTIF('Competency Event Log'!$U$4:$U$803,$B42&amp;"|"&amp;CC$5)=0,"",SUMIF('Competency Event Log'!$U$4:$U$803,$B42&amp;"|"&amp;CC$5,'Competency Event Log'!$D$4:$D$803)))</f>
        <v/>
      </c>
      <c r="CD42" s="8" t="str">
        <f>IF($B42="","",IF(COUNTIF('Competency Event Log'!$U$4:$U$803,$B42&amp;"|"&amp;CD$5)=0,"",SUMIF('Competency Event Log'!$U$4:$U$803,$B42&amp;"|"&amp;CD$5,'Competency Event Log'!$D$4:$D$803)))</f>
        <v/>
      </c>
      <c r="CE42" s="8" t="str">
        <f>IF($B42="","",IF(COUNTIF('Competency Event Log'!$U$4:$U$803,$B42&amp;"|"&amp;CE$5)=0,"",SUMIF('Competency Event Log'!$U$4:$U$803,$B42&amp;"|"&amp;CE$5,'Competency Event Log'!$D$4:$D$803)))</f>
        <v/>
      </c>
      <c r="CF42" s="8" t="str">
        <f>IF($B42="","",IF(COUNTIF('Competency Event Log'!$U$4:$U$803,$B42&amp;"|"&amp;CF$5)=0,"",SUMIF('Competency Event Log'!$U$4:$U$803,$B42&amp;"|"&amp;CF$5,'Competency Event Log'!$D$4:$D$803)))</f>
        <v/>
      </c>
      <c r="CG42" s="8" t="str">
        <f>IF($B42="","",IF(COUNTIF('Competency Event Log'!$U$4:$U$803,$B42&amp;"|"&amp;CG$5)=0,"",SUMIF('Competency Event Log'!$U$4:$U$803,$B42&amp;"|"&amp;CG$5,'Competency Event Log'!$D$4:$D$803)))</f>
        <v/>
      </c>
      <c r="CH42" s="8" t="str">
        <f>IF($B42="","",IF(COUNTIF('Competency Event Log'!$U$4:$U$803,$B42&amp;"|"&amp;CH$5)=0,"",SUMIF('Competency Event Log'!$U$4:$U$803,$B42&amp;"|"&amp;CH$5,'Competency Event Log'!$D$4:$D$803)))</f>
        <v/>
      </c>
      <c r="CI42" s="8" t="str">
        <f>IF($B42="","",IF(COUNTIF('Competency Event Log'!$U$4:$U$803,$B42&amp;"|"&amp;CI$5)=0,"",SUMIF('Competency Event Log'!$U$4:$U$803,$B42&amp;"|"&amp;CI$5,'Competency Event Log'!$D$4:$D$803)))</f>
        <v/>
      </c>
      <c r="CJ42" s="8" t="str">
        <f>IF($B42="","",IF(COUNTIF('Competency Event Log'!$U$4:$U$803,$B42&amp;"|"&amp;CJ$5)=0,"",SUMIF('Competency Event Log'!$U$4:$U$803,$B42&amp;"|"&amp;CJ$5,'Competency Event Log'!$D$4:$D$803)))</f>
        <v/>
      </c>
      <c r="CK42" s="8" t="str">
        <f>IF($B42="","",IF(COUNTIF('Competency Event Log'!$U$4:$U$803,$B42&amp;"|"&amp;CK$5)=0,"",SUMIF('Competency Event Log'!$U$4:$U$803,$B42&amp;"|"&amp;CK$5,'Competency Event Log'!$D$4:$D$803)))</f>
        <v/>
      </c>
      <c r="CL42" s="8" t="str">
        <f>IF($B42="","",IF(COUNTIF('Competency Event Log'!$U$4:$U$803,$B42&amp;"|"&amp;CL$5)=0,"",SUMIF('Competency Event Log'!$U$4:$U$803,$B42&amp;"|"&amp;CL$5,'Competency Event Log'!$D$4:$D$803)))</f>
        <v/>
      </c>
      <c r="CM42" s="8" t="str">
        <f>IF($B42="","",IF(COUNTIF('Competency Event Log'!$U$4:$U$803,$B42&amp;"|"&amp;CM$5)=0,"",SUMIF('Competency Event Log'!$U$4:$U$803,$B42&amp;"|"&amp;CM$5,'Competency Event Log'!$D$4:$D$803)))</f>
        <v/>
      </c>
      <c r="CN42" s="8" t="str">
        <f>IF($B42="","",IF(COUNTIF('Competency Event Log'!$U$4:$U$803,$B42&amp;"|"&amp;CN$5)=0,"",SUMIF('Competency Event Log'!$U$4:$U$803,$B42&amp;"|"&amp;CN$5,'Competency Event Log'!$D$4:$D$803)))</f>
        <v/>
      </c>
      <c r="CO42" s="8" t="str">
        <f>IF($B42="","",IF(COUNTIF('Competency Event Log'!$U$4:$U$803,$B42&amp;"|"&amp;CO$5)=0,"",SUMIF('Competency Event Log'!$U$4:$U$803,$B42&amp;"|"&amp;CO$5,'Competency Event Log'!$D$4:$D$803)))</f>
        <v/>
      </c>
      <c r="CP42" s="8" t="str">
        <f>IF($B42="","",IF(COUNTIF('Competency Event Log'!$U$4:$U$803,$B42&amp;"|"&amp;CP$5)=0,"",SUMIF('Competency Event Log'!$U$4:$U$803,$B42&amp;"|"&amp;CP$5,'Competency Event Log'!$D$4:$D$803)))</f>
        <v/>
      </c>
      <c r="CQ42" s="8" t="str">
        <f>IF($B42="","",IF(COUNTIF('Competency Event Log'!$U$4:$U$803,$B42&amp;"|"&amp;CQ$5)=0,"",SUMIF('Competency Event Log'!$U$4:$U$803,$B42&amp;"|"&amp;CQ$5,'Competency Event Log'!$D$4:$D$803)))</f>
        <v/>
      </c>
      <c r="CR42" s="8" t="str">
        <f>IF($B42="","",IF(COUNTIF('Competency Event Log'!$U$4:$U$803,$B42&amp;"|"&amp;CR$5)=0,"",SUMIF('Competency Event Log'!$U$4:$U$803,$B42&amp;"|"&amp;CR$5,'Competency Event Log'!$D$4:$D$803)))</f>
        <v/>
      </c>
      <c r="CS42" s="8" t="str">
        <f>IF($B42="","",IF(COUNTIF('Competency Event Log'!$U$4:$U$803,$B42&amp;"|"&amp;CS$5)=0,"",SUMIF('Competency Event Log'!$U$4:$U$803,$B42&amp;"|"&amp;CS$5,'Competency Event Log'!$D$4:$D$803)))</f>
        <v/>
      </c>
      <c r="CT42" s="8" t="str">
        <f>IF($B42="","",IF(COUNTIF('Competency Event Log'!$U$4:$U$803,$B42&amp;"|"&amp;CT$5)=0,"",SUMIF('Competency Event Log'!$U$4:$U$803,$B42&amp;"|"&amp;CT$5,'Competency Event Log'!$D$4:$D$803)))</f>
        <v/>
      </c>
      <c r="CU42" s="8" t="str">
        <f>IF($B42="","",IF(COUNTIF('Competency Event Log'!$U$4:$U$803,$B42&amp;"|"&amp;CU$5)=0,"",SUMIF('Competency Event Log'!$U$4:$U$803,$B42&amp;"|"&amp;CU$5,'Competency Event Log'!$D$4:$D$803)))</f>
        <v/>
      </c>
      <c r="CV42" s="8" t="str">
        <f>IF($B42="","",IF(COUNTIF('Competency Event Log'!$U$4:$U$803,$B42&amp;"|"&amp;CV$5)=0,"",SUMIF('Competency Event Log'!$U$4:$U$803,$B42&amp;"|"&amp;CV$5,'Competency Event Log'!$D$4:$D$803)))</f>
        <v/>
      </c>
      <c r="CW42" s="8" t="str">
        <f>IF($B42="","",IF(COUNTIF('Competency Event Log'!$U$4:$U$803,$B42&amp;"|"&amp;CW$5)=0,"",SUMIF('Competency Event Log'!$U$4:$U$803,$B42&amp;"|"&amp;CW$5,'Competency Event Log'!$D$4:$D$803)))</f>
        <v/>
      </c>
      <c r="CX42" s="8" t="str">
        <f>IF($B42="","",IF(COUNTIF('Competency Event Log'!$U$4:$U$803,$B42&amp;"|"&amp;CX$5)=0,"",SUMIF('Competency Event Log'!$U$4:$U$803,$B42&amp;"|"&amp;CX$5,'Competency Event Log'!$D$4:$D$803)))</f>
        <v/>
      </c>
      <c r="CY42" s="8" t="str">
        <f>IF($B42="","",IF(COUNTIF('Competency Event Log'!$U$4:$U$803,$B42&amp;"|"&amp;CY$5)=0,"",SUMIF('Competency Event Log'!$U$4:$U$803,$B42&amp;"|"&amp;CY$5,'Competency Event Log'!$D$4:$D$803)))</f>
        <v/>
      </c>
      <c r="CZ42" s="8" t="str">
        <f>IF($B42="","",IF(COUNTIF('Competency Event Log'!$U$4:$U$803,$B42&amp;"|"&amp;CZ$5)=0,"",SUMIF('Competency Event Log'!$U$4:$U$803,$B42&amp;"|"&amp;CZ$5,'Competency Event Log'!$D$4:$D$803)))</f>
        <v/>
      </c>
      <c r="DA42" s="8" t="str">
        <f>IF($B42="","",IF(COUNTIF('Competency Event Log'!$U$4:$U$803,$B42&amp;"|"&amp;DA$5)=0,"",SUMIF('Competency Event Log'!$U$4:$U$803,$B42&amp;"|"&amp;DA$5,'Competency Event Log'!$D$4:$D$803)))</f>
        <v/>
      </c>
      <c r="DB42" s="8" t="str">
        <f>IF($B42="","",IF(COUNTIF('Competency Event Log'!$U$4:$U$803,$B42&amp;"|"&amp;DB$5)=0,"",SUMIF('Competency Event Log'!$U$4:$U$803,$B42&amp;"|"&amp;DB$5,'Competency Event Log'!$D$4:$D$803)))</f>
        <v/>
      </c>
      <c r="DC42" s="8" t="str">
        <f>IF($B42="","",IF(COUNTIF('Competency Event Log'!$U$4:$U$803,$B42&amp;"|"&amp;DC$5)=0,"",SUMIF('Competency Event Log'!$U$4:$U$803,$B42&amp;"|"&amp;DC$5,'Competency Event Log'!$D$4:$D$803)))</f>
        <v/>
      </c>
      <c r="DD42" s="8" t="str">
        <f>IF($B42="","",IF(COUNTIF('Competency Event Log'!$U$4:$U$803,$B42&amp;"|"&amp;DD$5)=0,"",SUMIF('Competency Event Log'!$U$4:$U$803,$B42&amp;"|"&amp;DD$5,'Competency Event Log'!$D$4:$D$803)))</f>
        <v/>
      </c>
      <c r="DE42" s="8" t="str">
        <f>IF($B42="","",IF(COUNTIF('Competency Event Log'!$U$4:$U$803,$B42&amp;"|"&amp;DE$5)=0,"",SUMIF('Competency Event Log'!$U$4:$U$803,$B42&amp;"|"&amp;DE$5,'Competency Event Log'!$D$4:$D$803)))</f>
        <v/>
      </c>
      <c r="DF42" s="8" t="str">
        <f t="shared" si="4"/>
        <v/>
      </c>
      <c r="DG42" s="8" t="str">
        <f t="shared" si="5"/>
        <v/>
      </c>
      <c r="DH42" s="8" t="str">
        <f t="shared" si="6"/>
        <v/>
      </c>
      <c r="DI42" s="11" t="str">
        <f t="shared" si="7"/>
        <v/>
      </c>
    </row>
    <row r="43" spans="1:113">
      <c r="A43" s="7"/>
      <c r="B43" s="7"/>
      <c r="C43" s="8"/>
      <c r="D43" s="9"/>
      <c r="E43" s="10"/>
      <c r="F43" s="8"/>
      <c r="G43" s="8" t="str">
        <f>IF($B43="","",IF(COUNTIF('Competency Event Log'!$U$4:$U$803,$B43&amp;"|"&amp;G$5)=0,"",SUMIF('Competency Event Log'!$U$4:$U$803,$B43&amp;"|"&amp;G$5,'Competency Event Log'!$D$4:$D$803)))</f>
        <v/>
      </c>
      <c r="H43" s="8" t="str">
        <f>IF($B43="","",IF(COUNTIF('Competency Event Log'!$U$4:$U$803,$B43&amp;"|"&amp;H$5)=0,"",SUMIF('Competency Event Log'!$U$4:$U$803,$B43&amp;"|"&amp;H$5,'Competency Event Log'!$D$4:$D$803)))</f>
        <v/>
      </c>
      <c r="I43" s="8" t="str">
        <f>IF($B43="","",IF(COUNTIF('Competency Event Log'!$U$4:$U$803,$B43&amp;"|"&amp;I$5)=0,"",SUMIF('Competency Event Log'!$U$4:$U$803,$B43&amp;"|"&amp;I$5,'Competency Event Log'!$D$4:$D$803)))</f>
        <v/>
      </c>
      <c r="J43" s="8" t="str">
        <f>IF($B43="","",IF(COUNTIF('Competency Event Log'!$U$4:$U$803,$B43&amp;"|"&amp;J$5)=0,"",SUMIF('Competency Event Log'!$U$4:$U$803,$B43&amp;"|"&amp;J$5,'Competency Event Log'!$D$4:$D$803)))</f>
        <v/>
      </c>
      <c r="K43" s="8" t="str">
        <f>IF($B43="","",IF(COUNTIF('Competency Event Log'!$U$4:$U$803,$B43&amp;"|"&amp;K$5)=0,"",SUMIF('Competency Event Log'!$U$4:$U$803,$B43&amp;"|"&amp;K$5,'Competency Event Log'!$D$4:$D$803)))</f>
        <v/>
      </c>
      <c r="L43" s="8" t="str">
        <f>IF($B43="","",IF(COUNTIF('Competency Event Log'!$U$4:$U$803,$B43&amp;"|"&amp;L$5)=0,"",SUMIF('Competency Event Log'!$U$4:$U$803,$B43&amp;"|"&amp;L$5,'Competency Event Log'!$D$4:$D$803)))</f>
        <v/>
      </c>
      <c r="M43" s="8" t="str">
        <f>IF($B43="","",IF(COUNTIF('Competency Event Log'!$U$4:$U$803,$B43&amp;"|"&amp;M$5)=0,"",SUMIF('Competency Event Log'!$U$4:$U$803,$B43&amp;"|"&amp;M$5,'Competency Event Log'!$D$4:$D$803)))</f>
        <v/>
      </c>
      <c r="N43" s="8" t="str">
        <f>IF($B43="","",IF(COUNTIF('Competency Event Log'!$U$4:$U$803,$B43&amp;"|"&amp;N$5)=0,"",SUMIF('Competency Event Log'!$U$4:$U$803,$B43&amp;"|"&amp;N$5,'Competency Event Log'!$D$4:$D$803)))</f>
        <v/>
      </c>
      <c r="O43" s="8" t="str">
        <f>IF($B43="","",IF(COUNTIF('Competency Event Log'!$U$4:$U$803,$B43&amp;"|"&amp;O$5)=0,"",SUMIF('Competency Event Log'!$U$4:$U$803,$B43&amp;"|"&amp;O$5,'Competency Event Log'!$D$4:$D$803)))</f>
        <v/>
      </c>
      <c r="P43" s="8" t="str">
        <f>IF($B43="","",IF(COUNTIF('Competency Event Log'!$U$4:$U$803,$B43&amp;"|"&amp;P$5)=0,"",SUMIF('Competency Event Log'!$U$4:$U$803,$B43&amp;"|"&amp;P$5,'Competency Event Log'!$D$4:$D$803)))</f>
        <v/>
      </c>
      <c r="Q43" s="8" t="str">
        <f>IF($B43="","",IF(COUNTIF('Competency Event Log'!$U$4:$U$803,$B43&amp;"|"&amp;Q$5)=0,"",SUMIF('Competency Event Log'!$U$4:$U$803,$B43&amp;"|"&amp;Q$5,'Competency Event Log'!$D$4:$D$803)))</f>
        <v/>
      </c>
      <c r="R43" s="8" t="str">
        <f>IF($B43="","",IF(COUNTIF('Competency Event Log'!$U$4:$U$803,$B43&amp;"|"&amp;R$5)=0,"",SUMIF('Competency Event Log'!$U$4:$U$803,$B43&amp;"|"&amp;R$5,'Competency Event Log'!$D$4:$D$803)))</f>
        <v/>
      </c>
      <c r="S43" s="8" t="str">
        <f>IF($B43="","",IF(COUNTIF('Competency Event Log'!$U$4:$U$803,$B43&amp;"|"&amp;S$5)=0,"",SUMIF('Competency Event Log'!$U$4:$U$803,$B43&amp;"|"&amp;S$5,'Competency Event Log'!$D$4:$D$803)))</f>
        <v/>
      </c>
      <c r="T43" s="8" t="str">
        <f>IF($B43="","",IF(COUNTIF('Competency Event Log'!$U$4:$U$803,$B43&amp;"|"&amp;T$5)=0,"",SUMIF('Competency Event Log'!$U$4:$U$803,$B43&amp;"|"&amp;T$5,'Competency Event Log'!$D$4:$D$803)))</f>
        <v/>
      </c>
      <c r="U43" s="8" t="str">
        <f>IF($B43="","",IF(COUNTIF('Competency Event Log'!$U$4:$U$803,$B43&amp;"|"&amp;U$5)=0,"",SUMIF('Competency Event Log'!$U$4:$U$803,$B43&amp;"|"&amp;U$5,'Competency Event Log'!$D$4:$D$803)))</f>
        <v/>
      </c>
      <c r="V43" s="8" t="str">
        <f>IF($B43="","",IF(COUNTIF('Competency Event Log'!$U$4:$U$803,$B43&amp;"|"&amp;V$5)=0,"",SUMIF('Competency Event Log'!$U$4:$U$803,$B43&amp;"|"&amp;V$5,'Competency Event Log'!$D$4:$D$803)))</f>
        <v/>
      </c>
      <c r="W43" s="8" t="str">
        <f>IF($B43="","",IF(COUNTIF('Competency Event Log'!$U$4:$U$803,$B43&amp;"|"&amp;W$5)=0,"",SUMIF('Competency Event Log'!$U$4:$U$803,$B43&amp;"|"&amp;W$5,'Competency Event Log'!$D$4:$D$803)))</f>
        <v/>
      </c>
      <c r="X43" s="8" t="str">
        <f>IF($B43="","",IF(COUNTIF('Competency Event Log'!$U$4:$U$803,$B43&amp;"|"&amp;X$5)=0,"",SUMIF('Competency Event Log'!$U$4:$U$803,$B43&amp;"|"&amp;X$5,'Competency Event Log'!$D$4:$D$803)))</f>
        <v/>
      </c>
      <c r="Y43" s="8" t="str">
        <f>IF($B43="","",IF(COUNTIF('Competency Event Log'!$U$4:$U$803,$B43&amp;"|"&amp;Y$5)=0,"",SUMIF('Competency Event Log'!$U$4:$U$803,$B43&amp;"|"&amp;Y$5,'Competency Event Log'!$D$4:$D$803)))</f>
        <v/>
      </c>
      <c r="Z43" s="8" t="str">
        <f>IF($B43="","",IF(COUNTIF('Competency Event Log'!$U$4:$U$803,$B43&amp;"|"&amp;Z$5)=0,"",SUMIF('Competency Event Log'!$U$4:$U$803,$B43&amp;"|"&amp;Z$5,'Competency Event Log'!$D$4:$D$803)))</f>
        <v/>
      </c>
      <c r="AA43" s="8" t="str">
        <f>IF($B43="","",IF(COUNTIF('Competency Event Log'!$U$4:$U$803,$B43&amp;"|"&amp;AA$5)=0,"",SUMIF('Competency Event Log'!$U$4:$U$803,$B43&amp;"|"&amp;AA$5,'Competency Event Log'!$D$4:$D$803)))</f>
        <v/>
      </c>
      <c r="AB43" s="8" t="str">
        <f>IF($B43="","",IF(COUNTIF('Competency Event Log'!$U$4:$U$803,$B43&amp;"|"&amp;AB$5)=0,"",SUMIF('Competency Event Log'!$U$4:$U$803,$B43&amp;"|"&amp;AB$5,'Competency Event Log'!$D$4:$D$803)))</f>
        <v/>
      </c>
      <c r="AC43" s="8" t="str">
        <f>IF($B43="","",IF(COUNTIF('Competency Event Log'!$U$4:$U$803,$B43&amp;"|"&amp;AC$5)=0,"",SUMIF('Competency Event Log'!$U$4:$U$803,$B43&amp;"|"&amp;AC$5,'Competency Event Log'!$D$4:$D$803)))</f>
        <v/>
      </c>
      <c r="AD43" s="8" t="str">
        <f>IF($B43="","",IF(COUNTIF('Competency Event Log'!$U$4:$U$803,$B43&amp;"|"&amp;AD$5)=0,"",SUMIF('Competency Event Log'!$U$4:$U$803,$B43&amp;"|"&amp;AD$5,'Competency Event Log'!$D$4:$D$803)))</f>
        <v/>
      </c>
      <c r="AE43" s="8" t="str">
        <f>IF($B43="","",IF(COUNTIF('Competency Event Log'!$U$4:$U$803,$B43&amp;"|"&amp;AE$5)=0,"",SUMIF('Competency Event Log'!$U$4:$U$803,$B43&amp;"|"&amp;AE$5,'Competency Event Log'!$D$4:$D$803)))</f>
        <v/>
      </c>
      <c r="AF43" s="8" t="str">
        <f>IF($B43="","",IF(COUNTIF('Competency Event Log'!$U$4:$U$803,$B43&amp;"|"&amp;AF$5)=0,"",SUMIF('Competency Event Log'!$U$4:$U$803,$B43&amp;"|"&amp;AF$5,'Competency Event Log'!$D$4:$D$803)))</f>
        <v/>
      </c>
      <c r="AG43" s="8" t="str">
        <f>IF($B43="","",IF(COUNTIF('Competency Event Log'!$U$4:$U$803,$B43&amp;"|"&amp;AG$5)=0,"",SUMIF('Competency Event Log'!$U$4:$U$803,$B43&amp;"|"&amp;AG$5,'Competency Event Log'!$D$4:$D$803)))</f>
        <v/>
      </c>
      <c r="AH43" s="8" t="str">
        <f>IF($B43="","",IF(COUNTIF('Competency Event Log'!$U$4:$U$803,$B43&amp;"|"&amp;AH$5)=0,"",SUMIF('Competency Event Log'!$U$4:$U$803,$B43&amp;"|"&amp;AH$5,'Competency Event Log'!$D$4:$D$803)))</f>
        <v/>
      </c>
      <c r="AI43" s="8" t="str">
        <f>IF($B43="","",IF(COUNTIF('Competency Event Log'!$U$4:$U$803,$B43&amp;"|"&amp;AI$5)=0,"",SUMIF('Competency Event Log'!$U$4:$U$803,$B43&amp;"|"&amp;AI$5,'Competency Event Log'!$D$4:$D$803)))</f>
        <v/>
      </c>
      <c r="AJ43" s="8" t="str">
        <f>IF($B43="","",IF(COUNTIF('Competency Event Log'!$U$4:$U$803,$B43&amp;"|"&amp;AJ$5)=0,"",SUMIF('Competency Event Log'!$U$4:$U$803,$B43&amp;"|"&amp;AJ$5,'Competency Event Log'!$D$4:$D$803)))</f>
        <v/>
      </c>
      <c r="AK43" s="8" t="str">
        <f>IF($B43="","",IF(COUNTIF('Competency Event Log'!$U$4:$U$803,$B43&amp;"|"&amp;AK$5)=0,"",SUMIF('Competency Event Log'!$U$4:$U$803,$B43&amp;"|"&amp;AK$5,'Competency Event Log'!$D$4:$D$803)))</f>
        <v/>
      </c>
      <c r="AL43" s="8" t="str">
        <f>IF($B43="","",IF(COUNTIF('Competency Event Log'!$U$4:$U$803,$B43&amp;"|"&amp;AL$5)=0,"",SUMIF('Competency Event Log'!$U$4:$U$803,$B43&amp;"|"&amp;AL$5,'Competency Event Log'!$D$4:$D$803)))</f>
        <v/>
      </c>
      <c r="AM43" s="8" t="str">
        <f>IF($B43="","",IF(COUNTIF('Competency Event Log'!$U$4:$U$803,$B43&amp;"|"&amp;AM$5)=0,"",SUMIF('Competency Event Log'!$U$4:$U$803,$B43&amp;"|"&amp;AM$5,'Competency Event Log'!$D$4:$D$803)))</f>
        <v/>
      </c>
      <c r="AN43" s="8" t="str">
        <f>IF($B43="","",IF(COUNTIF('Competency Event Log'!$U$4:$U$803,$B43&amp;"|"&amp;AN$5)=0,"",SUMIF('Competency Event Log'!$U$4:$U$803,$B43&amp;"|"&amp;AN$5,'Competency Event Log'!$D$4:$D$803)))</f>
        <v/>
      </c>
      <c r="AO43" s="8" t="str">
        <f>IF($B43="","",IF(COUNTIF('Competency Event Log'!$U$4:$U$803,$B43&amp;"|"&amp;AO$5)=0,"",SUMIF('Competency Event Log'!$U$4:$U$803,$B43&amp;"|"&amp;AO$5,'Competency Event Log'!$D$4:$D$803)))</f>
        <v/>
      </c>
      <c r="AP43" s="8" t="str">
        <f>IF($B43="","",IF(COUNTIF('Competency Event Log'!$U$4:$U$803,$B43&amp;"|"&amp;AP$5)=0,"",SUMIF('Competency Event Log'!$U$4:$U$803,$B43&amp;"|"&amp;AP$5,'Competency Event Log'!$D$4:$D$803)))</f>
        <v/>
      </c>
      <c r="AQ43" s="8" t="str">
        <f>IF($B43="","",IF(COUNTIF('Competency Event Log'!$U$4:$U$803,$B43&amp;"|"&amp;AQ$5)=0,"",SUMIF('Competency Event Log'!$U$4:$U$803,$B43&amp;"|"&amp;AQ$5,'Competency Event Log'!$D$4:$D$803)))</f>
        <v/>
      </c>
      <c r="AR43" s="8" t="str">
        <f>IF($B43="","",IF(COUNTIF('Competency Event Log'!$U$4:$U$803,$B43&amp;"|"&amp;AR$5)=0,"",SUMIF('Competency Event Log'!$U$4:$U$803,$B43&amp;"|"&amp;AR$5,'Competency Event Log'!$D$4:$D$803)))</f>
        <v/>
      </c>
      <c r="AS43" s="8" t="str">
        <f>IF($B43="","",IF(COUNTIF('Competency Event Log'!$U$4:$U$803,$B43&amp;"|"&amp;AS$5)=0,"",SUMIF('Competency Event Log'!$U$4:$U$803,$B43&amp;"|"&amp;AS$5,'Competency Event Log'!$D$4:$D$803)))</f>
        <v/>
      </c>
      <c r="AT43" s="8" t="str">
        <f>IF($B43="","",IF(COUNTIF('Competency Event Log'!$U$4:$U$803,$B43&amp;"|"&amp;AT$5)=0,"",SUMIF('Competency Event Log'!$U$4:$U$803,$B43&amp;"|"&amp;AT$5,'Competency Event Log'!$D$4:$D$803)))</f>
        <v/>
      </c>
      <c r="AU43" s="8" t="str">
        <f>IF($B43="","",IF(COUNTIF('Competency Event Log'!$U$4:$U$803,$B43&amp;"|"&amp;AU$5)=0,"",SUMIF('Competency Event Log'!$U$4:$U$803,$B43&amp;"|"&amp;AU$5,'Competency Event Log'!$D$4:$D$803)))</f>
        <v/>
      </c>
      <c r="AV43" s="8" t="str">
        <f>IF($B43="","",IF(COUNTIF('Competency Event Log'!$U$4:$U$803,$B43&amp;"|"&amp;AV$5)=0,"",SUMIF('Competency Event Log'!$U$4:$U$803,$B43&amp;"|"&amp;AV$5,'Competency Event Log'!$D$4:$D$803)))</f>
        <v/>
      </c>
      <c r="AW43" s="8" t="str">
        <f>IF($B43="","",IF(COUNTIF('Competency Event Log'!$U$4:$U$803,$B43&amp;"|"&amp;AW$5)=0,"",SUMIF('Competency Event Log'!$U$4:$U$803,$B43&amp;"|"&amp;AW$5,'Competency Event Log'!$D$4:$D$803)))</f>
        <v/>
      </c>
      <c r="AX43" s="8" t="str">
        <f>IF($B43="","",IF(COUNTIF('Competency Event Log'!$U$4:$U$803,$B43&amp;"|"&amp;AX$5)=0,"",SUMIF('Competency Event Log'!$U$4:$U$803,$B43&amp;"|"&amp;AX$5,'Competency Event Log'!$D$4:$D$803)))</f>
        <v/>
      </c>
      <c r="AY43" s="8" t="str">
        <f>IF($B43="","",IF(COUNTIF('Competency Event Log'!$U$4:$U$803,$B43&amp;"|"&amp;AY$5)=0,"",SUMIF('Competency Event Log'!$U$4:$U$803,$B43&amp;"|"&amp;AY$5,'Competency Event Log'!$D$4:$D$803)))</f>
        <v/>
      </c>
      <c r="AZ43" s="8" t="str">
        <f>IF($B43="","",IF(COUNTIF('Competency Event Log'!$U$4:$U$803,$B43&amp;"|"&amp;AZ$5)=0,"",SUMIF('Competency Event Log'!$U$4:$U$803,$B43&amp;"|"&amp;AZ$5,'Competency Event Log'!$D$4:$D$803)))</f>
        <v/>
      </c>
      <c r="BA43" s="8" t="str">
        <f>IF($B43="","",IF(COUNTIF('Competency Event Log'!$U$4:$U$803,$B43&amp;"|"&amp;BA$5)=0,"",SUMIF('Competency Event Log'!$U$4:$U$803,$B43&amp;"|"&amp;BA$5,'Competency Event Log'!$D$4:$D$803)))</f>
        <v/>
      </c>
      <c r="BB43" s="8" t="str">
        <f>IF($B43="","",IF(COUNTIF('Competency Event Log'!$U$4:$U$803,$B43&amp;"|"&amp;BB$5)=0,"",SUMIF('Competency Event Log'!$U$4:$U$803,$B43&amp;"|"&amp;BB$5,'Competency Event Log'!$D$4:$D$803)))</f>
        <v/>
      </c>
      <c r="BC43" s="8" t="str">
        <f>IF($B43="","",IF(COUNTIF('Competency Event Log'!$U$4:$U$803,$B43&amp;"|"&amp;BC$5)=0,"",SUMIF('Competency Event Log'!$U$4:$U$803,$B43&amp;"|"&amp;BC$5,'Competency Event Log'!$D$4:$D$803)))</f>
        <v/>
      </c>
      <c r="BD43" s="8" t="str">
        <f>IF($B43="","",IF(COUNTIF('Competency Event Log'!$U$4:$U$803,$B43&amp;"|"&amp;BD$5)=0,"",SUMIF('Competency Event Log'!$U$4:$U$803,$B43&amp;"|"&amp;BD$5,'Competency Event Log'!$D$4:$D$803)))</f>
        <v/>
      </c>
      <c r="BE43" s="8" t="str">
        <f>IF($B43="","",IF(COUNTIF('Competency Event Log'!$U$4:$U$803,$B43&amp;"|"&amp;BE$5)=0,"",SUMIF('Competency Event Log'!$U$4:$U$803,$B43&amp;"|"&amp;BE$5,'Competency Event Log'!$D$4:$D$803)))</f>
        <v/>
      </c>
      <c r="BF43" s="8" t="str">
        <f>IF($B43="","",IF(COUNTIF('Competency Event Log'!$U$4:$U$803,$B43&amp;"|"&amp;BF$5)=0,"",SUMIF('Competency Event Log'!$U$4:$U$803,$B43&amp;"|"&amp;BF$5,'Competency Event Log'!$D$4:$D$803)))</f>
        <v/>
      </c>
      <c r="BG43" s="8" t="str">
        <f>IF($B43="","",IF(COUNTIF('Competency Event Log'!$U$4:$U$803,$B43&amp;"|"&amp;BG$5)=0,"",SUMIF('Competency Event Log'!$U$4:$U$803,$B43&amp;"|"&amp;BG$5,'Competency Event Log'!$D$4:$D$803)))</f>
        <v/>
      </c>
      <c r="BH43" s="8" t="str">
        <f>IF($B43="","",IF(COUNTIF('Competency Event Log'!$U$4:$U$803,$B43&amp;"|"&amp;BH$5)=0,"",SUMIF('Competency Event Log'!$U$4:$U$803,$B43&amp;"|"&amp;BH$5,'Competency Event Log'!$D$4:$D$803)))</f>
        <v/>
      </c>
      <c r="BI43" s="8" t="str">
        <f>IF($B43="","",IF(COUNTIF('Competency Event Log'!$U$4:$U$803,$B43&amp;"|"&amp;BI$5)=0,"",SUMIF('Competency Event Log'!$U$4:$U$803,$B43&amp;"|"&amp;BI$5,'Competency Event Log'!$D$4:$D$803)))</f>
        <v/>
      </c>
      <c r="BJ43" s="8" t="str">
        <f>IF($B43="","",IF(COUNTIF('Competency Event Log'!$U$4:$U$803,$B43&amp;"|"&amp;BJ$5)=0,"",SUMIF('Competency Event Log'!$U$4:$U$803,$B43&amp;"|"&amp;BJ$5,'Competency Event Log'!$D$4:$D$803)))</f>
        <v/>
      </c>
      <c r="BK43" s="8" t="str">
        <f>IF($B43="","",IF(COUNTIF('Competency Event Log'!$U$4:$U$803,$B43&amp;"|"&amp;BK$5)=0,"",SUMIF('Competency Event Log'!$U$4:$U$803,$B43&amp;"|"&amp;BK$5,'Competency Event Log'!$D$4:$D$803)))</f>
        <v/>
      </c>
      <c r="BL43" s="8" t="str">
        <f>IF($B43="","",IF(COUNTIF('Competency Event Log'!$U$4:$U$803,$B43&amp;"|"&amp;BL$5)=0,"",SUMIF('Competency Event Log'!$U$4:$U$803,$B43&amp;"|"&amp;BL$5,'Competency Event Log'!$D$4:$D$803)))</f>
        <v/>
      </c>
      <c r="BM43" s="8" t="str">
        <f>IF($B43="","",IF(COUNTIF('Competency Event Log'!$U$4:$U$803,$B43&amp;"|"&amp;BM$5)=0,"",SUMIF('Competency Event Log'!$U$4:$U$803,$B43&amp;"|"&amp;BM$5,'Competency Event Log'!$D$4:$D$803)))</f>
        <v/>
      </c>
      <c r="BN43" s="8" t="str">
        <f>IF($B43="","",IF(COUNTIF('Competency Event Log'!$U$4:$U$803,$B43&amp;"|"&amp;BN$5)=0,"",SUMIF('Competency Event Log'!$U$4:$U$803,$B43&amp;"|"&amp;BN$5,'Competency Event Log'!$D$4:$D$803)))</f>
        <v/>
      </c>
      <c r="BO43" s="8" t="str">
        <f>IF($B43="","",IF(COUNTIF('Competency Event Log'!$U$4:$U$803,$B43&amp;"|"&amp;BO$5)=0,"",SUMIF('Competency Event Log'!$U$4:$U$803,$B43&amp;"|"&amp;BO$5,'Competency Event Log'!$D$4:$D$803)))</f>
        <v/>
      </c>
      <c r="BP43" s="8" t="str">
        <f>IF($B43="","",IF(COUNTIF('Competency Event Log'!$U$4:$U$803,$B43&amp;"|"&amp;BP$5)=0,"",SUMIF('Competency Event Log'!$U$4:$U$803,$B43&amp;"|"&amp;BP$5,'Competency Event Log'!$D$4:$D$803)))</f>
        <v/>
      </c>
      <c r="BQ43" s="8" t="str">
        <f>IF($B43="","",IF(COUNTIF('Competency Event Log'!$U$4:$U$803,$B43&amp;"|"&amp;BQ$5)=0,"",SUMIF('Competency Event Log'!$U$4:$U$803,$B43&amp;"|"&amp;BQ$5,'Competency Event Log'!$D$4:$D$803)))</f>
        <v/>
      </c>
      <c r="BR43" s="8" t="str">
        <f>IF($B43="","",IF(COUNTIF('Competency Event Log'!$U$4:$U$803,$B43&amp;"|"&amp;BR$5)=0,"",SUMIF('Competency Event Log'!$U$4:$U$803,$B43&amp;"|"&amp;BR$5,'Competency Event Log'!$D$4:$D$803)))</f>
        <v/>
      </c>
      <c r="BS43" s="8" t="str">
        <f>IF($B43="","",IF(COUNTIF('Competency Event Log'!$U$4:$U$803,$B43&amp;"|"&amp;BS$5)=0,"",SUMIF('Competency Event Log'!$U$4:$U$803,$B43&amp;"|"&amp;BS$5,'Competency Event Log'!$D$4:$D$803)))</f>
        <v/>
      </c>
      <c r="BT43" s="8" t="str">
        <f>IF($B43="","",IF(COUNTIF('Competency Event Log'!$U$4:$U$803,$B43&amp;"|"&amp;BT$5)=0,"",SUMIF('Competency Event Log'!$U$4:$U$803,$B43&amp;"|"&amp;BT$5,'Competency Event Log'!$D$4:$D$803)))</f>
        <v/>
      </c>
      <c r="BU43" s="8" t="str">
        <f>IF($B43="","",IF(COUNTIF('Competency Event Log'!$U$4:$U$803,$B43&amp;"|"&amp;BU$5)=0,"",SUMIF('Competency Event Log'!$U$4:$U$803,$B43&amp;"|"&amp;BU$5,'Competency Event Log'!$D$4:$D$803)))</f>
        <v/>
      </c>
      <c r="BV43" s="8" t="str">
        <f>IF($B43="","",IF(COUNTIF('Competency Event Log'!$U$4:$U$803,$B43&amp;"|"&amp;BV$5)=0,"",SUMIF('Competency Event Log'!$U$4:$U$803,$B43&amp;"|"&amp;BV$5,'Competency Event Log'!$D$4:$D$803)))</f>
        <v/>
      </c>
      <c r="BW43" s="8" t="str">
        <f>IF($B43="","",IF(COUNTIF('Competency Event Log'!$U$4:$U$803,$B43&amp;"|"&amp;BW$5)=0,"",SUMIF('Competency Event Log'!$U$4:$U$803,$B43&amp;"|"&amp;BW$5,'Competency Event Log'!$D$4:$D$803)))</f>
        <v/>
      </c>
      <c r="BX43" s="8" t="str">
        <f>IF($B43="","",IF(COUNTIF('Competency Event Log'!$U$4:$U$803,$B43&amp;"|"&amp;BX$5)=0,"",SUMIF('Competency Event Log'!$U$4:$U$803,$B43&amp;"|"&amp;BX$5,'Competency Event Log'!$D$4:$D$803)))</f>
        <v/>
      </c>
      <c r="BY43" s="8" t="str">
        <f>IF($B43="","",IF(COUNTIF('Competency Event Log'!$U$4:$U$803,$B43&amp;"|"&amp;BY$5)=0,"",SUMIF('Competency Event Log'!$U$4:$U$803,$B43&amp;"|"&amp;BY$5,'Competency Event Log'!$D$4:$D$803)))</f>
        <v/>
      </c>
      <c r="BZ43" s="8" t="str">
        <f>IF($B43="","",IF(COUNTIF('Competency Event Log'!$U$4:$U$803,$B43&amp;"|"&amp;BZ$5)=0,"",SUMIF('Competency Event Log'!$U$4:$U$803,$B43&amp;"|"&amp;BZ$5,'Competency Event Log'!$D$4:$D$803)))</f>
        <v/>
      </c>
      <c r="CA43" s="8" t="str">
        <f>IF($B43="","",IF(COUNTIF('Competency Event Log'!$U$4:$U$803,$B43&amp;"|"&amp;CA$5)=0,"",SUMIF('Competency Event Log'!$U$4:$U$803,$B43&amp;"|"&amp;CA$5,'Competency Event Log'!$D$4:$D$803)))</f>
        <v/>
      </c>
      <c r="CB43" s="8" t="str">
        <f>IF($B43="","",IF(COUNTIF('Competency Event Log'!$U$4:$U$803,$B43&amp;"|"&amp;CB$5)=0,"",SUMIF('Competency Event Log'!$U$4:$U$803,$B43&amp;"|"&amp;CB$5,'Competency Event Log'!$D$4:$D$803)))</f>
        <v/>
      </c>
      <c r="CC43" s="8" t="str">
        <f>IF($B43="","",IF(COUNTIF('Competency Event Log'!$U$4:$U$803,$B43&amp;"|"&amp;CC$5)=0,"",SUMIF('Competency Event Log'!$U$4:$U$803,$B43&amp;"|"&amp;CC$5,'Competency Event Log'!$D$4:$D$803)))</f>
        <v/>
      </c>
      <c r="CD43" s="8" t="str">
        <f>IF($B43="","",IF(COUNTIF('Competency Event Log'!$U$4:$U$803,$B43&amp;"|"&amp;CD$5)=0,"",SUMIF('Competency Event Log'!$U$4:$U$803,$B43&amp;"|"&amp;CD$5,'Competency Event Log'!$D$4:$D$803)))</f>
        <v/>
      </c>
      <c r="CE43" s="8" t="str">
        <f>IF($B43="","",IF(COUNTIF('Competency Event Log'!$U$4:$U$803,$B43&amp;"|"&amp;CE$5)=0,"",SUMIF('Competency Event Log'!$U$4:$U$803,$B43&amp;"|"&amp;CE$5,'Competency Event Log'!$D$4:$D$803)))</f>
        <v/>
      </c>
      <c r="CF43" s="8" t="str">
        <f>IF($B43="","",IF(COUNTIF('Competency Event Log'!$U$4:$U$803,$B43&amp;"|"&amp;CF$5)=0,"",SUMIF('Competency Event Log'!$U$4:$U$803,$B43&amp;"|"&amp;CF$5,'Competency Event Log'!$D$4:$D$803)))</f>
        <v/>
      </c>
      <c r="CG43" s="8" t="str">
        <f>IF($B43="","",IF(COUNTIF('Competency Event Log'!$U$4:$U$803,$B43&amp;"|"&amp;CG$5)=0,"",SUMIF('Competency Event Log'!$U$4:$U$803,$B43&amp;"|"&amp;CG$5,'Competency Event Log'!$D$4:$D$803)))</f>
        <v/>
      </c>
      <c r="CH43" s="8" t="str">
        <f>IF($B43="","",IF(COUNTIF('Competency Event Log'!$U$4:$U$803,$B43&amp;"|"&amp;CH$5)=0,"",SUMIF('Competency Event Log'!$U$4:$U$803,$B43&amp;"|"&amp;CH$5,'Competency Event Log'!$D$4:$D$803)))</f>
        <v/>
      </c>
      <c r="CI43" s="8" t="str">
        <f>IF($B43="","",IF(COUNTIF('Competency Event Log'!$U$4:$U$803,$B43&amp;"|"&amp;CI$5)=0,"",SUMIF('Competency Event Log'!$U$4:$U$803,$B43&amp;"|"&amp;CI$5,'Competency Event Log'!$D$4:$D$803)))</f>
        <v/>
      </c>
      <c r="CJ43" s="8" t="str">
        <f>IF($B43="","",IF(COUNTIF('Competency Event Log'!$U$4:$U$803,$B43&amp;"|"&amp;CJ$5)=0,"",SUMIF('Competency Event Log'!$U$4:$U$803,$B43&amp;"|"&amp;CJ$5,'Competency Event Log'!$D$4:$D$803)))</f>
        <v/>
      </c>
      <c r="CK43" s="8" t="str">
        <f>IF($B43="","",IF(COUNTIF('Competency Event Log'!$U$4:$U$803,$B43&amp;"|"&amp;CK$5)=0,"",SUMIF('Competency Event Log'!$U$4:$U$803,$B43&amp;"|"&amp;CK$5,'Competency Event Log'!$D$4:$D$803)))</f>
        <v/>
      </c>
      <c r="CL43" s="8" t="str">
        <f>IF($B43="","",IF(COUNTIF('Competency Event Log'!$U$4:$U$803,$B43&amp;"|"&amp;CL$5)=0,"",SUMIF('Competency Event Log'!$U$4:$U$803,$B43&amp;"|"&amp;CL$5,'Competency Event Log'!$D$4:$D$803)))</f>
        <v/>
      </c>
      <c r="CM43" s="8" t="str">
        <f>IF($B43="","",IF(COUNTIF('Competency Event Log'!$U$4:$U$803,$B43&amp;"|"&amp;CM$5)=0,"",SUMIF('Competency Event Log'!$U$4:$U$803,$B43&amp;"|"&amp;CM$5,'Competency Event Log'!$D$4:$D$803)))</f>
        <v/>
      </c>
      <c r="CN43" s="8" t="str">
        <f>IF($B43="","",IF(COUNTIF('Competency Event Log'!$U$4:$U$803,$B43&amp;"|"&amp;CN$5)=0,"",SUMIF('Competency Event Log'!$U$4:$U$803,$B43&amp;"|"&amp;CN$5,'Competency Event Log'!$D$4:$D$803)))</f>
        <v/>
      </c>
      <c r="CO43" s="8" t="str">
        <f>IF($B43="","",IF(COUNTIF('Competency Event Log'!$U$4:$U$803,$B43&amp;"|"&amp;CO$5)=0,"",SUMIF('Competency Event Log'!$U$4:$U$803,$B43&amp;"|"&amp;CO$5,'Competency Event Log'!$D$4:$D$803)))</f>
        <v/>
      </c>
      <c r="CP43" s="8" t="str">
        <f>IF($B43="","",IF(COUNTIF('Competency Event Log'!$U$4:$U$803,$B43&amp;"|"&amp;CP$5)=0,"",SUMIF('Competency Event Log'!$U$4:$U$803,$B43&amp;"|"&amp;CP$5,'Competency Event Log'!$D$4:$D$803)))</f>
        <v/>
      </c>
      <c r="CQ43" s="8" t="str">
        <f>IF($B43="","",IF(COUNTIF('Competency Event Log'!$U$4:$U$803,$B43&amp;"|"&amp;CQ$5)=0,"",SUMIF('Competency Event Log'!$U$4:$U$803,$B43&amp;"|"&amp;CQ$5,'Competency Event Log'!$D$4:$D$803)))</f>
        <v/>
      </c>
      <c r="CR43" s="8" t="str">
        <f>IF($B43="","",IF(COUNTIF('Competency Event Log'!$U$4:$U$803,$B43&amp;"|"&amp;CR$5)=0,"",SUMIF('Competency Event Log'!$U$4:$U$803,$B43&amp;"|"&amp;CR$5,'Competency Event Log'!$D$4:$D$803)))</f>
        <v/>
      </c>
      <c r="CS43" s="8" t="str">
        <f>IF($B43="","",IF(COUNTIF('Competency Event Log'!$U$4:$U$803,$B43&amp;"|"&amp;CS$5)=0,"",SUMIF('Competency Event Log'!$U$4:$U$803,$B43&amp;"|"&amp;CS$5,'Competency Event Log'!$D$4:$D$803)))</f>
        <v/>
      </c>
      <c r="CT43" s="8" t="str">
        <f>IF($B43="","",IF(COUNTIF('Competency Event Log'!$U$4:$U$803,$B43&amp;"|"&amp;CT$5)=0,"",SUMIF('Competency Event Log'!$U$4:$U$803,$B43&amp;"|"&amp;CT$5,'Competency Event Log'!$D$4:$D$803)))</f>
        <v/>
      </c>
      <c r="CU43" s="8" t="str">
        <f>IF($B43="","",IF(COUNTIF('Competency Event Log'!$U$4:$U$803,$B43&amp;"|"&amp;CU$5)=0,"",SUMIF('Competency Event Log'!$U$4:$U$803,$B43&amp;"|"&amp;CU$5,'Competency Event Log'!$D$4:$D$803)))</f>
        <v/>
      </c>
      <c r="CV43" s="8" t="str">
        <f>IF($B43="","",IF(COUNTIF('Competency Event Log'!$U$4:$U$803,$B43&amp;"|"&amp;CV$5)=0,"",SUMIF('Competency Event Log'!$U$4:$U$803,$B43&amp;"|"&amp;CV$5,'Competency Event Log'!$D$4:$D$803)))</f>
        <v/>
      </c>
      <c r="CW43" s="8" t="str">
        <f>IF($B43="","",IF(COUNTIF('Competency Event Log'!$U$4:$U$803,$B43&amp;"|"&amp;CW$5)=0,"",SUMIF('Competency Event Log'!$U$4:$U$803,$B43&amp;"|"&amp;CW$5,'Competency Event Log'!$D$4:$D$803)))</f>
        <v/>
      </c>
      <c r="CX43" s="8" t="str">
        <f>IF($B43="","",IF(COUNTIF('Competency Event Log'!$U$4:$U$803,$B43&amp;"|"&amp;CX$5)=0,"",SUMIF('Competency Event Log'!$U$4:$U$803,$B43&amp;"|"&amp;CX$5,'Competency Event Log'!$D$4:$D$803)))</f>
        <v/>
      </c>
      <c r="CY43" s="8" t="str">
        <f>IF($B43="","",IF(COUNTIF('Competency Event Log'!$U$4:$U$803,$B43&amp;"|"&amp;CY$5)=0,"",SUMIF('Competency Event Log'!$U$4:$U$803,$B43&amp;"|"&amp;CY$5,'Competency Event Log'!$D$4:$D$803)))</f>
        <v/>
      </c>
      <c r="CZ43" s="8" t="str">
        <f>IF($B43="","",IF(COUNTIF('Competency Event Log'!$U$4:$U$803,$B43&amp;"|"&amp;CZ$5)=0,"",SUMIF('Competency Event Log'!$U$4:$U$803,$B43&amp;"|"&amp;CZ$5,'Competency Event Log'!$D$4:$D$803)))</f>
        <v/>
      </c>
      <c r="DA43" s="8" t="str">
        <f>IF($B43="","",IF(COUNTIF('Competency Event Log'!$U$4:$U$803,$B43&amp;"|"&amp;DA$5)=0,"",SUMIF('Competency Event Log'!$U$4:$U$803,$B43&amp;"|"&amp;DA$5,'Competency Event Log'!$D$4:$D$803)))</f>
        <v/>
      </c>
      <c r="DB43" s="8" t="str">
        <f>IF($B43="","",IF(COUNTIF('Competency Event Log'!$U$4:$U$803,$B43&amp;"|"&amp;DB$5)=0,"",SUMIF('Competency Event Log'!$U$4:$U$803,$B43&amp;"|"&amp;DB$5,'Competency Event Log'!$D$4:$D$803)))</f>
        <v/>
      </c>
      <c r="DC43" s="8" t="str">
        <f>IF($B43="","",IF(COUNTIF('Competency Event Log'!$U$4:$U$803,$B43&amp;"|"&amp;DC$5)=0,"",SUMIF('Competency Event Log'!$U$4:$U$803,$B43&amp;"|"&amp;DC$5,'Competency Event Log'!$D$4:$D$803)))</f>
        <v/>
      </c>
      <c r="DD43" s="8" t="str">
        <f>IF($B43="","",IF(COUNTIF('Competency Event Log'!$U$4:$U$803,$B43&amp;"|"&amp;DD$5)=0,"",SUMIF('Competency Event Log'!$U$4:$U$803,$B43&amp;"|"&amp;DD$5,'Competency Event Log'!$D$4:$D$803)))</f>
        <v/>
      </c>
      <c r="DE43" s="8" t="str">
        <f>IF($B43="","",IF(COUNTIF('Competency Event Log'!$U$4:$U$803,$B43&amp;"|"&amp;DE$5)=0,"",SUMIF('Competency Event Log'!$U$4:$U$803,$B43&amp;"|"&amp;DE$5,'Competency Event Log'!$D$4:$D$803)))</f>
        <v/>
      </c>
      <c r="DF43" s="8" t="str">
        <f t="shared" si="4"/>
        <v/>
      </c>
      <c r="DG43" s="8" t="str">
        <f t="shared" si="5"/>
        <v/>
      </c>
      <c r="DH43" s="8" t="str">
        <f t="shared" si="6"/>
        <v/>
      </c>
      <c r="DI43" s="11" t="str">
        <f t="shared" si="7"/>
        <v/>
      </c>
    </row>
    <row r="44" spans="1:113">
      <c r="A44" s="7"/>
      <c r="B44" s="7"/>
      <c r="C44" s="8"/>
      <c r="D44" s="9"/>
      <c r="E44" s="10"/>
      <c r="F44" s="8"/>
      <c r="G44" s="8" t="str">
        <f>IF($B44="","",IF(COUNTIF('Competency Event Log'!$U$4:$U$803,$B44&amp;"|"&amp;G$5)=0,"",SUMIF('Competency Event Log'!$U$4:$U$803,$B44&amp;"|"&amp;G$5,'Competency Event Log'!$D$4:$D$803)))</f>
        <v/>
      </c>
      <c r="H44" s="8" t="str">
        <f>IF($B44="","",IF(COUNTIF('Competency Event Log'!$U$4:$U$803,$B44&amp;"|"&amp;H$5)=0,"",SUMIF('Competency Event Log'!$U$4:$U$803,$B44&amp;"|"&amp;H$5,'Competency Event Log'!$D$4:$D$803)))</f>
        <v/>
      </c>
      <c r="I44" s="8" t="str">
        <f>IF($B44="","",IF(COUNTIF('Competency Event Log'!$U$4:$U$803,$B44&amp;"|"&amp;I$5)=0,"",SUMIF('Competency Event Log'!$U$4:$U$803,$B44&amp;"|"&amp;I$5,'Competency Event Log'!$D$4:$D$803)))</f>
        <v/>
      </c>
      <c r="J44" s="8" t="str">
        <f>IF($B44="","",IF(COUNTIF('Competency Event Log'!$U$4:$U$803,$B44&amp;"|"&amp;J$5)=0,"",SUMIF('Competency Event Log'!$U$4:$U$803,$B44&amp;"|"&amp;J$5,'Competency Event Log'!$D$4:$D$803)))</f>
        <v/>
      </c>
      <c r="K44" s="8" t="str">
        <f>IF($B44="","",IF(COUNTIF('Competency Event Log'!$U$4:$U$803,$B44&amp;"|"&amp;K$5)=0,"",SUMIF('Competency Event Log'!$U$4:$U$803,$B44&amp;"|"&amp;K$5,'Competency Event Log'!$D$4:$D$803)))</f>
        <v/>
      </c>
      <c r="L44" s="8" t="str">
        <f>IF($B44="","",IF(COUNTIF('Competency Event Log'!$U$4:$U$803,$B44&amp;"|"&amp;L$5)=0,"",SUMIF('Competency Event Log'!$U$4:$U$803,$B44&amp;"|"&amp;L$5,'Competency Event Log'!$D$4:$D$803)))</f>
        <v/>
      </c>
      <c r="M44" s="8" t="str">
        <f>IF($B44="","",IF(COUNTIF('Competency Event Log'!$U$4:$U$803,$B44&amp;"|"&amp;M$5)=0,"",SUMIF('Competency Event Log'!$U$4:$U$803,$B44&amp;"|"&amp;M$5,'Competency Event Log'!$D$4:$D$803)))</f>
        <v/>
      </c>
      <c r="N44" s="8" t="str">
        <f>IF($B44="","",IF(COUNTIF('Competency Event Log'!$U$4:$U$803,$B44&amp;"|"&amp;N$5)=0,"",SUMIF('Competency Event Log'!$U$4:$U$803,$B44&amp;"|"&amp;N$5,'Competency Event Log'!$D$4:$D$803)))</f>
        <v/>
      </c>
      <c r="O44" s="8" t="str">
        <f>IF($B44="","",IF(COUNTIF('Competency Event Log'!$U$4:$U$803,$B44&amp;"|"&amp;O$5)=0,"",SUMIF('Competency Event Log'!$U$4:$U$803,$B44&amp;"|"&amp;O$5,'Competency Event Log'!$D$4:$D$803)))</f>
        <v/>
      </c>
      <c r="P44" s="8" t="str">
        <f>IF($B44="","",IF(COUNTIF('Competency Event Log'!$U$4:$U$803,$B44&amp;"|"&amp;P$5)=0,"",SUMIF('Competency Event Log'!$U$4:$U$803,$B44&amp;"|"&amp;P$5,'Competency Event Log'!$D$4:$D$803)))</f>
        <v/>
      </c>
      <c r="Q44" s="8" t="str">
        <f>IF($B44="","",IF(COUNTIF('Competency Event Log'!$U$4:$U$803,$B44&amp;"|"&amp;Q$5)=0,"",SUMIF('Competency Event Log'!$U$4:$U$803,$B44&amp;"|"&amp;Q$5,'Competency Event Log'!$D$4:$D$803)))</f>
        <v/>
      </c>
      <c r="R44" s="8" t="str">
        <f>IF($B44="","",IF(COUNTIF('Competency Event Log'!$U$4:$U$803,$B44&amp;"|"&amp;R$5)=0,"",SUMIF('Competency Event Log'!$U$4:$U$803,$B44&amp;"|"&amp;R$5,'Competency Event Log'!$D$4:$D$803)))</f>
        <v/>
      </c>
      <c r="S44" s="8" t="str">
        <f>IF($B44="","",IF(COUNTIF('Competency Event Log'!$U$4:$U$803,$B44&amp;"|"&amp;S$5)=0,"",SUMIF('Competency Event Log'!$U$4:$U$803,$B44&amp;"|"&amp;S$5,'Competency Event Log'!$D$4:$D$803)))</f>
        <v/>
      </c>
      <c r="T44" s="8" t="str">
        <f>IF($B44="","",IF(COUNTIF('Competency Event Log'!$U$4:$U$803,$B44&amp;"|"&amp;T$5)=0,"",SUMIF('Competency Event Log'!$U$4:$U$803,$B44&amp;"|"&amp;T$5,'Competency Event Log'!$D$4:$D$803)))</f>
        <v/>
      </c>
      <c r="U44" s="8" t="str">
        <f>IF($B44="","",IF(COUNTIF('Competency Event Log'!$U$4:$U$803,$B44&amp;"|"&amp;U$5)=0,"",SUMIF('Competency Event Log'!$U$4:$U$803,$B44&amp;"|"&amp;U$5,'Competency Event Log'!$D$4:$D$803)))</f>
        <v/>
      </c>
      <c r="V44" s="8" t="str">
        <f>IF($B44="","",IF(COUNTIF('Competency Event Log'!$U$4:$U$803,$B44&amp;"|"&amp;V$5)=0,"",SUMIF('Competency Event Log'!$U$4:$U$803,$B44&amp;"|"&amp;V$5,'Competency Event Log'!$D$4:$D$803)))</f>
        <v/>
      </c>
      <c r="W44" s="8" t="str">
        <f>IF($B44="","",IF(COUNTIF('Competency Event Log'!$U$4:$U$803,$B44&amp;"|"&amp;W$5)=0,"",SUMIF('Competency Event Log'!$U$4:$U$803,$B44&amp;"|"&amp;W$5,'Competency Event Log'!$D$4:$D$803)))</f>
        <v/>
      </c>
      <c r="X44" s="8" t="str">
        <f>IF($B44="","",IF(COUNTIF('Competency Event Log'!$U$4:$U$803,$B44&amp;"|"&amp;X$5)=0,"",SUMIF('Competency Event Log'!$U$4:$U$803,$B44&amp;"|"&amp;X$5,'Competency Event Log'!$D$4:$D$803)))</f>
        <v/>
      </c>
      <c r="Y44" s="8" t="str">
        <f>IF($B44="","",IF(COUNTIF('Competency Event Log'!$U$4:$U$803,$B44&amp;"|"&amp;Y$5)=0,"",SUMIF('Competency Event Log'!$U$4:$U$803,$B44&amp;"|"&amp;Y$5,'Competency Event Log'!$D$4:$D$803)))</f>
        <v/>
      </c>
      <c r="Z44" s="8" t="str">
        <f>IF($B44="","",IF(COUNTIF('Competency Event Log'!$U$4:$U$803,$B44&amp;"|"&amp;Z$5)=0,"",SUMIF('Competency Event Log'!$U$4:$U$803,$B44&amp;"|"&amp;Z$5,'Competency Event Log'!$D$4:$D$803)))</f>
        <v/>
      </c>
      <c r="AA44" s="8" t="str">
        <f>IF($B44="","",IF(COUNTIF('Competency Event Log'!$U$4:$U$803,$B44&amp;"|"&amp;AA$5)=0,"",SUMIF('Competency Event Log'!$U$4:$U$803,$B44&amp;"|"&amp;AA$5,'Competency Event Log'!$D$4:$D$803)))</f>
        <v/>
      </c>
      <c r="AB44" s="8" t="str">
        <f>IF($B44="","",IF(COUNTIF('Competency Event Log'!$U$4:$U$803,$B44&amp;"|"&amp;AB$5)=0,"",SUMIF('Competency Event Log'!$U$4:$U$803,$B44&amp;"|"&amp;AB$5,'Competency Event Log'!$D$4:$D$803)))</f>
        <v/>
      </c>
      <c r="AC44" s="8" t="str">
        <f>IF($B44="","",IF(COUNTIF('Competency Event Log'!$U$4:$U$803,$B44&amp;"|"&amp;AC$5)=0,"",SUMIF('Competency Event Log'!$U$4:$U$803,$B44&amp;"|"&amp;AC$5,'Competency Event Log'!$D$4:$D$803)))</f>
        <v/>
      </c>
      <c r="AD44" s="8" t="str">
        <f>IF($B44="","",IF(COUNTIF('Competency Event Log'!$U$4:$U$803,$B44&amp;"|"&amp;AD$5)=0,"",SUMIF('Competency Event Log'!$U$4:$U$803,$B44&amp;"|"&amp;AD$5,'Competency Event Log'!$D$4:$D$803)))</f>
        <v/>
      </c>
      <c r="AE44" s="8" t="str">
        <f>IF($B44="","",IF(COUNTIF('Competency Event Log'!$U$4:$U$803,$B44&amp;"|"&amp;AE$5)=0,"",SUMIF('Competency Event Log'!$U$4:$U$803,$B44&amp;"|"&amp;AE$5,'Competency Event Log'!$D$4:$D$803)))</f>
        <v/>
      </c>
      <c r="AF44" s="8" t="str">
        <f>IF($B44="","",IF(COUNTIF('Competency Event Log'!$U$4:$U$803,$B44&amp;"|"&amp;AF$5)=0,"",SUMIF('Competency Event Log'!$U$4:$U$803,$B44&amp;"|"&amp;AF$5,'Competency Event Log'!$D$4:$D$803)))</f>
        <v/>
      </c>
      <c r="AG44" s="8" t="str">
        <f>IF($B44="","",IF(COUNTIF('Competency Event Log'!$U$4:$U$803,$B44&amp;"|"&amp;AG$5)=0,"",SUMIF('Competency Event Log'!$U$4:$U$803,$B44&amp;"|"&amp;AG$5,'Competency Event Log'!$D$4:$D$803)))</f>
        <v/>
      </c>
      <c r="AH44" s="8" t="str">
        <f>IF($B44="","",IF(COUNTIF('Competency Event Log'!$U$4:$U$803,$B44&amp;"|"&amp;AH$5)=0,"",SUMIF('Competency Event Log'!$U$4:$U$803,$B44&amp;"|"&amp;AH$5,'Competency Event Log'!$D$4:$D$803)))</f>
        <v/>
      </c>
      <c r="AI44" s="8" t="str">
        <f>IF($B44="","",IF(COUNTIF('Competency Event Log'!$U$4:$U$803,$B44&amp;"|"&amp;AI$5)=0,"",SUMIF('Competency Event Log'!$U$4:$U$803,$B44&amp;"|"&amp;AI$5,'Competency Event Log'!$D$4:$D$803)))</f>
        <v/>
      </c>
      <c r="AJ44" s="8" t="str">
        <f>IF($B44="","",IF(COUNTIF('Competency Event Log'!$U$4:$U$803,$B44&amp;"|"&amp;AJ$5)=0,"",SUMIF('Competency Event Log'!$U$4:$U$803,$B44&amp;"|"&amp;AJ$5,'Competency Event Log'!$D$4:$D$803)))</f>
        <v/>
      </c>
      <c r="AK44" s="8" t="str">
        <f>IF($B44="","",IF(COUNTIF('Competency Event Log'!$U$4:$U$803,$B44&amp;"|"&amp;AK$5)=0,"",SUMIF('Competency Event Log'!$U$4:$U$803,$B44&amp;"|"&amp;AK$5,'Competency Event Log'!$D$4:$D$803)))</f>
        <v/>
      </c>
      <c r="AL44" s="8" t="str">
        <f>IF($B44="","",IF(COUNTIF('Competency Event Log'!$U$4:$U$803,$B44&amp;"|"&amp;AL$5)=0,"",SUMIF('Competency Event Log'!$U$4:$U$803,$B44&amp;"|"&amp;AL$5,'Competency Event Log'!$D$4:$D$803)))</f>
        <v/>
      </c>
      <c r="AM44" s="8" t="str">
        <f>IF($B44="","",IF(COUNTIF('Competency Event Log'!$U$4:$U$803,$B44&amp;"|"&amp;AM$5)=0,"",SUMIF('Competency Event Log'!$U$4:$U$803,$B44&amp;"|"&amp;AM$5,'Competency Event Log'!$D$4:$D$803)))</f>
        <v/>
      </c>
      <c r="AN44" s="8" t="str">
        <f>IF($B44="","",IF(COUNTIF('Competency Event Log'!$U$4:$U$803,$B44&amp;"|"&amp;AN$5)=0,"",SUMIF('Competency Event Log'!$U$4:$U$803,$B44&amp;"|"&amp;AN$5,'Competency Event Log'!$D$4:$D$803)))</f>
        <v/>
      </c>
      <c r="AO44" s="8" t="str">
        <f>IF($B44="","",IF(COUNTIF('Competency Event Log'!$U$4:$U$803,$B44&amp;"|"&amp;AO$5)=0,"",SUMIF('Competency Event Log'!$U$4:$U$803,$B44&amp;"|"&amp;AO$5,'Competency Event Log'!$D$4:$D$803)))</f>
        <v/>
      </c>
      <c r="AP44" s="8" t="str">
        <f>IF($B44="","",IF(COUNTIF('Competency Event Log'!$U$4:$U$803,$B44&amp;"|"&amp;AP$5)=0,"",SUMIF('Competency Event Log'!$U$4:$U$803,$B44&amp;"|"&amp;AP$5,'Competency Event Log'!$D$4:$D$803)))</f>
        <v/>
      </c>
      <c r="AQ44" s="8" t="str">
        <f>IF($B44="","",IF(COUNTIF('Competency Event Log'!$U$4:$U$803,$B44&amp;"|"&amp;AQ$5)=0,"",SUMIF('Competency Event Log'!$U$4:$U$803,$B44&amp;"|"&amp;AQ$5,'Competency Event Log'!$D$4:$D$803)))</f>
        <v/>
      </c>
      <c r="AR44" s="8" t="str">
        <f>IF($B44="","",IF(COUNTIF('Competency Event Log'!$U$4:$U$803,$B44&amp;"|"&amp;AR$5)=0,"",SUMIF('Competency Event Log'!$U$4:$U$803,$B44&amp;"|"&amp;AR$5,'Competency Event Log'!$D$4:$D$803)))</f>
        <v/>
      </c>
      <c r="AS44" s="8" t="str">
        <f>IF($B44="","",IF(COUNTIF('Competency Event Log'!$U$4:$U$803,$B44&amp;"|"&amp;AS$5)=0,"",SUMIF('Competency Event Log'!$U$4:$U$803,$B44&amp;"|"&amp;AS$5,'Competency Event Log'!$D$4:$D$803)))</f>
        <v/>
      </c>
      <c r="AT44" s="8" t="str">
        <f>IF($B44="","",IF(COUNTIF('Competency Event Log'!$U$4:$U$803,$B44&amp;"|"&amp;AT$5)=0,"",SUMIF('Competency Event Log'!$U$4:$U$803,$B44&amp;"|"&amp;AT$5,'Competency Event Log'!$D$4:$D$803)))</f>
        <v/>
      </c>
      <c r="AU44" s="8" t="str">
        <f>IF($B44="","",IF(COUNTIF('Competency Event Log'!$U$4:$U$803,$B44&amp;"|"&amp;AU$5)=0,"",SUMIF('Competency Event Log'!$U$4:$U$803,$B44&amp;"|"&amp;AU$5,'Competency Event Log'!$D$4:$D$803)))</f>
        <v/>
      </c>
      <c r="AV44" s="8" t="str">
        <f>IF($B44="","",IF(COUNTIF('Competency Event Log'!$U$4:$U$803,$B44&amp;"|"&amp;AV$5)=0,"",SUMIF('Competency Event Log'!$U$4:$U$803,$B44&amp;"|"&amp;AV$5,'Competency Event Log'!$D$4:$D$803)))</f>
        <v/>
      </c>
      <c r="AW44" s="8" t="str">
        <f>IF($B44="","",IF(COUNTIF('Competency Event Log'!$U$4:$U$803,$B44&amp;"|"&amp;AW$5)=0,"",SUMIF('Competency Event Log'!$U$4:$U$803,$B44&amp;"|"&amp;AW$5,'Competency Event Log'!$D$4:$D$803)))</f>
        <v/>
      </c>
      <c r="AX44" s="8" t="str">
        <f>IF($B44="","",IF(COUNTIF('Competency Event Log'!$U$4:$U$803,$B44&amp;"|"&amp;AX$5)=0,"",SUMIF('Competency Event Log'!$U$4:$U$803,$B44&amp;"|"&amp;AX$5,'Competency Event Log'!$D$4:$D$803)))</f>
        <v/>
      </c>
      <c r="AY44" s="8" t="str">
        <f>IF($B44="","",IF(COUNTIF('Competency Event Log'!$U$4:$U$803,$B44&amp;"|"&amp;AY$5)=0,"",SUMIF('Competency Event Log'!$U$4:$U$803,$B44&amp;"|"&amp;AY$5,'Competency Event Log'!$D$4:$D$803)))</f>
        <v/>
      </c>
      <c r="AZ44" s="8" t="str">
        <f>IF($B44="","",IF(COUNTIF('Competency Event Log'!$U$4:$U$803,$B44&amp;"|"&amp;AZ$5)=0,"",SUMIF('Competency Event Log'!$U$4:$U$803,$B44&amp;"|"&amp;AZ$5,'Competency Event Log'!$D$4:$D$803)))</f>
        <v/>
      </c>
      <c r="BA44" s="8" t="str">
        <f>IF($B44="","",IF(COUNTIF('Competency Event Log'!$U$4:$U$803,$B44&amp;"|"&amp;BA$5)=0,"",SUMIF('Competency Event Log'!$U$4:$U$803,$B44&amp;"|"&amp;BA$5,'Competency Event Log'!$D$4:$D$803)))</f>
        <v/>
      </c>
      <c r="BB44" s="8" t="str">
        <f>IF($B44="","",IF(COUNTIF('Competency Event Log'!$U$4:$U$803,$B44&amp;"|"&amp;BB$5)=0,"",SUMIF('Competency Event Log'!$U$4:$U$803,$B44&amp;"|"&amp;BB$5,'Competency Event Log'!$D$4:$D$803)))</f>
        <v/>
      </c>
      <c r="BC44" s="8" t="str">
        <f>IF($B44="","",IF(COUNTIF('Competency Event Log'!$U$4:$U$803,$B44&amp;"|"&amp;BC$5)=0,"",SUMIF('Competency Event Log'!$U$4:$U$803,$B44&amp;"|"&amp;BC$5,'Competency Event Log'!$D$4:$D$803)))</f>
        <v/>
      </c>
      <c r="BD44" s="8" t="str">
        <f>IF($B44="","",IF(COUNTIF('Competency Event Log'!$U$4:$U$803,$B44&amp;"|"&amp;BD$5)=0,"",SUMIF('Competency Event Log'!$U$4:$U$803,$B44&amp;"|"&amp;BD$5,'Competency Event Log'!$D$4:$D$803)))</f>
        <v/>
      </c>
      <c r="BE44" s="8" t="str">
        <f>IF($B44="","",IF(COUNTIF('Competency Event Log'!$U$4:$U$803,$B44&amp;"|"&amp;BE$5)=0,"",SUMIF('Competency Event Log'!$U$4:$U$803,$B44&amp;"|"&amp;BE$5,'Competency Event Log'!$D$4:$D$803)))</f>
        <v/>
      </c>
      <c r="BF44" s="8" t="str">
        <f>IF($B44="","",IF(COUNTIF('Competency Event Log'!$U$4:$U$803,$B44&amp;"|"&amp;BF$5)=0,"",SUMIF('Competency Event Log'!$U$4:$U$803,$B44&amp;"|"&amp;BF$5,'Competency Event Log'!$D$4:$D$803)))</f>
        <v/>
      </c>
      <c r="BG44" s="8" t="str">
        <f>IF($B44="","",IF(COUNTIF('Competency Event Log'!$U$4:$U$803,$B44&amp;"|"&amp;BG$5)=0,"",SUMIF('Competency Event Log'!$U$4:$U$803,$B44&amp;"|"&amp;BG$5,'Competency Event Log'!$D$4:$D$803)))</f>
        <v/>
      </c>
      <c r="BH44" s="8" t="str">
        <f>IF($B44="","",IF(COUNTIF('Competency Event Log'!$U$4:$U$803,$B44&amp;"|"&amp;BH$5)=0,"",SUMIF('Competency Event Log'!$U$4:$U$803,$B44&amp;"|"&amp;BH$5,'Competency Event Log'!$D$4:$D$803)))</f>
        <v/>
      </c>
      <c r="BI44" s="8" t="str">
        <f>IF($B44="","",IF(COUNTIF('Competency Event Log'!$U$4:$U$803,$B44&amp;"|"&amp;BI$5)=0,"",SUMIF('Competency Event Log'!$U$4:$U$803,$B44&amp;"|"&amp;BI$5,'Competency Event Log'!$D$4:$D$803)))</f>
        <v/>
      </c>
      <c r="BJ44" s="8" t="str">
        <f>IF($B44="","",IF(COUNTIF('Competency Event Log'!$U$4:$U$803,$B44&amp;"|"&amp;BJ$5)=0,"",SUMIF('Competency Event Log'!$U$4:$U$803,$B44&amp;"|"&amp;BJ$5,'Competency Event Log'!$D$4:$D$803)))</f>
        <v/>
      </c>
      <c r="BK44" s="8" t="str">
        <f>IF($B44="","",IF(COUNTIF('Competency Event Log'!$U$4:$U$803,$B44&amp;"|"&amp;BK$5)=0,"",SUMIF('Competency Event Log'!$U$4:$U$803,$B44&amp;"|"&amp;BK$5,'Competency Event Log'!$D$4:$D$803)))</f>
        <v/>
      </c>
      <c r="BL44" s="8" t="str">
        <f>IF($B44="","",IF(COUNTIF('Competency Event Log'!$U$4:$U$803,$B44&amp;"|"&amp;BL$5)=0,"",SUMIF('Competency Event Log'!$U$4:$U$803,$B44&amp;"|"&amp;BL$5,'Competency Event Log'!$D$4:$D$803)))</f>
        <v/>
      </c>
      <c r="BM44" s="8" t="str">
        <f>IF($B44="","",IF(COUNTIF('Competency Event Log'!$U$4:$U$803,$B44&amp;"|"&amp;BM$5)=0,"",SUMIF('Competency Event Log'!$U$4:$U$803,$B44&amp;"|"&amp;BM$5,'Competency Event Log'!$D$4:$D$803)))</f>
        <v/>
      </c>
      <c r="BN44" s="8" t="str">
        <f>IF($B44="","",IF(COUNTIF('Competency Event Log'!$U$4:$U$803,$B44&amp;"|"&amp;BN$5)=0,"",SUMIF('Competency Event Log'!$U$4:$U$803,$B44&amp;"|"&amp;BN$5,'Competency Event Log'!$D$4:$D$803)))</f>
        <v/>
      </c>
      <c r="BO44" s="8" t="str">
        <f>IF($B44="","",IF(COUNTIF('Competency Event Log'!$U$4:$U$803,$B44&amp;"|"&amp;BO$5)=0,"",SUMIF('Competency Event Log'!$U$4:$U$803,$B44&amp;"|"&amp;BO$5,'Competency Event Log'!$D$4:$D$803)))</f>
        <v/>
      </c>
      <c r="BP44" s="8" t="str">
        <f>IF($B44="","",IF(COUNTIF('Competency Event Log'!$U$4:$U$803,$B44&amp;"|"&amp;BP$5)=0,"",SUMIF('Competency Event Log'!$U$4:$U$803,$B44&amp;"|"&amp;BP$5,'Competency Event Log'!$D$4:$D$803)))</f>
        <v/>
      </c>
      <c r="BQ44" s="8" t="str">
        <f>IF($B44="","",IF(COUNTIF('Competency Event Log'!$U$4:$U$803,$B44&amp;"|"&amp;BQ$5)=0,"",SUMIF('Competency Event Log'!$U$4:$U$803,$B44&amp;"|"&amp;BQ$5,'Competency Event Log'!$D$4:$D$803)))</f>
        <v/>
      </c>
      <c r="BR44" s="8" t="str">
        <f>IF($B44="","",IF(COUNTIF('Competency Event Log'!$U$4:$U$803,$B44&amp;"|"&amp;BR$5)=0,"",SUMIF('Competency Event Log'!$U$4:$U$803,$B44&amp;"|"&amp;BR$5,'Competency Event Log'!$D$4:$D$803)))</f>
        <v/>
      </c>
      <c r="BS44" s="8" t="str">
        <f>IF($B44="","",IF(COUNTIF('Competency Event Log'!$U$4:$U$803,$B44&amp;"|"&amp;BS$5)=0,"",SUMIF('Competency Event Log'!$U$4:$U$803,$B44&amp;"|"&amp;BS$5,'Competency Event Log'!$D$4:$D$803)))</f>
        <v/>
      </c>
      <c r="BT44" s="8" t="str">
        <f>IF($B44="","",IF(COUNTIF('Competency Event Log'!$U$4:$U$803,$B44&amp;"|"&amp;BT$5)=0,"",SUMIF('Competency Event Log'!$U$4:$U$803,$B44&amp;"|"&amp;BT$5,'Competency Event Log'!$D$4:$D$803)))</f>
        <v/>
      </c>
      <c r="BU44" s="8" t="str">
        <f>IF($B44="","",IF(COUNTIF('Competency Event Log'!$U$4:$U$803,$B44&amp;"|"&amp;BU$5)=0,"",SUMIF('Competency Event Log'!$U$4:$U$803,$B44&amp;"|"&amp;BU$5,'Competency Event Log'!$D$4:$D$803)))</f>
        <v/>
      </c>
      <c r="BV44" s="8" t="str">
        <f>IF($B44="","",IF(COUNTIF('Competency Event Log'!$U$4:$U$803,$B44&amp;"|"&amp;BV$5)=0,"",SUMIF('Competency Event Log'!$U$4:$U$803,$B44&amp;"|"&amp;BV$5,'Competency Event Log'!$D$4:$D$803)))</f>
        <v/>
      </c>
      <c r="BW44" s="8" t="str">
        <f>IF($B44="","",IF(COUNTIF('Competency Event Log'!$U$4:$U$803,$B44&amp;"|"&amp;BW$5)=0,"",SUMIF('Competency Event Log'!$U$4:$U$803,$B44&amp;"|"&amp;BW$5,'Competency Event Log'!$D$4:$D$803)))</f>
        <v/>
      </c>
      <c r="BX44" s="8" t="str">
        <f>IF($B44="","",IF(COUNTIF('Competency Event Log'!$U$4:$U$803,$B44&amp;"|"&amp;BX$5)=0,"",SUMIF('Competency Event Log'!$U$4:$U$803,$B44&amp;"|"&amp;BX$5,'Competency Event Log'!$D$4:$D$803)))</f>
        <v/>
      </c>
      <c r="BY44" s="8" t="str">
        <f>IF($B44="","",IF(COUNTIF('Competency Event Log'!$U$4:$U$803,$B44&amp;"|"&amp;BY$5)=0,"",SUMIF('Competency Event Log'!$U$4:$U$803,$B44&amp;"|"&amp;BY$5,'Competency Event Log'!$D$4:$D$803)))</f>
        <v/>
      </c>
      <c r="BZ44" s="8" t="str">
        <f>IF($B44="","",IF(COUNTIF('Competency Event Log'!$U$4:$U$803,$B44&amp;"|"&amp;BZ$5)=0,"",SUMIF('Competency Event Log'!$U$4:$U$803,$B44&amp;"|"&amp;BZ$5,'Competency Event Log'!$D$4:$D$803)))</f>
        <v/>
      </c>
      <c r="CA44" s="8" t="str">
        <f>IF($B44="","",IF(COUNTIF('Competency Event Log'!$U$4:$U$803,$B44&amp;"|"&amp;CA$5)=0,"",SUMIF('Competency Event Log'!$U$4:$U$803,$B44&amp;"|"&amp;CA$5,'Competency Event Log'!$D$4:$D$803)))</f>
        <v/>
      </c>
      <c r="CB44" s="8" t="str">
        <f>IF($B44="","",IF(COUNTIF('Competency Event Log'!$U$4:$U$803,$B44&amp;"|"&amp;CB$5)=0,"",SUMIF('Competency Event Log'!$U$4:$U$803,$B44&amp;"|"&amp;CB$5,'Competency Event Log'!$D$4:$D$803)))</f>
        <v/>
      </c>
      <c r="CC44" s="8" t="str">
        <f>IF($B44="","",IF(COUNTIF('Competency Event Log'!$U$4:$U$803,$B44&amp;"|"&amp;CC$5)=0,"",SUMIF('Competency Event Log'!$U$4:$U$803,$B44&amp;"|"&amp;CC$5,'Competency Event Log'!$D$4:$D$803)))</f>
        <v/>
      </c>
      <c r="CD44" s="8" t="str">
        <f>IF($B44="","",IF(COUNTIF('Competency Event Log'!$U$4:$U$803,$B44&amp;"|"&amp;CD$5)=0,"",SUMIF('Competency Event Log'!$U$4:$U$803,$B44&amp;"|"&amp;CD$5,'Competency Event Log'!$D$4:$D$803)))</f>
        <v/>
      </c>
      <c r="CE44" s="8" t="str">
        <f>IF($B44="","",IF(COUNTIF('Competency Event Log'!$U$4:$U$803,$B44&amp;"|"&amp;CE$5)=0,"",SUMIF('Competency Event Log'!$U$4:$U$803,$B44&amp;"|"&amp;CE$5,'Competency Event Log'!$D$4:$D$803)))</f>
        <v/>
      </c>
      <c r="CF44" s="8" t="str">
        <f>IF($B44="","",IF(COUNTIF('Competency Event Log'!$U$4:$U$803,$B44&amp;"|"&amp;CF$5)=0,"",SUMIF('Competency Event Log'!$U$4:$U$803,$B44&amp;"|"&amp;CF$5,'Competency Event Log'!$D$4:$D$803)))</f>
        <v/>
      </c>
      <c r="CG44" s="8" t="str">
        <f>IF($B44="","",IF(COUNTIF('Competency Event Log'!$U$4:$U$803,$B44&amp;"|"&amp;CG$5)=0,"",SUMIF('Competency Event Log'!$U$4:$U$803,$B44&amp;"|"&amp;CG$5,'Competency Event Log'!$D$4:$D$803)))</f>
        <v/>
      </c>
      <c r="CH44" s="8" t="str">
        <f>IF($B44="","",IF(COUNTIF('Competency Event Log'!$U$4:$U$803,$B44&amp;"|"&amp;CH$5)=0,"",SUMIF('Competency Event Log'!$U$4:$U$803,$B44&amp;"|"&amp;CH$5,'Competency Event Log'!$D$4:$D$803)))</f>
        <v/>
      </c>
      <c r="CI44" s="8" t="str">
        <f>IF($B44="","",IF(COUNTIF('Competency Event Log'!$U$4:$U$803,$B44&amp;"|"&amp;CI$5)=0,"",SUMIF('Competency Event Log'!$U$4:$U$803,$B44&amp;"|"&amp;CI$5,'Competency Event Log'!$D$4:$D$803)))</f>
        <v/>
      </c>
      <c r="CJ44" s="8" t="str">
        <f>IF($B44="","",IF(COUNTIF('Competency Event Log'!$U$4:$U$803,$B44&amp;"|"&amp;CJ$5)=0,"",SUMIF('Competency Event Log'!$U$4:$U$803,$B44&amp;"|"&amp;CJ$5,'Competency Event Log'!$D$4:$D$803)))</f>
        <v/>
      </c>
      <c r="CK44" s="8" t="str">
        <f>IF($B44="","",IF(COUNTIF('Competency Event Log'!$U$4:$U$803,$B44&amp;"|"&amp;CK$5)=0,"",SUMIF('Competency Event Log'!$U$4:$U$803,$B44&amp;"|"&amp;CK$5,'Competency Event Log'!$D$4:$D$803)))</f>
        <v/>
      </c>
      <c r="CL44" s="8" t="str">
        <f>IF($B44="","",IF(COUNTIF('Competency Event Log'!$U$4:$U$803,$B44&amp;"|"&amp;CL$5)=0,"",SUMIF('Competency Event Log'!$U$4:$U$803,$B44&amp;"|"&amp;CL$5,'Competency Event Log'!$D$4:$D$803)))</f>
        <v/>
      </c>
      <c r="CM44" s="8" t="str">
        <f>IF($B44="","",IF(COUNTIF('Competency Event Log'!$U$4:$U$803,$B44&amp;"|"&amp;CM$5)=0,"",SUMIF('Competency Event Log'!$U$4:$U$803,$B44&amp;"|"&amp;CM$5,'Competency Event Log'!$D$4:$D$803)))</f>
        <v/>
      </c>
      <c r="CN44" s="8" t="str">
        <f>IF($B44="","",IF(COUNTIF('Competency Event Log'!$U$4:$U$803,$B44&amp;"|"&amp;CN$5)=0,"",SUMIF('Competency Event Log'!$U$4:$U$803,$B44&amp;"|"&amp;CN$5,'Competency Event Log'!$D$4:$D$803)))</f>
        <v/>
      </c>
      <c r="CO44" s="8" t="str">
        <f>IF($B44="","",IF(COUNTIF('Competency Event Log'!$U$4:$U$803,$B44&amp;"|"&amp;CO$5)=0,"",SUMIF('Competency Event Log'!$U$4:$U$803,$B44&amp;"|"&amp;CO$5,'Competency Event Log'!$D$4:$D$803)))</f>
        <v/>
      </c>
      <c r="CP44" s="8" t="str">
        <f>IF($B44="","",IF(COUNTIF('Competency Event Log'!$U$4:$U$803,$B44&amp;"|"&amp;CP$5)=0,"",SUMIF('Competency Event Log'!$U$4:$U$803,$B44&amp;"|"&amp;CP$5,'Competency Event Log'!$D$4:$D$803)))</f>
        <v/>
      </c>
      <c r="CQ44" s="8" t="str">
        <f>IF($B44="","",IF(COUNTIF('Competency Event Log'!$U$4:$U$803,$B44&amp;"|"&amp;CQ$5)=0,"",SUMIF('Competency Event Log'!$U$4:$U$803,$B44&amp;"|"&amp;CQ$5,'Competency Event Log'!$D$4:$D$803)))</f>
        <v/>
      </c>
      <c r="CR44" s="8" t="str">
        <f>IF($B44="","",IF(COUNTIF('Competency Event Log'!$U$4:$U$803,$B44&amp;"|"&amp;CR$5)=0,"",SUMIF('Competency Event Log'!$U$4:$U$803,$B44&amp;"|"&amp;CR$5,'Competency Event Log'!$D$4:$D$803)))</f>
        <v/>
      </c>
      <c r="CS44" s="8" t="str">
        <f>IF($B44="","",IF(COUNTIF('Competency Event Log'!$U$4:$U$803,$B44&amp;"|"&amp;CS$5)=0,"",SUMIF('Competency Event Log'!$U$4:$U$803,$B44&amp;"|"&amp;CS$5,'Competency Event Log'!$D$4:$D$803)))</f>
        <v/>
      </c>
      <c r="CT44" s="8" t="str">
        <f>IF($B44="","",IF(COUNTIF('Competency Event Log'!$U$4:$U$803,$B44&amp;"|"&amp;CT$5)=0,"",SUMIF('Competency Event Log'!$U$4:$U$803,$B44&amp;"|"&amp;CT$5,'Competency Event Log'!$D$4:$D$803)))</f>
        <v/>
      </c>
      <c r="CU44" s="8" t="str">
        <f>IF($B44="","",IF(COUNTIF('Competency Event Log'!$U$4:$U$803,$B44&amp;"|"&amp;CU$5)=0,"",SUMIF('Competency Event Log'!$U$4:$U$803,$B44&amp;"|"&amp;CU$5,'Competency Event Log'!$D$4:$D$803)))</f>
        <v/>
      </c>
      <c r="CV44" s="8" t="str">
        <f>IF($B44="","",IF(COUNTIF('Competency Event Log'!$U$4:$U$803,$B44&amp;"|"&amp;CV$5)=0,"",SUMIF('Competency Event Log'!$U$4:$U$803,$B44&amp;"|"&amp;CV$5,'Competency Event Log'!$D$4:$D$803)))</f>
        <v/>
      </c>
      <c r="CW44" s="8" t="str">
        <f>IF($B44="","",IF(COUNTIF('Competency Event Log'!$U$4:$U$803,$B44&amp;"|"&amp;CW$5)=0,"",SUMIF('Competency Event Log'!$U$4:$U$803,$B44&amp;"|"&amp;CW$5,'Competency Event Log'!$D$4:$D$803)))</f>
        <v/>
      </c>
      <c r="CX44" s="8" t="str">
        <f>IF($B44="","",IF(COUNTIF('Competency Event Log'!$U$4:$U$803,$B44&amp;"|"&amp;CX$5)=0,"",SUMIF('Competency Event Log'!$U$4:$U$803,$B44&amp;"|"&amp;CX$5,'Competency Event Log'!$D$4:$D$803)))</f>
        <v/>
      </c>
      <c r="CY44" s="8" t="str">
        <f>IF($B44="","",IF(COUNTIF('Competency Event Log'!$U$4:$U$803,$B44&amp;"|"&amp;CY$5)=0,"",SUMIF('Competency Event Log'!$U$4:$U$803,$B44&amp;"|"&amp;CY$5,'Competency Event Log'!$D$4:$D$803)))</f>
        <v/>
      </c>
      <c r="CZ44" s="8" t="str">
        <f>IF($B44="","",IF(COUNTIF('Competency Event Log'!$U$4:$U$803,$B44&amp;"|"&amp;CZ$5)=0,"",SUMIF('Competency Event Log'!$U$4:$U$803,$B44&amp;"|"&amp;CZ$5,'Competency Event Log'!$D$4:$D$803)))</f>
        <v/>
      </c>
      <c r="DA44" s="8" t="str">
        <f>IF($B44="","",IF(COUNTIF('Competency Event Log'!$U$4:$U$803,$B44&amp;"|"&amp;DA$5)=0,"",SUMIF('Competency Event Log'!$U$4:$U$803,$B44&amp;"|"&amp;DA$5,'Competency Event Log'!$D$4:$D$803)))</f>
        <v/>
      </c>
      <c r="DB44" s="8" t="str">
        <f>IF($B44="","",IF(COUNTIF('Competency Event Log'!$U$4:$U$803,$B44&amp;"|"&amp;DB$5)=0,"",SUMIF('Competency Event Log'!$U$4:$U$803,$B44&amp;"|"&amp;DB$5,'Competency Event Log'!$D$4:$D$803)))</f>
        <v/>
      </c>
      <c r="DC44" s="8" t="str">
        <f>IF($B44="","",IF(COUNTIF('Competency Event Log'!$U$4:$U$803,$B44&amp;"|"&amp;DC$5)=0,"",SUMIF('Competency Event Log'!$U$4:$U$803,$B44&amp;"|"&amp;DC$5,'Competency Event Log'!$D$4:$D$803)))</f>
        <v/>
      </c>
      <c r="DD44" s="8" t="str">
        <f>IF($B44="","",IF(COUNTIF('Competency Event Log'!$U$4:$U$803,$B44&amp;"|"&amp;DD$5)=0,"",SUMIF('Competency Event Log'!$U$4:$U$803,$B44&amp;"|"&amp;DD$5,'Competency Event Log'!$D$4:$D$803)))</f>
        <v/>
      </c>
      <c r="DE44" s="8" t="str">
        <f>IF($B44="","",IF(COUNTIF('Competency Event Log'!$U$4:$U$803,$B44&amp;"|"&amp;DE$5)=0,"",SUMIF('Competency Event Log'!$U$4:$U$803,$B44&amp;"|"&amp;DE$5,'Competency Event Log'!$D$4:$D$803)))</f>
        <v/>
      </c>
      <c r="DF44" s="8" t="str">
        <f t="shared" si="4"/>
        <v/>
      </c>
      <c r="DG44" s="8" t="str">
        <f t="shared" si="5"/>
        <v/>
      </c>
      <c r="DH44" s="8" t="str">
        <f t="shared" si="6"/>
        <v/>
      </c>
      <c r="DI44" s="11" t="str">
        <f t="shared" si="7"/>
        <v/>
      </c>
    </row>
    <row r="45" spans="1:113">
      <c r="A45" s="7"/>
      <c r="B45" s="7"/>
      <c r="C45" s="8"/>
      <c r="D45" s="9"/>
      <c r="E45" s="10"/>
      <c r="F45" s="8"/>
      <c r="G45" s="8" t="str">
        <f>IF($B45="","",IF(COUNTIF('Competency Event Log'!$U$4:$U$803,$B45&amp;"|"&amp;G$5)=0,"",SUMIF('Competency Event Log'!$U$4:$U$803,$B45&amp;"|"&amp;G$5,'Competency Event Log'!$D$4:$D$803)))</f>
        <v/>
      </c>
      <c r="H45" s="8" t="str">
        <f>IF($B45="","",IF(COUNTIF('Competency Event Log'!$U$4:$U$803,$B45&amp;"|"&amp;H$5)=0,"",SUMIF('Competency Event Log'!$U$4:$U$803,$B45&amp;"|"&amp;H$5,'Competency Event Log'!$D$4:$D$803)))</f>
        <v/>
      </c>
      <c r="I45" s="8" t="str">
        <f>IF($B45="","",IF(COUNTIF('Competency Event Log'!$U$4:$U$803,$B45&amp;"|"&amp;I$5)=0,"",SUMIF('Competency Event Log'!$U$4:$U$803,$B45&amp;"|"&amp;I$5,'Competency Event Log'!$D$4:$D$803)))</f>
        <v/>
      </c>
      <c r="J45" s="8" t="str">
        <f>IF($B45="","",IF(COUNTIF('Competency Event Log'!$U$4:$U$803,$B45&amp;"|"&amp;J$5)=0,"",SUMIF('Competency Event Log'!$U$4:$U$803,$B45&amp;"|"&amp;J$5,'Competency Event Log'!$D$4:$D$803)))</f>
        <v/>
      </c>
      <c r="K45" s="8" t="str">
        <f>IF($B45="","",IF(COUNTIF('Competency Event Log'!$U$4:$U$803,$B45&amp;"|"&amp;K$5)=0,"",SUMIF('Competency Event Log'!$U$4:$U$803,$B45&amp;"|"&amp;K$5,'Competency Event Log'!$D$4:$D$803)))</f>
        <v/>
      </c>
      <c r="L45" s="8" t="str">
        <f>IF($B45="","",IF(COUNTIF('Competency Event Log'!$U$4:$U$803,$B45&amp;"|"&amp;L$5)=0,"",SUMIF('Competency Event Log'!$U$4:$U$803,$B45&amp;"|"&amp;L$5,'Competency Event Log'!$D$4:$D$803)))</f>
        <v/>
      </c>
      <c r="M45" s="8" t="str">
        <f>IF($B45="","",IF(COUNTIF('Competency Event Log'!$U$4:$U$803,$B45&amp;"|"&amp;M$5)=0,"",SUMIF('Competency Event Log'!$U$4:$U$803,$B45&amp;"|"&amp;M$5,'Competency Event Log'!$D$4:$D$803)))</f>
        <v/>
      </c>
      <c r="N45" s="8" t="str">
        <f>IF($B45="","",IF(COUNTIF('Competency Event Log'!$U$4:$U$803,$B45&amp;"|"&amp;N$5)=0,"",SUMIF('Competency Event Log'!$U$4:$U$803,$B45&amp;"|"&amp;N$5,'Competency Event Log'!$D$4:$D$803)))</f>
        <v/>
      </c>
      <c r="O45" s="8" t="str">
        <f>IF($B45="","",IF(COUNTIF('Competency Event Log'!$U$4:$U$803,$B45&amp;"|"&amp;O$5)=0,"",SUMIF('Competency Event Log'!$U$4:$U$803,$B45&amp;"|"&amp;O$5,'Competency Event Log'!$D$4:$D$803)))</f>
        <v/>
      </c>
      <c r="P45" s="8" t="str">
        <f>IF($B45="","",IF(COUNTIF('Competency Event Log'!$U$4:$U$803,$B45&amp;"|"&amp;P$5)=0,"",SUMIF('Competency Event Log'!$U$4:$U$803,$B45&amp;"|"&amp;P$5,'Competency Event Log'!$D$4:$D$803)))</f>
        <v/>
      </c>
      <c r="Q45" s="8" t="str">
        <f>IF($B45="","",IF(COUNTIF('Competency Event Log'!$U$4:$U$803,$B45&amp;"|"&amp;Q$5)=0,"",SUMIF('Competency Event Log'!$U$4:$U$803,$B45&amp;"|"&amp;Q$5,'Competency Event Log'!$D$4:$D$803)))</f>
        <v/>
      </c>
      <c r="R45" s="8" t="str">
        <f>IF($B45="","",IF(COUNTIF('Competency Event Log'!$U$4:$U$803,$B45&amp;"|"&amp;R$5)=0,"",SUMIF('Competency Event Log'!$U$4:$U$803,$B45&amp;"|"&amp;R$5,'Competency Event Log'!$D$4:$D$803)))</f>
        <v/>
      </c>
      <c r="S45" s="8" t="str">
        <f>IF($B45="","",IF(COUNTIF('Competency Event Log'!$U$4:$U$803,$B45&amp;"|"&amp;S$5)=0,"",SUMIF('Competency Event Log'!$U$4:$U$803,$B45&amp;"|"&amp;S$5,'Competency Event Log'!$D$4:$D$803)))</f>
        <v/>
      </c>
      <c r="T45" s="8" t="str">
        <f>IF($B45="","",IF(COUNTIF('Competency Event Log'!$U$4:$U$803,$B45&amp;"|"&amp;T$5)=0,"",SUMIF('Competency Event Log'!$U$4:$U$803,$B45&amp;"|"&amp;T$5,'Competency Event Log'!$D$4:$D$803)))</f>
        <v/>
      </c>
      <c r="U45" s="8" t="str">
        <f>IF($B45="","",IF(COUNTIF('Competency Event Log'!$U$4:$U$803,$B45&amp;"|"&amp;U$5)=0,"",SUMIF('Competency Event Log'!$U$4:$U$803,$B45&amp;"|"&amp;U$5,'Competency Event Log'!$D$4:$D$803)))</f>
        <v/>
      </c>
      <c r="V45" s="8" t="str">
        <f>IF($B45="","",IF(COUNTIF('Competency Event Log'!$U$4:$U$803,$B45&amp;"|"&amp;V$5)=0,"",SUMIF('Competency Event Log'!$U$4:$U$803,$B45&amp;"|"&amp;V$5,'Competency Event Log'!$D$4:$D$803)))</f>
        <v/>
      </c>
      <c r="W45" s="8" t="str">
        <f>IF($B45="","",IF(COUNTIF('Competency Event Log'!$U$4:$U$803,$B45&amp;"|"&amp;W$5)=0,"",SUMIF('Competency Event Log'!$U$4:$U$803,$B45&amp;"|"&amp;W$5,'Competency Event Log'!$D$4:$D$803)))</f>
        <v/>
      </c>
      <c r="X45" s="8" t="str">
        <f>IF($B45="","",IF(COUNTIF('Competency Event Log'!$U$4:$U$803,$B45&amp;"|"&amp;X$5)=0,"",SUMIF('Competency Event Log'!$U$4:$U$803,$B45&amp;"|"&amp;X$5,'Competency Event Log'!$D$4:$D$803)))</f>
        <v/>
      </c>
      <c r="Y45" s="8" t="str">
        <f>IF($B45="","",IF(COUNTIF('Competency Event Log'!$U$4:$U$803,$B45&amp;"|"&amp;Y$5)=0,"",SUMIF('Competency Event Log'!$U$4:$U$803,$B45&amp;"|"&amp;Y$5,'Competency Event Log'!$D$4:$D$803)))</f>
        <v/>
      </c>
      <c r="Z45" s="8" t="str">
        <f>IF($B45="","",IF(COUNTIF('Competency Event Log'!$U$4:$U$803,$B45&amp;"|"&amp;Z$5)=0,"",SUMIF('Competency Event Log'!$U$4:$U$803,$B45&amp;"|"&amp;Z$5,'Competency Event Log'!$D$4:$D$803)))</f>
        <v/>
      </c>
      <c r="AA45" s="8" t="str">
        <f>IF($B45="","",IF(COUNTIF('Competency Event Log'!$U$4:$U$803,$B45&amp;"|"&amp;AA$5)=0,"",SUMIF('Competency Event Log'!$U$4:$U$803,$B45&amp;"|"&amp;AA$5,'Competency Event Log'!$D$4:$D$803)))</f>
        <v/>
      </c>
      <c r="AB45" s="8" t="str">
        <f>IF($B45="","",IF(COUNTIF('Competency Event Log'!$U$4:$U$803,$B45&amp;"|"&amp;AB$5)=0,"",SUMIF('Competency Event Log'!$U$4:$U$803,$B45&amp;"|"&amp;AB$5,'Competency Event Log'!$D$4:$D$803)))</f>
        <v/>
      </c>
      <c r="AC45" s="8" t="str">
        <f>IF($B45="","",IF(COUNTIF('Competency Event Log'!$U$4:$U$803,$B45&amp;"|"&amp;AC$5)=0,"",SUMIF('Competency Event Log'!$U$4:$U$803,$B45&amp;"|"&amp;AC$5,'Competency Event Log'!$D$4:$D$803)))</f>
        <v/>
      </c>
      <c r="AD45" s="8" t="str">
        <f>IF($B45="","",IF(COUNTIF('Competency Event Log'!$U$4:$U$803,$B45&amp;"|"&amp;AD$5)=0,"",SUMIF('Competency Event Log'!$U$4:$U$803,$B45&amp;"|"&amp;AD$5,'Competency Event Log'!$D$4:$D$803)))</f>
        <v/>
      </c>
      <c r="AE45" s="8" t="str">
        <f>IF($B45="","",IF(COUNTIF('Competency Event Log'!$U$4:$U$803,$B45&amp;"|"&amp;AE$5)=0,"",SUMIF('Competency Event Log'!$U$4:$U$803,$B45&amp;"|"&amp;AE$5,'Competency Event Log'!$D$4:$D$803)))</f>
        <v/>
      </c>
      <c r="AF45" s="8" t="str">
        <f>IF($B45="","",IF(COUNTIF('Competency Event Log'!$U$4:$U$803,$B45&amp;"|"&amp;AF$5)=0,"",SUMIF('Competency Event Log'!$U$4:$U$803,$B45&amp;"|"&amp;AF$5,'Competency Event Log'!$D$4:$D$803)))</f>
        <v/>
      </c>
      <c r="AG45" s="8" t="str">
        <f>IF($B45="","",IF(COUNTIF('Competency Event Log'!$U$4:$U$803,$B45&amp;"|"&amp;AG$5)=0,"",SUMIF('Competency Event Log'!$U$4:$U$803,$B45&amp;"|"&amp;AG$5,'Competency Event Log'!$D$4:$D$803)))</f>
        <v/>
      </c>
      <c r="AH45" s="8" t="str">
        <f>IF($B45="","",IF(COUNTIF('Competency Event Log'!$U$4:$U$803,$B45&amp;"|"&amp;AH$5)=0,"",SUMIF('Competency Event Log'!$U$4:$U$803,$B45&amp;"|"&amp;AH$5,'Competency Event Log'!$D$4:$D$803)))</f>
        <v/>
      </c>
      <c r="AI45" s="8" t="str">
        <f>IF($B45="","",IF(COUNTIF('Competency Event Log'!$U$4:$U$803,$B45&amp;"|"&amp;AI$5)=0,"",SUMIF('Competency Event Log'!$U$4:$U$803,$B45&amp;"|"&amp;AI$5,'Competency Event Log'!$D$4:$D$803)))</f>
        <v/>
      </c>
      <c r="AJ45" s="8" t="str">
        <f>IF($B45="","",IF(COUNTIF('Competency Event Log'!$U$4:$U$803,$B45&amp;"|"&amp;AJ$5)=0,"",SUMIF('Competency Event Log'!$U$4:$U$803,$B45&amp;"|"&amp;AJ$5,'Competency Event Log'!$D$4:$D$803)))</f>
        <v/>
      </c>
      <c r="AK45" s="8" t="str">
        <f>IF($B45="","",IF(COUNTIF('Competency Event Log'!$U$4:$U$803,$B45&amp;"|"&amp;AK$5)=0,"",SUMIF('Competency Event Log'!$U$4:$U$803,$B45&amp;"|"&amp;AK$5,'Competency Event Log'!$D$4:$D$803)))</f>
        <v/>
      </c>
      <c r="AL45" s="8" t="str">
        <f>IF($B45="","",IF(COUNTIF('Competency Event Log'!$U$4:$U$803,$B45&amp;"|"&amp;AL$5)=0,"",SUMIF('Competency Event Log'!$U$4:$U$803,$B45&amp;"|"&amp;AL$5,'Competency Event Log'!$D$4:$D$803)))</f>
        <v/>
      </c>
      <c r="AM45" s="8" t="str">
        <f>IF($B45="","",IF(COUNTIF('Competency Event Log'!$U$4:$U$803,$B45&amp;"|"&amp;AM$5)=0,"",SUMIF('Competency Event Log'!$U$4:$U$803,$B45&amp;"|"&amp;AM$5,'Competency Event Log'!$D$4:$D$803)))</f>
        <v/>
      </c>
      <c r="AN45" s="8" t="str">
        <f>IF($B45="","",IF(COUNTIF('Competency Event Log'!$U$4:$U$803,$B45&amp;"|"&amp;AN$5)=0,"",SUMIF('Competency Event Log'!$U$4:$U$803,$B45&amp;"|"&amp;AN$5,'Competency Event Log'!$D$4:$D$803)))</f>
        <v/>
      </c>
      <c r="AO45" s="8" t="str">
        <f>IF($B45="","",IF(COUNTIF('Competency Event Log'!$U$4:$U$803,$B45&amp;"|"&amp;AO$5)=0,"",SUMIF('Competency Event Log'!$U$4:$U$803,$B45&amp;"|"&amp;AO$5,'Competency Event Log'!$D$4:$D$803)))</f>
        <v/>
      </c>
      <c r="AP45" s="8" t="str">
        <f>IF($B45="","",IF(COUNTIF('Competency Event Log'!$U$4:$U$803,$B45&amp;"|"&amp;AP$5)=0,"",SUMIF('Competency Event Log'!$U$4:$U$803,$B45&amp;"|"&amp;AP$5,'Competency Event Log'!$D$4:$D$803)))</f>
        <v/>
      </c>
      <c r="AQ45" s="8" t="str">
        <f>IF($B45="","",IF(COUNTIF('Competency Event Log'!$U$4:$U$803,$B45&amp;"|"&amp;AQ$5)=0,"",SUMIF('Competency Event Log'!$U$4:$U$803,$B45&amp;"|"&amp;AQ$5,'Competency Event Log'!$D$4:$D$803)))</f>
        <v/>
      </c>
      <c r="AR45" s="8" t="str">
        <f>IF($B45="","",IF(COUNTIF('Competency Event Log'!$U$4:$U$803,$B45&amp;"|"&amp;AR$5)=0,"",SUMIF('Competency Event Log'!$U$4:$U$803,$B45&amp;"|"&amp;AR$5,'Competency Event Log'!$D$4:$D$803)))</f>
        <v/>
      </c>
      <c r="AS45" s="8" t="str">
        <f>IF($B45="","",IF(COUNTIF('Competency Event Log'!$U$4:$U$803,$B45&amp;"|"&amp;AS$5)=0,"",SUMIF('Competency Event Log'!$U$4:$U$803,$B45&amp;"|"&amp;AS$5,'Competency Event Log'!$D$4:$D$803)))</f>
        <v/>
      </c>
      <c r="AT45" s="8" t="str">
        <f>IF($B45="","",IF(COUNTIF('Competency Event Log'!$U$4:$U$803,$B45&amp;"|"&amp;AT$5)=0,"",SUMIF('Competency Event Log'!$U$4:$U$803,$B45&amp;"|"&amp;AT$5,'Competency Event Log'!$D$4:$D$803)))</f>
        <v/>
      </c>
      <c r="AU45" s="8" t="str">
        <f>IF($B45="","",IF(COUNTIF('Competency Event Log'!$U$4:$U$803,$B45&amp;"|"&amp;AU$5)=0,"",SUMIF('Competency Event Log'!$U$4:$U$803,$B45&amp;"|"&amp;AU$5,'Competency Event Log'!$D$4:$D$803)))</f>
        <v/>
      </c>
      <c r="AV45" s="8" t="str">
        <f>IF($B45="","",IF(COUNTIF('Competency Event Log'!$U$4:$U$803,$B45&amp;"|"&amp;AV$5)=0,"",SUMIF('Competency Event Log'!$U$4:$U$803,$B45&amp;"|"&amp;AV$5,'Competency Event Log'!$D$4:$D$803)))</f>
        <v/>
      </c>
      <c r="AW45" s="8" t="str">
        <f>IF($B45="","",IF(COUNTIF('Competency Event Log'!$U$4:$U$803,$B45&amp;"|"&amp;AW$5)=0,"",SUMIF('Competency Event Log'!$U$4:$U$803,$B45&amp;"|"&amp;AW$5,'Competency Event Log'!$D$4:$D$803)))</f>
        <v/>
      </c>
      <c r="AX45" s="8" t="str">
        <f>IF($B45="","",IF(COUNTIF('Competency Event Log'!$U$4:$U$803,$B45&amp;"|"&amp;AX$5)=0,"",SUMIF('Competency Event Log'!$U$4:$U$803,$B45&amp;"|"&amp;AX$5,'Competency Event Log'!$D$4:$D$803)))</f>
        <v/>
      </c>
      <c r="AY45" s="8" t="str">
        <f>IF($B45="","",IF(COUNTIF('Competency Event Log'!$U$4:$U$803,$B45&amp;"|"&amp;AY$5)=0,"",SUMIF('Competency Event Log'!$U$4:$U$803,$B45&amp;"|"&amp;AY$5,'Competency Event Log'!$D$4:$D$803)))</f>
        <v/>
      </c>
      <c r="AZ45" s="8" t="str">
        <f>IF($B45="","",IF(COUNTIF('Competency Event Log'!$U$4:$U$803,$B45&amp;"|"&amp;AZ$5)=0,"",SUMIF('Competency Event Log'!$U$4:$U$803,$B45&amp;"|"&amp;AZ$5,'Competency Event Log'!$D$4:$D$803)))</f>
        <v/>
      </c>
      <c r="BA45" s="8" t="str">
        <f>IF($B45="","",IF(COUNTIF('Competency Event Log'!$U$4:$U$803,$B45&amp;"|"&amp;BA$5)=0,"",SUMIF('Competency Event Log'!$U$4:$U$803,$B45&amp;"|"&amp;BA$5,'Competency Event Log'!$D$4:$D$803)))</f>
        <v/>
      </c>
      <c r="BB45" s="8" t="str">
        <f>IF($B45="","",IF(COUNTIF('Competency Event Log'!$U$4:$U$803,$B45&amp;"|"&amp;BB$5)=0,"",SUMIF('Competency Event Log'!$U$4:$U$803,$B45&amp;"|"&amp;BB$5,'Competency Event Log'!$D$4:$D$803)))</f>
        <v/>
      </c>
      <c r="BC45" s="8" t="str">
        <f>IF($B45="","",IF(COUNTIF('Competency Event Log'!$U$4:$U$803,$B45&amp;"|"&amp;BC$5)=0,"",SUMIF('Competency Event Log'!$U$4:$U$803,$B45&amp;"|"&amp;BC$5,'Competency Event Log'!$D$4:$D$803)))</f>
        <v/>
      </c>
      <c r="BD45" s="8" t="str">
        <f>IF($B45="","",IF(COUNTIF('Competency Event Log'!$U$4:$U$803,$B45&amp;"|"&amp;BD$5)=0,"",SUMIF('Competency Event Log'!$U$4:$U$803,$B45&amp;"|"&amp;BD$5,'Competency Event Log'!$D$4:$D$803)))</f>
        <v/>
      </c>
      <c r="BE45" s="8" t="str">
        <f>IF($B45="","",IF(COUNTIF('Competency Event Log'!$U$4:$U$803,$B45&amp;"|"&amp;BE$5)=0,"",SUMIF('Competency Event Log'!$U$4:$U$803,$B45&amp;"|"&amp;BE$5,'Competency Event Log'!$D$4:$D$803)))</f>
        <v/>
      </c>
      <c r="BF45" s="8" t="str">
        <f>IF($B45="","",IF(COUNTIF('Competency Event Log'!$U$4:$U$803,$B45&amp;"|"&amp;BF$5)=0,"",SUMIF('Competency Event Log'!$U$4:$U$803,$B45&amp;"|"&amp;BF$5,'Competency Event Log'!$D$4:$D$803)))</f>
        <v/>
      </c>
      <c r="BG45" s="8" t="str">
        <f>IF($B45="","",IF(COUNTIF('Competency Event Log'!$U$4:$U$803,$B45&amp;"|"&amp;BG$5)=0,"",SUMIF('Competency Event Log'!$U$4:$U$803,$B45&amp;"|"&amp;BG$5,'Competency Event Log'!$D$4:$D$803)))</f>
        <v/>
      </c>
      <c r="BH45" s="8" t="str">
        <f>IF($B45="","",IF(COUNTIF('Competency Event Log'!$U$4:$U$803,$B45&amp;"|"&amp;BH$5)=0,"",SUMIF('Competency Event Log'!$U$4:$U$803,$B45&amp;"|"&amp;BH$5,'Competency Event Log'!$D$4:$D$803)))</f>
        <v/>
      </c>
      <c r="BI45" s="8" t="str">
        <f>IF($B45="","",IF(COUNTIF('Competency Event Log'!$U$4:$U$803,$B45&amp;"|"&amp;BI$5)=0,"",SUMIF('Competency Event Log'!$U$4:$U$803,$B45&amp;"|"&amp;BI$5,'Competency Event Log'!$D$4:$D$803)))</f>
        <v/>
      </c>
      <c r="BJ45" s="8" t="str">
        <f>IF($B45="","",IF(COUNTIF('Competency Event Log'!$U$4:$U$803,$B45&amp;"|"&amp;BJ$5)=0,"",SUMIF('Competency Event Log'!$U$4:$U$803,$B45&amp;"|"&amp;BJ$5,'Competency Event Log'!$D$4:$D$803)))</f>
        <v/>
      </c>
      <c r="BK45" s="8" t="str">
        <f>IF($B45="","",IF(COUNTIF('Competency Event Log'!$U$4:$U$803,$B45&amp;"|"&amp;BK$5)=0,"",SUMIF('Competency Event Log'!$U$4:$U$803,$B45&amp;"|"&amp;BK$5,'Competency Event Log'!$D$4:$D$803)))</f>
        <v/>
      </c>
      <c r="BL45" s="8" t="str">
        <f>IF($B45="","",IF(COUNTIF('Competency Event Log'!$U$4:$U$803,$B45&amp;"|"&amp;BL$5)=0,"",SUMIF('Competency Event Log'!$U$4:$U$803,$B45&amp;"|"&amp;BL$5,'Competency Event Log'!$D$4:$D$803)))</f>
        <v/>
      </c>
      <c r="BM45" s="8" t="str">
        <f>IF($B45="","",IF(COUNTIF('Competency Event Log'!$U$4:$U$803,$B45&amp;"|"&amp;BM$5)=0,"",SUMIF('Competency Event Log'!$U$4:$U$803,$B45&amp;"|"&amp;BM$5,'Competency Event Log'!$D$4:$D$803)))</f>
        <v/>
      </c>
      <c r="BN45" s="8" t="str">
        <f>IF($B45="","",IF(COUNTIF('Competency Event Log'!$U$4:$U$803,$B45&amp;"|"&amp;BN$5)=0,"",SUMIF('Competency Event Log'!$U$4:$U$803,$B45&amp;"|"&amp;BN$5,'Competency Event Log'!$D$4:$D$803)))</f>
        <v/>
      </c>
      <c r="BO45" s="8" t="str">
        <f>IF($B45="","",IF(COUNTIF('Competency Event Log'!$U$4:$U$803,$B45&amp;"|"&amp;BO$5)=0,"",SUMIF('Competency Event Log'!$U$4:$U$803,$B45&amp;"|"&amp;BO$5,'Competency Event Log'!$D$4:$D$803)))</f>
        <v/>
      </c>
      <c r="BP45" s="8" t="str">
        <f>IF($B45="","",IF(COUNTIF('Competency Event Log'!$U$4:$U$803,$B45&amp;"|"&amp;BP$5)=0,"",SUMIF('Competency Event Log'!$U$4:$U$803,$B45&amp;"|"&amp;BP$5,'Competency Event Log'!$D$4:$D$803)))</f>
        <v/>
      </c>
      <c r="BQ45" s="8" t="str">
        <f>IF($B45="","",IF(COUNTIF('Competency Event Log'!$U$4:$U$803,$B45&amp;"|"&amp;BQ$5)=0,"",SUMIF('Competency Event Log'!$U$4:$U$803,$B45&amp;"|"&amp;BQ$5,'Competency Event Log'!$D$4:$D$803)))</f>
        <v/>
      </c>
      <c r="BR45" s="8" t="str">
        <f>IF($B45="","",IF(COUNTIF('Competency Event Log'!$U$4:$U$803,$B45&amp;"|"&amp;BR$5)=0,"",SUMIF('Competency Event Log'!$U$4:$U$803,$B45&amp;"|"&amp;BR$5,'Competency Event Log'!$D$4:$D$803)))</f>
        <v/>
      </c>
      <c r="BS45" s="8" t="str">
        <f>IF($B45="","",IF(COUNTIF('Competency Event Log'!$U$4:$U$803,$B45&amp;"|"&amp;BS$5)=0,"",SUMIF('Competency Event Log'!$U$4:$U$803,$B45&amp;"|"&amp;BS$5,'Competency Event Log'!$D$4:$D$803)))</f>
        <v/>
      </c>
      <c r="BT45" s="8" t="str">
        <f>IF($B45="","",IF(COUNTIF('Competency Event Log'!$U$4:$U$803,$B45&amp;"|"&amp;BT$5)=0,"",SUMIF('Competency Event Log'!$U$4:$U$803,$B45&amp;"|"&amp;BT$5,'Competency Event Log'!$D$4:$D$803)))</f>
        <v/>
      </c>
      <c r="BU45" s="8" t="str">
        <f>IF($B45="","",IF(COUNTIF('Competency Event Log'!$U$4:$U$803,$B45&amp;"|"&amp;BU$5)=0,"",SUMIF('Competency Event Log'!$U$4:$U$803,$B45&amp;"|"&amp;BU$5,'Competency Event Log'!$D$4:$D$803)))</f>
        <v/>
      </c>
      <c r="BV45" s="8" t="str">
        <f>IF($B45="","",IF(COUNTIF('Competency Event Log'!$U$4:$U$803,$B45&amp;"|"&amp;BV$5)=0,"",SUMIF('Competency Event Log'!$U$4:$U$803,$B45&amp;"|"&amp;BV$5,'Competency Event Log'!$D$4:$D$803)))</f>
        <v/>
      </c>
      <c r="BW45" s="8" t="str">
        <f>IF($B45="","",IF(COUNTIF('Competency Event Log'!$U$4:$U$803,$B45&amp;"|"&amp;BW$5)=0,"",SUMIF('Competency Event Log'!$U$4:$U$803,$B45&amp;"|"&amp;BW$5,'Competency Event Log'!$D$4:$D$803)))</f>
        <v/>
      </c>
      <c r="BX45" s="8" t="str">
        <f>IF($B45="","",IF(COUNTIF('Competency Event Log'!$U$4:$U$803,$B45&amp;"|"&amp;BX$5)=0,"",SUMIF('Competency Event Log'!$U$4:$U$803,$B45&amp;"|"&amp;BX$5,'Competency Event Log'!$D$4:$D$803)))</f>
        <v/>
      </c>
      <c r="BY45" s="8" t="str">
        <f>IF($B45="","",IF(COUNTIF('Competency Event Log'!$U$4:$U$803,$B45&amp;"|"&amp;BY$5)=0,"",SUMIF('Competency Event Log'!$U$4:$U$803,$B45&amp;"|"&amp;BY$5,'Competency Event Log'!$D$4:$D$803)))</f>
        <v/>
      </c>
      <c r="BZ45" s="8" t="str">
        <f>IF($B45="","",IF(COUNTIF('Competency Event Log'!$U$4:$U$803,$B45&amp;"|"&amp;BZ$5)=0,"",SUMIF('Competency Event Log'!$U$4:$U$803,$B45&amp;"|"&amp;BZ$5,'Competency Event Log'!$D$4:$D$803)))</f>
        <v/>
      </c>
      <c r="CA45" s="8" t="str">
        <f>IF($B45="","",IF(COUNTIF('Competency Event Log'!$U$4:$U$803,$B45&amp;"|"&amp;CA$5)=0,"",SUMIF('Competency Event Log'!$U$4:$U$803,$B45&amp;"|"&amp;CA$5,'Competency Event Log'!$D$4:$D$803)))</f>
        <v/>
      </c>
      <c r="CB45" s="8" t="str">
        <f>IF($B45="","",IF(COUNTIF('Competency Event Log'!$U$4:$U$803,$B45&amp;"|"&amp;CB$5)=0,"",SUMIF('Competency Event Log'!$U$4:$U$803,$B45&amp;"|"&amp;CB$5,'Competency Event Log'!$D$4:$D$803)))</f>
        <v/>
      </c>
      <c r="CC45" s="8" t="str">
        <f>IF($B45="","",IF(COUNTIF('Competency Event Log'!$U$4:$U$803,$B45&amp;"|"&amp;CC$5)=0,"",SUMIF('Competency Event Log'!$U$4:$U$803,$B45&amp;"|"&amp;CC$5,'Competency Event Log'!$D$4:$D$803)))</f>
        <v/>
      </c>
      <c r="CD45" s="8" t="str">
        <f>IF($B45="","",IF(COUNTIF('Competency Event Log'!$U$4:$U$803,$B45&amp;"|"&amp;CD$5)=0,"",SUMIF('Competency Event Log'!$U$4:$U$803,$B45&amp;"|"&amp;CD$5,'Competency Event Log'!$D$4:$D$803)))</f>
        <v/>
      </c>
      <c r="CE45" s="8" t="str">
        <f>IF($B45="","",IF(COUNTIF('Competency Event Log'!$U$4:$U$803,$B45&amp;"|"&amp;CE$5)=0,"",SUMIF('Competency Event Log'!$U$4:$U$803,$B45&amp;"|"&amp;CE$5,'Competency Event Log'!$D$4:$D$803)))</f>
        <v/>
      </c>
      <c r="CF45" s="8" t="str">
        <f>IF($B45="","",IF(COUNTIF('Competency Event Log'!$U$4:$U$803,$B45&amp;"|"&amp;CF$5)=0,"",SUMIF('Competency Event Log'!$U$4:$U$803,$B45&amp;"|"&amp;CF$5,'Competency Event Log'!$D$4:$D$803)))</f>
        <v/>
      </c>
      <c r="CG45" s="8" t="str">
        <f>IF($B45="","",IF(COUNTIF('Competency Event Log'!$U$4:$U$803,$B45&amp;"|"&amp;CG$5)=0,"",SUMIF('Competency Event Log'!$U$4:$U$803,$B45&amp;"|"&amp;CG$5,'Competency Event Log'!$D$4:$D$803)))</f>
        <v/>
      </c>
      <c r="CH45" s="8" t="str">
        <f>IF($B45="","",IF(COUNTIF('Competency Event Log'!$U$4:$U$803,$B45&amp;"|"&amp;CH$5)=0,"",SUMIF('Competency Event Log'!$U$4:$U$803,$B45&amp;"|"&amp;CH$5,'Competency Event Log'!$D$4:$D$803)))</f>
        <v/>
      </c>
      <c r="CI45" s="8" t="str">
        <f>IF($B45="","",IF(COUNTIF('Competency Event Log'!$U$4:$U$803,$B45&amp;"|"&amp;CI$5)=0,"",SUMIF('Competency Event Log'!$U$4:$U$803,$B45&amp;"|"&amp;CI$5,'Competency Event Log'!$D$4:$D$803)))</f>
        <v/>
      </c>
      <c r="CJ45" s="8" t="str">
        <f>IF($B45="","",IF(COUNTIF('Competency Event Log'!$U$4:$U$803,$B45&amp;"|"&amp;CJ$5)=0,"",SUMIF('Competency Event Log'!$U$4:$U$803,$B45&amp;"|"&amp;CJ$5,'Competency Event Log'!$D$4:$D$803)))</f>
        <v/>
      </c>
      <c r="CK45" s="8" t="str">
        <f>IF($B45="","",IF(COUNTIF('Competency Event Log'!$U$4:$U$803,$B45&amp;"|"&amp;CK$5)=0,"",SUMIF('Competency Event Log'!$U$4:$U$803,$B45&amp;"|"&amp;CK$5,'Competency Event Log'!$D$4:$D$803)))</f>
        <v/>
      </c>
      <c r="CL45" s="8" t="str">
        <f>IF($B45="","",IF(COUNTIF('Competency Event Log'!$U$4:$U$803,$B45&amp;"|"&amp;CL$5)=0,"",SUMIF('Competency Event Log'!$U$4:$U$803,$B45&amp;"|"&amp;CL$5,'Competency Event Log'!$D$4:$D$803)))</f>
        <v/>
      </c>
      <c r="CM45" s="8" t="str">
        <f>IF($B45="","",IF(COUNTIF('Competency Event Log'!$U$4:$U$803,$B45&amp;"|"&amp;CM$5)=0,"",SUMIF('Competency Event Log'!$U$4:$U$803,$B45&amp;"|"&amp;CM$5,'Competency Event Log'!$D$4:$D$803)))</f>
        <v/>
      </c>
      <c r="CN45" s="8" t="str">
        <f>IF($B45="","",IF(COUNTIF('Competency Event Log'!$U$4:$U$803,$B45&amp;"|"&amp;CN$5)=0,"",SUMIF('Competency Event Log'!$U$4:$U$803,$B45&amp;"|"&amp;CN$5,'Competency Event Log'!$D$4:$D$803)))</f>
        <v/>
      </c>
      <c r="CO45" s="8" t="str">
        <f>IF($B45="","",IF(COUNTIF('Competency Event Log'!$U$4:$U$803,$B45&amp;"|"&amp;CO$5)=0,"",SUMIF('Competency Event Log'!$U$4:$U$803,$B45&amp;"|"&amp;CO$5,'Competency Event Log'!$D$4:$D$803)))</f>
        <v/>
      </c>
      <c r="CP45" s="8" t="str">
        <f>IF($B45="","",IF(COUNTIF('Competency Event Log'!$U$4:$U$803,$B45&amp;"|"&amp;CP$5)=0,"",SUMIF('Competency Event Log'!$U$4:$U$803,$B45&amp;"|"&amp;CP$5,'Competency Event Log'!$D$4:$D$803)))</f>
        <v/>
      </c>
      <c r="CQ45" s="8" t="str">
        <f>IF($B45="","",IF(COUNTIF('Competency Event Log'!$U$4:$U$803,$B45&amp;"|"&amp;CQ$5)=0,"",SUMIF('Competency Event Log'!$U$4:$U$803,$B45&amp;"|"&amp;CQ$5,'Competency Event Log'!$D$4:$D$803)))</f>
        <v/>
      </c>
      <c r="CR45" s="8" t="str">
        <f>IF($B45="","",IF(COUNTIF('Competency Event Log'!$U$4:$U$803,$B45&amp;"|"&amp;CR$5)=0,"",SUMIF('Competency Event Log'!$U$4:$U$803,$B45&amp;"|"&amp;CR$5,'Competency Event Log'!$D$4:$D$803)))</f>
        <v/>
      </c>
      <c r="CS45" s="8" t="str">
        <f>IF($B45="","",IF(COUNTIF('Competency Event Log'!$U$4:$U$803,$B45&amp;"|"&amp;CS$5)=0,"",SUMIF('Competency Event Log'!$U$4:$U$803,$B45&amp;"|"&amp;CS$5,'Competency Event Log'!$D$4:$D$803)))</f>
        <v/>
      </c>
      <c r="CT45" s="8" t="str">
        <f>IF($B45="","",IF(COUNTIF('Competency Event Log'!$U$4:$U$803,$B45&amp;"|"&amp;CT$5)=0,"",SUMIF('Competency Event Log'!$U$4:$U$803,$B45&amp;"|"&amp;CT$5,'Competency Event Log'!$D$4:$D$803)))</f>
        <v/>
      </c>
      <c r="CU45" s="8" t="str">
        <f>IF($B45="","",IF(COUNTIF('Competency Event Log'!$U$4:$U$803,$B45&amp;"|"&amp;CU$5)=0,"",SUMIF('Competency Event Log'!$U$4:$U$803,$B45&amp;"|"&amp;CU$5,'Competency Event Log'!$D$4:$D$803)))</f>
        <v/>
      </c>
      <c r="CV45" s="8" t="str">
        <f>IF($B45="","",IF(COUNTIF('Competency Event Log'!$U$4:$U$803,$B45&amp;"|"&amp;CV$5)=0,"",SUMIF('Competency Event Log'!$U$4:$U$803,$B45&amp;"|"&amp;CV$5,'Competency Event Log'!$D$4:$D$803)))</f>
        <v/>
      </c>
      <c r="CW45" s="8" t="str">
        <f>IF($B45="","",IF(COUNTIF('Competency Event Log'!$U$4:$U$803,$B45&amp;"|"&amp;CW$5)=0,"",SUMIF('Competency Event Log'!$U$4:$U$803,$B45&amp;"|"&amp;CW$5,'Competency Event Log'!$D$4:$D$803)))</f>
        <v/>
      </c>
      <c r="CX45" s="8" t="str">
        <f>IF($B45="","",IF(COUNTIF('Competency Event Log'!$U$4:$U$803,$B45&amp;"|"&amp;CX$5)=0,"",SUMIF('Competency Event Log'!$U$4:$U$803,$B45&amp;"|"&amp;CX$5,'Competency Event Log'!$D$4:$D$803)))</f>
        <v/>
      </c>
      <c r="CY45" s="8" t="str">
        <f>IF($B45="","",IF(COUNTIF('Competency Event Log'!$U$4:$U$803,$B45&amp;"|"&amp;CY$5)=0,"",SUMIF('Competency Event Log'!$U$4:$U$803,$B45&amp;"|"&amp;CY$5,'Competency Event Log'!$D$4:$D$803)))</f>
        <v/>
      </c>
      <c r="CZ45" s="8" t="str">
        <f>IF($B45="","",IF(COUNTIF('Competency Event Log'!$U$4:$U$803,$B45&amp;"|"&amp;CZ$5)=0,"",SUMIF('Competency Event Log'!$U$4:$U$803,$B45&amp;"|"&amp;CZ$5,'Competency Event Log'!$D$4:$D$803)))</f>
        <v/>
      </c>
      <c r="DA45" s="8" t="str">
        <f>IF($B45="","",IF(COUNTIF('Competency Event Log'!$U$4:$U$803,$B45&amp;"|"&amp;DA$5)=0,"",SUMIF('Competency Event Log'!$U$4:$U$803,$B45&amp;"|"&amp;DA$5,'Competency Event Log'!$D$4:$D$803)))</f>
        <v/>
      </c>
      <c r="DB45" s="8" t="str">
        <f>IF($B45="","",IF(COUNTIF('Competency Event Log'!$U$4:$U$803,$B45&amp;"|"&amp;DB$5)=0,"",SUMIF('Competency Event Log'!$U$4:$U$803,$B45&amp;"|"&amp;DB$5,'Competency Event Log'!$D$4:$D$803)))</f>
        <v/>
      </c>
      <c r="DC45" s="8" t="str">
        <f>IF($B45="","",IF(COUNTIF('Competency Event Log'!$U$4:$U$803,$B45&amp;"|"&amp;DC$5)=0,"",SUMIF('Competency Event Log'!$U$4:$U$803,$B45&amp;"|"&amp;DC$5,'Competency Event Log'!$D$4:$D$803)))</f>
        <v/>
      </c>
      <c r="DD45" s="8" t="str">
        <f>IF($B45="","",IF(COUNTIF('Competency Event Log'!$U$4:$U$803,$B45&amp;"|"&amp;DD$5)=0,"",SUMIF('Competency Event Log'!$U$4:$U$803,$B45&amp;"|"&amp;DD$5,'Competency Event Log'!$D$4:$D$803)))</f>
        <v/>
      </c>
      <c r="DE45" s="8" t="str">
        <f>IF($B45="","",IF(COUNTIF('Competency Event Log'!$U$4:$U$803,$B45&amp;"|"&amp;DE$5)=0,"",SUMIF('Competency Event Log'!$U$4:$U$803,$B45&amp;"|"&amp;DE$5,'Competency Event Log'!$D$4:$D$803)))</f>
        <v/>
      </c>
      <c r="DF45" s="8" t="str">
        <f t="shared" si="4"/>
        <v/>
      </c>
      <c r="DG45" s="8" t="str">
        <f t="shared" si="5"/>
        <v/>
      </c>
      <c r="DH45" s="8" t="str">
        <f t="shared" si="6"/>
        <v/>
      </c>
      <c r="DI45" s="11" t="str">
        <f t="shared" si="7"/>
        <v/>
      </c>
    </row>
    <row r="46" spans="1:113">
      <c r="A46" s="7"/>
      <c r="B46" s="7"/>
      <c r="C46" s="8"/>
      <c r="D46" s="9"/>
      <c r="E46" s="10"/>
      <c r="F46" s="8"/>
      <c r="G46" s="8" t="str">
        <f>IF($B46="","",IF(COUNTIF('Competency Event Log'!$U$4:$U$803,$B46&amp;"|"&amp;G$5)=0,"",SUMIF('Competency Event Log'!$U$4:$U$803,$B46&amp;"|"&amp;G$5,'Competency Event Log'!$D$4:$D$803)))</f>
        <v/>
      </c>
      <c r="H46" s="8" t="str">
        <f>IF($B46="","",IF(COUNTIF('Competency Event Log'!$U$4:$U$803,$B46&amp;"|"&amp;H$5)=0,"",SUMIF('Competency Event Log'!$U$4:$U$803,$B46&amp;"|"&amp;H$5,'Competency Event Log'!$D$4:$D$803)))</f>
        <v/>
      </c>
      <c r="I46" s="8" t="str">
        <f>IF($B46="","",IF(COUNTIF('Competency Event Log'!$U$4:$U$803,$B46&amp;"|"&amp;I$5)=0,"",SUMIF('Competency Event Log'!$U$4:$U$803,$B46&amp;"|"&amp;I$5,'Competency Event Log'!$D$4:$D$803)))</f>
        <v/>
      </c>
      <c r="J46" s="8" t="str">
        <f>IF($B46="","",IF(COUNTIF('Competency Event Log'!$U$4:$U$803,$B46&amp;"|"&amp;J$5)=0,"",SUMIF('Competency Event Log'!$U$4:$U$803,$B46&amp;"|"&amp;J$5,'Competency Event Log'!$D$4:$D$803)))</f>
        <v/>
      </c>
      <c r="K46" s="8" t="str">
        <f>IF($B46="","",IF(COUNTIF('Competency Event Log'!$U$4:$U$803,$B46&amp;"|"&amp;K$5)=0,"",SUMIF('Competency Event Log'!$U$4:$U$803,$B46&amp;"|"&amp;K$5,'Competency Event Log'!$D$4:$D$803)))</f>
        <v/>
      </c>
      <c r="L46" s="8" t="str">
        <f>IF($B46="","",IF(COUNTIF('Competency Event Log'!$U$4:$U$803,$B46&amp;"|"&amp;L$5)=0,"",SUMIF('Competency Event Log'!$U$4:$U$803,$B46&amp;"|"&amp;L$5,'Competency Event Log'!$D$4:$D$803)))</f>
        <v/>
      </c>
      <c r="M46" s="8" t="str">
        <f>IF($B46="","",IF(COUNTIF('Competency Event Log'!$U$4:$U$803,$B46&amp;"|"&amp;M$5)=0,"",SUMIF('Competency Event Log'!$U$4:$U$803,$B46&amp;"|"&amp;M$5,'Competency Event Log'!$D$4:$D$803)))</f>
        <v/>
      </c>
      <c r="N46" s="8" t="str">
        <f>IF($B46="","",IF(COUNTIF('Competency Event Log'!$U$4:$U$803,$B46&amp;"|"&amp;N$5)=0,"",SUMIF('Competency Event Log'!$U$4:$U$803,$B46&amp;"|"&amp;N$5,'Competency Event Log'!$D$4:$D$803)))</f>
        <v/>
      </c>
      <c r="O46" s="8" t="str">
        <f>IF($B46="","",IF(COUNTIF('Competency Event Log'!$U$4:$U$803,$B46&amp;"|"&amp;O$5)=0,"",SUMIF('Competency Event Log'!$U$4:$U$803,$B46&amp;"|"&amp;O$5,'Competency Event Log'!$D$4:$D$803)))</f>
        <v/>
      </c>
      <c r="P46" s="8" t="str">
        <f>IF($B46="","",IF(COUNTIF('Competency Event Log'!$U$4:$U$803,$B46&amp;"|"&amp;P$5)=0,"",SUMIF('Competency Event Log'!$U$4:$U$803,$B46&amp;"|"&amp;P$5,'Competency Event Log'!$D$4:$D$803)))</f>
        <v/>
      </c>
      <c r="Q46" s="8" t="str">
        <f>IF($B46="","",IF(COUNTIF('Competency Event Log'!$U$4:$U$803,$B46&amp;"|"&amp;Q$5)=0,"",SUMIF('Competency Event Log'!$U$4:$U$803,$B46&amp;"|"&amp;Q$5,'Competency Event Log'!$D$4:$D$803)))</f>
        <v/>
      </c>
      <c r="R46" s="8" t="str">
        <f>IF($B46="","",IF(COUNTIF('Competency Event Log'!$U$4:$U$803,$B46&amp;"|"&amp;R$5)=0,"",SUMIF('Competency Event Log'!$U$4:$U$803,$B46&amp;"|"&amp;R$5,'Competency Event Log'!$D$4:$D$803)))</f>
        <v/>
      </c>
      <c r="S46" s="8" t="str">
        <f>IF($B46="","",IF(COUNTIF('Competency Event Log'!$U$4:$U$803,$B46&amp;"|"&amp;S$5)=0,"",SUMIF('Competency Event Log'!$U$4:$U$803,$B46&amp;"|"&amp;S$5,'Competency Event Log'!$D$4:$D$803)))</f>
        <v/>
      </c>
      <c r="T46" s="8" t="str">
        <f>IF($B46="","",IF(COUNTIF('Competency Event Log'!$U$4:$U$803,$B46&amp;"|"&amp;T$5)=0,"",SUMIF('Competency Event Log'!$U$4:$U$803,$B46&amp;"|"&amp;T$5,'Competency Event Log'!$D$4:$D$803)))</f>
        <v/>
      </c>
      <c r="U46" s="8" t="str">
        <f>IF($B46="","",IF(COUNTIF('Competency Event Log'!$U$4:$U$803,$B46&amp;"|"&amp;U$5)=0,"",SUMIF('Competency Event Log'!$U$4:$U$803,$B46&amp;"|"&amp;U$5,'Competency Event Log'!$D$4:$D$803)))</f>
        <v/>
      </c>
      <c r="V46" s="8" t="str">
        <f>IF($B46="","",IF(COUNTIF('Competency Event Log'!$U$4:$U$803,$B46&amp;"|"&amp;V$5)=0,"",SUMIF('Competency Event Log'!$U$4:$U$803,$B46&amp;"|"&amp;V$5,'Competency Event Log'!$D$4:$D$803)))</f>
        <v/>
      </c>
      <c r="W46" s="8" t="str">
        <f>IF($B46="","",IF(COUNTIF('Competency Event Log'!$U$4:$U$803,$B46&amp;"|"&amp;W$5)=0,"",SUMIF('Competency Event Log'!$U$4:$U$803,$B46&amp;"|"&amp;W$5,'Competency Event Log'!$D$4:$D$803)))</f>
        <v/>
      </c>
      <c r="X46" s="8" t="str">
        <f>IF($B46="","",IF(COUNTIF('Competency Event Log'!$U$4:$U$803,$B46&amp;"|"&amp;X$5)=0,"",SUMIF('Competency Event Log'!$U$4:$U$803,$B46&amp;"|"&amp;X$5,'Competency Event Log'!$D$4:$D$803)))</f>
        <v/>
      </c>
      <c r="Y46" s="8" t="str">
        <f>IF($B46="","",IF(COUNTIF('Competency Event Log'!$U$4:$U$803,$B46&amp;"|"&amp;Y$5)=0,"",SUMIF('Competency Event Log'!$U$4:$U$803,$B46&amp;"|"&amp;Y$5,'Competency Event Log'!$D$4:$D$803)))</f>
        <v/>
      </c>
      <c r="Z46" s="8" t="str">
        <f>IF($B46="","",IF(COUNTIF('Competency Event Log'!$U$4:$U$803,$B46&amp;"|"&amp;Z$5)=0,"",SUMIF('Competency Event Log'!$U$4:$U$803,$B46&amp;"|"&amp;Z$5,'Competency Event Log'!$D$4:$D$803)))</f>
        <v/>
      </c>
      <c r="AA46" s="8" t="str">
        <f>IF($B46="","",IF(COUNTIF('Competency Event Log'!$U$4:$U$803,$B46&amp;"|"&amp;AA$5)=0,"",SUMIF('Competency Event Log'!$U$4:$U$803,$B46&amp;"|"&amp;AA$5,'Competency Event Log'!$D$4:$D$803)))</f>
        <v/>
      </c>
      <c r="AB46" s="8" t="str">
        <f>IF($B46="","",IF(COUNTIF('Competency Event Log'!$U$4:$U$803,$B46&amp;"|"&amp;AB$5)=0,"",SUMIF('Competency Event Log'!$U$4:$U$803,$B46&amp;"|"&amp;AB$5,'Competency Event Log'!$D$4:$D$803)))</f>
        <v/>
      </c>
      <c r="AC46" s="8" t="str">
        <f>IF($B46="","",IF(COUNTIF('Competency Event Log'!$U$4:$U$803,$B46&amp;"|"&amp;AC$5)=0,"",SUMIF('Competency Event Log'!$U$4:$U$803,$B46&amp;"|"&amp;AC$5,'Competency Event Log'!$D$4:$D$803)))</f>
        <v/>
      </c>
      <c r="AD46" s="8" t="str">
        <f>IF($B46="","",IF(COUNTIF('Competency Event Log'!$U$4:$U$803,$B46&amp;"|"&amp;AD$5)=0,"",SUMIF('Competency Event Log'!$U$4:$U$803,$B46&amp;"|"&amp;AD$5,'Competency Event Log'!$D$4:$D$803)))</f>
        <v/>
      </c>
      <c r="AE46" s="8" t="str">
        <f>IF($B46="","",IF(COUNTIF('Competency Event Log'!$U$4:$U$803,$B46&amp;"|"&amp;AE$5)=0,"",SUMIF('Competency Event Log'!$U$4:$U$803,$B46&amp;"|"&amp;AE$5,'Competency Event Log'!$D$4:$D$803)))</f>
        <v/>
      </c>
      <c r="AF46" s="8" t="str">
        <f>IF($B46="","",IF(COUNTIF('Competency Event Log'!$U$4:$U$803,$B46&amp;"|"&amp;AF$5)=0,"",SUMIF('Competency Event Log'!$U$4:$U$803,$B46&amp;"|"&amp;AF$5,'Competency Event Log'!$D$4:$D$803)))</f>
        <v/>
      </c>
      <c r="AG46" s="8" t="str">
        <f>IF($B46="","",IF(COUNTIF('Competency Event Log'!$U$4:$U$803,$B46&amp;"|"&amp;AG$5)=0,"",SUMIF('Competency Event Log'!$U$4:$U$803,$B46&amp;"|"&amp;AG$5,'Competency Event Log'!$D$4:$D$803)))</f>
        <v/>
      </c>
      <c r="AH46" s="8" t="str">
        <f>IF($B46="","",IF(COUNTIF('Competency Event Log'!$U$4:$U$803,$B46&amp;"|"&amp;AH$5)=0,"",SUMIF('Competency Event Log'!$U$4:$U$803,$B46&amp;"|"&amp;AH$5,'Competency Event Log'!$D$4:$D$803)))</f>
        <v/>
      </c>
      <c r="AI46" s="8" t="str">
        <f>IF($B46="","",IF(COUNTIF('Competency Event Log'!$U$4:$U$803,$B46&amp;"|"&amp;AI$5)=0,"",SUMIF('Competency Event Log'!$U$4:$U$803,$B46&amp;"|"&amp;AI$5,'Competency Event Log'!$D$4:$D$803)))</f>
        <v/>
      </c>
      <c r="AJ46" s="8" t="str">
        <f>IF($B46="","",IF(COUNTIF('Competency Event Log'!$U$4:$U$803,$B46&amp;"|"&amp;AJ$5)=0,"",SUMIF('Competency Event Log'!$U$4:$U$803,$B46&amp;"|"&amp;AJ$5,'Competency Event Log'!$D$4:$D$803)))</f>
        <v/>
      </c>
      <c r="AK46" s="8" t="str">
        <f>IF($B46="","",IF(COUNTIF('Competency Event Log'!$U$4:$U$803,$B46&amp;"|"&amp;AK$5)=0,"",SUMIF('Competency Event Log'!$U$4:$U$803,$B46&amp;"|"&amp;AK$5,'Competency Event Log'!$D$4:$D$803)))</f>
        <v/>
      </c>
      <c r="AL46" s="8" t="str">
        <f>IF($B46="","",IF(COUNTIF('Competency Event Log'!$U$4:$U$803,$B46&amp;"|"&amp;AL$5)=0,"",SUMIF('Competency Event Log'!$U$4:$U$803,$B46&amp;"|"&amp;AL$5,'Competency Event Log'!$D$4:$D$803)))</f>
        <v/>
      </c>
      <c r="AM46" s="8" t="str">
        <f>IF($B46="","",IF(COUNTIF('Competency Event Log'!$U$4:$U$803,$B46&amp;"|"&amp;AM$5)=0,"",SUMIF('Competency Event Log'!$U$4:$U$803,$B46&amp;"|"&amp;AM$5,'Competency Event Log'!$D$4:$D$803)))</f>
        <v/>
      </c>
      <c r="AN46" s="8" t="str">
        <f>IF($B46="","",IF(COUNTIF('Competency Event Log'!$U$4:$U$803,$B46&amp;"|"&amp;AN$5)=0,"",SUMIF('Competency Event Log'!$U$4:$U$803,$B46&amp;"|"&amp;AN$5,'Competency Event Log'!$D$4:$D$803)))</f>
        <v/>
      </c>
      <c r="AO46" s="8" t="str">
        <f>IF($B46="","",IF(COUNTIF('Competency Event Log'!$U$4:$U$803,$B46&amp;"|"&amp;AO$5)=0,"",SUMIF('Competency Event Log'!$U$4:$U$803,$B46&amp;"|"&amp;AO$5,'Competency Event Log'!$D$4:$D$803)))</f>
        <v/>
      </c>
      <c r="AP46" s="8" t="str">
        <f>IF($B46="","",IF(COUNTIF('Competency Event Log'!$U$4:$U$803,$B46&amp;"|"&amp;AP$5)=0,"",SUMIF('Competency Event Log'!$U$4:$U$803,$B46&amp;"|"&amp;AP$5,'Competency Event Log'!$D$4:$D$803)))</f>
        <v/>
      </c>
      <c r="AQ46" s="8" t="str">
        <f>IF($B46="","",IF(COUNTIF('Competency Event Log'!$U$4:$U$803,$B46&amp;"|"&amp;AQ$5)=0,"",SUMIF('Competency Event Log'!$U$4:$U$803,$B46&amp;"|"&amp;AQ$5,'Competency Event Log'!$D$4:$D$803)))</f>
        <v/>
      </c>
      <c r="AR46" s="8" t="str">
        <f>IF($B46="","",IF(COUNTIF('Competency Event Log'!$U$4:$U$803,$B46&amp;"|"&amp;AR$5)=0,"",SUMIF('Competency Event Log'!$U$4:$U$803,$B46&amp;"|"&amp;AR$5,'Competency Event Log'!$D$4:$D$803)))</f>
        <v/>
      </c>
      <c r="AS46" s="8" t="str">
        <f>IF($B46="","",IF(COUNTIF('Competency Event Log'!$U$4:$U$803,$B46&amp;"|"&amp;AS$5)=0,"",SUMIF('Competency Event Log'!$U$4:$U$803,$B46&amp;"|"&amp;AS$5,'Competency Event Log'!$D$4:$D$803)))</f>
        <v/>
      </c>
      <c r="AT46" s="8" t="str">
        <f>IF($B46="","",IF(COUNTIF('Competency Event Log'!$U$4:$U$803,$B46&amp;"|"&amp;AT$5)=0,"",SUMIF('Competency Event Log'!$U$4:$U$803,$B46&amp;"|"&amp;AT$5,'Competency Event Log'!$D$4:$D$803)))</f>
        <v/>
      </c>
      <c r="AU46" s="8" t="str">
        <f>IF($B46="","",IF(COUNTIF('Competency Event Log'!$U$4:$U$803,$B46&amp;"|"&amp;AU$5)=0,"",SUMIF('Competency Event Log'!$U$4:$U$803,$B46&amp;"|"&amp;AU$5,'Competency Event Log'!$D$4:$D$803)))</f>
        <v/>
      </c>
      <c r="AV46" s="8" t="str">
        <f>IF($B46="","",IF(COUNTIF('Competency Event Log'!$U$4:$U$803,$B46&amp;"|"&amp;AV$5)=0,"",SUMIF('Competency Event Log'!$U$4:$U$803,$B46&amp;"|"&amp;AV$5,'Competency Event Log'!$D$4:$D$803)))</f>
        <v/>
      </c>
      <c r="AW46" s="8" t="str">
        <f>IF($B46="","",IF(COUNTIF('Competency Event Log'!$U$4:$U$803,$B46&amp;"|"&amp;AW$5)=0,"",SUMIF('Competency Event Log'!$U$4:$U$803,$B46&amp;"|"&amp;AW$5,'Competency Event Log'!$D$4:$D$803)))</f>
        <v/>
      </c>
      <c r="AX46" s="8" t="str">
        <f>IF($B46="","",IF(COUNTIF('Competency Event Log'!$U$4:$U$803,$B46&amp;"|"&amp;AX$5)=0,"",SUMIF('Competency Event Log'!$U$4:$U$803,$B46&amp;"|"&amp;AX$5,'Competency Event Log'!$D$4:$D$803)))</f>
        <v/>
      </c>
      <c r="AY46" s="8" t="str">
        <f>IF($B46="","",IF(COUNTIF('Competency Event Log'!$U$4:$U$803,$B46&amp;"|"&amp;AY$5)=0,"",SUMIF('Competency Event Log'!$U$4:$U$803,$B46&amp;"|"&amp;AY$5,'Competency Event Log'!$D$4:$D$803)))</f>
        <v/>
      </c>
      <c r="AZ46" s="8" t="str">
        <f>IF($B46="","",IF(COUNTIF('Competency Event Log'!$U$4:$U$803,$B46&amp;"|"&amp;AZ$5)=0,"",SUMIF('Competency Event Log'!$U$4:$U$803,$B46&amp;"|"&amp;AZ$5,'Competency Event Log'!$D$4:$D$803)))</f>
        <v/>
      </c>
      <c r="BA46" s="8" t="str">
        <f>IF($B46="","",IF(COUNTIF('Competency Event Log'!$U$4:$U$803,$B46&amp;"|"&amp;BA$5)=0,"",SUMIF('Competency Event Log'!$U$4:$U$803,$B46&amp;"|"&amp;BA$5,'Competency Event Log'!$D$4:$D$803)))</f>
        <v/>
      </c>
      <c r="BB46" s="8" t="str">
        <f>IF($B46="","",IF(COUNTIF('Competency Event Log'!$U$4:$U$803,$B46&amp;"|"&amp;BB$5)=0,"",SUMIF('Competency Event Log'!$U$4:$U$803,$B46&amp;"|"&amp;BB$5,'Competency Event Log'!$D$4:$D$803)))</f>
        <v/>
      </c>
      <c r="BC46" s="8" t="str">
        <f>IF($B46="","",IF(COUNTIF('Competency Event Log'!$U$4:$U$803,$B46&amp;"|"&amp;BC$5)=0,"",SUMIF('Competency Event Log'!$U$4:$U$803,$B46&amp;"|"&amp;BC$5,'Competency Event Log'!$D$4:$D$803)))</f>
        <v/>
      </c>
      <c r="BD46" s="8" t="str">
        <f>IF($B46="","",IF(COUNTIF('Competency Event Log'!$U$4:$U$803,$B46&amp;"|"&amp;BD$5)=0,"",SUMIF('Competency Event Log'!$U$4:$U$803,$B46&amp;"|"&amp;BD$5,'Competency Event Log'!$D$4:$D$803)))</f>
        <v/>
      </c>
      <c r="BE46" s="8" t="str">
        <f>IF($B46="","",IF(COUNTIF('Competency Event Log'!$U$4:$U$803,$B46&amp;"|"&amp;BE$5)=0,"",SUMIF('Competency Event Log'!$U$4:$U$803,$B46&amp;"|"&amp;BE$5,'Competency Event Log'!$D$4:$D$803)))</f>
        <v/>
      </c>
      <c r="BF46" s="8" t="str">
        <f>IF($B46="","",IF(COUNTIF('Competency Event Log'!$U$4:$U$803,$B46&amp;"|"&amp;BF$5)=0,"",SUMIF('Competency Event Log'!$U$4:$U$803,$B46&amp;"|"&amp;BF$5,'Competency Event Log'!$D$4:$D$803)))</f>
        <v/>
      </c>
      <c r="BG46" s="8" t="str">
        <f>IF($B46="","",IF(COUNTIF('Competency Event Log'!$U$4:$U$803,$B46&amp;"|"&amp;BG$5)=0,"",SUMIF('Competency Event Log'!$U$4:$U$803,$B46&amp;"|"&amp;BG$5,'Competency Event Log'!$D$4:$D$803)))</f>
        <v/>
      </c>
      <c r="BH46" s="8" t="str">
        <f>IF($B46="","",IF(COUNTIF('Competency Event Log'!$U$4:$U$803,$B46&amp;"|"&amp;BH$5)=0,"",SUMIF('Competency Event Log'!$U$4:$U$803,$B46&amp;"|"&amp;BH$5,'Competency Event Log'!$D$4:$D$803)))</f>
        <v/>
      </c>
      <c r="BI46" s="8" t="str">
        <f>IF($B46="","",IF(COUNTIF('Competency Event Log'!$U$4:$U$803,$B46&amp;"|"&amp;BI$5)=0,"",SUMIF('Competency Event Log'!$U$4:$U$803,$B46&amp;"|"&amp;BI$5,'Competency Event Log'!$D$4:$D$803)))</f>
        <v/>
      </c>
      <c r="BJ46" s="8" t="str">
        <f>IF($B46="","",IF(COUNTIF('Competency Event Log'!$U$4:$U$803,$B46&amp;"|"&amp;BJ$5)=0,"",SUMIF('Competency Event Log'!$U$4:$U$803,$B46&amp;"|"&amp;BJ$5,'Competency Event Log'!$D$4:$D$803)))</f>
        <v/>
      </c>
      <c r="BK46" s="8" t="str">
        <f>IF($B46="","",IF(COUNTIF('Competency Event Log'!$U$4:$U$803,$B46&amp;"|"&amp;BK$5)=0,"",SUMIF('Competency Event Log'!$U$4:$U$803,$B46&amp;"|"&amp;BK$5,'Competency Event Log'!$D$4:$D$803)))</f>
        <v/>
      </c>
      <c r="BL46" s="8" t="str">
        <f>IF($B46="","",IF(COUNTIF('Competency Event Log'!$U$4:$U$803,$B46&amp;"|"&amp;BL$5)=0,"",SUMIF('Competency Event Log'!$U$4:$U$803,$B46&amp;"|"&amp;BL$5,'Competency Event Log'!$D$4:$D$803)))</f>
        <v/>
      </c>
      <c r="BM46" s="8" t="str">
        <f>IF($B46="","",IF(COUNTIF('Competency Event Log'!$U$4:$U$803,$B46&amp;"|"&amp;BM$5)=0,"",SUMIF('Competency Event Log'!$U$4:$U$803,$B46&amp;"|"&amp;BM$5,'Competency Event Log'!$D$4:$D$803)))</f>
        <v/>
      </c>
      <c r="BN46" s="8" t="str">
        <f>IF($B46="","",IF(COUNTIF('Competency Event Log'!$U$4:$U$803,$B46&amp;"|"&amp;BN$5)=0,"",SUMIF('Competency Event Log'!$U$4:$U$803,$B46&amp;"|"&amp;BN$5,'Competency Event Log'!$D$4:$D$803)))</f>
        <v/>
      </c>
      <c r="BO46" s="8" t="str">
        <f>IF($B46="","",IF(COUNTIF('Competency Event Log'!$U$4:$U$803,$B46&amp;"|"&amp;BO$5)=0,"",SUMIF('Competency Event Log'!$U$4:$U$803,$B46&amp;"|"&amp;BO$5,'Competency Event Log'!$D$4:$D$803)))</f>
        <v/>
      </c>
      <c r="BP46" s="8" t="str">
        <f>IF($B46="","",IF(COUNTIF('Competency Event Log'!$U$4:$U$803,$B46&amp;"|"&amp;BP$5)=0,"",SUMIF('Competency Event Log'!$U$4:$U$803,$B46&amp;"|"&amp;BP$5,'Competency Event Log'!$D$4:$D$803)))</f>
        <v/>
      </c>
      <c r="BQ46" s="8" t="str">
        <f>IF($B46="","",IF(COUNTIF('Competency Event Log'!$U$4:$U$803,$B46&amp;"|"&amp;BQ$5)=0,"",SUMIF('Competency Event Log'!$U$4:$U$803,$B46&amp;"|"&amp;BQ$5,'Competency Event Log'!$D$4:$D$803)))</f>
        <v/>
      </c>
      <c r="BR46" s="8" t="str">
        <f>IF($B46="","",IF(COUNTIF('Competency Event Log'!$U$4:$U$803,$B46&amp;"|"&amp;BR$5)=0,"",SUMIF('Competency Event Log'!$U$4:$U$803,$B46&amp;"|"&amp;BR$5,'Competency Event Log'!$D$4:$D$803)))</f>
        <v/>
      </c>
      <c r="BS46" s="8" t="str">
        <f>IF($B46="","",IF(COUNTIF('Competency Event Log'!$U$4:$U$803,$B46&amp;"|"&amp;BS$5)=0,"",SUMIF('Competency Event Log'!$U$4:$U$803,$B46&amp;"|"&amp;BS$5,'Competency Event Log'!$D$4:$D$803)))</f>
        <v/>
      </c>
      <c r="BT46" s="8" t="str">
        <f>IF($B46="","",IF(COUNTIF('Competency Event Log'!$U$4:$U$803,$B46&amp;"|"&amp;BT$5)=0,"",SUMIF('Competency Event Log'!$U$4:$U$803,$B46&amp;"|"&amp;BT$5,'Competency Event Log'!$D$4:$D$803)))</f>
        <v/>
      </c>
      <c r="BU46" s="8" t="str">
        <f>IF($B46="","",IF(COUNTIF('Competency Event Log'!$U$4:$U$803,$B46&amp;"|"&amp;BU$5)=0,"",SUMIF('Competency Event Log'!$U$4:$U$803,$B46&amp;"|"&amp;BU$5,'Competency Event Log'!$D$4:$D$803)))</f>
        <v/>
      </c>
      <c r="BV46" s="8" t="str">
        <f>IF($B46="","",IF(COUNTIF('Competency Event Log'!$U$4:$U$803,$B46&amp;"|"&amp;BV$5)=0,"",SUMIF('Competency Event Log'!$U$4:$U$803,$B46&amp;"|"&amp;BV$5,'Competency Event Log'!$D$4:$D$803)))</f>
        <v/>
      </c>
      <c r="BW46" s="8" t="str">
        <f>IF($B46="","",IF(COUNTIF('Competency Event Log'!$U$4:$U$803,$B46&amp;"|"&amp;BW$5)=0,"",SUMIF('Competency Event Log'!$U$4:$U$803,$B46&amp;"|"&amp;BW$5,'Competency Event Log'!$D$4:$D$803)))</f>
        <v/>
      </c>
      <c r="BX46" s="8" t="str">
        <f>IF($B46="","",IF(COUNTIF('Competency Event Log'!$U$4:$U$803,$B46&amp;"|"&amp;BX$5)=0,"",SUMIF('Competency Event Log'!$U$4:$U$803,$B46&amp;"|"&amp;BX$5,'Competency Event Log'!$D$4:$D$803)))</f>
        <v/>
      </c>
      <c r="BY46" s="8" t="str">
        <f>IF($B46="","",IF(COUNTIF('Competency Event Log'!$U$4:$U$803,$B46&amp;"|"&amp;BY$5)=0,"",SUMIF('Competency Event Log'!$U$4:$U$803,$B46&amp;"|"&amp;BY$5,'Competency Event Log'!$D$4:$D$803)))</f>
        <v/>
      </c>
      <c r="BZ46" s="8" t="str">
        <f>IF($B46="","",IF(COUNTIF('Competency Event Log'!$U$4:$U$803,$B46&amp;"|"&amp;BZ$5)=0,"",SUMIF('Competency Event Log'!$U$4:$U$803,$B46&amp;"|"&amp;BZ$5,'Competency Event Log'!$D$4:$D$803)))</f>
        <v/>
      </c>
      <c r="CA46" s="8" t="str">
        <f>IF($B46="","",IF(COUNTIF('Competency Event Log'!$U$4:$U$803,$B46&amp;"|"&amp;CA$5)=0,"",SUMIF('Competency Event Log'!$U$4:$U$803,$B46&amp;"|"&amp;CA$5,'Competency Event Log'!$D$4:$D$803)))</f>
        <v/>
      </c>
      <c r="CB46" s="8" t="str">
        <f>IF($B46="","",IF(COUNTIF('Competency Event Log'!$U$4:$U$803,$B46&amp;"|"&amp;CB$5)=0,"",SUMIF('Competency Event Log'!$U$4:$U$803,$B46&amp;"|"&amp;CB$5,'Competency Event Log'!$D$4:$D$803)))</f>
        <v/>
      </c>
      <c r="CC46" s="8" t="str">
        <f>IF($B46="","",IF(COUNTIF('Competency Event Log'!$U$4:$U$803,$B46&amp;"|"&amp;CC$5)=0,"",SUMIF('Competency Event Log'!$U$4:$U$803,$B46&amp;"|"&amp;CC$5,'Competency Event Log'!$D$4:$D$803)))</f>
        <v/>
      </c>
      <c r="CD46" s="8" t="str">
        <f>IF($B46="","",IF(COUNTIF('Competency Event Log'!$U$4:$U$803,$B46&amp;"|"&amp;CD$5)=0,"",SUMIF('Competency Event Log'!$U$4:$U$803,$B46&amp;"|"&amp;CD$5,'Competency Event Log'!$D$4:$D$803)))</f>
        <v/>
      </c>
      <c r="CE46" s="8" t="str">
        <f>IF($B46="","",IF(COUNTIF('Competency Event Log'!$U$4:$U$803,$B46&amp;"|"&amp;CE$5)=0,"",SUMIF('Competency Event Log'!$U$4:$U$803,$B46&amp;"|"&amp;CE$5,'Competency Event Log'!$D$4:$D$803)))</f>
        <v/>
      </c>
      <c r="CF46" s="8" t="str">
        <f>IF($B46="","",IF(COUNTIF('Competency Event Log'!$U$4:$U$803,$B46&amp;"|"&amp;CF$5)=0,"",SUMIF('Competency Event Log'!$U$4:$U$803,$B46&amp;"|"&amp;CF$5,'Competency Event Log'!$D$4:$D$803)))</f>
        <v/>
      </c>
      <c r="CG46" s="8" t="str">
        <f>IF($B46="","",IF(COUNTIF('Competency Event Log'!$U$4:$U$803,$B46&amp;"|"&amp;CG$5)=0,"",SUMIF('Competency Event Log'!$U$4:$U$803,$B46&amp;"|"&amp;CG$5,'Competency Event Log'!$D$4:$D$803)))</f>
        <v/>
      </c>
      <c r="CH46" s="8" t="str">
        <f>IF($B46="","",IF(COUNTIF('Competency Event Log'!$U$4:$U$803,$B46&amp;"|"&amp;CH$5)=0,"",SUMIF('Competency Event Log'!$U$4:$U$803,$B46&amp;"|"&amp;CH$5,'Competency Event Log'!$D$4:$D$803)))</f>
        <v/>
      </c>
      <c r="CI46" s="8" t="str">
        <f>IF($B46="","",IF(COUNTIF('Competency Event Log'!$U$4:$U$803,$B46&amp;"|"&amp;CI$5)=0,"",SUMIF('Competency Event Log'!$U$4:$U$803,$B46&amp;"|"&amp;CI$5,'Competency Event Log'!$D$4:$D$803)))</f>
        <v/>
      </c>
      <c r="CJ46" s="8" t="str">
        <f>IF($B46="","",IF(COUNTIF('Competency Event Log'!$U$4:$U$803,$B46&amp;"|"&amp;CJ$5)=0,"",SUMIF('Competency Event Log'!$U$4:$U$803,$B46&amp;"|"&amp;CJ$5,'Competency Event Log'!$D$4:$D$803)))</f>
        <v/>
      </c>
      <c r="CK46" s="8" t="str">
        <f>IF($B46="","",IF(COUNTIF('Competency Event Log'!$U$4:$U$803,$B46&amp;"|"&amp;CK$5)=0,"",SUMIF('Competency Event Log'!$U$4:$U$803,$B46&amp;"|"&amp;CK$5,'Competency Event Log'!$D$4:$D$803)))</f>
        <v/>
      </c>
      <c r="CL46" s="8" t="str">
        <f>IF($B46="","",IF(COUNTIF('Competency Event Log'!$U$4:$U$803,$B46&amp;"|"&amp;CL$5)=0,"",SUMIF('Competency Event Log'!$U$4:$U$803,$B46&amp;"|"&amp;CL$5,'Competency Event Log'!$D$4:$D$803)))</f>
        <v/>
      </c>
      <c r="CM46" s="8" t="str">
        <f>IF($B46="","",IF(COUNTIF('Competency Event Log'!$U$4:$U$803,$B46&amp;"|"&amp;CM$5)=0,"",SUMIF('Competency Event Log'!$U$4:$U$803,$B46&amp;"|"&amp;CM$5,'Competency Event Log'!$D$4:$D$803)))</f>
        <v/>
      </c>
      <c r="CN46" s="8" t="str">
        <f>IF($B46="","",IF(COUNTIF('Competency Event Log'!$U$4:$U$803,$B46&amp;"|"&amp;CN$5)=0,"",SUMIF('Competency Event Log'!$U$4:$U$803,$B46&amp;"|"&amp;CN$5,'Competency Event Log'!$D$4:$D$803)))</f>
        <v/>
      </c>
      <c r="CO46" s="8" t="str">
        <f>IF($B46="","",IF(COUNTIF('Competency Event Log'!$U$4:$U$803,$B46&amp;"|"&amp;CO$5)=0,"",SUMIF('Competency Event Log'!$U$4:$U$803,$B46&amp;"|"&amp;CO$5,'Competency Event Log'!$D$4:$D$803)))</f>
        <v/>
      </c>
      <c r="CP46" s="8" t="str">
        <f>IF($B46="","",IF(COUNTIF('Competency Event Log'!$U$4:$U$803,$B46&amp;"|"&amp;CP$5)=0,"",SUMIF('Competency Event Log'!$U$4:$U$803,$B46&amp;"|"&amp;CP$5,'Competency Event Log'!$D$4:$D$803)))</f>
        <v/>
      </c>
      <c r="CQ46" s="8" t="str">
        <f>IF($B46="","",IF(COUNTIF('Competency Event Log'!$U$4:$U$803,$B46&amp;"|"&amp;CQ$5)=0,"",SUMIF('Competency Event Log'!$U$4:$U$803,$B46&amp;"|"&amp;CQ$5,'Competency Event Log'!$D$4:$D$803)))</f>
        <v/>
      </c>
      <c r="CR46" s="8" t="str">
        <f>IF($B46="","",IF(COUNTIF('Competency Event Log'!$U$4:$U$803,$B46&amp;"|"&amp;CR$5)=0,"",SUMIF('Competency Event Log'!$U$4:$U$803,$B46&amp;"|"&amp;CR$5,'Competency Event Log'!$D$4:$D$803)))</f>
        <v/>
      </c>
      <c r="CS46" s="8" t="str">
        <f>IF($B46="","",IF(COUNTIF('Competency Event Log'!$U$4:$U$803,$B46&amp;"|"&amp;CS$5)=0,"",SUMIF('Competency Event Log'!$U$4:$U$803,$B46&amp;"|"&amp;CS$5,'Competency Event Log'!$D$4:$D$803)))</f>
        <v/>
      </c>
      <c r="CT46" s="8" t="str">
        <f>IF($B46="","",IF(COUNTIF('Competency Event Log'!$U$4:$U$803,$B46&amp;"|"&amp;CT$5)=0,"",SUMIF('Competency Event Log'!$U$4:$U$803,$B46&amp;"|"&amp;CT$5,'Competency Event Log'!$D$4:$D$803)))</f>
        <v/>
      </c>
      <c r="CU46" s="8" t="str">
        <f>IF($B46="","",IF(COUNTIF('Competency Event Log'!$U$4:$U$803,$B46&amp;"|"&amp;CU$5)=0,"",SUMIF('Competency Event Log'!$U$4:$U$803,$B46&amp;"|"&amp;CU$5,'Competency Event Log'!$D$4:$D$803)))</f>
        <v/>
      </c>
      <c r="CV46" s="8" t="str">
        <f>IF($B46="","",IF(COUNTIF('Competency Event Log'!$U$4:$U$803,$B46&amp;"|"&amp;CV$5)=0,"",SUMIF('Competency Event Log'!$U$4:$U$803,$B46&amp;"|"&amp;CV$5,'Competency Event Log'!$D$4:$D$803)))</f>
        <v/>
      </c>
      <c r="CW46" s="8" t="str">
        <f>IF($B46="","",IF(COUNTIF('Competency Event Log'!$U$4:$U$803,$B46&amp;"|"&amp;CW$5)=0,"",SUMIF('Competency Event Log'!$U$4:$U$803,$B46&amp;"|"&amp;CW$5,'Competency Event Log'!$D$4:$D$803)))</f>
        <v/>
      </c>
      <c r="CX46" s="8" t="str">
        <f>IF($B46="","",IF(COUNTIF('Competency Event Log'!$U$4:$U$803,$B46&amp;"|"&amp;CX$5)=0,"",SUMIF('Competency Event Log'!$U$4:$U$803,$B46&amp;"|"&amp;CX$5,'Competency Event Log'!$D$4:$D$803)))</f>
        <v/>
      </c>
      <c r="CY46" s="8" t="str">
        <f>IF($B46="","",IF(COUNTIF('Competency Event Log'!$U$4:$U$803,$B46&amp;"|"&amp;CY$5)=0,"",SUMIF('Competency Event Log'!$U$4:$U$803,$B46&amp;"|"&amp;CY$5,'Competency Event Log'!$D$4:$D$803)))</f>
        <v/>
      </c>
      <c r="CZ46" s="8" t="str">
        <f>IF($B46="","",IF(COUNTIF('Competency Event Log'!$U$4:$U$803,$B46&amp;"|"&amp;CZ$5)=0,"",SUMIF('Competency Event Log'!$U$4:$U$803,$B46&amp;"|"&amp;CZ$5,'Competency Event Log'!$D$4:$D$803)))</f>
        <v/>
      </c>
      <c r="DA46" s="8" t="str">
        <f>IF($B46="","",IF(COUNTIF('Competency Event Log'!$U$4:$U$803,$B46&amp;"|"&amp;DA$5)=0,"",SUMIF('Competency Event Log'!$U$4:$U$803,$B46&amp;"|"&amp;DA$5,'Competency Event Log'!$D$4:$D$803)))</f>
        <v/>
      </c>
      <c r="DB46" s="8" t="str">
        <f>IF($B46="","",IF(COUNTIF('Competency Event Log'!$U$4:$U$803,$B46&amp;"|"&amp;DB$5)=0,"",SUMIF('Competency Event Log'!$U$4:$U$803,$B46&amp;"|"&amp;DB$5,'Competency Event Log'!$D$4:$D$803)))</f>
        <v/>
      </c>
      <c r="DC46" s="8" t="str">
        <f>IF($B46="","",IF(COUNTIF('Competency Event Log'!$U$4:$U$803,$B46&amp;"|"&amp;DC$5)=0,"",SUMIF('Competency Event Log'!$U$4:$U$803,$B46&amp;"|"&amp;DC$5,'Competency Event Log'!$D$4:$D$803)))</f>
        <v/>
      </c>
      <c r="DD46" s="8" t="str">
        <f>IF($B46="","",IF(COUNTIF('Competency Event Log'!$U$4:$U$803,$B46&amp;"|"&amp;DD$5)=0,"",SUMIF('Competency Event Log'!$U$4:$U$803,$B46&amp;"|"&amp;DD$5,'Competency Event Log'!$D$4:$D$803)))</f>
        <v/>
      </c>
      <c r="DE46" s="8" t="str">
        <f>IF($B46="","",IF(COUNTIF('Competency Event Log'!$U$4:$U$803,$B46&amp;"|"&amp;DE$5)=0,"",SUMIF('Competency Event Log'!$U$4:$U$803,$B46&amp;"|"&amp;DE$5,'Competency Event Log'!$D$4:$D$803)))</f>
        <v/>
      </c>
      <c r="DF46" s="8" t="str">
        <f t="shared" si="4"/>
        <v/>
      </c>
      <c r="DG46" s="8" t="str">
        <f t="shared" si="5"/>
        <v/>
      </c>
      <c r="DH46" s="8" t="str">
        <f t="shared" si="6"/>
        <v/>
      </c>
      <c r="DI46" s="11" t="str">
        <f t="shared" si="7"/>
        <v/>
      </c>
    </row>
    <row r="47" spans="1:113">
      <c r="A47" s="7"/>
      <c r="B47" s="7"/>
      <c r="C47" s="8"/>
      <c r="D47" s="9"/>
      <c r="E47" s="10"/>
      <c r="F47" s="8"/>
      <c r="G47" s="8" t="str">
        <f>IF($B47="","",IF(COUNTIF('Competency Event Log'!$U$4:$U$803,$B47&amp;"|"&amp;G$5)=0,"",SUMIF('Competency Event Log'!$U$4:$U$803,$B47&amp;"|"&amp;G$5,'Competency Event Log'!$D$4:$D$803)))</f>
        <v/>
      </c>
      <c r="H47" s="8" t="str">
        <f>IF($B47="","",IF(COUNTIF('Competency Event Log'!$U$4:$U$803,$B47&amp;"|"&amp;H$5)=0,"",SUMIF('Competency Event Log'!$U$4:$U$803,$B47&amp;"|"&amp;H$5,'Competency Event Log'!$D$4:$D$803)))</f>
        <v/>
      </c>
      <c r="I47" s="8" t="str">
        <f>IF($B47="","",IF(COUNTIF('Competency Event Log'!$U$4:$U$803,$B47&amp;"|"&amp;I$5)=0,"",SUMIF('Competency Event Log'!$U$4:$U$803,$B47&amp;"|"&amp;I$5,'Competency Event Log'!$D$4:$D$803)))</f>
        <v/>
      </c>
      <c r="J47" s="8" t="str">
        <f>IF($B47="","",IF(COUNTIF('Competency Event Log'!$U$4:$U$803,$B47&amp;"|"&amp;J$5)=0,"",SUMIF('Competency Event Log'!$U$4:$U$803,$B47&amp;"|"&amp;J$5,'Competency Event Log'!$D$4:$D$803)))</f>
        <v/>
      </c>
      <c r="K47" s="8" t="str">
        <f>IF($B47="","",IF(COUNTIF('Competency Event Log'!$U$4:$U$803,$B47&amp;"|"&amp;K$5)=0,"",SUMIF('Competency Event Log'!$U$4:$U$803,$B47&amp;"|"&amp;K$5,'Competency Event Log'!$D$4:$D$803)))</f>
        <v/>
      </c>
      <c r="L47" s="8" t="str">
        <f>IF($B47="","",IF(COUNTIF('Competency Event Log'!$U$4:$U$803,$B47&amp;"|"&amp;L$5)=0,"",SUMIF('Competency Event Log'!$U$4:$U$803,$B47&amp;"|"&amp;L$5,'Competency Event Log'!$D$4:$D$803)))</f>
        <v/>
      </c>
      <c r="M47" s="8" t="str">
        <f>IF($B47="","",IF(COUNTIF('Competency Event Log'!$U$4:$U$803,$B47&amp;"|"&amp;M$5)=0,"",SUMIF('Competency Event Log'!$U$4:$U$803,$B47&amp;"|"&amp;M$5,'Competency Event Log'!$D$4:$D$803)))</f>
        <v/>
      </c>
      <c r="N47" s="8" t="str">
        <f>IF($B47="","",IF(COUNTIF('Competency Event Log'!$U$4:$U$803,$B47&amp;"|"&amp;N$5)=0,"",SUMIF('Competency Event Log'!$U$4:$U$803,$B47&amp;"|"&amp;N$5,'Competency Event Log'!$D$4:$D$803)))</f>
        <v/>
      </c>
      <c r="O47" s="8" t="str">
        <f>IF($B47="","",IF(COUNTIF('Competency Event Log'!$U$4:$U$803,$B47&amp;"|"&amp;O$5)=0,"",SUMIF('Competency Event Log'!$U$4:$U$803,$B47&amp;"|"&amp;O$5,'Competency Event Log'!$D$4:$D$803)))</f>
        <v/>
      </c>
      <c r="P47" s="8" t="str">
        <f>IF($B47="","",IF(COUNTIF('Competency Event Log'!$U$4:$U$803,$B47&amp;"|"&amp;P$5)=0,"",SUMIF('Competency Event Log'!$U$4:$U$803,$B47&amp;"|"&amp;P$5,'Competency Event Log'!$D$4:$D$803)))</f>
        <v/>
      </c>
      <c r="Q47" s="8" t="str">
        <f>IF($B47="","",IF(COUNTIF('Competency Event Log'!$U$4:$U$803,$B47&amp;"|"&amp;Q$5)=0,"",SUMIF('Competency Event Log'!$U$4:$U$803,$B47&amp;"|"&amp;Q$5,'Competency Event Log'!$D$4:$D$803)))</f>
        <v/>
      </c>
      <c r="R47" s="8" t="str">
        <f>IF($B47="","",IF(COUNTIF('Competency Event Log'!$U$4:$U$803,$B47&amp;"|"&amp;R$5)=0,"",SUMIF('Competency Event Log'!$U$4:$U$803,$B47&amp;"|"&amp;R$5,'Competency Event Log'!$D$4:$D$803)))</f>
        <v/>
      </c>
      <c r="S47" s="8" t="str">
        <f>IF($B47="","",IF(COUNTIF('Competency Event Log'!$U$4:$U$803,$B47&amp;"|"&amp;S$5)=0,"",SUMIF('Competency Event Log'!$U$4:$U$803,$B47&amp;"|"&amp;S$5,'Competency Event Log'!$D$4:$D$803)))</f>
        <v/>
      </c>
      <c r="T47" s="8" t="str">
        <f>IF($B47="","",IF(COUNTIF('Competency Event Log'!$U$4:$U$803,$B47&amp;"|"&amp;T$5)=0,"",SUMIF('Competency Event Log'!$U$4:$U$803,$B47&amp;"|"&amp;T$5,'Competency Event Log'!$D$4:$D$803)))</f>
        <v/>
      </c>
      <c r="U47" s="8" t="str">
        <f>IF($B47="","",IF(COUNTIF('Competency Event Log'!$U$4:$U$803,$B47&amp;"|"&amp;U$5)=0,"",SUMIF('Competency Event Log'!$U$4:$U$803,$B47&amp;"|"&amp;U$5,'Competency Event Log'!$D$4:$D$803)))</f>
        <v/>
      </c>
      <c r="V47" s="8" t="str">
        <f>IF($B47="","",IF(COUNTIF('Competency Event Log'!$U$4:$U$803,$B47&amp;"|"&amp;V$5)=0,"",SUMIF('Competency Event Log'!$U$4:$U$803,$B47&amp;"|"&amp;V$5,'Competency Event Log'!$D$4:$D$803)))</f>
        <v/>
      </c>
      <c r="W47" s="8" t="str">
        <f>IF($B47="","",IF(COUNTIF('Competency Event Log'!$U$4:$U$803,$B47&amp;"|"&amp;W$5)=0,"",SUMIF('Competency Event Log'!$U$4:$U$803,$B47&amp;"|"&amp;W$5,'Competency Event Log'!$D$4:$D$803)))</f>
        <v/>
      </c>
      <c r="X47" s="8" t="str">
        <f>IF($B47="","",IF(COUNTIF('Competency Event Log'!$U$4:$U$803,$B47&amp;"|"&amp;X$5)=0,"",SUMIF('Competency Event Log'!$U$4:$U$803,$B47&amp;"|"&amp;X$5,'Competency Event Log'!$D$4:$D$803)))</f>
        <v/>
      </c>
      <c r="Y47" s="8" t="str">
        <f>IF($B47="","",IF(COUNTIF('Competency Event Log'!$U$4:$U$803,$B47&amp;"|"&amp;Y$5)=0,"",SUMIF('Competency Event Log'!$U$4:$U$803,$B47&amp;"|"&amp;Y$5,'Competency Event Log'!$D$4:$D$803)))</f>
        <v/>
      </c>
      <c r="Z47" s="8" t="str">
        <f>IF($B47="","",IF(COUNTIF('Competency Event Log'!$U$4:$U$803,$B47&amp;"|"&amp;Z$5)=0,"",SUMIF('Competency Event Log'!$U$4:$U$803,$B47&amp;"|"&amp;Z$5,'Competency Event Log'!$D$4:$D$803)))</f>
        <v/>
      </c>
      <c r="AA47" s="8" t="str">
        <f>IF($B47="","",IF(COUNTIF('Competency Event Log'!$U$4:$U$803,$B47&amp;"|"&amp;AA$5)=0,"",SUMIF('Competency Event Log'!$U$4:$U$803,$B47&amp;"|"&amp;AA$5,'Competency Event Log'!$D$4:$D$803)))</f>
        <v/>
      </c>
      <c r="AB47" s="8" t="str">
        <f>IF($B47="","",IF(COUNTIF('Competency Event Log'!$U$4:$U$803,$B47&amp;"|"&amp;AB$5)=0,"",SUMIF('Competency Event Log'!$U$4:$U$803,$B47&amp;"|"&amp;AB$5,'Competency Event Log'!$D$4:$D$803)))</f>
        <v/>
      </c>
      <c r="AC47" s="8" t="str">
        <f>IF($B47="","",IF(COUNTIF('Competency Event Log'!$U$4:$U$803,$B47&amp;"|"&amp;AC$5)=0,"",SUMIF('Competency Event Log'!$U$4:$U$803,$B47&amp;"|"&amp;AC$5,'Competency Event Log'!$D$4:$D$803)))</f>
        <v/>
      </c>
      <c r="AD47" s="8" t="str">
        <f>IF($B47="","",IF(COUNTIF('Competency Event Log'!$U$4:$U$803,$B47&amp;"|"&amp;AD$5)=0,"",SUMIF('Competency Event Log'!$U$4:$U$803,$B47&amp;"|"&amp;AD$5,'Competency Event Log'!$D$4:$D$803)))</f>
        <v/>
      </c>
      <c r="AE47" s="8" t="str">
        <f>IF($B47="","",IF(COUNTIF('Competency Event Log'!$U$4:$U$803,$B47&amp;"|"&amp;AE$5)=0,"",SUMIF('Competency Event Log'!$U$4:$U$803,$B47&amp;"|"&amp;AE$5,'Competency Event Log'!$D$4:$D$803)))</f>
        <v/>
      </c>
      <c r="AF47" s="8" t="str">
        <f>IF($B47="","",IF(COUNTIF('Competency Event Log'!$U$4:$U$803,$B47&amp;"|"&amp;AF$5)=0,"",SUMIF('Competency Event Log'!$U$4:$U$803,$B47&amp;"|"&amp;AF$5,'Competency Event Log'!$D$4:$D$803)))</f>
        <v/>
      </c>
      <c r="AG47" s="8" t="str">
        <f>IF($B47="","",IF(COUNTIF('Competency Event Log'!$U$4:$U$803,$B47&amp;"|"&amp;AG$5)=0,"",SUMIF('Competency Event Log'!$U$4:$U$803,$B47&amp;"|"&amp;AG$5,'Competency Event Log'!$D$4:$D$803)))</f>
        <v/>
      </c>
      <c r="AH47" s="8" t="str">
        <f>IF($B47="","",IF(COUNTIF('Competency Event Log'!$U$4:$U$803,$B47&amp;"|"&amp;AH$5)=0,"",SUMIF('Competency Event Log'!$U$4:$U$803,$B47&amp;"|"&amp;AH$5,'Competency Event Log'!$D$4:$D$803)))</f>
        <v/>
      </c>
      <c r="AI47" s="8" t="str">
        <f>IF($B47="","",IF(COUNTIF('Competency Event Log'!$U$4:$U$803,$B47&amp;"|"&amp;AI$5)=0,"",SUMIF('Competency Event Log'!$U$4:$U$803,$B47&amp;"|"&amp;AI$5,'Competency Event Log'!$D$4:$D$803)))</f>
        <v/>
      </c>
      <c r="AJ47" s="8" t="str">
        <f>IF($B47="","",IF(COUNTIF('Competency Event Log'!$U$4:$U$803,$B47&amp;"|"&amp;AJ$5)=0,"",SUMIF('Competency Event Log'!$U$4:$U$803,$B47&amp;"|"&amp;AJ$5,'Competency Event Log'!$D$4:$D$803)))</f>
        <v/>
      </c>
      <c r="AK47" s="8" t="str">
        <f>IF($B47="","",IF(COUNTIF('Competency Event Log'!$U$4:$U$803,$B47&amp;"|"&amp;AK$5)=0,"",SUMIF('Competency Event Log'!$U$4:$U$803,$B47&amp;"|"&amp;AK$5,'Competency Event Log'!$D$4:$D$803)))</f>
        <v/>
      </c>
      <c r="AL47" s="8" t="str">
        <f>IF($B47="","",IF(COUNTIF('Competency Event Log'!$U$4:$U$803,$B47&amp;"|"&amp;AL$5)=0,"",SUMIF('Competency Event Log'!$U$4:$U$803,$B47&amp;"|"&amp;AL$5,'Competency Event Log'!$D$4:$D$803)))</f>
        <v/>
      </c>
      <c r="AM47" s="8" t="str">
        <f>IF($B47="","",IF(COUNTIF('Competency Event Log'!$U$4:$U$803,$B47&amp;"|"&amp;AM$5)=0,"",SUMIF('Competency Event Log'!$U$4:$U$803,$B47&amp;"|"&amp;AM$5,'Competency Event Log'!$D$4:$D$803)))</f>
        <v/>
      </c>
      <c r="AN47" s="8" t="str">
        <f>IF($B47="","",IF(COUNTIF('Competency Event Log'!$U$4:$U$803,$B47&amp;"|"&amp;AN$5)=0,"",SUMIF('Competency Event Log'!$U$4:$U$803,$B47&amp;"|"&amp;AN$5,'Competency Event Log'!$D$4:$D$803)))</f>
        <v/>
      </c>
      <c r="AO47" s="8" t="str">
        <f>IF($B47="","",IF(COUNTIF('Competency Event Log'!$U$4:$U$803,$B47&amp;"|"&amp;AO$5)=0,"",SUMIF('Competency Event Log'!$U$4:$U$803,$B47&amp;"|"&amp;AO$5,'Competency Event Log'!$D$4:$D$803)))</f>
        <v/>
      </c>
      <c r="AP47" s="8" t="str">
        <f>IF($B47="","",IF(COUNTIF('Competency Event Log'!$U$4:$U$803,$B47&amp;"|"&amp;AP$5)=0,"",SUMIF('Competency Event Log'!$U$4:$U$803,$B47&amp;"|"&amp;AP$5,'Competency Event Log'!$D$4:$D$803)))</f>
        <v/>
      </c>
      <c r="AQ47" s="8" t="str">
        <f>IF($B47="","",IF(COUNTIF('Competency Event Log'!$U$4:$U$803,$B47&amp;"|"&amp;AQ$5)=0,"",SUMIF('Competency Event Log'!$U$4:$U$803,$B47&amp;"|"&amp;AQ$5,'Competency Event Log'!$D$4:$D$803)))</f>
        <v/>
      </c>
      <c r="AR47" s="8" t="str">
        <f>IF($B47="","",IF(COUNTIF('Competency Event Log'!$U$4:$U$803,$B47&amp;"|"&amp;AR$5)=0,"",SUMIF('Competency Event Log'!$U$4:$U$803,$B47&amp;"|"&amp;AR$5,'Competency Event Log'!$D$4:$D$803)))</f>
        <v/>
      </c>
      <c r="AS47" s="8" t="str">
        <f>IF($B47="","",IF(COUNTIF('Competency Event Log'!$U$4:$U$803,$B47&amp;"|"&amp;AS$5)=0,"",SUMIF('Competency Event Log'!$U$4:$U$803,$B47&amp;"|"&amp;AS$5,'Competency Event Log'!$D$4:$D$803)))</f>
        <v/>
      </c>
      <c r="AT47" s="8" t="str">
        <f>IF($B47="","",IF(COUNTIF('Competency Event Log'!$U$4:$U$803,$B47&amp;"|"&amp;AT$5)=0,"",SUMIF('Competency Event Log'!$U$4:$U$803,$B47&amp;"|"&amp;AT$5,'Competency Event Log'!$D$4:$D$803)))</f>
        <v/>
      </c>
      <c r="AU47" s="8" t="str">
        <f>IF($B47="","",IF(COUNTIF('Competency Event Log'!$U$4:$U$803,$B47&amp;"|"&amp;AU$5)=0,"",SUMIF('Competency Event Log'!$U$4:$U$803,$B47&amp;"|"&amp;AU$5,'Competency Event Log'!$D$4:$D$803)))</f>
        <v/>
      </c>
      <c r="AV47" s="8" t="str">
        <f>IF($B47="","",IF(COUNTIF('Competency Event Log'!$U$4:$U$803,$B47&amp;"|"&amp;AV$5)=0,"",SUMIF('Competency Event Log'!$U$4:$U$803,$B47&amp;"|"&amp;AV$5,'Competency Event Log'!$D$4:$D$803)))</f>
        <v/>
      </c>
      <c r="AW47" s="8" t="str">
        <f>IF($B47="","",IF(COUNTIF('Competency Event Log'!$U$4:$U$803,$B47&amp;"|"&amp;AW$5)=0,"",SUMIF('Competency Event Log'!$U$4:$U$803,$B47&amp;"|"&amp;AW$5,'Competency Event Log'!$D$4:$D$803)))</f>
        <v/>
      </c>
      <c r="AX47" s="8" t="str">
        <f>IF($B47="","",IF(COUNTIF('Competency Event Log'!$U$4:$U$803,$B47&amp;"|"&amp;AX$5)=0,"",SUMIF('Competency Event Log'!$U$4:$U$803,$B47&amp;"|"&amp;AX$5,'Competency Event Log'!$D$4:$D$803)))</f>
        <v/>
      </c>
      <c r="AY47" s="8" t="str">
        <f>IF($B47="","",IF(COUNTIF('Competency Event Log'!$U$4:$U$803,$B47&amp;"|"&amp;AY$5)=0,"",SUMIF('Competency Event Log'!$U$4:$U$803,$B47&amp;"|"&amp;AY$5,'Competency Event Log'!$D$4:$D$803)))</f>
        <v/>
      </c>
      <c r="AZ47" s="8" t="str">
        <f>IF($B47="","",IF(COUNTIF('Competency Event Log'!$U$4:$U$803,$B47&amp;"|"&amp;AZ$5)=0,"",SUMIF('Competency Event Log'!$U$4:$U$803,$B47&amp;"|"&amp;AZ$5,'Competency Event Log'!$D$4:$D$803)))</f>
        <v/>
      </c>
      <c r="BA47" s="8" t="str">
        <f>IF($B47="","",IF(COUNTIF('Competency Event Log'!$U$4:$U$803,$B47&amp;"|"&amp;BA$5)=0,"",SUMIF('Competency Event Log'!$U$4:$U$803,$B47&amp;"|"&amp;BA$5,'Competency Event Log'!$D$4:$D$803)))</f>
        <v/>
      </c>
      <c r="BB47" s="8" t="str">
        <f>IF($B47="","",IF(COUNTIF('Competency Event Log'!$U$4:$U$803,$B47&amp;"|"&amp;BB$5)=0,"",SUMIF('Competency Event Log'!$U$4:$U$803,$B47&amp;"|"&amp;BB$5,'Competency Event Log'!$D$4:$D$803)))</f>
        <v/>
      </c>
      <c r="BC47" s="8" t="str">
        <f>IF($B47="","",IF(COUNTIF('Competency Event Log'!$U$4:$U$803,$B47&amp;"|"&amp;BC$5)=0,"",SUMIF('Competency Event Log'!$U$4:$U$803,$B47&amp;"|"&amp;BC$5,'Competency Event Log'!$D$4:$D$803)))</f>
        <v/>
      </c>
      <c r="BD47" s="8" t="str">
        <f>IF($B47="","",IF(COUNTIF('Competency Event Log'!$U$4:$U$803,$B47&amp;"|"&amp;BD$5)=0,"",SUMIF('Competency Event Log'!$U$4:$U$803,$B47&amp;"|"&amp;BD$5,'Competency Event Log'!$D$4:$D$803)))</f>
        <v/>
      </c>
      <c r="BE47" s="8" t="str">
        <f>IF($B47="","",IF(COUNTIF('Competency Event Log'!$U$4:$U$803,$B47&amp;"|"&amp;BE$5)=0,"",SUMIF('Competency Event Log'!$U$4:$U$803,$B47&amp;"|"&amp;BE$5,'Competency Event Log'!$D$4:$D$803)))</f>
        <v/>
      </c>
      <c r="BF47" s="8" t="str">
        <f>IF($B47="","",IF(COUNTIF('Competency Event Log'!$U$4:$U$803,$B47&amp;"|"&amp;BF$5)=0,"",SUMIF('Competency Event Log'!$U$4:$U$803,$B47&amp;"|"&amp;BF$5,'Competency Event Log'!$D$4:$D$803)))</f>
        <v/>
      </c>
      <c r="BG47" s="8" t="str">
        <f>IF($B47="","",IF(COUNTIF('Competency Event Log'!$U$4:$U$803,$B47&amp;"|"&amp;BG$5)=0,"",SUMIF('Competency Event Log'!$U$4:$U$803,$B47&amp;"|"&amp;BG$5,'Competency Event Log'!$D$4:$D$803)))</f>
        <v/>
      </c>
      <c r="BH47" s="8" t="str">
        <f>IF($B47="","",IF(COUNTIF('Competency Event Log'!$U$4:$U$803,$B47&amp;"|"&amp;BH$5)=0,"",SUMIF('Competency Event Log'!$U$4:$U$803,$B47&amp;"|"&amp;BH$5,'Competency Event Log'!$D$4:$D$803)))</f>
        <v/>
      </c>
      <c r="BI47" s="8" t="str">
        <f>IF($B47="","",IF(COUNTIF('Competency Event Log'!$U$4:$U$803,$B47&amp;"|"&amp;BI$5)=0,"",SUMIF('Competency Event Log'!$U$4:$U$803,$B47&amp;"|"&amp;BI$5,'Competency Event Log'!$D$4:$D$803)))</f>
        <v/>
      </c>
      <c r="BJ47" s="8" t="str">
        <f>IF($B47="","",IF(COUNTIF('Competency Event Log'!$U$4:$U$803,$B47&amp;"|"&amp;BJ$5)=0,"",SUMIF('Competency Event Log'!$U$4:$U$803,$B47&amp;"|"&amp;BJ$5,'Competency Event Log'!$D$4:$D$803)))</f>
        <v/>
      </c>
      <c r="BK47" s="8" t="str">
        <f>IF($B47="","",IF(COUNTIF('Competency Event Log'!$U$4:$U$803,$B47&amp;"|"&amp;BK$5)=0,"",SUMIF('Competency Event Log'!$U$4:$U$803,$B47&amp;"|"&amp;BK$5,'Competency Event Log'!$D$4:$D$803)))</f>
        <v/>
      </c>
      <c r="BL47" s="8" t="str">
        <f>IF($B47="","",IF(COUNTIF('Competency Event Log'!$U$4:$U$803,$B47&amp;"|"&amp;BL$5)=0,"",SUMIF('Competency Event Log'!$U$4:$U$803,$B47&amp;"|"&amp;BL$5,'Competency Event Log'!$D$4:$D$803)))</f>
        <v/>
      </c>
      <c r="BM47" s="8" t="str">
        <f>IF($B47="","",IF(COUNTIF('Competency Event Log'!$U$4:$U$803,$B47&amp;"|"&amp;BM$5)=0,"",SUMIF('Competency Event Log'!$U$4:$U$803,$B47&amp;"|"&amp;BM$5,'Competency Event Log'!$D$4:$D$803)))</f>
        <v/>
      </c>
      <c r="BN47" s="8" t="str">
        <f>IF($B47="","",IF(COUNTIF('Competency Event Log'!$U$4:$U$803,$B47&amp;"|"&amp;BN$5)=0,"",SUMIF('Competency Event Log'!$U$4:$U$803,$B47&amp;"|"&amp;BN$5,'Competency Event Log'!$D$4:$D$803)))</f>
        <v/>
      </c>
      <c r="BO47" s="8" t="str">
        <f>IF($B47="","",IF(COUNTIF('Competency Event Log'!$U$4:$U$803,$B47&amp;"|"&amp;BO$5)=0,"",SUMIF('Competency Event Log'!$U$4:$U$803,$B47&amp;"|"&amp;BO$5,'Competency Event Log'!$D$4:$D$803)))</f>
        <v/>
      </c>
      <c r="BP47" s="8" t="str">
        <f>IF($B47="","",IF(COUNTIF('Competency Event Log'!$U$4:$U$803,$B47&amp;"|"&amp;BP$5)=0,"",SUMIF('Competency Event Log'!$U$4:$U$803,$B47&amp;"|"&amp;BP$5,'Competency Event Log'!$D$4:$D$803)))</f>
        <v/>
      </c>
      <c r="BQ47" s="8" t="str">
        <f>IF($B47="","",IF(COUNTIF('Competency Event Log'!$U$4:$U$803,$B47&amp;"|"&amp;BQ$5)=0,"",SUMIF('Competency Event Log'!$U$4:$U$803,$B47&amp;"|"&amp;BQ$5,'Competency Event Log'!$D$4:$D$803)))</f>
        <v/>
      </c>
      <c r="BR47" s="8" t="str">
        <f>IF($B47="","",IF(COUNTIF('Competency Event Log'!$U$4:$U$803,$B47&amp;"|"&amp;BR$5)=0,"",SUMIF('Competency Event Log'!$U$4:$U$803,$B47&amp;"|"&amp;BR$5,'Competency Event Log'!$D$4:$D$803)))</f>
        <v/>
      </c>
      <c r="BS47" s="8" t="str">
        <f>IF($B47="","",IF(COUNTIF('Competency Event Log'!$U$4:$U$803,$B47&amp;"|"&amp;BS$5)=0,"",SUMIF('Competency Event Log'!$U$4:$U$803,$B47&amp;"|"&amp;BS$5,'Competency Event Log'!$D$4:$D$803)))</f>
        <v/>
      </c>
      <c r="BT47" s="8" t="str">
        <f>IF($B47="","",IF(COUNTIF('Competency Event Log'!$U$4:$U$803,$B47&amp;"|"&amp;BT$5)=0,"",SUMIF('Competency Event Log'!$U$4:$U$803,$B47&amp;"|"&amp;BT$5,'Competency Event Log'!$D$4:$D$803)))</f>
        <v/>
      </c>
      <c r="BU47" s="8" t="str">
        <f>IF($B47="","",IF(COUNTIF('Competency Event Log'!$U$4:$U$803,$B47&amp;"|"&amp;BU$5)=0,"",SUMIF('Competency Event Log'!$U$4:$U$803,$B47&amp;"|"&amp;BU$5,'Competency Event Log'!$D$4:$D$803)))</f>
        <v/>
      </c>
      <c r="BV47" s="8" t="str">
        <f>IF($B47="","",IF(COUNTIF('Competency Event Log'!$U$4:$U$803,$B47&amp;"|"&amp;BV$5)=0,"",SUMIF('Competency Event Log'!$U$4:$U$803,$B47&amp;"|"&amp;BV$5,'Competency Event Log'!$D$4:$D$803)))</f>
        <v/>
      </c>
      <c r="BW47" s="8" t="str">
        <f>IF($B47="","",IF(COUNTIF('Competency Event Log'!$U$4:$U$803,$B47&amp;"|"&amp;BW$5)=0,"",SUMIF('Competency Event Log'!$U$4:$U$803,$B47&amp;"|"&amp;BW$5,'Competency Event Log'!$D$4:$D$803)))</f>
        <v/>
      </c>
      <c r="BX47" s="8" t="str">
        <f>IF($B47="","",IF(COUNTIF('Competency Event Log'!$U$4:$U$803,$B47&amp;"|"&amp;BX$5)=0,"",SUMIF('Competency Event Log'!$U$4:$U$803,$B47&amp;"|"&amp;BX$5,'Competency Event Log'!$D$4:$D$803)))</f>
        <v/>
      </c>
      <c r="BY47" s="8" t="str">
        <f>IF($B47="","",IF(COUNTIF('Competency Event Log'!$U$4:$U$803,$B47&amp;"|"&amp;BY$5)=0,"",SUMIF('Competency Event Log'!$U$4:$U$803,$B47&amp;"|"&amp;BY$5,'Competency Event Log'!$D$4:$D$803)))</f>
        <v/>
      </c>
      <c r="BZ47" s="8" t="str">
        <f>IF($B47="","",IF(COUNTIF('Competency Event Log'!$U$4:$U$803,$B47&amp;"|"&amp;BZ$5)=0,"",SUMIF('Competency Event Log'!$U$4:$U$803,$B47&amp;"|"&amp;BZ$5,'Competency Event Log'!$D$4:$D$803)))</f>
        <v/>
      </c>
      <c r="CA47" s="8" t="str">
        <f>IF($B47="","",IF(COUNTIF('Competency Event Log'!$U$4:$U$803,$B47&amp;"|"&amp;CA$5)=0,"",SUMIF('Competency Event Log'!$U$4:$U$803,$B47&amp;"|"&amp;CA$5,'Competency Event Log'!$D$4:$D$803)))</f>
        <v/>
      </c>
      <c r="CB47" s="8" t="str">
        <f>IF($B47="","",IF(COUNTIF('Competency Event Log'!$U$4:$U$803,$B47&amp;"|"&amp;CB$5)=0,"",SUMIF('Competency Event Log'!$U$4:$U$803,$B47&amp;"|"&amp;CB$5,'Competency Event Log'!$D$4:$D$803)))</f>
        <v/>
      </c>
      <c r="CC47" s="8" t="str">
        <f>IF($B47="","",IF(COUNTIF('Competency Event Log'!$U$4:$U$803,$B47&amp;"|"&amp;CC$5)=0,"",SUMIF('Competency Event Log'!$U$4:$U$803,$B47&amp;"|"&amp;CC$5,'Competency Event Log'!$D$4:$D$803)))</f>
        <v/>
      </c>
      <c r="CD47" s="8" t="str">
        <f>IF($B47="","",IF(COUNTIF('Competency Event Log'!$U$4:$U$803,$B47&amp;"|"&amp;CD$5)=0,"",SUMIF('Competency Event Log'!$U$4:$U$803,$B47&amp;"|"&amp;CD$5,'Competency Event Log'!$D$4:$D$803)))</f>
        <v/>
      </c>
      <c r="CE47" s="8" t="str">
        <f>IF($B47="","",IF(COUNTIF('Competency Event Log'!$U$4:$U$803,$B47&amp;"|"&amp;CE$5)=0,"",SUMIF('Competency Event Log'!$U$4:$U$803,$B47&amp;"|"&amp;CE$5,'Competency Event Log'!$D$4:$D$803)))</f>
        <v/>
      </c>
      <c r="CF47" s="8" t="str">
        <f>IF($B47="","",IF(COUNTIF('Competency Event Log'!$U$4:$U$803,$B47&amp;"|"&amp;CF$5)=0,"",SUMIF('Competency Event Log'!$U$4:$U$803,$B47&amp;"|"&amp;CF$5,'Competency Event Log'!$D$4:$D$803)))</f>
        <v/>
      </c>
      <c r="CG47" s="8" t="str">
        <f>IF($B47="","",IF(COUNTIF('Competency Event Log'!$U$4:$U$803,$B47&amp;"|"&amp;CG$5)=0,"",SUMIF('Competency Event Log'!$U$4:$U$803,$B47&amp;"|"&amp;CG$5,'Competency Event Log'!$D$4:$D$803)))</f>
        <v/>
      </c>
      <c r="CH47" s="8" t="str">
        <f>IF($B47="","",IF(COUNTIF('Competency Event Log'!$U$4:$U$803,$B47&amp;"|"&amp;CH$5)=0,"",SUMIF('Competency Event Log'!$U$4:$U$803,$B47&amp;"|"&amp;CH$5,'Competency Event Log'!$D$4:$D$803)))</f>
        <v/>
      </c>
      <c r="CI47" s="8" t="str">
        <f>IF($B47="","",IF(COUNTIF('Competency Event Log'!$U$4:$U$803,$B47&amp;"|"&amp;CI$5)=0,"",SUMIF('Competency Event Log'!$U$4:$U$803,$B47&amp;"|"&amp;CI$5,'Competency Event Log'!$D$4:$D$803)))</f>
        <v/>
      </c>
      <c r="CJ47" s="8" t="str">
        <f>IF($B47="","",IF(COUNTIF('Competency Event Log'!$U$4:$U$803,$B47&amp;"|"&amp;CJ$5)=0,"",SUMIF('Competency Event Log'!$U$4:$U$803,$B47&amp;"|"&amp;CJ$5,'Competency Event Log'!$D$4:$D$803)))</f>
        <v/>
      </c>
      <c r="CK47" s="8" t="str">
        <f>IF($B47="","",IF(COUNTIF('Competency Event Log'!$U$4:$U$803,$B47&amp;"|"&amp;CK$5)=0,"",SUMIF('Competency Event Log'!$U$4:$U$803,$B47&amp;"|"&amp;CK$5,'Competency Event Log'!$D$4:$D$803)))</f>
        <v/>
      </c>
      <c r="CL47" s="8" t="str">
        <f>IF($B47="","",IF(COUNTIF('Competency Event Log'!$U$4:$U$803,$B47&amp;"|"&amp;CL$5)=0,"",SUMIF('Competency Event Log'!$U$4:$U$803,$B47&amp;"|"&amp;CL$5,'Competency Event Log'!$D$4:$D$803)))</f>
        <v/>
      </c>
      <c r="CM47" s="8" t="str">
        <f>IF($B47="","",IF(COUNTIF('Competency Event Log'!$U$4:$U$803,$B47&amp;"|"&amp;CM$5)=0,"",SUMIF('Competency Event Log'!$U$4:$U$803,$B47&amp;"|"&amp;CM$5,'Competency Event Log'!$D$4:$D$803)))</f>
        <v/>
      </c>
      <c r="CN47" s="8" t="str">
        <f>IF($B47="","",IF(COUNTIF('Competency Event Log'!$U$4:$U$803,$B47&amp;"|"&amp;CN$5)=0,"",SUMIF('Competency Event Log'!$U$4:$U$803,$B47&amp;"|"&amp;CN$5,'Competency Event Log'!$D$4:$D$803)))</f>
        <v/>
      </c>
      <c r="CO47" s="8" t="str">
        <f>IF($B47="","",IF(COUNTIF('Competency Event Log'!$U$4:$U$803,$B47&amp;"|"&amp;CO$5)=0,"",SUMIF('Competency Event Log'!$U$4:$U$803,$B47&amp;"|"&amp;CO$5,'Competency Event Log'!$D$4:$D$803)))</f>
        <v/>
      </c>
      <c r="CP47" s="8" t="str">
        <f>IF($B47="","",IF(COUNTIF('Competency Event Log'!$U$4:$U$803,$B47&amp;"|"&amp;CP$5)=0,"",SUMIF('Competency Event Log'!$U$4:$U$803,$B47&amp;"|"&amp;CP$5,'Competency Event Log'!$D$4:$D$803)))</f>
        <v/>
      </c>
      <c r="CQ47" s="8" t="str">
        <f>IF($B47="","",IF(COUNTIF('Competency Event Log'!$U$4:$U$803,$B47&amp;"|"&amp;CQ$5)=0,"",SUMIF('Competency Event Log'!$U$4:$U$803,$B47&amp;"|"&amp;CQ$5,'Competency Event Log'!$D$4:$D$803)))</f>
        <v/>
      </c>
      <c r="CR47" s="8" t="str">
        <f>IF($B47="","",IF(COUNTIF('Competency Event Log'!$U$4:$U$803,$B47&amp;"|"&amp;CR$5)=0,"",SUMIF('Competency Event Log'!$U$4:$U$803,$B47&amp;"|"&amp;CR$5,'Competency Event Log'!$D$4:$D$803)))</f>
        <v/>
      </c>
      <c r="CS47" s="8" t="str">
        <f>IF($B47="","",IF(COUNTIF('Competency Event Log'!$U$4:$U$803,$B47&amp;"|"&amp;CS$5)=0,"",SUMIF('Competency Event Log'!$U$4:$U$803,$B47&amp;"|"&amp;CS$5,'Competency Event Log'!$D$4:$D$803)))</f>
        <v/>
      </c>
      <c r="CT47" s="8" t="str">
        <f>IF($B47="","",IF(COUNTIF('Competency Event Log'!$U$4:$U$803,$B47&amp;"|"&amp;CT$5)=0,"",SUMIF('Competency Event Log'!$U$4:$U$803,$B47&amp;"|"&amp;CT$5,'Competency Event Log'!$D$4:$D$803)))</f>
        <v/>
      </c>
      <c r="CU47" s="8" t="str">
        <f>IF($B47="","",IF(COUNTIF('Competency Event Log'!$U$4:$U$803,$B47&amp;"|"&amp;CU$5)=0,"",SUMIF('Competency Event Log'!$U$4:$U$803,$B47&amp;"|"&amp;CU$5,'Competency Event Log'!$D$4:$D$803)))</f>
        <v/>
      </c>
      <c r="CV47" s="8" t="str">
        <f>IF($B47="","",IF(COUNTIF('Competency Event Log'!$U$4:$U$803,$B47&amp;"|"&amp;CV$5)=0,"",SUMIF('Competency Event Log'!$U$4:$U$803,$B47&amp;"|"&amp;CV$5,'Competency Event Log'!$D$4:$D$803)))</f>
        <v/>
      </c>
      <c r="CW47" s="8" t="str">
        <f>IF($B47="","",IF(COUNTIF('Competency Event Log'!$U$4:$U$803,$B47&amp;"|"&amp;CW$5)=0,"",SUMIF('Competency Event Log'!$U$4:$U$803,$B47&amp;"|"&amp;CW$5,'Competency Event Log'!$D$4:$D$803)))</f>
        <v/>
      </c>
      <c r="CX47" s="8" t="str">
        <f>IF($B47="","",IF(COUNTIF('Competency Event Log'!$U$4:$U$803,$B47&amp;"|"&amp;CX$5)=0,"",SUMIF('Competency Event Log'!$U$4:$U$803,$B47&amp;"|"&amp;CX$5,'Competency Event Log'!$D$4:$D$803)))</f>
        <v/>
      </c>
      <c r="CY47" s="8" t="str">
        <f>IF($B47="","",IF(COUNTIF('Competency Event Log'!$U$4:$U$803,$B47&amp;"|"&amp;CY$5)=0,"",SUMIF('Competency Event Log'!$U$4:$U$803,$B47&amp;"|"&amp;CY$5,'Competency Event Log'!$D$4:$D$803)))</f>
        <v/>
      </c>
      <c r="CZ47" s="8" t="str">
        <f>IF($B47="","",IF(COUNTIF('Competency Event Log'!$U$4:$U$803,$B47&amp;"|"&amp;CZ$5)=0,"",SUMIF('Competency Event Log'!$U$4:$U$803,$B47&amp;"|"&amp;CZ$5,'Competency Event Log'!$D$4:$D$803)))</f>
        <v/>
      </c>
      <c r="DA47" s="8" t="str">
        <f>IF($B47="","",IF(COUNTIF('Competency Event Log'!$U$4:$U$803,$B47&amp;"|"&amp;DA$5)=0,"",SUMIF('Competency Event Log'!$U$4:$U$803,$B47&amp;"|"&amp;DA$5,'Competency Event Log'!$D$4:$D$803)))</f>
        <v/>
      </c>
      <c r="DB47" s="8" t="str">
        <f>IF($B47="","",IF(COUNTIF('Competency Event Log'!$U$4:$U$803,$B47&amp;"|"&amp;DB$5)=0,"",SUMIF('Competency Event Log'!$U$4:$U$803,$B47&amp;"|"&amp;DB$5,'Competency Event Log'!$D$4:$D$803)))</f>
        <v/>
      </c>
      <c r="DC47" s="8" t="str">
        <f>IF($B47="","",IF(COUNTIF('Competency Event Log'!$U$4:$U$803,$B47&amp;"|"&amp;DC$5)=0,"",SUMIF('Competency Event Log'!$U$4:$U$803,$B47&amp;"|"&amp;DC$5,'Competency Event Log'!$D$4:$D$803)))</f>
        <v/>
      </c>
      <c r="DD47" s="8" t="str">
        <f>IF($B47="","",IF(COUNTIF('Competency Event Log'!$U$4:$U$803,$B47&amp;"|"&amp;DD$5)=0,"",SUMIF('Competency Event Log'!$U$4:$U$803,$B47&amp;"|"&amp;DD$5,'Competency Event Log'!$D$4:$D$803)))</f>
        <v/>
      </c>
      <c r="DE47" s="8" t="str">
        <f>IF($B47="","",IF(COUNTIF('Competency Event Log'!$U$4:$U$803,$B47&amp;"|"&amp;DE$5)=0,"",SUMIF('Competency Event Log'!$U$4:$U$803,$B47&amp;"|"&amp;DE$5,'Competency Event Log'!$D$4:$D$803)))</f>
        <v/>
      </c>
      <c r="DF47" s="8" t="str">
        <f t="shared" si="4"/>
        <v/>
      </c>
      <c r="DG47" s="8" t="str">
        <f t="shared" si="5"/>
        <v/>
      </c>
      <c r="DH47" s="8" t="str">
        <f t="shared" si="6"/>
        <v/>
      </c>
      <c r="DI47" s="11" t="str">
        <f t="shared" si="7"/>
        <v/>
      </c>
    </row>
    <row r="48" spans="1:113">
      <c r="A48" s="7"/>
      <c r="B48" s="7"/>
      <c r="C48" s="8"/>
      <c r="D48" s="9"/>
      <c r="E48" s="10"/>
      <c r="F48" s="8"/>
      <c r="G48" s="8" t="str">
        <f>IF($B48="","",IF(COUNTIF('Competency Event Log'!$U$4:$U$803,$B48&amp;"|"&amp;G$5)=0,"",SUMIF('Competency Event Log'!$U$4:$U$803,$B48&amp;"|"&amp;G$5,'Competency Event Log'!$D$4:$D$803)))</f>
        <v/>
      </c>
      <c r="H48" s="8" t="str">
        <f>IF($B48="","",IF(COUNTIF('Competency Event Log'!$U$4:$U$803,$B48&amp;"|"&amp;H$5)=0,"",SUMIF('Competency Event Log'!$U$4:$U$803,$B48&amp;"|"&amp;H$5,'Competency Event Log'!$D$4:$D$803)))</f>
        <v/>
      </c>
      <c r="I48" s="8" t="str">
        <f>IF($B48="","",IF(COUNTIF('Competency Event Log'!$U$4:$U$803,$B48&amp;"|"&amp;I$5)=0,"",SUMIF('Competency Event Log'!$U$4:$U$803,$B48&amp;"|"&amp;I$5,'Competency Event Log'!$D$4:$D$803)))</f>
        <v/>
      </c>
      <c r="J48" s="8" t="str">
        <f>IF($B48="","",IF(COUNTIF('Competency Event Log'!$U$4:$U$803,$B48&amp;"|"&amp;J$5)=0,"",SUMIF('Competency Event Log'!$U$4:$U$803,$B48&amp;"|"&amp;J$5,'Competency Event Log'!$D$4:$D$803)))</f>
        <v/>
      </c>
      <c r="K48" s="8" t="str">
        <f>IF($B48="","",IF(COUNTIF('Competency Event Log'!$U$4:$U$803,$B48&amp;"|"&amp;K$5)=0,"",SUMIF('Competency Event Log'!$U$4:$U$803,$B48&amp;"|"&amp;K$5,'Competency Event Log'!$D$4:$D$803)))</f>
        <v/>
      </c>
      <c r="L48" s="8" t="str">
        <f>IF($B48="","",IF(COUNTIF('Competency Event Log'!$U$4:$U$803,$B48&amp;"|"&amp;L$5)=0,"",SUMIF('Competency Event Log'!$U$4:$U$803,$B48&amp;"|"&amp;L$5,'Competency Event Log'!$D$4:$D$803)))</f>
        <v/>
      </c>
      <c r="M48" s="8" t="str">
        <f>IF($B48="","",IF(COUNTIF('Competency Event Log'!$U$4:$U$803,$B48&amp;"|"&amp;M$5)=0,"",SUMIF('Competency Event Log'!$U$4:$U$803,$B48&amp;"|"&amp;M$5,'Competency Event Log'!$D$4:$D$803)))</f>
        <v/>
      </c>
      <c r="N48" s="8" t="str">
        <f>IF($B48="","",IF(COUNTIF('Competency Event Log'!$U$4:$U$803,$B48&amp;"|"&amp;N$5)=0,"",SUMIF('Competency Event Log'!$U$4:$U$803,$B48&amp;"|"&amp;N$5,'Competency Event Log'!$D$4:$D$803)))</f>
        <v/>
      </c>
      <c r="O48" s="8" t="str">
        <f>IF($B48="","",IF(COUNTIF('Competency Event Log'!$U$4:$U$803,$B48&amp;"|"&amp;O$5)=0,"",SUMIF('Competency Event Log'!$U$4:$U$803,$B48&amp;"|"&amp;O$5,'Competency Event Log'!$D$4:$D$803)))</f>
        <v/>
      </c>
      <c r="P48" s="8" t="str">
        <f>IF($B48="","",IF(COUNTIF('Competency Event Log'!$U$4:$U$803,$B48&amp;"|"&amp;P$5)=0,"",SUMIF('Competency Event Log'!$U$4:$U$803,$B48&amp;"|"&amp;P$5,'Competency Event Log'!$D$4:$D$803)))</f>
        <v/>
      </c>
      <c r="Q48" s="8" t="str">
        <f>IF($B48="","",IF(COUNTIF('Competency Event Log'!$U$4:$U$803,$B48&amp;"|"&amp;Q$5)=0,"",SUMIF('Competency Event Log'!$U$4:$U$803,$B48&amp;"|"&amp;Q$5,'Competency Event Log'!$D$4:$D$803)))</f>
        <v/>
      </c>
      <c r="R48" s="8" t="str">
        <f>IF($B48="","",IF(COUNTIF('Competency Event Log'!$U$4:$U$803,$B48&amp;"|"&amp;R$5)=0,"",SUMIF('Competency Event Log'!$U$4:$U$803,$B48&amp;"|"&amp;R$5,'Competency Event Log'!$D$4:$D$803)))</f>
        <v/>
      </c>
      <c r="S48" s="8" t="str">
        <f>IF($B48="","",IF(COUNTIF('Competency Event Log'!$U$4:$U$803,$B48&amp;"|"&amp;S$5)=0,"",SUMIF('Competency Event Log'!$U$4:$U$803,$B48&amp;"|"&amp;S$5,'Competency Event Log'!$D$4:$D$803)))</f>
        <v/>
      </c>
      <c r="T48" s="8" t="str">
        <f>IF($B48="","",IF(COUNTIF('Competency Event Log'!$U$4:$U$803,$B48&amp;"|"&amp;T$5)=0,"",SUMIF('Competency Event Log'!$U$4:$U$803,$B48&amp;"|"&amp;T$5,'Competency Event Log'!$D$4:$D$803)))</f>
        <v/>
      </c>
      <c r="U48" s="8" t="str">
        <f>IF($B48="","",IF(COUNTIF('Competency Event Log'!$U$4:$U$803,$B48&amp;"|"&amp;U$5)=0,"",SUMIF('Competency Event Log'!$U$4:$U$803,$B48&amp;"|"&amp;U$5,'Competency Event Log'!$D$4:$D$803)))</f>
        <v/>
      </c>
      <c r="V48" s="8" t="str">
        <f>IF($B48="","",IF(COUNTIF('Competency Event Log'!$U$4:$U$803,$B48&amp;"|"&amp;V$5)=0,"",SUMIF('Competency Event Log'!$U$4:$U$803,$B48&amp;"|"&amp;V$5,'Competency Event Log'!$D$4:$D$803)))</f>
        <v/>
      </c>
      <c r="W48" s="8" t="str">
        <f>IF($B48="","",IF(COUNTIF('Competency Event Log'!$U$4:$U$803,$B48&amp;"|"&amp;W$5)=0,"",SUMIF('Competency Event Log'!$U$4:$U$803,$B48&amp;"|"&amp;W$5,'Competency Event Log'!$D$4:$D$803)))</f>
        <v/>
      </c>
      <c r="X48" s="8" t="str">
        <f>IF($B48="","",IF(COUNTIF('Competency Event Log'!$U$4:$U$803,$B48&amp;"|"&amp;X$5)=0,"",SUMIF('Competency Event Log'!$U$4:$U$803,$B48&amp;"|"&amp;X$5,'Competency Event Log'!$D$4:$D$803)))</f>
        <v/>
      </c>
      <c r="Y48" s="8" t="str">
        <f>IF($B48="","",IF(COUNTIF('Competency Event Log'!$U$4:$U$803,$B48&amp;"|"&amp;Y$5)=0,"",SUMIF('Competency Event Log'!$U$4:$U$803,$B48&amp;"|"&amp;Y$5,'Competency Event Log'!$D$4:$D$803)))</f>
        <v/>
      </c>
      <c r="Z48" s="8" t="str">
        <f>IF($B48="","",IF(COUNTIF('Competency Event Log'!$U$4:$U$803,$B48&amp;"|"&amp;Z$5)=0,"",SUMIF('Competency Event Log'!$U$4:$U$803,$B48&amp;"|"&amp;Z$5,'Competency Event Log'!$D$4:$D$803)))</f>
        <v/>
      </c>
      <c r="AA48" s="8" t="str">
        <f>IF($B48="","",IF(COUNTIF('Competency Event Log'!$U$4:$U$803,$B48&amp;"|"&amp;AA$5)=0,"",SUMIF('Competency Event Log'!$U$4:$U$803,$B48&amp;"|"&amp;AA$5,'Competency Event Log'!$D$4:$D$803)))</f>
        <v/>
      </c>
      <c r="AB48" s="8" t="str">
        <f>IF($B48="","",IF(COUNTIF('Competency Event Log'!$U$4:$U$803,$B48&amp;"|"&amp;AB$5)=0,"",SUMIF('Competency Event Log'!$U$4:$U$803,$B48&amp;"|"&amp;AB$5,'Competency Event Log'!$D$4:$D$803)))</f>
        <v/>
      </c>
      <c r="AC48" s="8" t="str">
        <f>IF($B48="","",IF(COUNTIF('Competency Event Log'!$U$4:$U$803,$B48&amp;"|"&amp;AC$5)=0,"",SUMIF('Competency Event Log'!$U$4:$U$803,$B48&amp;"|"&amp;AC$5,'Competency Event Log'!$D$4:$D$803)))</f>
        <v/>
      </c>
      <c r="AD48" s="8" t="str">
        <f>IF($B48="","",IF(COUNTIF('Competency Event Log'!$U$4:$U$803,$B48&amp;"|"&amp;AD$5)=0,"",SUMIF('Competency Event Log'!$U$4:$U$803,$B48&amp;"|"&amp;AD$5,'Competency Event Log'!$D$4:$D$803)))</f>
        <v/>
      </c>
      <c r="AE48" s="8" t="str">
        <f>IF($B48="","",IF(COUNTIF('Competency Event Log'!$U$4:$U$803,$B48&amp;"|"&amp;AE$5)=0,"",SUMIF('Competency Event Log'!$U$4:$U$803,$B48&amp;"|"&amp;AE$5,'Competency Event Log'!$D$4:$D$803)))</f>
        <v/>
      </c>
      <c r="AF48" s="8" t="str">
        <f>IF($B48="","",IF(COUNTIF('Competency Event Log'!$U$4:$U$803,$B48&amp;"|"&amp;AF$5)=0,"",SUMIF('Competency Event Log'!$U$4:$U$803,$B48&amp;"|"&amp;AF$5,'Competency Event Log'!$D$4:$D$803)))</f>
        <v/>
      </c>
      <c r="AG48" s="8" t="str">
        <f>IF($B48="","",IF(COUNTIF('Competency Event Log'!$U$4:$U$803,$B48&amp;"|"&amp;AG$5)=0,"",SUMIF('Competency Event Log'!$U$4:$U$803,$B48&amp;"|"&amp;AG$5,'Competency Event Log'!$D$4:$D$803)))</f>
        <v/>
      </c>
      <c r="AH48" s="8" t="str">
        <f>IF($B48="","",IF(COUNTIF('Competency Event Log'!$U$4:$U$803,$B48&amp;"|"&amp;AH$5)=0,"",SUMIF('Competency Event Log'!$U$4:$U$803,$B48&amp;"|"&amp;AH$5,'Competency Event Log'!$D$4:$D$803)))</f>
        <v/>
      </c>
      <c r="AI48" s="8" t="str">
        <f>IF($B48="","",IF(COUNTIF('Competency Event Log'!$U$4:$U$803,$B48&amp;"|"&amp;AI$5)=0,"",SUMIF('Competency Event Log'!$U$4:$U$803,$B48&amp;"|"&amp;AI$5,'Competency Event Log'!$D$4:$D$803)))</f>
        <v/>
      </c>
      <c r="AJ48" s="8" t="str">
        <f>IF($B48="","",IF(COUNTIF('Competency Event Log'!$U$4:$U$803,$B48&amp;"|"&amp;AJ$5)=0,"",SUMIF('Competency Event Log'!$U$4:$U$803,$B48&amp;"|"&amp;AJ$5,'Competency Event Log'!$D$4:$D$803)))</f>
        <v/>
      </c>
      <c r="AK48" s="8" t="str">
        <f>IF($B48="","",IF(COUNTIF('Competency Event Log'!$U$4:$U$803,$B48&amp;"|"&amp;AK$5)=0,"",SUMIF('Competency Event Log'!$U$4:$U$803,$B48&amp;"|"&amp;AK$5,'Competency Event Log'!$D$4:$D$803)))</f>
        <v/>
      </c>
      <c r="AL48" s="8" t="str">
        <f>IF($B48="","",IF(COUNTIF('Competency Event Log'!$U$4:$U$803,$B48&amp;"|"&amp;AL$5)=0,"",SUMIF('Competency Event Log'!$U$4:$U$803,$B48&amp;"|"&amp;AL$5,'Competency Event Log'!$D$4:$D$803)))</f>
        <v/>
      </c>
      <c r="AM48" s="8" t="str">
        <f>IF($B48="","",IF(COUNTIF('Competency Event Log'!$U$4:$U$803,$B48&amp;"|"&amp;AM$5)=0,"",SUMIF('Competency Event Log'!$U$4:$U$803,$B48&amp;"|"&amp;AM$5,'Competency Event Log'!$D$4:$D$803)))</f>
        <v/>
      </c>
      <c r="AN48" s="8" t="str">
        <f>IF($B48="","",IF(COUNTIF('Competency Event Log'!$U$4:$U$803,$B48&amp;"|"&amp;AN$5)=0,"",SUMIF('Competency Event Log'!$U$4:$U$803,$B48&amp;"|"&amp;AN$5,'Competency Event Log'!$D$4:$D$803)))</f>
        <v/>
      </c>
      <c r="AO48" s="8" t="str">
        <f>IF($B48="","",IF(COUNTIF('Competency Event Log'!$U$4:$U$803,$B48&amp;"|"&amp;AO$5)=0,"",SUMIF('Competency Event Log'!$U$4:$U$803,$B48&amp;"|"&amp;AO$5,'Competency Event Log'!$D$4:$D$803)))</f>
        <v/>
      </c>
      <c r="AP48" s="8" t="str">
        <f>IF($B48="","",IF(COUNTIF('Competency Event Log'!$U$4:$U$803,$B48&amp;"|"&amp;AP$5)=0,"",SUMIF('Competency Event Log'!$U$4:$U$803,$B48&amp;"|"&amp;AP$5,'Competency Event Log'!$D$4:$D$803)))</f>
        <v/>
      </c>
      <c r="AQ48" s="8" t="str">
        <f>IF($B48="","",IF(COUNTIF('Competency Event Log'!$U$4:$U$803,$B48&amp;"|"&amp;AQ$5)=0,"",SUMIF('Competency Event Log'!$U$4:$U$803,$B48&amp;"|"&amp;AQ$5,'Competency Event Log'!$D$4:$D$803)))</f>
        <v/>
      </c>
      <c r="AR48" s="8" t="str">
        <f>IF($B48="","",IF(COUNTIF('Competency Event Log'!$U$4:$U$803,$B48&amp;"|"&amp;AR$5)=0,"",SUMIF('Competency Event Log'!$U$4:$U$803,$B48&amp;"|"&amp;AR$5,'Competency Event Log'!$D$4:$D$803)))</f>
        <v/>
      </c>
      <c r="AS48" s="8" t="str">
        <f>IF($B48="","",IF(COUNTIF('Competency Event Log'!$U$4:$U$803,$B48&amp;"|"&amp;AS$5)=0,"",SUMIF('Competency Event Log'!$U$4:$U$803,$B48&amp;"|"&amp;AS$5,'Competency Event Log'!$D$4:$D$803)))</f>
        <v/>
      </c>
      <c r="AT48" s="8" t="str">
        <f>IF($B48="","",IF(COUNTIF('Competency Event Log'!$U$4:$U$803,$B48&amp;"|"&amp;AT$5)=0,"",SUMIF('Competency Event Log'!$U$4:$U$803,$B48&amp;"|"&amp;AT$5,'Competency Event Log'!$D$4:$D$803)))</f>
        <v/>
      </c>
      <c r="AU48" s="8" t="str">
        <f>IF($B48="","",IF(COUNTIF('Competency Event Log'!$U$4:$U$803,$B48&amp;"|"&amp;AU$5)=0,"",SUMIF('Competency Event Log'!$U$4:$U$803,$B48&amp;"|"&amp;AU$5,'Competency Event Log'!$D$4:$D$803)))</f>
        <v/>
      </c>
      <c r="AV48" s="8" t="str">
        <f>IF($B48="","",IF(COUNTIF('Competency Event Log'!$U$4:$U$803,$B48&amp;"|"&amp;AV$5)=0,"",SUMIF('Competency Event Log'!$U$4:$U$803,$B48&amp;"|"&amp;AV$5,'Competency Event Log'!$D$4:$D$803)))</f>
        <v/>
      </c>
      <c r="AW48" s="8" t="str">
        <f>IF($B48="","",IF(COUNTIF('Competency Event Log'!$U$4:$U$803,$B48&amp;"|"&amp;AW$5)=0,"",SUMIF('Competency Event Log'!$U$4:$U$803,$B48&amp;"|"&amp;AW$5,'Competency Event Log'!$D$4:$D$803)))</f>
        <v/>
      </c>
      <c r="AX48" s="8" t="str">
        <f>IF($B48="","",IF(COUNTIF('Competency Event Log'!$U$4:$U$803,$B48&amp;"|"&amp;AX$5)=0,"",SUMIF('Competency Event Log'!$U$4:$U$803,$B48&amp;"|"&amp;AX$5,'Competency Event Log'!$D$4:$D$803)))</f>
        <v/>
      </c>
      <c r="AY48" s="8" t="str">
        <f>IF($B48="","",IF(COUNTIF('Competency Event Log'!$U$4:$U$803,$B48&amp;"|"&amp;AY$5)=0,"",SUMIF('Competency Event Log'!$U$4:$U$803,$B48&amp;"|"&amp;AY$5,'Competency Event Log'!$D$4:$D$803)))</f>
        <v/>
      </c>
      <c r="AZ48" s="8" t="str">
        <f>IF($B48="","",IF(COUNTIF('Competency Event Log'!$U$4:$U$803,$B48&amp;"|"&amp;AZ$5)=0,"",SUMIF('Competency Event Log'!$U$4:$U$803,$B48&amp;"|"&amp;AZ$5,'Competency Event Log'!$D$4:$D$803)))</f>
        <v/>
      </c>
      <c r="BA48" s="8" t="str">
        <f>IF($B48="","",IF(COUNTIF('Competency Event Log'!$U$4:$U$803,$B48&amp;"|"&amp;BA$5)=0,"",SUMIF('Competency Event Log'!$U$4:$U$803,$B48&amp;"|"&amp;BA$5,'Competency Event Log'!$D$4:$D$803)))</f>
        <v/>
      </c>
      <c r="BB48" s="8" t="str">
        <f>IF($B48="","",IF(COUNTIF('Competency Event Log'!$U$4:$U$803,$B48&amp;"|"&amp;BB$5)=0,"",SUMIF('Competency Event Log'!$U$4:$U$803,$B48&amp;"|"&amp;BB$5,'Competency Event Log'!$D$4:$D$803)))</f>
        <v/>
      </c>
      <c r="BC48" s="8" t="str">
        <f>IF($B48="","",IF(COUNTIF('Competency Event Log'!$U$4:$U$803,$B48&amp;"|"&amp;BC$5)=0,"",SUMIF('Competency Event Log'!$U$4:$U$803,$B48&amp;"|"&amp;BC$5,'Competency Event Log'!$D$4:$D$803)))</f>
        <v/>
      </c>
      <c r="BD48" s="8" t="str">
        <f>IF($B48="","",IF(COUNTIF('Competency Event Log'!$U$4:$U$803,$B48&amp;"|"&amp;BD$5)=0,"",SUMIF('Competency Event Log'!$U$4:$U$803,$B48&amp;"|"&amp;BD$5,'Competency Event Log'!$D$4:$D$803)))</f>
        <v/>
      </c>
      <c r="BE48" s="8" t="str">
        <f>IF($B48="","",IF(COUNTIF('Competency Event Log'!$U$4:$U$803,$B48&amp;"|"&amp;BE$5)=0,"",SUMIF('Competency Event Log'!$U$4:$U$803,$B48&amp;"|"&amp;BE$5,'Competency Event Log'!$D$4:$D$803)))</f>
        <v/>
      </c>
      <c r="BF48" s="8" t="str">
        <f>IF($B48="","",IF(COUNTIF('Competency Event Log'!$U$4:$U$803,$B48&amp;"|"&amp;BF$5)=0,"",SUMIF('Competency Event Log'!$U$4:$U$803,$B48&amp;"|"&amp;BF$5,'Competency Event Log'!$D$4:$D$803)))</f>
        <v/>
      </c>
      <c r="BG48" s="8" t="str">
        <f>IF($B48="","",IF(COUNTIF('Competency Event Log'!$U$4:$U$803,$B48&amp;"|"&amp;BG$5)=0,"",SUMIF('Competency Event Log'!$U$4:$U$803,$B48&amp;"|"&amp;BG$5,'Competency Event Log'!$D$4:$D$803)))</f>
        <v/>
      </c>
      <c r="BH48" s="8" t="str">
        <f>IF($B48="","",IF(COUNTIF('Competency Event Log'!$U$4:$U$803,$B48&amp;"|"&amp;BH$5)=0,"",SUMIF('Competency Event Log'!$U$4:$U$803,$B48&amp;"|"&amp;BH$5,'Competency Event Log'!$D$4:$D$803)))</f>
        <v/>
      </c>
      <c r="BI48" s="8" t="str">
        <f>IF($B48="","",IF(COUNTIF('Competency Event Log'!$U$4:$U$803,$B48&amp;"|"&amp;BI$5)=0,"",SUMIF('Competency Event Log'!$U$4:$U$803,$B48&amp;"|"&amp;BI$5,'Competency Event Log'!$D$4:$D$803)))</f>
        <v/>
      </c>
      <c r="BJ48" s="8" t="str">
        <f>IF($B48="","",IF(COUNTIF('Competency Event Log'!$U$4:$U$803,$B48&amp;"|"&amp;BJ$5)=0,"",SUMIF('Competency Event Log'!$U$4:$U$803,$B48&amp;"|"&amp;BJ$5,'Competency Event Log'!$D$4:$D$803)))</f>
        <v/>
      </c>
      <c r="BK48" s="8" t="str">
        <f>IF($B48="","",IF(COUNTIF('Competency Event Log'!$U$4:$U$803,$B48&amp;"|"&amp;BK$5)=0,"",SUMIF('Competency Event Log'!$U$4:$U$803,$B48&amp;"|"&amp;BK$5,'Competency Event Log'!$D$4:$D$803)))</f>
        <v/>
      </c>
      <c r="BL48" s="8" t="str">
        <f>IF($B48="","",IF(COUNTIF('Competency Event Log'!$U$4:$U$803,$B48&amp;"|"&amp;BL$5)=0,"",SUMIF('Competency Event Log'!$U$4:$U$803,$B48&amp;"|"&amp;BL$5,'Competency Event Log'!$D$4:$D$803)))</f>
        <v/>
      </c>
      <c r="BM48" s="8" t="str">
        <f>IF($B48="","",IF(COUNTIF('Competency Event Log'!$U$4:$U$803,$B48&amp;"|"&amp;BM$5)=0,"",SUMIF('Competency Event Log'!$U$4:$U$803,$B48&amp;"|"&amp;BM$5,'Competency Event Log'!$D$4:$D$803)))</f>
        <v/>
      </c>
      <c r="BN48" s="8" t="str">
        <f>IF($B48="","",IF(COUNTIF('Competency Event Log'!$U$4:$U$803,$B48&amp;"|"&amp;BN$5)=0,"",SUMIF('Competency Event Log'!$U$4:$U$803,$B48&amp;"|"&amp;BN$5,'Competency Event Log'!$D$4:$D$803)))</f>
        <v/>
      </c>
      <c r="BO48" s="8" t="str">
        <f>IF($B48="","",IF(COUNTIF('Competency Event Log'!$U$4:$U$803,$B48&amp;"|"&amp;BO$5)=0,"",SUMIF('Competency Event Log'!$U$4:$U$803,$B48&amp;"|"&amp;BO$5,'Competency Event Log'!$D$4:$D$803)))</f>
        <v/>
      </c>
      <c r="BP48" s="8" t="str">
        <f>IF($B48="","",IF(COUNTIF('Competency Event Log'!$U$4:$U$803,$B48&amp;"|"&amp;BP$5)=0,"",SUMIF('Competency Event Log'!$U$4:$U$803,$B48&amp;"|"&amp;BP$5,'Competency Event Log'!$D$4:$D$803)))</f>
        <v/>
      </c>
      <c r="BQ48" s="8" t="str">
        <f>IF($B48="","",IF(COUNTIF('Competency Event Log'!$U$4:$U$803,$B48&amp;"|"&amp;BQ$5)=0,"",SUMIF('Competency Event Log'!$U$4:$U$803,$B48&amp;"|"&amp;BQ$5,'Competency Event Log'!$D$4:$D$803)))</f>
        <v/>
      </c>
      <c r="BR48" s="8" t="str">
        <f>IF($B48="","",IF(COUNTIF('Competency Event Log'!$U$4:$U$803,$B48&amp;"|"&amp;BR$5)=0,"",SUMIF('Competency Event Log'!$U$4:$U$803,$B48&amp;"|"&amp;BR$5,'Competency Event Log'!$D$4:$D$803)))</f>
        <v/>
      </c>
      <c r="BS48" s="8" t="str">
        <f>IF($B48="","",IF(COUNTIF('Competency Event Log'!$U$4:$U$803,$B48&amp;"|"&amp;BS$5)=0,"",SUMIF('Competency Event Log'!$U$4:$U$803,$B48&amp;"|"&amp;BS$5,'Competency Event Log'!$D$4:$D$803)))</f>
        <v/>
      </c>
      <c r="BT48" s="8" t="str">
        <f>IF($B48="","",IF(COUNTIF('Competency Event Log'!$U$4:$U$803,$B48&amp;"|"&amp;BT$5)=0,"",SUMIF('Competency Event Log'!$U$4:$U$803,$B48&amp;"|"&amp;BT$5,'Competency Event Log'!$D$4:$D$803)))</f>
        <v/>
      </c>
      <c r="BU48" s="8" t="str">
        <f>IF($B48="","",IF(COUNTIF('Competency Event Log'!$U$4:$U$803,$B48&amp;"|"&amp;BU$5)=0,"",SUMIF('Competency Event Log'!$U$4:$U$803,$B48&amp;"|"&amp;BU$5,'Competency Event Log'!$D$4:$D$803)))</f>
        <v/>
      </c>
      <c r="BV48" s="8" t="str">
        <f>IF($B48="","",IF(COUNTIF('Competency Event Log'!$U$4:$U$803,$B48&amp;"|"&amp;BV$5)=0,"",SUMIF('Competency Event Log'!$U$4:$U$803,$B48&amp;"|"&amp;BV$5,'Competency Event Log'!$D$4:$D$803)))</f>
        <v/>
      </c>
      <c r="BW48" s="8" t="str">
        <f>IF($B48="","",IF(COUNTIF('Competency Event Log'!$U$4:$U$803,$B48&amp;"|"&amp;BW$5)=0,"",SUMIF('Competency Event Log'!$U$4:$U$803,$B48&amp;"|"&amp;BW$5,'Competency Event Log'!$D$4:$D$803)))</f>
        <v/>
      </c>
      <c r="BX48" s="8" t="str">
        <f>IF($B48="","",IF(COUNTIF('Competency Event Log'!$U$4:$U$803,$B48&amp;"|"&amp;BX$5)=0,"",SUMIF('Competency Event Log'!$U$4:$U$803,$B48&amp;"|"&amp;BX$5,'Competency Event Log'!$D$4:$D$803)))</f>
        <v/>
      </c>
      <c r="BY48" s="8" t="str">
        <f>IF($B48="","",IF(COUNTIF('Competency Event Log'!$U$4:$U$803,$B48&amp;"|"&amp;BY$5)=0,"",SUMIF('Competency Event Log'!$U$4:$U$803,$B48&amp;"|"&amp;BY$5,'Competency Event Log'!$D$4:$D$803)))</f>
        <v/>
      </c>
      <c r="BZ48" s="8" t="str">
        <f>IF($B48="","",IF(COUNTIF('Competency Event Log'!$U$4:$U$803,$B48&amp;"|"&amp;BZ$5)=0,"",SUMIF('Competency Event Log'!$U$4:$U$803,$B48&amp;"|"&amp;BZ$5,'Competency Event Log'!$D$4:$D$803)))</f>
        <v/>
      </c>
      <c r="CA48" s="8" t="str">
        <f>IF($B48="","",IF(COUNTIF('Competency Event Log'!$U$4:$U$803,$B48&amp;"|"&amp;CA$5)=0,"",SUMIF('Competency Event Log'!$U$4:$U$803,$B48&amp;"|"&amp;CA$5,'Competency Event Log'!$D$4:$D$803)))</f>
        <v/>
      </c>
      <c r="CB48" s="8" t="str">
        <f>IF($B48="","",IF(COUNTIF('Competency Event Log'!$U$4:$U$803,$B48&amp;"|"&amp;CB$5)=0,"",SUMIF('Competency Event Log'!$U$4:$U$803,$B48&amp;"|"&amp;CB$5,'Competency Event Log'!$D$4:$D$803)))</f>
        <v/>
      </c>
      <c r="CC48" s="8" t="str">
        <f>IF($B48="","",IF(COUNTIF('Competency Event Log'!$U$4:$U$803,$B48&amp;"|"&amp;CC$5)=0,"",SUMIF('Competency Event Log'!$U$4:$U$803,$B48&amp;"|"&amp;CC$5,'Competency Event Log'!$D$4:$D$803)))</f>
        <v/>
      </c>
      <c r="CD48" s="8" t="str">
        <f>IF($B48="","",IF(COUNTIF('Competency Event Log'!$U$4:$U$803,$B48&amp;"|"&amp;CD$5)=0,"",SUMIF('Competency Event Log'!$U$4:$U$803,$B48&amp;"|"&amp;CD$5,'Competency Event Log'!$D$4:$D$803)))</f>
        <v/>
      </c>
      <c r="CE48" s="8" t="str">
        <f>IF($B48="","",IF(COUNTIF('Competency Event Log'!$U$4:$U$803,$B48&amp;"|"&amp;CE$5)=0,"",SUMIF('Competency Event Log'!$U$4:$U$803,$B48&amp;"|"&amp;CE$5,'Competency Event Log'!$D$4:$D$803)))</f>
        <v/>
      </c>
      <c r="CF48" s="8" t="str">
        <f>IF($B48="","",IF(COUNTIF('Competency Event Log'!$U$4:$U$803,$B48&amp;"|"&amp;CF$5)=0,"",SUMIF('Competency Event Log'!$U$4:$U$803,$B48&amp;"|"&amp;CF$5,'Competency Event Log'!$D$4:$D$803)))</f>
        <v/>
      </c>
      <c r="CG48" s="8" t="str">
        <f>IF($B48="","",IF(COUNTIF('Competency Event Log'!$U$4:$U$803,$B48&amp;"|"&amp;CG$5)=0,"",SUMIF('Competency Event Log'!$U$4:$U$803,$B48&amp;"|"&amp;CG$5,'Competency Event Log'!$D$4:$D$803)))</f>
        <v/>
      </c>
      <c r="CH48" s="8" t="str">
        <f>IF($B48="","",IF(COUNTIF('Competency Event Log'!$U$4:$U$803,$B48&amp;"|"&amp;CH$5)=0,"",SUMIF('Competency Event Log'!$U$4:$U$803,$B48&amp;"|"&amp;CH$5,'Competency Event Log'!$D$4:$D$803)))</f>
        <v/>
      </c>
      <c r="CI48" s="8" t="str">
        <f>IF($B48="","",IF(COUNTIF('Competency Event Log'!$U$4:$U$803,$B48&amp;"|"&amp;CI$5)=0,"",SUMIF('Competency Event Log'!$U$4:$U$803,$B48&amp;"|"&amp;CI$5,'Competency Event Log'!$D$4:$D$803)))</f>
        <v/>
      </c>
      <c r="CJ48" s="8" t="str">
        <f>IF($B48="","",IF(COUNTIF('Competency Event Log'!$U$4:$U$803,$B48&amp;"|"&amp;CJ$5)=0,"",SUMIF('Competency Event Log'!$U$4:$U$803,$B48&amp;"|"&amp;CJ$5,'Competency Event Log'!$D$4:$D$803)))</f>
        <v/>
      </c>
      <c r="CK48" s="8" t="str">
        <f>IF($B48="","",IF(COUNTIF('Competency Event Log'!$U$4:$U$803,$B48&amp;"|"&amp;CK$5)=0,"",SUMIF('Competency Event Log'!$U$4:$U$803,$B48&amp;"|"&amp;CK$5,'Competency Event Log'!$D$4:$D$803)))</f>
        <v/>
      </c>
      <c r="CL48" s="8" t="str">
        <f>IF($B48="","",IF(COUNTIF('Competency Event Log'!$U$4:$U$803,$B48&amp;"|"&amp;CL$5)=0,"",SUMIF('Competency Event Log'!$U$4:$U$803,$B48&amp;"|"&amp;CL$5,'Competency Event Log'!$D$4:$D$803)))</f>
        <v/>
      </c>
      <c r="CM48" s="8" t="str">
        <f>IF($B48="","",IF(COUNTIF('Competency Event Log'!$U$4:$U$803,$B48&amp;"|"&amp;CM$5)=0,"",SUMIF('Competency Event Log'!$U$4:$U$803,$B48&amp;"|"&amp;CM$5,'Competency Event Log'!$D$4:$D$803)))</f>
        <v/>
      </c>
      <c r="CN48" s="8" t="str">
        <f>IF($B48="","",IF(COUNTIF('Competency Event Log'!$U$4:$U$803,$B48&amp;"|"&amp;CN$5)=0,"",SUMIF('Competency Event Log'!$U$4:$U$803,$B48&amp;"|"&amp;CN$5,'Competency Event Log'!$D$4:$D$803)))</f>
        <v/>
      </c>
      <c r="CO48" s="8" t="str">
        <f>IF($B48="","",IF(COUNTIF('Competency Event Log'!$U$4:$U$803,$B48&amp;"|"&amp;CO$5)=0,"",SUMIF('Competency Event Log'!$U$4:$U$803,$B48&amp;"|"&amp;CO$5,'Competency Event Log'!$D$4:$D$803)))</f>
        <v/>
      </c>
      <c r="CP48" s="8" t="str">
        <f>IF($B48="","",IF(COUNTIF('Competency Event Log'!$U$4:$U$803,$B48&amp;"|"&amp;CP$5)=0,"",SUMIF('Competency Event Log'!$U$4:$U$803,$B48&amp;"|"&amp;CP$5,'Competency Event Log'!$D$4:$D$803)))</f>
        <v/>
      </c>
      <c r="CQ48" s="8" t="str">
        <f>IF($B48="","",IF(COUNTIF('Competency Event Log'!$U$4:$U$803,$B48&amp;"|"&amp;CQ$5)=0,"",SUMIF('Competency Event Log'!$U$4:$U$803,$B48&amp;"|"&amp;CQ$5,'Competency Event Log'!$D$4:$D$803)))</f>
        <v/>
      </c>
      <c r="CR48" s="8" t="str">
        <f>IF($B48="","",IF(COUNTIF('Competency Event Log'!$U$4:$U$803,$B48&amp;"|"&amp;CR$5)=0,"",SUMIF('Competency Event Log'!$U$4:$U$803,$B48&amp;"|"&amp;CR$5,'Competency Event Log'!$D$4:$D$803)))</f>
        <v/>
      </c>
      <c r="CS48" s="8" t="str">
        <f>IF($B48="","",IF(COUNTIF('Competency Event Log'!$U$4:$U$803,$B48&amp;"|"&amp;CS$5)=0,"",SUMIF('Competency Event Log'!$U$4:$U$803,$B48&amp;"|"&amp;CS$5,'Competency Event Log'!$D$4:$D$803)))</f>
        <v/>
      </c>
      <c r="CT48" s="8" t="str">
        <f>IF($B48="","",IF(COUNTIF('Competency Event Log'!$U$4:$U$803,$B48&amp;"|"&amp;CT$5)=0,"",SUMIF('Competency Event Log'!$U$4:$U$803,$B48&amp;"|"&amp;CT$5,'Competency Event Log'!$D$4:$D$803)))</f>
        <v/>
      </c>
      <c r="CU48" s="8" t="str">
        <f>IF($B48="","",IF(COUNTIF('Competency Event Log'!$U$4:$U$803,$B48&amp;"|"&amp;CU$5)=0,"",SUMIF('Competency Event Log'!$U$4:$U$803,$B48&amp;"|"&amp;CU$5,'Competency Event Log'!$D$4:$D$803)))</f>
        <v/>
      </c>
      <c r="CV48" s="8" t="str">
        <f>IF($B48="","",IF(COUNTIF('Competency Event Log'!$U$4:$U$803,$B48&amp;"|"&amp;CV$5)=0,"",SUMIF('Competency Event Log'!$U$4:$U$803,$B48&amp;"|"&amp;CV$5,'Competency Event Log'!$D$4:$D$803)))</f>
        <v/>
      </c>
      <c r="CW48" s="8" t="str">
        <f>IF($B48="","",IF(COUNTIF('Competency Event Log'!$U$4:$U$803,$B48&amp;"|"&amp;CW$5)=0,"",SUMIF('Competency Event Log'!$U$4:$U$803,$B48&amp;"|"&amp;CW$5,'Competency Event Log'!$D$4:$D$803)))</f>
        <v/>
      </c>
      <c r="CX48" s="8" t="str">
        <f>IF($B48="","",IF(COUNTIF('Competency Event Log'!$U$4:$U$803,$B48&amp;"|"&amp;CX$5)=0,"",SUMIF('Competency Event Log'!$U$4:$U$803,$B48&amp;"|"&amp;CX$5,'Competency Event Log'!$D$4:$D$803)))</f>
        <v/>
      </c>
      <c r="CY48" s="8" t="str">
        <f>IF($B48="","",IF(COUNTIF('Competency Event Log'!$U$4:$U$803,$B48&amp;"|"&amp;CY$5)=0,"",SUMIF('Competency Event Log'!$U$4:$U$803,$B48&amp;"|"&amp;CY$5,'Competency Event Log'!$D$4:$D$803)))</f>
        <v/>
      </c>
      <c r="CZ48" s="8" t="str">
        <f>IF($B48="","",IF(COUNTIF('Competency Event Log'!$U$4:$U$803,$B48&amp;"|"&amp;CZ$5)=0,"",SUMIF('Competency Event Log'!$U$4:$U$803,$B48&amp;"|"&amp;CZ$5,'Competency Event Log'!$D$4:$D$803)))</f>
        <v/>
      </c>
      <c r="DA48" s="8" t="str">
        <f>IF($B48="","",IF(COUNTIF('Competency Event Log'!$U$4:$U$803,$B48&amp;"|"&amp;DA$5)=0,"",SUMIF('Competency Event Log'!$U$4:$U$803,$B48&amp;"|"&amp;DA$5,'Competency Event Log'!$D$4:$D$803)))</f>
        <v/>
      </c>
      <c r="DB48" s="8" t="str">
        <f>IF($B48="","",IF(COUNTIF('Competency Event Log'!$U$4:$U$803,$B48&amp;"|"&amp;DB$5)=0,"",SUMIF('Competency Event Log'!$U$4:$U$803,$B48&amp;"|"&amp;DB$5,'Competency Event Log'!$D$4:$D$803)))</f>
        <v/>
      </c>
      <c r="DC48" s="8" t="str">
        <f>IF($B48="","",IF(COUNTIF('Competency Event Log'!$U$4:$U$803,$B48&amp;"|"&amp;DC$5)=0,"",SUMIF('Competency Event Log'!$U$4:$U$803,$B48&amp;"|"&amp;DC$5,'Competency Event Log'!$D$4:$D$803)))</f>
        <v/>
      </c>
      <c r="DD48" s="8" t="str">
        <f>IF($B48="","",IF(COUNTIF('Competency Event Log'!$U$4:$U$803,$B48&amp;"|"&amp;DD$5)=0,"",SUMIF('Competency Event Log'!$U$4:$U$803,$B48&amp;"|"&amp;DD$5,'Competency Event Log'!$D$4:$D$803)))</f>
        <v/>
      </c>
      <c r="DE48" s="8" t="str">
        <f>IF($B48="","",IF(COUNTIF('Competency Event Log'!$U$4:$U$803,$B48&amp;"|"&amp;DE$5)=0,"",SUMIF('Competency Event Log'!$U$4:$U$803,$B48&amp;"|"&amp;DE$5,'Competency Event Log'!$D$4:$D$803)))</f>
        <v/>
      </c>
      <c r="DF48" s="8" t="str">
        <f t="shared" si="4"/>
        <v/>
      </c>
      <c r="DG48" s="8" t="str">
        <f t="shared" si="5"/>
        <v/>
      </c>
      <c r="DH48" s="8" t="str">
        <f t="shared" si="6"/>
        <v/>
      </c>
      <c r="DI48" s="11" t="str">
        <f t="shared" si="7"/>
        <v/>
      </c>
    </row>
    <row r="49" spans="1:113">
      <c r="A49" s="7"/>
      <c r="B49" s="7"/>
      <c r="C49" s="8"/>
      <c r="D49" s="9"/>
      <c r="E49" s="10"/>
      <c r="F49" s="8"/>
      <c r="G49" s="8" t="str">
        <f>IF($B49="","",IF(COUNTIF('Competency Event Log'!$U$4:$U$803,$B49&amp;"|"&amp;G$5)=0,"",SUMIF('Competency Event Log'!$U$4:$U$803,$B49&amp;"|"&amp;G$5,'Competency Event Log'!$D$4:$D$803)))</f>
        <v/>
      </c>
      <c r="H49" s="8" t="str">
        <f>IF($B49="","",IF(COUNTIF('Competency Event Log'!$U$4:$U$803,$B49&amp;"|"&amp;H$5)=0,"",SUMIF('Competency Event Log'!$U$4:$U$803,$B49&amp;"|"&amp;H$5,'Competency Event Log'!$D$4:$D$803)))</f>
        <v/>
      </c>
      <c r="I49" s="8" t="str">
        <f>IF($B49="","",IF(COUNTIF('Competency Event Log'!$U$4:$U$803,$B49&amp;"|"&amp;I$5)=0,"",SUMIF('Competency Event Log'!$U$4:$U$803,$B49&amp;"|"&amp;I$5,'Competency Event Log'!$D$4:$D$803)))</f>
        <v/>
      </c>
      <c r="J49" s="8" t="str">
        <f>IF($B49="","",IF(COUNTIF('Competency Event Log'!$U$4:$U$803,$B49&amp;"|"&amp;J$5)=0,"",SUMIF('Competency Event Log'!$U$4:$U$803,$B49&amp;"|"&amp;J$5,'Competency Event Log'!$D$4:$D$803)))</f>
        <v/>
      </c>
      <c r="K49" s="8" t="str">
        <f>IF($B49="","",IF(COUNTIF('Competency Event Log'!$U$4:$U$803,$B49&amp;"|"&amp;K$5)=0,"",SUMIF('Competency Event Log'!$U$4:$U$803,$B49&amp;"|"&amp;K$5,'Competency Event Log'!$D$4:$D$803)))</f>
        <v/>
      </c>
      <c r="L49" s="8" t="str">
        <f>IF($B49="","",IF(COUNTIF('Competency Event Log'!$U$4:$U$803,$B49&amp;"|"&amp;L$5)=0,"",SUMIF('Competency Event Log'!$U$4:$U$803,$B49&amp;"|"&amp;L$5,'Competency Event Log'!$D$4:$D$803)))</f>
        <v/>
      </c>
      <c r="M49" s="8" t="str">
        <f>IF($B49="","",IF(COUNTIF('Competency Event Log'!$U$4:$U$803,$B49&amp;"|"&amp;M$5)=0,"",SUMIF('Competency Event Log'!$U$4:$U$803,$B49&amp;"|"&amp;M$5,'Competency Event Log'!$D$4:$D$803)))</f>
        <v/>
      </c>
      <c r="N49" s="8" t="str">
        <f>IF($B49="","",IF(COUNTIF('Competency Event Log'!$U$4:$U$803,$B49&amp;"|"&amp;N$5)=0,"",SUMIF('Competency Event Log'!$U$4:$U$803,$B49&amp;"|"&amp;N$5,'Competency Event Log'!$D$4:$D$803)))</f>
        <v/>
      </c>
      <c r="O49" s="8" t="str">
        <f>IF($B49="","",IF(COUNTIF('Competency Event Log'!$U$4:$U$803,$B49&amp;"|"&amp;O$5)=0,"",SUMIF('Competency Event Log'!$U$4:$U$803,$B49&amp;"|"&amp;O$5,'Competency Event Log'!$D$4:$D$803)))</f>
        <v/>
      </c>
      <c r="P49" s="8" t="str">
        <f>IF($B49="","",IF(COUNTIF('Competency Event Log'!$U$4:$U$803,$B49&amp;"|"&amp;P$5)=0,"",SUMIF('Competency Event Log'!$U$4:$U$803,$B49&amp;"|"&amp;P$5,'Competency Event Log'!$D$4:$D$803)))</f>
        <v/>
      </c>
      <c r="Q49" s="8" t="str">
        <f>IF($B49="","",IF(COUNTIF('Competency Event Log'!$U$4:$U$803,$B49&amp;"|"&amp;Q$5)=0,"",SUMIF('Competency Event Log'!$U$4:$U$803,$B49&amp;"|"&amp;Q$5,'Competency Event Log'!$D$4:$D$803)))</f>
        <v/>
      </c>
      <c r="R49" s="8" t="str">
        <f>IF($B49="","",IF(COUNTIF('Competency Event Log'!$U$4:$U$803,$B49&amp;"|"&amp;R$5)=0,"",SUMIF('Competency Event Log'!$U$4:$U$803,$B49&amp;"|"&amp;R$5,'Competency Event Log'!$D$4:$D$803)))</f>
        <v/>
      </c>
      <c r="S49" s="8" t="str">
        <f>IF($B49="","",IF(COUNTIF('Competency Event Log'!$U$4:$U$803,$B49&amp;"|"&amp;S$5)=0,"",SUMIF('Competency Event Log'!$U$4:$U$803,$B49&amp;"|"&amp;S$5,'Competency Event Log'!$D$4:$D$803)))</f>
        <v/>
      </c>
      <c r="T49" s="8" t="str">
        <f>IF($B49="","",IF(COUNTIF('Competency Event Log'!$U$4:$U$803,$B49&amp;"|"&amp;T$5)=0,"",SUMIF('Competency Event Log'!$U$4:$U$803,$B49&amp;"|"&amp;T$5,'Competency Event Log'!$D$4:$D$803)))</f>
        <v/>
      </c>
      <c r="U49" s="8" t="str">
        <f>IF($B49="","",IF(COUNTIF('Competency Event Log'!$U$4:$U$803,$B49&amp;"|"&amp;U$5)=0,"",SUMIF('Competency Event Log'!$U$4:$U$803,$B49&amp;"|"&amp;U$5,'Competency Event Log'!$D$4:$D$803)))</f>
        <v/>
      </c>
      <c r="V49" s="8" t="str">
        <f>IF($B49="","",IF(COUNTIF('Competency Event Log'!$U$4:$U$803,$B49&amp;"|"&amp;V$5)=0,"",SUMIF('Competency Event Log'!$U$4:$U$803,$B49&amp;"|"&amp;V$5,'Competency Event Log'!$D$4:$D$803)))</f>
        <v/>
      </c>
      <c r="W49" s="8" t="str">
        <f>IF($B49="","",IF(COUNTIF('Competency Event Log'!$U$4:$U$803,$B49&amp;"|"&amp;W$5)=0,"",SUMIF('Competency Event Log'!$U$4:$U$803,$B49&amp;"|"&amp;W$5,'Competency Event Log'!$D$4:$D$803)))</f>
        <v/>
      </c>
      <c r="X49" s="8" t="str">
        <f>IF($B49="","",IF(COUNTIF('Competency Event Log'!$U$4:$U$803,$B49&amp;"|"&amp;X$5)=0,"",SUMIF('Competency Event Log'!$U$4:$U$803,$B49&amp;"|"&amp;X$5,'Competency Event Log'!$D$4:$D$803)))</f>
        <v/>
      </c>
      <c r="Y49" s="8" t="str">
        <f>IF($B49="","",IF(COUNTIF('Competency Event Log'!$U$4:$U$803,$B49&amp;"|"&amp;Y$5)=0,"",SUMIF('Competency Event Log'!$U$4:$U$803,$B49&amp;"|"&amp;Y$5,'Competency Event Log'!$D$4:$D$803)))</f>
        <v/>
      </c>
      <c r="Z49" s="8" t="str">
        <f>IF($B49="","",IF(COUNTIF('Competency Event Log'!$U$4:$U$803,$B49&amp;"|"&amp;Z$5)=0,"",SUMIF('Competency Event Log'!$U$4:$U$803,$B49&amp;"|"&amp;Z$5,'Competency Event Log'!$D$4:$D$803)))</f>
        <v/>
      </c>
      <c r="AA49" s="8" t="str">
        <f>IF($B49="","",IF(COUNTIF('Competency Event Log'!$U$4:$U$803,$B49&amp;"|"&amp;AA$5)=0,"",SUMIF('Competency Event Log'!$U$4:$U$803,$B49&amp;"|"&amp;AA$5,'Competency Event Log'!$D$4:$D$803)))</f>
        <v/>
      </c>
      <c r="AB49" s="8" t="str">
        <f>IF($B49="","",IF(COUNTIF('Competency Event Log'!$U$4:$U$803,$B49&amp;"|"&amp;AB$5)=0,"",SUMIF('Competency Event Log'!$U$4:$U$803,$B49&amp;"|"&amp;AB$5,'Competency Event Log'!$D$4:$D$803)))</f>
        <v/>
      </c>
      <c r="AC49" s="8" t="str">
        <f>IF($B49="","",IF(COUNTIF('Competency Event Log'!$U$4:$U$803,$B49&amp;"|"&amp;AC$5)=0,"",SUMIF('Competency Event Log'!$U$4:$U$803,$B49&amp;"|"&amp;AC$5,'Competency Event Log'!$D$4:$D$803)))</f>
        <v/>
      </c>
      <c r="AD49" s="8" t="str">
        <f>IF($B49="","",IF(COUNTIF('Competency Event Log'!$U$4:$U$803,$B49&amp;"|"&amp;AD$5)=0,"",SUMIF('Competency Event Log'!$U$4:$U$803,$B49&amp;"|"&amp;AD$5,'Competency Event Log'!$D$4:$D$803)))</f>
        <v/>
      </c>
      <c r="AE49" s="8" t="str">
        <f>IF($B49="","",IF(COUNTIF('Competency Event Log'!$U$4:$U$803,$B49&amp;"|"&amp;AE$5)=0,"",SUMIF('Competency Event Log'!$U$4:$U$803,$B49&amp;"|"&amp;AE$5,'Competency Event Log'!$D$4:$D$803)))</f>
        <v/>
      </c>
      <c r="AF49" s="8" t="str">
        <f>IF($B49="","",IF(COUNTIF('Competency Event Log'!$U$4:$U$803,$B49&amp;"|"&amp;AF$5)=0,"",SUMIF('Competency Event Log'!$U$4:$U$803,$B49&amp;"|"&amp;AF$5,'Competency Event Log'!$D$4:$D$803)))</f>
        <v/>
      </c>
      <c r="AG49" s="8" t="str">
        <f>IF($B49="","",IF(COUNTIF('Competency Event Log'!$U$4:$U$803,$B49&amp;"|"&amp;AG$5)=0,"",SUMIF('Competency Event Log'!$U$4:$U$803,$B49&amp;"|"&amp;AG$5,'Competency Event Log'!$D$4:$D$803)))</f>
        <v/>
      </c>
      <c r="AH49" s="8" t="str">
        <f>IF($B49="","",IF(COUNTIF('Competency Event Log'!$U$4:$U$803,$B49&amp;"|"&amp;AH$5)=0,"",SUMIF('Competency Event Log'!$U$4:$U$803,$B49&amp;"|"&amp;AH$5,'Competency Event Log'!$D$4:$D$803)))</f>
        <v/>
      </c>
      <c r="AI49" s="8" t="str">
        <f>IF($B49="","",IF(COUNTIF('Competency Event Log'!$U$4:$U$803,$B49&amp;"|"&amp;AI$5)=0,"",SUMIF('Competency Event Log'!$U$4:$U$803,$B49&amp;"|"&amp;AI$5,'Competency Event Log'!$D$4:$D$803)))</f>
        <v/>
      </c>
      <c r="AJ49" s="8" t="str">
        <f>IF($B49="","",IF(COUNTIF('Competency Event Log'!$U$4:$U$803,$B49&amp;"|"&amp;AJ$5)=0,"",SUMIF('Competency Event Log'!$U$4:$U$803,$B49&amp;"|"&amp;AJ$5,'Competency Event Log'!$D$4:$D$803)))</f>
        <v/>
      </c>
      <c r="AK49" s="8" t="str">
        <f>IF($B49="","",IF(COUNTIF('Competency Event Log'!$U$4:$U$803,$B49&amp;"|"&amp;AK$5)=0,"",SUMIF('Competency Event Log'!$U$4:$U$803,$B49&amp;"|"&amp;AK$5,'Competency Event Log'!$D$4:$D$803)))</f>
        <v/>
      </c>
      <c r="AL49" s="8" t="str">
        <f>IF($B49="","",IF(COUNTIF('Competency Event Log'!$U$4:$U$803,$B49&amp;"|"&amp;AL$5)=0,"",SUMIF('Competency Event Log'!$U$4:$U$803,$B49&amp;"|"&amp;AL$5,'Competency Event Log'!$D$4:$D$803)))</f>
        <v/>
      </c>
      <c r="AM49" s="8" t="str">
        <f>IF($B49="","",IF(COUNTIF('Competency Event Log'!$U$4:$U$803,$B49&amp;"|"&amp;AM$5)=0,"",SUMIF('Competency Event Log'!$U$4:$U$803,$B49&amp;"|"&amp;AM$5,'Competency Event Log'!$D$4:$D$803)))</f>
        <v/>
      </c>
      <c r="AN49" s="8" t="str">
        <f>IF($B49="","",IF(COUNTIF('Competency Event Log'!$U$4:$U$803,$B49&amp;"|"&amp;AN$5)=0,"",SUMIF('Competency Event Log'!$U$4:$U$803,$B49&amp;"|"&amp;AN$5,'Competency Event Log'!$D$4:$D$803)))</f>
        <v/>
      </c>
      <c r="AO49" s="8" t="str">
        <f>IF($B49="","",IF(COUNTIF('Competency Event Log'!$U$4:$U$803,$B49&amp;"|"&amp;AO$5)=0,"",SUMIF('Competency Event Log'!$U$4:$U$803,$B49&amp;"|"&amp;AO$5,'Competency Event Log'!$D$4:$D$803)))</f>
        <v/>
      </c>
      <c r="AP49" s="8" t="str">
        <f>IF($B49="","",IF(COUNTIF('Competency Event Log'!$U$4:$U$803,$B49&amp;"|"&amp;AP$5)=0,"",SUMIF('Competency Event Log'!$U$4:$U$803,$B49&amp;"|"&amp;AP$5,'Competency Event Log'!$D$4:$D$803)))</f>
        <v/>
      </c>
      <c r="AQ49" s="8" t="str">
        <f>IF($B49="","",IF(COUNTIF('Competency Event Log'!$U$4:$U$803,$B49&amp;"|"&amp;AQ$5)=0,"",SUMIF('Competency Event Log'!$U$4:$U$803,$B49&amp;"|"&amp;AQ$5,'Competency Event Log'!$D$4:$D$803)))</f>
        <v/>
      </c>
      <c r="AR49" s="8" t="str">
        <f>IF($B49="","",IF(COUNTIF('Competency Event Log'!$U$4:$U$803,$B49&amp;"|"&amp;AR$5)=0,"",SUMIF('Competency Event Log'!$U$4:$U$803,$B49&amp;"|"&amp;AR$5,'Competency Event Log'!$D$4:$D$803)))</f>
        <v/>
      </c>
      <c r="AS49" s="8" t="str">
        <f>IF($B49="","",IF(COUNTIF('Competency Event Log'!$U$4:$U$803,$B49&amp;"|"&amp;AS$5)=0,"",SUMIF('Competency Event Log'!$U$4:$U$803,$B49&amp;"|"&amp;AS$5,'Competency Event Log'!$D$4:$D$803)))</f>
        <v/>
      </c>
      <c r="AT49" s="8" t="str">
        <f>IF($B49="","",IF(COUNTIF('Competency Event Log'!$U$4:$U$803,$B49&amp;"|"&amp;AT$5)=0,"",SUMIF('Competency Event Log'!$U$4:$U$803,$B49&amp;"|"&amp;AT$5,'Competency Event Log'!$D$4:$D$803)))</f>
        <v/>
      </c>
      <c r="AU49" s="8" t="str">
        <f>IF($B49="","",IF(COUNTIF('Competency Event Log'!$U$4:$U$803,$B49&amp;"|"&amp;AU$5)=0,"",SUMIF('Competency Event Log'!$U$4:$U$803,$B49&amp;"|"&amp;AU$5,'Competency Event Log'!$D$4:$D$803)))</f>
        <v/>
      </c>
      <c r="AV49" s="8" t="str">
        <f>IF($B49="","",IF(COUNTIF('Competency Event Log'!$U$4:$U$803,$B49&amp;"|"&amp;AV$5)=0,"",SUMIF('Competency Event Log'!$U$4:$U$803,$B49&amp;"|"&amp;AV$5,'Competency Event Log'!$D$4:$D$803)))</f>
        <v/>
      </c>
      <c r="AW49" s="8" t="str">
        <f>IF($B49="","",IF(COUNTIF('Competency Event Log'!$U$4:$U$803,$B49&amp;"|"&amp;AW$5)=0,"",SUMIF('Competency Event Log'!$U$4:$U$803,$B49&amp;"|"&amp;AW$5,'Competency Event Log'!$D$4:$D$803)))</f>
        <v/>
      </c>
      <c r="AX49" s="8" t="str">
        <f>IF($B49="","",IF(COUNTIF('Competency Event Log'!$U$4:$U$803,$B49&amp;"|"&amp;AX$5)=0,"",SUMIF('Competency Event Log'!$U$4:$U$803,$B49&amp;"|"&amp;AX$5,'Competency Event Log'!$D$4:$D$803)))</f>
        <v/>
      </c>
      <c r="AY49" s="8" t="str">
        <f>IF($B49="","",IF(COUNTIF('Competency Event Log'!$U$4:$U$803,$B49&amp;"|"&amp;AY$5)=0,"",SUMIF('Competency Event Log'!$U$4:$U$803,$B49&amp;"|"&amp;AY$5,'Competency Event Log'!$D$4:$D$803)))</f>
        <v/>
      </c>
      <c r="AZ49" s="8" t="str">
        <f>IF($B49="","",IF(COUNTIF('Competency Event Log'!$U$4:$U$803,$B49&amp;"|"&amp;AZ$5)=0,"",SUMIF('Competency Event Log'!$U$4:$U$803,$B49&amp;"|"&amp;AZ$5,'Competency Event Log'!$D$4:$D$803)))</f>
        <v/>
      </c>
      <c r="BA49" s="8" t="str">
        <f>IF($B49="","",IF(COUNTIF('Competency Event Log'!$U$4:$U$803,$B49&amp;"|"&amp;BA$5)=0,"",SUMIF('Competency Event Log'!$U$4:$U$803,$B49&amp;"|"&amp;BA$5,'Competency Event Log'!$D$4:$D$803)))</f>
        <v/>
      </c>
      <c r="BB49" s="8" t="str">
        <f>IF($B49="","",IF(COUNTIF('Competency Event Log'!$U$4:$U$803,$B49&amp;"|"&amp;BB$5)=0,"",SUMIF('Competency Event Log'!$U$4:$U$803,$B49&amp;"|"&amp;BB$5,'Competency Event Log'!$D$4:$D$803)))</f>
        <v/>
      </c>
      <c r="BC49" s="8" t="str">
        <f>IF($B49="","",IF(COUNTIF('Competency Event Log'!$U$4:$U$803,$B49&amp;"|"&amp;BC$5)=0,"",SUMIF('Competency Event Log'!$U$4:$U$803,$B49&amp;"|"&amp;BC$5,'Competency Event Log'!$D$4:$D$803)))</f>
        <v/>
      </c>
      <c r="BD49" s="8" t="str">
        <f>IF($B49="","",IF(COUNTIF('Competency Event Log'!$U$4:$U$803,$B49&amp;"|"&amp;BD$5)=0,"",SUMIF('Competency Event Log'!$U$4:$U$803,$B49&amp;"|"&amp;BD$5,'Competency Event Log'!$D$4:$D$803)))</f>
        <v/>
      </c>
      <c r="BE49" s="8" t="str">
        <f>IF($B49="","",IF(COUNTIF('Competency Event Log'!$U$4:$U$803,$B49&amp;"|"&amp;BE$5)=0,"",SUMIF('Competency Event Log'!$U$4:$U$803,$B49&amp;"|"&amp;BE$5,'Competency Event Log'!$D$4:$D$803)))</f>
        <v/>
      </c>
      <c r="BF49" s="8" t="str">
        <f>IF($B49="","",IF(COUNTIF('Competency Event Log'!$U$4:$U$803,$B49&amp;"|"&amp;BF$5)=0,"",SUMIF('Competency Event Log'!$U$4:$U$803,$B49&amp;"|"&amp;BF$5,'Competency Event Log'!$D$4:$D$803)))</f>
        <v/>
      </c>
      <c r="BG49" s="8" t="str">
        <f>IF($B49="","",IF(COUNTIF('Competency Event Log'!$U$4:$U$803,$B49&amp;"|"&amp;BG$5)=0,"",SUMIF('Competency Event Log'!$U$4:$U$803,$B49&amp;"|"&amp;BG$5,'Competency Event Log'!$D$4:$D$803)))</f>
        <v/>
      </c>
      <c r="BH49" s="8" t="str">
        <f>IF($B49="","",IF(COUNTIF('Competency Event Log'!$U$4:$U$803,$B49&amp;"|"&amp;BH$5)=0,"",SUMIF('Competency Event Log'!$U$4:$U$803,$B49&amp;"|"&amp;BH$5,'Competency Event Log'!$D$4:$D$803)))</f>
        <v/>
      </c>
      <c r="BI49" s="8" t="str">
        <f>IF($B49="","",IF(COUNTIF('Competency Event Log'!$U$4:$U$803,$B49&amp;"|"&amp;BI$5)=0,"",SUMIF('Competency Event Log'!$U$4:$U$803,$B49&amp;"|"&amp;BI$5,'Competency Event Log'!$D$4:$D$803)))</f>
        <v/>
      </c>
      <c r="BJ49" s="8" t="str">
        <f>IF($B49="","",IF(COUNTIF('Competency Event Log'!$U$4:$U$803,$B49&amp;"|"&amp;BJ$5)=0,"",SUMIF('Competency Event Log'!$U$4:$U$803,$B49&amp;"|"&amp;BJ$5,'Competency Event Log'!$D$4:$D$803)))</f>
        <v/>
      </c>
      <c r="BK49" s="8" t="str">
        <f>IF($B49="","",IF(COUNTIF('Competency Event Log'!$U$4:$U$803,$B49&amp;"|"&amp;BK$5)=0,"",SUMIF('Competency Event Log'!$U$4:$U$803,$B49&amp;"|"&amp;BK$5,'Competency Event Log'!$D$4:$D$803)))</f>
        <v/>
      </c>
      <c r="BL49" s="8" t="str">
        <f>IF($B49="","",IF(COUNTIF('Competency Event Log'!$U$4:$U$803,$B49&amp;"|"&amp;BL$5)=0,"",SUMIF('Competency Event Log'!$U$4:$U$803,$B49&amp;"|"&amp;BL$5,'Competency Event Log'!$D$4:$D$803)))</f>
        <v/>
      </c>
      <c r="BM49" s="8" t="str">
        <f>IF($B49="","",IF(COUNTIF('Competency Event Log'!$U$4:$U$803,$B49&amp;"|"&amp;BM$5)=0,"",SUMIF('Competency Event Log'!$U$4:$U$803,$B49&amp;"|"&amp;BM$5,'Competency Event Log'!$D$4:$D$803)))</f>
        <v/>
      </c>
      <c r="BN49" s="8" t="str">
        <f>IF($B49="","",IF(COUNTIF('Competency Event Log'!$U$4:$U$803,$B49&amp;"|"&amp;BN$5)=0,"",SUMIF('Competency Event Log'!$U$4:$U$803,$B49&amp;"|"&amp;BN$5,'Competency Event Log'!$D$4:$D$803)))</f>
        <v/>
      </c>
      <c r="BO49" s="8" t="str">
        <f>IF($B49="","",IF(COUNTIF('Competency Event Log'!$U$4:$U$803,$B49&amp;"|"&amp;BO$5)=0,"",SUMIF('Competency Event Log'!$U$4:$U$803,$B49&amp;"|"&amp;BO$5,'Competency Event Log'!$D$4:$D$803)))</f>
        <v/>
      </c>
      <c r="BP49" s="8" t="str">
        <f>IF($B49="","",IF(COUNTIF('Competency Event Log'!$U$4:$U$803,$B49&amp;"|"&amp;BP$5)=0,"",SUMIF('Competency Event Log'!$U$4:$U$803,$B49&amp;"|"&amp;BP$5,'Competency Event Log'!$D$4:$D$803)))</f>
        <v/>
      </c>
      <c r="BQ49" s="8" t="str">
        <f>IF($B49="","",IF(COUNTIF('Competency Event Log'!$U$4:$U$803,$B49&amp;"|"&amp;BQ$5)=0,"",SUMIF('Competency Event Log'!$U$4:$U$803,$B49&amp;"|"&amp;BQ$5,'Competency Event Log'!$D$4:$D$803)))</f>
        <v/>
      </c>
      <c r="BR49" s="8" t="str">
        <f>IF($B49="","",IF(COUNTIF('Competency Event Log'!$U$4:$U$803,$B49&amp;"|"&amp;BR$5)=0,"",SUMIF('Competency Event Log'!$U$4:$U$803,$B49&amp;"|"&amp;BR$5,'Competency Event Log'!$D$4:$D$803)))</f>
        <v/>
      </c>
      <c r="BS49" s="8" t="str">
        <f>IF($B49="","",IF(COUNTIF('Competency Event Log'!$U$4:$U$803,$B49&amp;"|"&amp;BS$5)=0,"",SUMIF('Competency Event Log'!$U$4:$U$803,$B49&amp;"|"&amp;BS$5,'Competency Event Log'!$D$4:$D$803)))</f>
        <v/>
      </c>
      <c r="BT49" s="8" t="str">
        <f>IF($B49="","",IF(COUNTIF('Competency Event Log'!$U$4:$U$803,$B49&amp;"|"&amp;BT$5)=0,"",SUMIF('Competency Event Log'!$U$4:$U$803,$B49&amp;"|"&amp;BT$5,'Competency Event Log'!$D$4:$D$803)))</f>
        <v/>
      </c>
      <c r="BU49" s="8" t="str">
        <f>IF($B49="","",IF(COUNTIF('Competency Event Log'!$U$4:$U$803,$B49&amp;"|"&amp;BU$5)=0,"",SUMIF('Competency Event Log'!$U$4:$U$803,$B49&amp;"|"&amp;BU$5,'Competency Event Log'!$D$4:$D$803)))</f>
        <v/>
      </c>
      <c r="BV49" s="8" t="str">
        <f>IF($B49="","",IF(COUNTIF('Competency Event Log'!$U$4:$U$803,$B49&amp;"|"&amp;BV$5)=0,"",SUMIF('Competency Event Log'!$U$4:$U$803,$B49&amp;"|"&amp;BV$5,'Competency Event Log'!$D$4:$D$803)))</f>
        <v/>
      </c>
      <c r="BW49" s="8" t="str">
        <f>IF($B49="","",IF(COUNTIF('Competency Event Log'!$U$4:$U$803,$B49&amp;"|"&amp;BW$5)=0,"",SUMIF('Competency Event Log'!$U$4:$U$803,$B49&amp;"|"&amp;BW$5,'Competency Event Log'!$D$4:$D$803)))</f>
        <v/>
      </c>
      <c r="BX49" s="8" t="str">
        <f>IF($B49="","",IF(COUNTIF('Competency Event Log'!$U$4:$U$803,$B49&amp;"|"&amp;BX$5)=0,"",SUMIF('Competency Event Log'!$U$4:$U$803,$B49&amp;"|"&amp;BX$5,'Competency Event Log'!$D$4:$D$803)))</f>
        <v/>
      </c>
      <c r="BY49" s="8" t="str">
        <f>IF($B49="","",IF(COUNTIF('Competency Event Log'!$U$4:$U$803,$B49&amp;"|"&amp;BY$5)=0,"",SUMIF('Competency Event Log'!$U$4:$U$803,$B49&amp;"|"&amp;BY$5,'Competency Event Log'!$D$4:$D$803)))</f>
        <v/>
      </c>
      <c r="BZ49" s="8" t="str">
        <f>IF($B49="","",IF(COUNTIF('Competency Event Log'!$U$4:$U$803,$B49&amp;"|"&amp;BZ$5)=0,"",SUMIF('Competency Event Log'!$U$4:$U$803,$B49&amp;"|"&amp;BZ$5,'Competency Event Log'!$D$4:$D$803)))</f>
        <v/>
      </c>
      <c r="CA49" s="8" t="str">
        <f>IF($B49="","",IF(COUNTIF('Competency Event Log'!$U$4:$U$803,$B49&amp;"|"&amp;CA$5)=0,"",SUMIF('Competency Event Log'!$U$4:$U$803,$B49&amp;"|"&amp;CA$5,'Competency Event Log'!$D$4:$D$803)))</f>
        <v/>
      </c>
      <c r="CB49" s="8" t="str">
        <f>IF($B49="","",IF(COUNTIF('Competency Event Log'!$U$4:$U$803,$B49&amp;"|"&amp;CB$5)=0,"",SUMIF('Competency Event Log'!$U$4:$U$803,$B49&amp;"|"&amp;CB$5,'Competency Event Log'!$D$4:$D$803)))</f>
        <v/>
      </c>
      <c r="CC49" s="8" t="str">
        <f>IF($B49="","",IF(COUNTIF('Competency Event Log'!$U$4:$U$803,$B49&amp;"|"&amp;CC$5)=0,"",SUMIF('Competency Event Log'!$U$4:$U$803,$B49&amp;"|"&amp;CC$5,'Competency Event Log'!$D$4:$D$803)))</f>
        <v/>
      </c>
      <c r="CD49" s="8" t="str">
        <f>IF($B49="","",IF(COUNTIF('Competency Event Log'!$U$4:$U$803,$B49&amp;"|"&amp;CD$5)=0,"",SUMIF('Competency Event Log'!$U$4:$U$803,$B49&amp;"|"&amp;CD$5,'Competency Event Log'!$D$4:$D$803)))</f>
        <v/>
      </c>
      <c r="CE49" s="8" t="str">
        <f>IF($B49="","",IF(COUNTIF('Competency Event Log'!$U$4:$U$803,$B49&amp;"|"&amp;CE$5)=0,"",SUMIF('Competency Event Log'!$U$4:$U$803,$B49&amp;"|"&amp;CE$5,'Competency Event Log'!$D$4:$D$803)))</f>
        <v/>
      </c>
      <c r="CF49" s="8" t="str">
        <f>IF($B49="","",IF(COUNTIF('Competency Event Log'!$U$4:$U$803,$B49&amp;"|"&amp;CF$5)=0,"",SUMIF('Competency Event Log'!$U$4:$U$803,$B49&amp;"|"&amp;CF$5,'Competency Event Log'!$D$4:$D$803)))</f>
        <v/>
      </c>
      <c r="CG49" s="8" t="str">
        <f>IF($B49="","",IF(COUNTIF('Competency Event Log'!$U$4:$U$803,$B49&amp;"|"&amp;CG$5)=0,"",SUMIF('Competency Event Log'!$U$4:$U$803,$B49&amp;"|"&amp;CG$5,'Competency Event Log'!$D$4:$D$803)))</f>
        <v/>
      </c>
      <c r="CH49" s="8" t="str">
        <f>IF($B49="","",IF(COUNTIF('Competency Event Log'!$U$4:$U$803,$B49&amp;"|"&amp;CH$5)=0,"",SUMIF('Competency Event Log'!$U$4:$U$803,$B49&amp;"|"&amp;CH$5,'Competency Event Log'!$D$4:$D$803)))</f>
        <v/>
      </c>
      <c r="CI49" s="8" t="str">
        <f>IF($B49="","",IF(COUNTIF('Competency Event Log'!$U$4:$U$803,$B49&amp;"|"&amp;CI$5)=0,"",SUMIF('Competency Event Log'!$U$4:$U$803,$B49&amp;"|"&amp;CI$5,'Competency Event Log'!$D$4:$D$803)))</f>
        <v/>
      </c>
      <c r="CJ49" s="8" t="str">
        <f>IF($B49="","",IF(COUNTIF('Competency Event Log'!$U$4:$U$803,$B49&amp;"|"&amp;CJ$5)=0,"",SUMIF('Competency Event Log'!$U$4:$U$803,$B49&amp;"|"&amp;CJ$5,'Competency Event Log'!$D$4:$D$803)))</f>
        <v/>
      </c>
      <c r="CK49" s="8" t="str">
        <f>IF($B49="","",IF(COUNTIF('Competency Event Log'!$U$4:$U$803,$B49&amp;"|"&amp;CK$5)=0,"",SUMIF('Competency Event Log'!$U$4:$U$803,$B49&amp;"|"&amp;CK$5,'Competency Event Log'!$D$4:$D$803)))</f>
        <v/>
      </c>
      <c r="CL49" s="8" t="str">
        <f>IF($B49="","",IF(COUNTIF('Competency Event Log'!$U$4:$U$803,$B49&amp;"|"&amp;CL$5)=0,"",SUMIF('Competency Event Log'!$U$4:$U$803,$B49&amp;"|"&amp;CL$5,'Competency Event Log'!$D$4:$D$803)))</f>
        <v/>
      </c>
      <c r="CM49" s="8" t="str">
        <f>IF($B49="","",IF(COUNTIF('Competency Event Log'!$U$4:$U$803,$B49&amp;"|"&amp;CM$5)=0,"",SUMIF('Competency Event Log'!$U$4:$U$803,$B49&amp;"|"&amp;CM$5,'Competency Event Log'!$D$4:$D$803)))</f>
        <v/>
      </c>
      <c r="CN49" s="8" t="str">
        <f>IF($B49="","",IF(COUNTIF('Competency Event Log'!$U$4:$U$803,$B49&amp;"|"&amp;CN$5)=0,"",SUMIF('Competency Event Log'!$U$4:$U$803,$B49&amp;"|"&amp;CN$5,'Competency Event Log'!$D$4:$D$803)))</f>
        <v/>
      </c>
      <c r="CO49" s="8" t="str">
        <f>IF($B49="","",IF(COUNTIF('Competency Event Log'!$U$4:$U$803,$B49&amp;"|"&amp;CO$5)=0,"",SUMIF('Competency Event Log'!$U$4:$U$803,$B49&amp;"|"&amp;CO$5,'Competency Event Log'!$D$4:$D$803)))</f>
        <v/>
      </c>
      <c r="CP49" s="8" t="str">
        <f>IF($B49="","",IF(COUNTIF('Competency Event Log'!$U$4:$U$803,$B49&amp;"|"&amp;CP$5)=0,"",SUMIF('Competency Event Log'!$U$4:$U$803,$B49&amp;"|"&amp;CP$5,'Competency Event Log'!$D$4:$D$803)))</f>
        <v/>
      </c>
      <c r="CQ49" s="8" t="str">
        <f>IF($B49="","",IF(COUNTIF('Competency Event Log'!$U$4:$U$803,$B49&amp;"|"&amp;CQ$5)=0,"",SUMIF('Competency Event Log'!$U$4:$U$803,$B49&amp;"|"&amp;CQ$5,'Competency Event Log'!$D$4:$D$803)))</f>
        <v/>
      </c>
      <c r="CR49" s="8" t="str">
        <f>IF($B49="","",IF(COUNTIF('Competency Event Log'!$U$4:$U$803,$B49&amp;"|"&amp;CR$5)=0,"",SUMIF('Competency Event Log'!$U$4:$U$803,$B49&amp;"|"&amp;CR$5,'Competency Event Log'!$D$4:$D$803)))</f>
        <v/>
      </c>
      <c r="CS49" s="8" t="str">
        <f>IF($B49="","",IF(COUNTIF('Competency Event Log'!$U$4:$U$803,$B49&amp;"|"&amp;CS$5)=0,"",SUMIF('Competency Event Log'!$U$4:$U$803,$B49&amp;"|"&amp;CS$5,'Competency Event Log'!$D$4:$D$803)))</f>
        <v/>
      </c>
      <c r="CT49" s="8" t="str">
        <f>IF($B49="","",IF(COUNTIF('Competency Event Log'!$U$4:$U$803,$B49&amp;"|"&amp;CT$5)=0,"",SUMIF('Competency Event Log'!$U$4:$U$803,$B49&amp;"|"&amp;CT$5,'Competency Event Log'!$D$4:$D$803)))</f>
        <v/>
      </c>
      <c r="CU49" s="8" t="str">
        <f>IF($B49="","",IF(COUNTIF('Competency Event Log'!$U$4:$U$803,$B49&amp;"|"&amp;CU$5)=0,"",SUMIF('Competency Event Log'!$U$4:$U$803,$B49&amp;"|"&amp;CU$5,'Competency Event Log'!$D$4:$D$803)))</f>
        <v/>
      </c>
      <c r="CV49" s="8" t="str">
        <f>IF($B49="","",IF(COUNTIF('Competency Event Log'!$U$4:$U$803,$B49&amp;"|"&amp;CV$5)=0,"",SUMIF('Competency Event Log'!$U$4:$U$803,$B49&amp;"|"&amp;CV$5,'Competency Event Log'!$D$4:$D$803)))</f>
        <v/>
      </c>
      <c r="CW49" s="8" t="str">
        <f>IF($B49="","",IF(COUNTIF('Competency Event Log'!$U$4:$U$803,$B49&amp;"|"&amp;CW$5)=0,"",SUMIF('Competency Event Log'!$U$4:$U$803,$B49&amp;"|"&amp;CW$5,'Competency Event Log'!$D$4:$D$803)))</f>
        <v/>
      </c>
      <c r="CX49" s="8" t="str">
        <f>IF($B49="","",IF(COUNTIF('Competency Event Log'!$U$4:$U$803,$B49&amp;"|"&amp;CX$5)=0,"",SUMIF('Competency Event Log'!$U$4:$U$803,$B49&amp;"|"&amp;CX$5,'Competency Event Log'!$D$4:$D$803)))</f>
        <v/>
      </c>
      <c r="CY49" s="8" t="str">
        <f>IF($B49="","",IF(COUNTIF('Competency Event Log'!$U$4:$U$803,$B49&amp;"|"&amp;CY$5)=0,"",SUMIF('Competency Event Log'!$U$4:$U$803,$B49&amp;"|"&amp;CY$5,'Competency Event Log'!$D$4:$D$803)))</f>
        <v/>
      </c>
      <c r="CZ49" s="8" t="str">
        <f>IF($B49="","",IF(COUNTIF('Competency Event Log'!$U$4:$U$803,$B49&amp;"|"&amp;CZ$5)=0,"",SUMIF('Competency Event Log'!$U$4:$U$803,$B49&amp;"|"&amp;CZ$5,'Competency Event Log'!$D$4:$D$803)))</f>
        <v/>
      </c>
      <c r="DA49" s="8" t="str">
        <f>IF($B49="","",IF(COUNTIF('Competency Event Log'!$U$4:$U$803,$B49&amp;"|"&amp;DA$5)=0,"",SUMIF('Competency Event Log'!$U$4:$U$803,$B49&amp;"|"&amp;DA$5,'Competency Event Log'!$D$4:$D$803)))</f>
        <v/>
      </c>
      <c r="DB49" s="8" t="str">
        <f>IF($B49="","",IF(COUNTIF('Competency Event Log'!$U$4:$U$803,$B49&amp;"|"&amp;DB$5)=0,"",SUMIF('Competency Event Log'!$U$4:$U$803,$B49&amp;"|"&amp;DB$5,'Competency Event Log'!$D$4:$D$803)))</f>
        <v/>
      </c>
      <c r="DC49" s="8" t="str">
        <f>IF($B49="","",IF(COUNTIF('Competency Event Log'!$U$4:$U$803,$B49&amp;"|"&amp;DC$5)=0,"",SUMIF('Competency Event Log'!$U$4:$U$803,$B49&amp;"|"&amp;DC$5,'Competency Event Log'!$D$4:$D$803)))</f>
        <v/>
      </c>
      <c r="DD49" s="8" t="str">
        <f>IF($B49="","",IF(COUNTIF('Competency Event Log'!$U$4:$U$803,$B49&amp;"|"&amp;DD$5)=0,"",SUMIF('Competency Event Log'!$U$4:$U$803,$B49&amp;"|"&amp;DD$5,'Competency Event Log'!$D$4:$D$803)))</f>
        <v/>
      </c>
      <c r="DE49" s="8" t="str">
        <f>IF($B49="","",IF(COUNTIF('Competency Event Log'!$U$4:$U$803,$B49&amp;"|"&amp;DE$5)=0,"",SUMIF('Competency Event Log'!$U$4:$U$803,$B49&amp;"|"&amp;DE$5,'Competency Event Log'!$D$4:$D$803)))</f>
        <v/>
      </c>
      <c r="DF49" s="8" t="str">
        <f t="shared" si="4"/>
        <v/>
      </c>
      <c r="DG49" s="8" t="str">
        <f t="shared" si="5"/>
        <v/>
      </c>
      <c r="DH49" s="8" t="str">
        <f t="shared" si="6"/>
        <v/>
      </c>
      <c r="DI49" s="11" t="str">
        <f t="shared" si="7"/>
        <v/>
      </c>
    </row>
    <row r="50" spans="1:113">
      <c r="A50" s="7"/>
      <c r="B50" s="7"/>
      <c r="C50" s="8"/>
      <c r="D50" s="9"/>
      <c r="E50" s="10"/>
      <c r="F50" s="8"/>
      <c r="G50" s="8" t="str">
        <f>IF($B50="","",IF(COUNTIF('Competency Event Log'!$U$4:$U$803,$B50&amp;"|"&amp;G$5)=0,"",SUMIF('Competency Event Log'!$U$4:$U$803,$B50&amp;"|"&amp;G$5,'Competency Event Log'!$D$4:$D$803)))</f>
        <v/>
      </c>
      <c r="H50" s="8" t="str">
        <f>IF($B50="","",IF(COUNTIF('Competency Event Log'!$U$4:$U$803,$B50&amp;"|"&amp;H$5)=0,"",SUMIF('Competency Event Log'!$U$4:$U$803,$B50&amp;"|"&amp;H$5,'Competency Event Log'!$D$4:$D$803)))</f>
        <v/>
      </c>
      <c r="I50" s="8" t="str">
        <f>IF($B50="","",IF(COUNTIF('Competency Event Log'!$U$4:$U$803,$B50&amp;"|"&amp;I$5)=0,"",SUMIF('Competency Event Log'!$U$4:$U$803,$B50&amp;"|"&amp;I$5,'Competency Event Log'!$D$4:$D$803)))</f>
        <v/>
      </c>
      <c r="J50" s="8" t="str">
        <f>IF($B50="","",IF(COUNTIF('Competency Event Log'!$U$4:$U$803,$B50&amp;"|"&amp;J$5)=0,"",SUMIF('Competency Event Log'!$U$4:$U$803,$B50&amp;"|"&amp;J$5,'Competency Event Log'!$D$4:$D$803)))</f>
        <v/>
      </c>
      <c r="K50" s="8" t="str">
        <f>IF($B50="","",IF(COUNTIF('Competency Event Log'!$U$4:$U$803,$B50&amp;"|"&amp;K$5)=0,"",SUMIF('Competency Event Log'!$U$4:$U$803,$B50&amp;"|"&amp;K$5,'Competency Event Log'!$D$4:$D$803)))</f>
        <v/>
      </c>
      <c r="L50" s="8" t="str">
        <f>IF($B50="","",IF(COUNTIF('Competency Event Log'!$U$4:$U$803,$B50&amp;"|"&amp;L$5)=0,"",SUMIF('Competency Event Log'!$U$4:$U$803,$B50&amp;"|"&amp;L$5,'Competency Event Log'!$D$4:$D$803)))</f>
        <v/>
      </c>
      <c r="M50" s="8" t="str">
        <f>IF($B50="","",IF(COUNTIF('Competency Event Log'!$U$4:$U$803,$B50&amp;"|"&amp;M$5)=0,"",SUMIF('Competency Event Log'!$U$4:$U$803,$B50&amp;"|"&amp;M$5,'Competency Event Log'!$D$4:$D$803)))</f>
        <v/>
      </c>
      <c r="N50" s="8" t="str">
        <f>IF($B50="","",IF(COUNTIF('Competency Event Log'!$U$4:$U$803,$B50&amp;"|"&amp;N$5)=0,"",SUMIF('Competency Event Log'!$U$4:$U$803,$B50&amp;"|"&amp;N$5,'Competency Event Log'!$D$4:$D$803)))</f>
        <v/>
      </c>
      <c r="O50" s="8" t="str">
        <f>IF($B50="","",IF(COUNTIF('Competency Event Log'!$U$4:$U$803,$B50&amp;"|"&amp;O$5)=0,"",SUMIF('Competency Event Log'!$U$4:$U$803,$B50&amp;"|"&amp;O$5,'Competency Event Log'!$D$4:$D$803)))</f>
        <v/>
      </c>
      <c r="P50" s="8" t="str">
        <f>IF($B50="","",IF(COUNTIF('Competency Event Log'!$U$4:$U$803,$B50&amp;"|"&amp;P$5)=0,"",SUMIF('Competency Event Log'!$U$4:$U$803,$B50&amp;"|"&amp;P$5,'Competency Event Log'!$D$4:$D$803)))</f>
        <v/>
      </c>
      <c r="Q50" s="8" t="str">
        <f>IF($B50="","",IF(COUNTIF('Competency Event Log'!$U$4:$U$803,$B50&amp;"|"&amp;Q$5)=0,"",SUMIF('Competency Event Log'!$U$4:$U$803,$B50&amp;"|"&amp;Q$5,'Competency Event Log'!$D$4:$D$803)))</f>
        <v/>
      </c>
      <c r="R50" s="8" t="str">
        <f>IF($B50="","",IF(COUNTIF('Competency Event Log'!$U$4:$U$803,$B50&amp;"|"&amp;R$5)=0,"",SUMIF('Competency Event Log'!$U$4:$U$803,$B50&amp;"|"&amp;R$5,'Competency Event Log'!$D$4:$D$803)))</f>
        <v/>
      </c>
      <c r="S50" s="8" t="str">
        <f>IF($B50="","",IF(COUNTIF('Competency Event Log'!$U$4:$U$803,$B50&amp;"|"&amp;S$5)=0,"",SUMIF('Competency Event Log'!$U$4:$U$803,$B50&amp;"|"&amp;S$5,'Competency Event Log'!$D$4:$D$803)))</f>
        <v/>
      </c>
      <c r="T50" s="8" t="str">
        <f>IF($B50="","",IF(COUNTIF('Competency Event Log'!$U$4:$U$803,$B50&amp;"|"&amp;T$5)=0,"",SUMIF('Competency Event Log'!$U$4:$U$803,$B50&amp;"|"&amp;T$5,'Competency Event Log'!$D$4:$D$803)))</f>
        <v/>
      </c>
      <c r="U50" s="8" t="str">
        <f>IF($B50="","",IF(COUNTIF('Competency Event Log'!$U$4:$U$803,$B50&amp;"|"&amp;U$5)=0,"",SUMIF('Competency Event Log'!$U$4:$U$803,$B50&amp;"|"&amp;U$5,'Competency Event Log'!$D$4:$D$803)))</f>
        <v/>
      </c>
      <c r="V50" s="8" t="str">
        <f>IF($B50="","",IF(COUNTIF('Competency Event Log'!$U$4:$U$803,$B50&amp;"|"&amp;V$5)=0,"",SUMIF('Competency Event Log'!$U$4:$U$803,$B50&amp;"|"&amp;V$5,'Competency Event Log'!$D$4:$D$803)))</f>
        <v/>
      </c>
      <c r="W50" s="8" t="str">
        <f>IF($B50="","",IF(COUNTIF('Competency Event Log'!$U$4:$U$803,$B50&amp;"|"&amp;W$5)=0,"",SUMIF('Competency Event Log'!$U$4:$U$803,$B50&amp;"|"&amp;W$5,'Competency Event Log'!$D$4:$D$803)))</f>
        <v/>
      </c>
      <c r="X50" s="8" t="str">
        <f>IF($B50="","",IF(COUNTIF('Competency Event Log'!$U$4:$U$803,$B50&amp;"|"&amp;X$5)=0,"",SUMIF('Competency Event Log'!$U$4:$U$803,$B50&amp;"|"&amp;X$5,'Competency Event Log'!$D$4:$D$803)))</f>
        <v/>
      </c>
      <c r="Y50" s="8" t="str">
        <f>IF($B50="","",IF(COUNTIF('Competency Event Log'!$U$4:$U$803,$B50&amp;"|"&amp;Y$5)=0,"",SUMIF('Competency Event Log'!$U$4:$U$803,$B50&amp;"|"&amp;Y$5,'Competency Event Log'!$D$4:$D$803)))</f>
        <v/>
      </c>
      <c r="Z50" s="8" t="str">
        <f>IF($B50="","",IF(COUNTIF('Competency Event Log'!$U$4:$U$803,$B50&amp;"|"&amp;Z$5)=0,"",SUMIF('Competency Event Log'!$U$4:$U$803,$B50&amp;"|"&amp;Z$5,'Competency Event Log'!$D$4:$D$803)))</f>
        <v/>
      </c>
      <c r="AA50" s="8" t="str">
        <f>IF($B50="","",IF(COUNTIF('Competency Event Log'!$U$4:$U$803,$B50&amp;"|"&amp;AA$5)=0,"",SUMIF('Competency Event Log'!$U$4:$U$803,$B50&amp;"|"&amp;AA$5,'Competency Event Log'!$D$4:$D$803)))</f>
        <v/>
      </c>
      <c r="AB50" s="8" t="str">
        <f>IF($B50="","",IF(COUNTIF('Competency Event Log'!$U$4:$U$803,$B50&amp;"|"&amp;AB$5)=0,"",SUMIF('Competency Event Log'!$U$4:$U$803,$B50&amp;"|"&amp;AB$5,'Competency Event Log'!$D$4:$D$803)))</f>
        <v/>
      </c>
      <c r="AC50" s="8" t="str">
        <f>IF($B50="","",IF(COUNTIF('Competency Event Log'!$U$4:$U$803,$B50&amp;"|"&amp;AC$5)=0,"",SUMIF('Competency Event Log'!$U$4:$U$803,$B50&amp;"|"&amp;AC$5,'Competency Event Log'!$D$4:$D$803)))</f>
        <v/>
      </c>
      <c r="AD50" s="8" t="str">
        <f>IF($B50="","",IF(COUNTIF('Competency Event Log'!$U$4:$U$803,$B50&amp;"|"&amp;AD$5)=0,"",SUMIF('Competency Event Log'!$U$4:$U$803,$B50&amp;"|"&amp;AD$5,'Competency Event Log'!$D$4:$D$803)))</f>
        <v/>
      </c>
      <c r="AE50" s="8" t="str">
        <f>IF($B50="","",IF(COUNTIF('Competency Event Log'!$U$4:$U$803,$B50&amp;"|"&amp;AE$5)=0,"",SUMIF('Competency Event Log'!$U$4:$U$803,$B50&amp;"|"&amp;AE$5,'Competency Event Log'!$D$4:$D$803)))</f>
        <v/>
      </c>
      <c r="AF50" s="8" t="str">
        <f>IF($B50="","",IF(COUNTIF('Competency Event Log'!$U$4:$U$803,$B50&amp;"|"&amp;AF$5)=0,"",SUMIF('Competency Event Log'!$U$4:$U$803,$B50&amp;"|"&amp;AF$5,'Competency Event Log'!$D$4:$D$803)))</f>
        <v/>
      </c>
      <c r="AG50" s="8" t="str">
        <f>IF($B50="","",IF(COUNTIF('Competency Event Log'!$U$4:$U$803,$B50&amp;"|"&amp;AG$5)=0,"",SUMIF('Competency Event Log'!$U$4:$U$803,$B50&amp;"|"&amp;AG$5,'Competency Event Log'!$D$4:$D$803)))</f>
        <v/>
      </c>
      <c r="AH50" s="8" t="str">
        <f>IF($B50="","",IF(COUNTIF('Competency Event Log'!$U$4:$U$803,$B50&amp;"|"&amp;AH$5)=0,"",SUMIF('Competency Event Log'!$U$4:$U$803,$B50&amp;"|"&amp;AH$5,'Competency Event Log'!$D$4:$D$803)))</f>
        <v/>
      </c>
      <c r="AI50" s="8" t="str">
        <f>IF($B50="","",IF(COUNTIF('Competency Event Log'!$U$4:$U$803,$B50&amp;"|"&amp;AI$5)=0,"",SUMIF('Competency Event Log'!$U$4:$U$803,$B50&amp;"|"&amp;AI$5,'Competency Event Log'!$D$4:$D$803)))</f>
        <v/>
      </c>
      <c r="AJ50" s="8" t="str">
        <f>IF($B50="","",IF(COUNTIF('Competency Event Log'!$U$4:$U$803,$B50&amp;"|"&amp;AJ$5)=0,"",SUMIF('Competency Event Log'!$U$4:$U$803,$B50&amp;"|"&amp;AJ$5,'Competency Event Log'!$D$4:$D$803)))</f>
        <v/>
      </c>
      <c r="AK50" s="8" t="str">
        <f>IF($B50="","",IF(COUNTIF('Competency Event Log'!$U$4:$U$803,$B50&amp;"|"&amp;AK$5)=0,"",SUMIF('Competency Event Log'!$U$4:$U$803,$B50&amp;"|"&amp;AK$5,'Competency Event Log'!$D$4:$D$803)))</f>
        <v/>
      </c>
      <c r="AL50" s="8" t="str">
        <f>IF($B50="","",IF(COUNTIF('Competency Event Log'!$U$4:$U$803,$B50&amp;"|"&amp;AL$5)=0,"",SUMIF('Competency Event Log'!$U$4:$U$803,$B50&amp;"|"&amp;AL$5,'Competency Event Log'!$D$4:$D$803)))</f>
        <v/>
      </c>
      <c r="AM50" s="8" t="str">
        <f>IF($B50="","",IF(COUNTIF('Competency Event Log'!$U$4:$U$803,$B50&amp;"|"&amp;AM$5)=0,"",SUMIF('Competency Event Log'!$U$4:$U$803,$B50&amp;"|"&amp;AM$5,'Competency Event Log'!$D$4:$D$803)))</f>
        <v/>
      </c>
      <c r="AN50" s="8" t="str">
        <f>IF($B50="","",IF(COUNTIF('Competency Event Log'!$U$4:$U$803,$B50&amp;"|"&amp;AN$5)=0,"",SUMIF('Competency Event Log'!$U$4:$U$803,$B50&amp;"|"&amp;AN$5,'Competency Event Log'!$D$4:$D$803)))</f>
        <v/>
      </c>
      <c r="AO50" s="8" t="str">
        <f>IF($B50="","",IF(COUNTIF('Competency Event Log'!$U$4:$U$803,$B50&amp;"|"&amp;AO$5)=0,"",SUMIF('Competency Event Log'!$U$4:$U$803,$B50&amp;"|"&amp;AO$5,'Competency Event Log'!$D$4:$D$803)))</f>
        <v/>
      </c>
      <c r="AP50" s="8" t="str">
        <f>IF($B50="","",IF(COUNTIF('Competency Event Log'!$U$4:$U$803,$B50&amp;"|"&amp;AP$5)=0,"",SUMIF('Competency Event Log'!$U$4:$U$803,$B50&amp;"|"&amp;AP$5,'Competency Event Log'!$D$4:$D$803)))</f>
        <v/>
      </c>
      <c r="AQ50" s="8" t="str">
        <f>IF($B50="","",IF(COUNTIF('Competency Event Log'!$U$4:$U$803,$B50&amp;"|"&amp;AQ$5)=0,"",SUMIF('Competency Event Log'!$U$4:$U$803,$B50&amp;"|"&amp;AQ$5,'Competency Event Log'!$D$4:$D$803)))</f>
        <v/>
      </c>
      <c r="AR50" s="8" t="str">
        <f>IF($B50="","",IF(COUNTIF('Competency Event Log'!$U$4:$U$803,$B50&amp;"|"&amp;AR$5)=0,"",SUMIF('Competency Event Log'!$U$4:$U$803,$B50&amp;"|"&amp;AR$5,'Competency Event Log'!$D$4:$D$803)))</f>
        <v/>
      </c>
      <c r="AS50" s="8" t="str">
        <f>IF($B50="","",IF(COUNTIF('Competency Event Log'!$U$4:$U$803,$B50&amp;"|"&amp;AS$5)=0,"",SUMIF('Competency Event Log'!$U$4:$U$803,$B50&amp;"|"&amp;AS$5,'Competency Event Log'!$D$4:$D$803)))</f>
        <v/>
      </c>
      <c r="AT50" s="8" t="str">
        <f>IF($B50="","",IF(COUNTIF('Competency Event Log'!$U$4:$U$803,$B50&amp;"|"&amp;AT$5)=0,"",SUMIF('Competency Event Log'!$U$4:$U$803,$B50&amp;"|"&amp;AT$5,'Competency Event Log'!$D$4:$D$803)))</f>
        <v/>
      </c>
      <c r="AU50" s="8" t="str">
        <f>IF($B50="","",IF(COUNTIF('Competency Event Log'!$U$4:$U$803,$B50&amp;"|"&amp;AU$5)=0,"",SUMIF('Competency Event Log'!$U$4:$U$803,$B50&amp;"|"&amp;AU$5,'Competency Event Log'!$D$4:$D$803)))</f>
        <v/>
      </c>
      <c r="AV50" s="8" t="str">
        <f>IF($B50="","",IF(COUNTIF('Competency Event Log'!$U$4:$U$803,$B50&amp;"|"&amp;AV$5)=0,"",SUMIF('Competency Event Log'!$U$4:$U$803,$B50&amp;"|"&amp;AV$5,'Competency Event Log'!$D$4:$D$803)))</f>
        <v/>
      </c>
      <c r="AW50" s="8" t="str">
        <f>IF($B50="","",IF(COUNTIF('Competency Event Log'!$U$4:$U$803,$B50&amp;"|"&amp;AW$5)=0,"",SUMIF('Competency Event Log'!$U$4:$U$803,$B50&amp;"|"&amp;AW$5,'Competency Event Log'!$D$4:$D$803)))</f>
        <v/>
      </c>
      <c r="AX50" s="8" t="str">
        <f>IF($B50="","",IF(COUNTIF('Competency Event Log'!$U$4:$U$803,$B50&amp;"|"&amp;AX$5)=0,"",SUMIF('Competency Event Log'!$U$4:$U$803,$B50&amp;"|"&amp;AX$5,'Competency Event Log'!$D$4:$D$803)))</f>
        <v/>
      </c>
      <c r="AY50" s="8" t="str">
        <f>IF($B50="","",IF(COUNTIF('Competency Event Log'!$U$4:$U$803,$B50&amp;"|"&amp;AY$5)=0,"",SUMIF('Competency Event Log'!$U$4:$U$803,$B50&amp;"|"&amp;AY$5,'Competency Event Log'!$D$4:$D$803)))</f>
        <v/>
      </c>
      <c r="AZ50" s="8" t="str">
        <f>IF($B50="","",IF(COUNTIF('Competency Event Log'!$U$4:$U$803,$B50&amp;"|"&amp;AZ$5)=0,"",SUMIF('Competency Event Log'!$U$4:$U$803,$B50&amp;"|"&amp;AZ$5,'Competency Event Log'!$D$4:$D$803)))</f>
        <v/>
      </c>
      <c r="BA50" s="8" t="str">
        <f>IF($B50="","",IF(COUNTIF('Competency Event Log'!$U$4:$U$803,$B50&amp;"|"&amp;BA$5)=0,"",SUMIF('Competency Event Log'!$U$4:$U$803,$B50&amp;"|"&amp;BA$5,'Competency Event Log'!$D$4:$D$803)))</f>
        <v/>
      </c>
      <c r="BB50" s="8" t="str">
        <f>IF($B50="","",IF(COUNTIF('Competency Event Log'!$U$4:$U$803,$B50&amp;"|"&amp;BB$5)=0,"",SUMIF('Competency Event Log'!$U$4:$U$803,$B50&amp;"|"&amp;BB$5,'Competency Event Log'!$D$4:$D$803)))</f>
        <v/>
      </c>
      <c r="BC50" s="8" t="str">
        <f>IF($B50="","",IF(COUNTIF('Competency Event Log'!$U$4:$U$803,$B50&amp;"|"&amp;BC$5)=0,"",SUMIF('Competency Event Log'!$U$4:$U$803,$B50&amp;"|"&amp;BC$5,'Competency Event Log'!$D$4:$D$803)))</f>
        <v/>
      </c>
      <c r="BD50" s="8" t="str">
        <f>IF($B50="","",IF(COUNTIF('Competency Event Log'!$U$4:$U$803,$B50&amp;"|"&amp;BD$5)=0,"",SUMIF('Competency Event Log'!$U$4:$U$803,$B50&amp;"|"&amp;BD$5,'Competency Event Log'!$D$4:$D$803)))</f>
        <v/>
      </c>
      <c r="BE50" s="8" t="str">
        <f>IF($B50="","",IF(COUNTIF('Competency Event Log'!$U$4:$U$803,$B50&amp;"|"&amp;BE$5)=0,"",SUMIF('Competency Event Log'!$U$4:$U$803,$B50&amp;"|"&amp;BE$5,'Competency Event Log'!$D$4:$D$803)))</f>
        <v/>
      </c>
      <c r="BF50" s="8" t="str">
        <f>IF($B50="","",IF(COUNTIF('Competency Event Log'!$U$4:$U$803,$B50&amp;"|"&amp;BF$5)=0,"",SUMIF('Competency Event Log'!$U$4:$U$803,$B50&amp;"|"&amp;BF$5,'Competency Event Log'!$D$4:$D$803)))</f>
        <v/>
      </c>
      <c r="BG50" s="8" t="str">
        <f>IF($B50="","",IF(COUNTIF('Competency Event Log'!$U$4:$U$803,$B50&amp;"|"&amp;BG$5)=0,"",SUMIF('Competency Event Log'!$U$4:$U$803,$B50&amp;"|"&amp;BG$5,'Competency Event Log'!$D$4:$D$803)))</f>
        <v/>
      </c>
      <c r="BH50" s="8" t="str">
        <f>IF($B50="","",IF(COUNTIF('Competency Event Log'!$U$4:$U$803,$B50&amp;"|"&amp;BH$5)=0,"",SUMIF('Competency Event Log'!$U$4:$U$803,$B50&amp;"|"&amp;BH$5,'Competency Event Log'!$D$4:$D$803)))</f>
        <v/>
      </c>
      <c r="BI50" s="8" t="str">
        <f>IF($B50="","",IF(COUNTIF('Competency Event Log'!$U$4:$U$803,$B50&amp;"|"&amp;BI$5)=0,"",SUMIF('Competency Event Log'!$U$4:$U$803,$B50&amp;"|"&amp;BI$5,'Competency Event Log'!$D$4:$D$803)))</f>
        <v/>
      </c>
      <c r="BJ50" s="8" t="str">
        <f>IF($B50="","",IF(COUNTIF('Competency Event Log'!$U$4:$U$803,$B50&amp;"|"&amp;BJ$5)=0,"",SUMIF('Competency Event Log'!$U$4:$U$803,$B50&amp;"|"&amp;BJ$5,'Competency Event Log'!$D$4:$D$803)))</f>
        <v/>
      </c>
      <c r="BK50" s="8" t="str">
        <f>IF($B50="","",IF(COUNTIF('Competency Event Log'!$U$4:$U$803,$B50&amp;"|"&amp;BK$5)=0,"",SUMIF('Competency Event Log'!$U$4:$U$803,$B50&amp;"|"&amp;BK$5,'Competency Event Log'!$D$4:$D$803)))</f>
        <v/>
      </c>
      <c r="BL50" s="8" t="str">
        <f>IF($B50="","",IF(COUNTIF('Competency Event Log'!$U$4:$U$803,$B50&amp;"|"&amp;BL$5)=0,"",SUMIF('Competency Event Log'!$U$4:$U$803,$B50&amp;"|"&amp;BL$5,'Competency Event Log'!$D$4:$D$803)))</f>
        <v/>
      </c>
      <c r="BM50" s="8" t="str">
        <f>IF($B50="","",IF(COUNTIF('Competency Event Log'!$U$4:$U$803,$B50&amp;"|"&amp;BM$5)=0,"",SUMIF('Competency Event Log'!$U$4:$U$803,$B50&amp;"|"&amp;BM$5,'Competency Event Log'!$D$4:$D$803)))</f>
        <v/>
      </c>
      <c r="BN50" s="8" t="str">
        <f>IF($B50="","",IF(COUNTIF('Competency Event Log'!$U$4:$U$803,$B50&amp;"|"&amp;BN$5)=0,"",SUMIF('Competency Event Log'!$U$4:$U$803,$B50&amp;"|"&amp;BN$5,'Competency Event Log'!$D$4:$D$803)))</f>
        <v/>
      </c>
      <c r="BO50" s="8" t="str">
        <f>IF($B50="","",IF(COUNTIF('Competency Event Log'!$U$4:$U$803,$B50&amp;"|"&amp;BO$5)=0,"",SUMIF('Competency Event Log'!$U$4:$U$803,$B50&amp;"|"&amp;BO$5,'Competency Event Log'!$D$4:$D$803)))</f>
        <v/>
      </c>
      <c r="BP50" s="8" t="str">
        <f>IF($B50="","",IF(COUNTIF('Competency Event Log'!$U$4:$U$803,$B50&amp;"|"&amp;BP$5)=0,"",SUMIF('Competency Event Log'!$U$4:$U$803,$B50&amp;"|"&amp;BP$5,'Competency Event Log'!$D$4:$D$803)))</f>
        <v/>
      </c>
      <c r="BQ50" s="8" t="str">
        <f>IF($B50="","",IF(COUNTIF('Competency Event Log'!$U$4:$U$803,$B50&amp;"|"&amp;BQ$5)=0,"",SUMIF('Competency Event Log'!$U$4:$U$803,$B50&amp;"|"&amp;BQ$5,'Competency Event Log'!$D$4:$D$803)))</f>
        <v/>
      </c>
      <c r="BR50" s="8" t="str">
        <f>IF($B50="","",IF(COUNTIF('Competency Event Log'!$U$4:$U$803,$B50&amp;"|"&amp;BR$5)=0,"",SUMIF('Competency Event Log'!$U$4:$U$803,$B50&amp;"|"&amp;BR$5,'Competency Event Log'!$D$4:$D$803)))</f>
        <v/>
      </c>
      <c r="BS50" s="8" t="str">
        <f>IF($B50="","",IF(COUNTIF('Competency Event Log'!$U$4:$U$803,$B50&amp;"|"&amp;BS$5)=0,"",SUMIF('Competency Event Log'!$U$4:$U$803,$B50&amp;"|"&amp;BS$5,'Competency Event Log'!$D$4:$D$803)))</f>
        <v/>
      </c>
      <c r="BT50" s="8" t="str">
        <f>IF($B50="","",IF(COUNTIF('Competency Event Log'!$U$4:$U$803,$B50&amp;"|"&amp;BT$5)=0,"",SUMIF('Competency Event Log'!$U$4:$U$803,$B50&amp;"|"&amp;BT$5,'Competency Event Log'!$D$4:$D$803)))</f>
        <v/>
      </c>
      <c r="BU50" s="8" t="str">
        <f>IF($B50="","",IF(COUNTIF('Competency Event Log'!$U$4:$U$803,$B50&amp;"|"&amp;BU$5)=0,"",SUMIF('Competency Event Log'!$U$4:$U$803,$B50&amp;"|"&amp;BU$5,'Competency Event Log'!$D$4:$D$803)))</f>
        <v/>
      </c>
      <c r="BV50" s="8" t="str">
        <f>IF($B50="","",IF(COUNTIF('Competency Event Log'!$U$4:$U$803,$B50&amp;"|"&amp;BV$5)=0,"",SUMIF('Competency Event Log'!$U$4:$U$803,$B50&amp;"|"&amp;BV$5,'Competency Event Log'!$D$4:$D$803)))</f>
        <v/>
      </c>
      <c r="BW50" s="8" t="str">
        <f>IF($B50="","",IF(COUNTIF('Competency Event Log'!$U$4:$U$803,$B50&amp;"|"&amp;BW$5)=0,"",SUMIF('Competency Event Log'!$U$4:$U$803,$B50&amp;"|"&amp;BW$5,'Competency Event Log'!$D$4:$D$803)))</f>
        <v/>
      </c>
      <c r="BX50" s="8" t="str">
        <f>IF($B50="","",IF(COUNTIF('Competency Event Log'!$U$4:$U$803,$B50&amp;"|"&amp;BX$5)=0,"",SUMIF('Competency Event Log'!$U$4:$U$803,$B50&amp;"|"&amp;BX$5,'Competency Event Log'!$D$4:$D$803)))</f>
        <v/>
      </c>
      <c r="BY50" s="8" t="str">
        <f>IF($B50="","",IF(COUNTIF('Competency Event Log'!$U$4:$U$803,$B50&amp;"|"&amp;BY$5)=0,"",SUMIF('Competency Event Log'!$U$4:$U$803,$B50&amp;"|"&amp;BY$5,'Competency Event Log'!$D$4:$D$803)))</f>
        <v/>
      </c>
      <c r="BZ50" s="8" t="str">
        <f>IF($B50="","",IF(COUNTIF('Competency Event Log'!$U$4:$U$803,$B50&amp;"|"&amp;BZ$5)=0,"",SUMIF('Competency Event Log'!$U$4:$U$803,$B50&amp;"|"&amp;BZ$5,'Competency Event Log'!$D$4:$D$803)))</f>
        <v/>
      </c>
      <c r="CA50" s="8" t="str">
        <f>IF($B50="","",IF(COUNTIF('Competency Event Log'!$U$4:$U$803,$B50&amp;"|"&amp;CA$5)=0,"",SUMIF('Competency Event Log'!$U$4:$U$803,$B50&amp;"|"&amp;CA$5,'Competency Event Log'!$D$4:$D$803)))</f>
        <v/>
      </c>
      <c r="CB50" s="8" t="str">
        <f>IF($B50="","",IF(COUNTIF('Competency Event Log'!$U$4:$U$803,$B50&amp;"|"&amp;CB$5)=0,"",SUMIF('Competency Event Log'!$U$4:$U$803,$B50&amp;"|"&amp;CB$5,'Competency Event Log'!$D$4:$D$803)))</f>
        <v/>
      </c>
      <c r="CC50" s="8" t="str">
        <f>IF($B50="","",IF(COUNTIF('Competency Event Log'!$U$4:$U$803,$B50&amp;"|"&amp;CC$5)=0,"",SUMIF('Competency Event Log'!$U$4:$U$803,$B50&amp;"|"&amp;CC$5,'Competency Event Log'!$D$4:$D$803)))</f>
        <v/>
      </c>
      <c r="CD50" s="8" t="str">
        <f>IF($B50="","",IF(COUNTIF('Competency Event Log'!$U$4:$U$803,$B50&amp;"|"&amp;CD$5)=0,"",SUMIF('Competency Event Log'!$U$4:$U$803,$B50&amp;"|"&amp;CD$5,'Competency Event Log'!$D$4:$D$803)))</f>
        <v/>
      </c>
      <c r="CE50" s="8" t="str">
        <f>IF($B50="","",IF(COUNTIF('Competency Event Log'!$U$4:$U$803,$B50&amp;"|"&amp;CE$5)=0,"",SUMIF('Competency Event Log'!$U$4:$U$803,$B50&amp;"|"&amp;CE$5,'Competency Event Log'!$D$4:$D$803)))</f>
        <v/>
      </c>
      <c r="CF50" s="8" t="str">
        <f>IF($B50="","",IF(COUNTIF('Competency Event Log'!$U$4:$U$803,$B50&amp;"|"&amp;CF$5)=0,"",SUMIF('Competency Event Log'!$U$4:$U$803,$B50&amp;"|"&amp;CF$5,'Competency Event Log'!$D$4:$D$803)))</f>
        <v/>
      </c>
      <c r="CG50" s="8" t="str">
        <f>IF($B50="","",IF(COUNTIF('Competency Event Log'!$U$4:$U$803,$B50&amp;"|"&amp;CG$5)=0,"",SUMIF('Competency Event Log'!$U$4:$U$803,$B50&amp;"|"&amp;CG$5,'Competency Event Log'!$D$4:$D$803)))</f>
        <v/>
      </c>
      <c r="CH50" s="8" t="str">
        <f>IF($B50="","",IF(COUNTIF('Competency Event Log'!$U$4:$U$803,$B50&amp;"|"&amp;CH$5)=0,"",SUMIF('Competency Event Log'!$U$4:$U$803,$B50&amp;"|"&amp;CH$5,'Competency Event Log'!$D$4:$D$803)))</f>
        <v/>
      </c>
      <c r="CI50" s="8" t="str">
        <f>IF($B50="","",IF(COUNTIF('Competency Event Log'!$U$4:$U$803,$B50&amp;"|"&amp;CI$5)=0,"",SUMIF('Competency Event Log'!$U$4:$U$803,$B50&amp;"|"&amp;CI$5,'Competency Event Log'!$D$4:$D$803)))</f>
        <v/>
      </c>
      <c r="CJ50" s="8" t="str">
        <f>IF($B50="","",IF(COUNTIF('Competency Event Log'!$U$4:$U$803,$B50&amp;"|"&amp;CJ$5)=0,"",SUMIF('Competency Event Log'!$U$4:$U$803,$B50&amp;"|"&amp;CJ$5,'Competency Event Log'!$D$4:$D$803)))</f>
        <v/>
      </c>
      <c r="CK50" s="8" t="str">
        <f>IF($B50="","",IF(COUNTIF('Competency Event Log'!$U$4:$U$803,$B50&amp;"|"&amp;CK$5)=0,"",SUMIF('Competency Event Log'!$U$4:$U$803,$B50&amp;"|"&amp;CK$5,'Competency Event Log'!$D$4:$D$803)))</f>
        <v/>
      </c>
      <c r="CL50" s="8" t="str">
        <f>IF($B50="","",IF(COUNTIF('Competency Event Log'!$U$4:$U$803,$B50&amp;"|"&amp;CL$5)=0,"",SUMIF('Competency Event Log'!$U$4:$U$803,$B50&amp;"|"&amp;CL$5,'Competency Event Log'!$D$4:$D$803)))</f>
        <v/>
      </c>
      <c r="CM50" s="8" t="str">
        <f>IF($B50="","",IF(COUNTIF('Competency Event Log'!$U$4:$U$803,$B50&amp;"|"&amp;CM$5)=0,"",SUMIF('Competency Event Log'!$U$4:$U$803,$B50&amp;"|"&amp;CM$5,'Competency Event Log'!$D$4:$D$803)))</f>
        <v/>
      </c>
      <c r="CN50" s="8" t="str">
        <f>IF($B50="","",IF(COUNTIF('Competency Event Log'!$U$4:$U$803,$B50&amp;"|"&amp;CN$5)=0,"",SUMIF('Competency Event Log'!$U$4:$U$803,$B50&amp;"|"&amp;CN$5,'Competency Event Log'!$D$4:$D$803)))</f>
        <v/>
      </c>
      <c r="CO50" s="8" t="str">
        <f>IF($B50="","",IF(COUNTIF('Competency Event Log'!$U$4:$U$803,$B50&amp;"|"&amp;CO$5)=0,"",SUMIF('Competency Event Log'!$U$4:$U$803,$B50&amp;"|"&amp;CO$5,'Competency Event Log'!$D$4:$D$803)))</f>
        <v/>
      </c>
      <c r="CP50" s="8" t="str">
        <f>IF($B50="","",IF(COUNTIF('Competency Event Log'!$U$4:$U$803,$B50&amp;"|"&amp;CP$5)=0,"",SUMIF('Competency Event Log'!$U$4:$U$803,$B50&amp;"|"&amp;CP$5,'Competency Event Log'!$D$4:$D$803)))</f>
        <v/>
      </c>
      <c r="CQ50" s="8" t="str">
        <f>IF($B50="","",IF(COUNTIF('Competency Event Log'!$U$4:$U$803,$B50&amp;"|"&amp;CQ$5)=0,"",SUMIF('Competency Event Log'!$U$4:$U$803,$B50&amp;"|"&amp;CQ$5,'Competency Event Log'!$D$4:$D$803)))</f>
        <v/>
      </c>
      <c r="CR50" s="8" t="str">
        <f>IF($B50="","",IF(COUNTIF('Competency Event Log'!$U$4:$U$803,$B50&amp;"|"&amp;CR$5)=0,"",SUMIF('Competency Event Log'!$U$4:$U$803,$B50&amp;"|"&amp;CR$5,'Competency Event Log'!$D$4:$D$803)))</f>
        <v/>
      </c>
      <c r="CS50" s="8" t="str">
        <f>IF($B50="","",IF(COUNTIF('Competency Event Log'!$U$4:$U$803,$B50&amp;"|"&amp;CS$5)=0,"",SUMIF('Competency Event Log'!$U$4:$U$803,$B50&amp;"|"&amp;CS$5,'Competency Event Log'!$D$4:$D$803)))</f>
        <v/>
      </c>
      <c r="CT50" s="8" t="str">
        <f>IF($B50="","",IF(COUNTIF('Competency Event Log'!$U$4:$U$803,$B50&amp;"|"&amp;CT$5)=0,"",SUMIF('Competency Event Log'!$U$4:$U$803,$B50&amp;"|"&amp;CT$5,'Competency Event Log'!$D$4:$D$803)))</f>
        <v/>
      </c>
      <c r="CU50" s="8" t="str">
        <f>IF($B50="","",IF(COUNTIF('Competency Event Log'!$U$4:$U$803,$B50&amp;"|"&amp;CU$5)=0,"",SUMIF('Competency Event Log'!$U$4:$U$803,$B50&amp;"|"&amp;CU$5,'Competency Event Log'!$D$4:$D$803)))</f>
        <v/>
      </c>
      <c r="CV50" s="8" t="str">
        <f>IF($B50="","",IF(COUNTIF('Competency Event Log'!$U$4:$U$803,$B50&amp;"|"&amp;CV$5)=0,"",SUMIF('Competency Event Log'!$U$4:$U$803,$B50&amp;"|"&amp;CV$5,'Competency Event Log'!$D$4:$D$803)))</f>
        <v/>
      </c>
      <c r="CW50" s="8" t="str">
        <f>IF($B50="","",IF(COUNTIF('Competency Event Log'!$U$4:$U$803,$B50&amp;"|"&amp;CW$5)=0,"",SUMIF('Competency Event Log'!$U$4:$U$803,$B50&amp;"|"&amp;CW$5,'Competency Event Log'!$D$4:$D$803)))</f>
        <v/>
      </c>
      <c r="CX50" s="8" t="str">
        <f>IF($B50="","",IF(COUNTIF('Competency Event Log'!$U$4:$U$803,$B50&amp;"|"&amp;CX$5)=0,"",SUMIF('Competency Event Log'!$U$4:$U$803,$B50&amp;"|"&amp;CX$5,'Competency Event Log'!$D$4:$D$803)))</f>
        <v/>
      </c>
      <c r="CY50" s="8" t="str">
        <f>IF($B50="","",IF(COUNTIF('Competency Event Log'!$U$4:$U$803,$B50&amp;"|"&amp;CY$5)=0,"",SUMIF('Competency Event Log'!$U$4:$U$803,$B50&amp;"|"&amp;CY$5,'Competency Event Log'!$D$4:$D$803)))</f>
        <v/>
      </c>
      <c r="CZ50" s="8" t="str">
        <f>IF($B50="","",IF(COUNTIF('Competency Event Log'!$U$4:$U$803,$B50&amp;"|"&amp;CZ$5)=0,"",SUMIF('Competency Event Log'!$U$4:$U$803,$B50&amp;"|"&amp;CZ$5,'Competency Event Log'!$D$4:$D$803)))</f>
        <v/>
      </c>
      <c r="DA50" s="8" t="str">
        <f>IF($B50="","",IF(COUNTIF('Competency Event Log'!$U$4:$U$803,$B50&amp;"|"&amp;DA$5)=0,"",SUMIF('Competency Event Log'!$U$4:$U$803,$B50&amp;"|"&amp;DA$5,'Competency Event Log'!$D$4:$D$803)))</f>
        <v/>
      </c>
      <c r="DB50" s="8" t="str">
        <f>IF($B50="","",IF(COUNTIF('Competency Event Log'!$U$4:$U$803,$B50&amp;"|"&amp;DB$5)=0,"",SUMIF('Competency Event Log'!$U$4:$U$803,$B50&amp;"|"&amp;DB$5,'Competency Event Log'!$D$4:$D$803)))</f>
        <v/>
      </c>
      <c r="DC50" s="8" t="str">
        <f>IF($B50="","",IF(COUNTIF('Competency Event Log'!$U$4:$U$803,$B50&amp;"|"&amp;DC$5)=0,"",SUMIF('Competency Event Log'!$U$4:$U$803,$B50&amp;"|"&amp;DC$5,'Competency Event Log'!$D$4:$D$803)))</f>
        <v/>
      </c>
      <c r="DD50" s="8" t="str">
        <f>IF($B50="","",IF(COUNTIF('Competency Event Log'!$U$4:$U$803,$B50&amp;"|"&amp;DD$5)=0,"",SUMIF('Competency Event Log'!$U$4:$U$803,$B50&amp;"|"&amp;DD$5,'Competency Event Log'!$D$4:$D$803)))</f>
        <v/>
      </c>
      <c r="DE50" s="8" t="str">
        <f>IF($B50="","",IF(COUNTIF('Competency Event Log'!$U$4:$U$803,$B50&amp;"|"&amp;DE$5)=0,"",SUMIF('Competency Event Log'!$U$4:$U$803,$B50&amp;"|"&amp;DE$5,'Competency Event Log'!$D$4:$D$803)))</f>
        <v/>
      </c>
      <c r="DF50" s="8" t="str">
        <f t="shared" si="4"/>
        <v/>
      </c>
      <c r="DG50" s="8" t="str">
        <f t="shared" si="5"/>
        <v/>
      </c>
      <c r="DH50" s="8" t="str">
        <f t="shared" si="6"/>
        <v/>
      </c>
      <c r="DI50" s="11" t="str">
        <f t="shared" si="7"/>
        <v/>
      </c>
    </row>
    <row r="51" spans="1:113">
      <c r="A51" s="7"/>
      <c r="B51" s="7"/>
      <c r="C51" s="8"/>
      <c r="D51" s="9"/>
      <c r="E51" s="10"/>
      <c r="F51" s="8"/>
      <c r="G51" s="8" t="str">
        <f>IF($B51="","",IF(COUNTIF('Competency Event Log'!$U$4:$U$803,$B51&amp;"|"&amp;G$5)=0,"",SUMIF('Competency Event Log'!$U$4:$U$803,$B51&amp;"|"&amp;G$5,'Competency Event Log'!$D$4:$D$803)))</f>
        <v/>
      </c>
      <c r="H51" s="8" t="str">
        <f>IF($B51="","",IF(COUNTIF('Competency Event Log'!$U$4:$U$803,$B51&amp;"|"&amp;H$5)=0,"",SUMIF('Competency Event Log'!$U$4:$U$803,$B51&amp;"|"&amp;H$5,'Competency Event Log'!$D$4:$D$803)))</f>
        <v/>
      </c>
      <c r="I51" s="8" t="str">
        <f>IF($B51="","",IF(COUNTIF('Competency Event Log'!$U$4:$U$803,$B51&amp;"|"&amp;I$5)=0,"",SUMIF('Competency Event Log'!$U$4:$U$803,$B51&amp;"|"&amp;I$5,'Competency Event Log'!$D$4:$D$803)))</f>
        <v/>
      </c>
      <c r="J51" s="8" t="str">
        <f>IF($B51="","",IF(COUNTIF('Competency Event Log'!$U$4:$U$803,$B51&amp;"|"&amp;J$5)=0,"",SUMIF('Competency Event Log'!$U$4:$U$803,$B51&amp;"|"&amp;J$5,'Competency Event Log'!$D$4:$D$803)))</f>
        <v/>
      </c>
      <c r="K51" s="8" t="str">
        <f>IF($B51="","",IF(COUNTIF('Competency Event Log'!$U$4:$U$803,$B51&amp;"|"&amp;K$5)=0,"",SUMIF('Competency Event Log'!$U$4:$U$803,$B51&amp;"|"&amp;K$5,'Competency Event Log'!$D$4:$D$803)))</f>
        <v/>
      </c>
      <c r="L51" s="8" t="str">
        <f>IF($B51="","",IF(COUNTIF('Competency Event Log'!$U$4:$U$803,$B51&amp;"|"&amp;L$5)=0,"",SUMIF('Competency Event Log'!$U$4:$U$803,$B51&amp;"|"&amp;L$5,'Competency Event Log'!$D$4:$D$803)))</f>
        <v/>
      </c>
      <c r="M51" s="8" t="str">
        <f>IF($B51="","",IF(COUNTIF('Competency Event Log'!$U$4:$U$803,$B51&amp;"|"&amp;M$5)=0,"",SUMIF('Competency Event Log'!$U$4:$U$803,$B51&amp;"|"&amp;M$5,'Competency Event Log'!$D$4:$D$803)))</f>
        <v/>
      </c>
      <c r="N51" s="8" t="str">
        <f>IF($B51="","",IF(COUNTIF('Competency Event Log'!$U$4:$U$803,$B51&amp;"|"&amp;N$5)=0,"",SUMIF('Competency Event Log'!$U$4:$U$803,$B51&amp;"|"&amp;N$5,'Competency Event Log'!$D$4:$D$803)))</f>
        <v/>
      </c>
      <c r="O51" s="8" t="str">
        <f>IF($B51="","",IF(COUNTIF('Competency Event Log'!$U$4:$U$803,$B51&amp;"|"&amp;O$5)=0,"",SUMIF('Competency Event Log'!$U$4:$U$803,$B51&amp;"|"&amp;O$5,'Competency Event Log'!$D$4:$D$803)))</f>
        <v/>
      </c>
      <c r="P51" s="8" t="str">
        <f>IF($B51="","",IF(COUNTIF('Competency Event Log'!$U$4:$U$803,$B51&amp;"|"&amp;P$5)=0,"",SUMIF('Competency Event Log'!$U$4:$U$803,$B51&amp;"|"&amp;P$5,'Competency Event Log'!$D$4:$D$803)))</f>
        <v/>
      </c>
      <c r="Q51" s="8" t="str">
        <f>IF($B51="","",IF(COUNTIF('Competency Event Log'!$U$4:$U$803,$B51&amp;"|"&amp;Q$5)=0,"",SUMIF('Competency Event Log'!$U$4:$U$803,$B51&amp;"|"&amp;Q$5,'Competency Event Log'!$D$4:$D$803)))</f>
        <v/>
      </c>
      <c r="R51" s="8" t="str">
        <f>IF($B51="","",IF(COUNTIF('Competency Event Log'!$U$4:$U$803,$B51&amp;"|"&amp;R$5)=0,"",SUMIF('Competency Event Log'!$U$4:$U$803,$B51&amp;"|"&amp;R$5,'Competency Event Log'!$D$4:$D$803)))</f>
        <v/>
      </c>
      <c r="S51" s="8" t="str">
        <f>IF($B51="","",IF(COUNTIF('Competency Event Log'!$U$4:$U$803,$B51&amp;"|"&amp;S$5)=0,"",SUMIF('Competency Event Log'!$U$4:$U$803,$B51&amp;"|"&amp;S$5,'Competency Event Log'!$D$4:$D$803)))</f>
        <v/>
      </c>
      <c r="T51" s="8" t="str">
        <f>IF($B51="","",IF(COUNTIF('Competency Event Log'!$U$4:$U$803,$B51&amp;"|"&amp;T$5)=0,"",SUMIF('Competency Event Log'!$U$4:$U$803,$B51&amp;"|"&amp;T$5,'Competency Event Log'!$D$4:$D$803)))</f>
        <v/>
      </c>
      <c r="U51" s="8" t="str">
        <f>IF($B51="","",IF(COUNTIF('Competency Event Log'!$U$4:$U$803,$B51&amp;"|"&amp;U$5)=0,"",SUMIF('Competency Event Log'!$U$4:$U$803,$B51&amp;"|"&amp;U$5,'Competency Event Log'!$D$4:$D$803)))</f>
        <v/>
      </c>
      <c r="V51" s="8" t="str">
        <f>IF($B51="","",IF(COUNTIF('Competency Event Log'!$U$4:$U$803,$B51&amp;"|"&amp;V$5)=0,"",SUMIF('Competency Event Log'!$U$4:$U$803,$B51&amp;"|"&amp;V$5,'Competency Event Log'!$D$4:$D$803)))</f>
        <v/>
      </c>
      <c r="W51" s="8" t="str">
        <f>IF($B51="","",IF(COUNTIF('Competency Event Log'!$U$4:$U$803,$B51&amp;"|"&amp;W$5)=0,"",SUMIF('Competency Event Log'!$U$4:$U$803,$B51&amp;"|"&amp;W$5,'Competency Event Log'!$D$4:$D$803)))</f>
        <v/>
      </c>
      <c r="X51" s="8" t="str">
        <f>IF($B51="","",IF(COUNTIF('Competency Event Log'!$U$4:$U$803,$B51&amp;"|"&amp;X$5)=0,"",SUMIF('Competency Event Log'!$U$4:$U$803,$B51&amp;"|"&amp;X$5,'Competency Event Log'!$D$4:$D$803)))</f>
        <v/>
      </c>
      <c r="Y51" s="8" t="str">
        <f>IF($B51="","",IF(COUNTIF('Competency Event Log'!$U$4:$U$803,$B51&amp;"|"&amp;Y$5)=0,"",SUMIF('Competency Event Log'!$U$4:$U$803,$B51&amp;"|"&amp;Y$5,'Competency Event Log'!$D$4:$D$803)))</f>
        <v/>
      </c>
      <c r="Z51" s="8" t="str">
        <f>IF($B51="","",IF(COUNTIF('Competency Event Log'!$U$4:$U$803,$B51&amp;"|"&amp;Z$5)=0,"",SUMIF('Competency Event Log'!$U$4:$U$803,$B51&amp;"|"&amp;Z$5,'Competency Event Log'!$D$4:$D$803)))</f>
        <v/>
      </c>
      <c r="AA51" s="8" t="str">
        <f>IF($B51="","",IF(COUNTIF('Competency Event Log'!$U$4:$U$803,$B51&amp;"|"&amp;AA$5)=0,"",SUMIF('Competency Event Log'!$U$4:$U$803,$B51&amp;"|"&amp;AA$5,'Competency Event Log'!$D$4:$D$803)))</f>
        <v/>
      </c>
      <c r="AB51" s="8" t="str">
        <f>IF($B51="","",IF(COUNTIF('Competency Event Log'!$U$4:$U$803,$B51&amp;"|"&amp;AB$5)=0,"",SUMIF('Competency Event Log'!$U$4:$U$803,$B51&amp;"|"&amp;AB$5,'Competency Event Log'!$D$4:$D$803)))</f>
        <v/>
      </c>
      <c r="AC51" s="8" t="str">
        <f>IF($B51="","",IF(COUNTIF('Competency Event Log'!$U$4:$U$803,$B51&amp;"|"&amp;AC$5)=0,"",SUMIF('Competency Event Log'!$U$4:$U$803,$B51&amp;"|"&amp;AC$5,'Competency Event Log'!$D$4:$D$803)))</f>
        <v/>
      </c>
      <c r="AD51" s="8" t="str">
        <f>IF($B51="","",IF(COUNTIF('Competency Event Log'!$U$4:$U$803,$B51&amp;"|"&amp;AD$5)=0,"",SUMIF('Competency Event Log'!$U$4:$U$803,$B51&amp;"|"&amp;AD$5,'Competency Event Log'!$D$4:$D$803)))</f>
        <v/>
      </c>
      <c r="AE51" s="8" t="str">
        <f>IF($B51="","",IF(COUNTIF('Competency Event Log'!$U$4:$U$803,$B51&amp;"|"&amp;AE$5)=0,"",SUMIF('Competency Event Log'!$U$4:$U$803,$B51&amp;"|"&amp;AE$5,'Competency Event Log'!$D$4:$D$803)))</f>
        <v/>
      </c>
      <c r="AF51" s="8" t="str">
        <f>IF($B51="","",IF(COUNTIF('Competency Event Log'!$U$4:$U$803,$B51&amp;"|"&amp;AF$5)=0,"",SUMIF('Competency Event Log'!$U$4:$U$803,$B51&amp;"|"&amp;AF$5,'Competency Event Log'!$D$4:$D$803)))</f>
        <v/>
      </c>
      <c r="AG51" s="8" t="str">
        <f>IF($B51="","",IF(COUNTIF('Competency Event Log'!$U$4:$U$803,$B51&amp;"|"&amp;AG$5)=0,"",SUMIF('Competency Event Log'!$U$4:$U$803,$B51&amp;"|"&amp;AG$5,'Competency Event Log'!$D$4:$D$803)))</f>
        <v/>
      </c>
      <c r="AH51" s="8" t="str">
        <f>IF($B51="","",IF(COUNTIF('Competency Event Log'!$U$4:$U$803,$B51&amp;"|"&amp;AH$5)=0,"",SUMIF('Competency Event Log'!$U$4:$U$803,$B51&amp;"|"&amp;AH$5,'Competency Event Log'!$D$4:$D$803)))</f>
        <v/>
      </c>
      <c r="AI51" s="8" t="str">
        <f>IF($B51="","",IF(COUNTIF('Competency Event Log'!$U$4:$U$803,$B51&amp;"|"&amp;AI$5)=0,"",SUMIF('Competency Event Log'!$U$4:$U$803,$B51&amp;"|"&amp;AI$5,'Competency Event Log'!$D$4:$D$803)))</f>
        <v/>
      </c>
      <c r="AJ51" s="8" t="str">
        <f>IF($B51="","",IF(COUNTIF('Competency Event Log'!$U$4:$U$803,$B51&amp;"|"&amp;AJ$5)=0,"",SUMIF('Competency Event Log'!$U$4:$U$803,$B51&amp;"|"&amp;AJ$5,'Competency Event Log'!$D$4:$D$803)))</f>
        <v/>
      </c>
      <c r="AK51" s="8" t="str">
        <f>IF($B51="","",IF(COUNTIF('Competency Event Log'!$U$4:$U$803,$B51&amp;"|"&amp;AK$5)=0,"",SUMIF('Competency Event Log'!$U$4:$U$803,$B51&amp;"|"&amp;AK$5,'Competency Event Log'!$D$4:$D$803)))</f>
        <v/>
      </c>
      <c r="AL51" s="8" t="str">
        <f>IF($B51="","",IF(COUNTIF('Competency Event Log'!$U$4:$U$803,$B51&amp;"|"&amp;AL$5)=0,"",SUMIF('Competency Event Log'!$U$4:$U$803,$B51&amp;"|"&amp;AL$5,'Competency Event Log'!$D$4:$D$803)))</f>
        <v/>
      </c>
      <c r="AM51" s="8" t="str">
        <f>IF($B51="","",IF(COUNTIF('Competency Event Log'!$U$4:$U$803,$B51&amp;"|"&amp;AM$5)=0,"",SUMIF('Competency Event Log'!$U$4:$U$803,$B51&amp;"|"&amp;AM$5,'Competency Event Log'!$D$4:$D$803)))</f>
        <v/>
      </c>
      <c r="AN51" s="8" t="str">
        <f>IF($B51="","",IF(COUNTIF('Competency Event Log'!$U$4:$U$803,$B51&amp;"|"&amp;AN$5)=0,"",SUMIF('Competency Event Log'!$U$4:$U$803,$B51&amp;"|"&amp;AN$5,'Competency Event Log'!$D$4:$D$803)))</f>
        <v/>
      </c>
      <c r="AO51" s="8" t="str">
        <f>IF($B51="","",IF(COUNTIF('Competency Event Log'!$U$4:$U$803,$B51&amp;"|"&amp;AO$5)=0,"",SUMIF('Competency Event Log'!$U$4:$U$803,$B51&amp;"|"&amp;AO$5,'Competency Event Log'!$D$4:$D$803)))</f>
        <v/>
      </c>
      <c r="AP51" s="8" t="str">
        <f>IF($B51="","",IF(COUNTIF('Competency Event Log'!$U$4:$U$803,$B51&amp;"|"&amp;AP$5)=0,"",SUMIF('Competency Event Log'!$U$4:$U$803,$B51&amp;"|"&amp;AP$5,'Competency Event Log'!$D$4:$D$803)))</f>
        <v/>
      </c>
      <c r="AQ51" s="8" t="str">
        <f>IF($B51="","",IF(COUNTIF('Competency Event Log'!$U$4:$U$803,$B51&amp;"|"&amp;AQ$5)=0,"",SUMIF('Competency Event Log'!$U$4:$U$803,$B51&amp;"|"&amp;AQ$5,'Competency Event Log'!$D$4:$D$803)))</f>
        <v/>
      </c>
      <c r="AR51" s="8" t="str">
        <f>IF($B51="","",IF(COUNTIF('Competency Event Log'!$U$4:$U$803,$B51&amp;"|"&amp;AR$5)=0,"",SUMIF('Competency Event Log'!$U$4:$U$803,$B51&amp;"|"&amp;AR$5,'Competency Event Log'!$D$4:$D$803)))</f>
        <v/>
      </c>
      <c r="AS51" s="8" t="str">
        <f>IF($B51="","",IF(COUNTIF('Competency Event Log'!$U$4:$U$803,$B51&amp;"|"&amp;AS$5)=0,"",SUMIF('Competency Event Log'!$U$4:$U$803,$B51&amp;"|"&amp;AS$5,'Competency Event Log'!$D$4:$D$803)))</f>
        <v/>
      </c>
      <c r="AT51" s="8" t="str">
        <f>IF($B51="","",IF(COUNTIF('Competency Event Log'!$U$4:$U$803,$B51&amp;"|"&amp;AT$5)=0,"",SUMIF('Competency Event Log'!$U$4:$U$803,$B51&amp;"|"&amp;AT$5,'Competency Event Log'!$D$4:$D$803)))</f>
        <v/>
      </c>
      <c r="AU51" s="8" t="str">
        <f>IF($B51="","",IF(COUNTIF('Competency Event Log'!$U$4:$U$803,$B51&amp;"|"&amp;AU$5)=0,"",SUMIF('Competency Event Log'!$U$4:$U$803,$B51&amp;"|"&amp;AU$5,'Competency Event Log'!$D$4:$D$803)))</f>
        <v/>
      </c>
      <c r="AV51" s="8" t="str">
        <f>IF($B51="","",IF(COUNTIF('Competency Event Log'!$U$4:$U$803,$B51&amp;"|"&amp;AV$5)=0,"",SUMIF('Competency Event Log'!$U$4:$U$803,$B51&amp;"|"&amp;AV$5,'Competency Event Log'!$D$4:$D$803)))</f>
        <v/>
      </c>
      <c r="AW51" s="8" t="str">
        <f>IF($B51="","",IF(COUNTIF('Competency Event Log'!$U$4:$U$803,$B51&amp;"|"&amp;AW$5)=0,"",SUMIF('Competency Event Log'!$U$4:$U$803,$B51&amp;"|"&amp;AW$5,'Competency Event Log'!$D$4:$D$803)))</f>
        <v/>
      </c>
      <c r="AX51" s="8" t="str">
        <f>IF($B51="","",IF(COUNTIF('Competency Event Log'!$U$4:$U$803,$B51&amp;"|"&amp;AX$5)=0,"",SUMIF('Competency Event Log'!$U$4:$U$803,$B51&amp;"|"&amp;AX$5,'Competency Event Log'!$D$4:$D$803)))</f>
        <v/>
      </c>
      <c r="AY51" s="8" t="str">
        <f>IF($B51="","",IF(COUNTIF('Competency Event Log'!$U$4:$U$803,$B51&amp;"|"&amp;AY$5)=0,"",SUMIF('Competency Event Log'!$U$4:$U$803,$B51&amp;"|"&amp;AY$5,'Competency Event Log'!$D$4:$D$803)))</f>
        <v/>
      </c>
      <c r="AZ51" s="8" t="str">
        <f>IF($B51="","",IF(COUNTIF('Competency Event Log'!$U$4:$U$803,$B51&amp;"|"&amp;AZ$5)=0,"",SUMIF('Competency Event Log'!$U$4:$U$803,$B51&amp;"|"&amp;AZ$5,'Competency Event Log'!$D$4:$D$803)))</f>
        <v/>
      </c>
      <c r="BA51" s="8" t="str">
        <f>IF($B51="","",IF(COUNTIF('Competency Event Log'!$U$4:$U$803,$B51&amp;"|"&amp;BA$5)=0,"",SUMIF('Competency Event Log'!$U$4:$U$803,$B51&amp;"|"&amp;BA$5,'Competency Event Log'!$D$4:$D$803)))</f>
        <v/>
      </c>
      <c r="BB51" s="8" t="str">
        <f>IF($B51="","",IF(COUNTIF('Competency Event Log'!$U$4:$U$803,$B51&amp;"|"&amp;BB$5)=0,"",SUMIF('Competency Event Log'!$U$4:$U$803,$B51&amp;"|"&amp;BB$5,'Competency Event Log'!$D$4:$D$803)))</f>
        <v/>
      </c>
      <c r="BC51" s="8" t="str">
        <f>IF($B51="","",IF(COUNTIF('Competency Event Log'!$U$4:$U$803,$B51&amp;"|"&amp;BC$5)=0,"",SUMIF('Competency Event Log'!$U$4:$U$803,$B51&amp;"|"&amp;BC$5,'Competency Event Log'!$D$4:$D$803)))</f>
        <v/>
      </c>
      <c r="BD51" s="8" t="str">
        <f>IF($B51="","",IF(COUNTIF('Competency Event Log'!$U$4:$U$803,$B51&amp;"|"&amp;BD$5)=0,"",SUMIF('Competency Event Log'!$U$4:$U$803,$B51&amp;"|"&amp;BD$5,'Competency Event Log'!$D$4:$D$803)))</f>
        <v/>
      </c>
      <c r="BE51" s="8" t="str">
        <f>IF($B51="","",IF(COUNTIF('Competency Event Log'!$U$4:$U$803,$B51&amp;"|"&amp;BE$5)=0,"",SUMIF('Competency Event Log'!$U$4:$U$803,$B51&amp;"|"&amp;BE$5,'Competency Event Log'!$D$4:$D$803)))</f>
        <v/>
      </c>
      <c r="BF51" s="8" t="str">
        <f>IF($B51="","",IF(COUNTIF('Competency Event Log'!$U$4:$U$803,$B51&amp;"|"&amp;BF$5)=0,"",SUMIF('Competency Event Log'!$U$4:$U$803,$B51&amp;"|"&amp;BF$5,'Competency Event Log'!$D$4:$D$803)))</f>
        <v/>
      </c>
      <c r="BG51" s="8" t="str">
        <f>IF($B51="","",IF(COUNTIF('Competency Event Log'!$U$4:$U$803,$B51&amp;"|"&amp;BG$5)=0,"",SUMIF('Competency Event Log'!$U$4:$U$803,$B51&amp;"|"&amp;BG$5,'Competency Event Log'!$D$4:$D$803)))</f>
        <v/>
      </c>
      <c r="BH51" s="8" t="str">
        <f>IF($B51="","",IF(COUNTIF('Competency Event Log'!$U$4:$U$803,$B51&amp;"|"&amp;BH$5)=0,"",SUMIF('Competency Event Log'!$U$4:$U$803,$B51&amp;"|"&amp;BH$5,'Competency Event Log'!$D$4:$D$803)))</f>
        <v/>
      </c>
      <c r="BI51" s="8" t="str">
        <f>IF($B51="","",IF(COUNTIF('Competency Event Log'!$U$4:$U$803,$B51&amp;"|"&amp;BI$5)=0,"",SUMIF('Competency Event Log'!$U$4:$U$803,$B51&amp;"|"&amp;BI$5,'Competency Event Log'!$D$4:$D$803)))</f>
        <v/>
      </c>
      <c r="BJ51" s="8" t="str">
        <f>IF($B51="","",IF(COUNTIF('Competency Event Log'!$U$4:$U$803,$B51&amp;"|"&amp;BJ$5)=0,"",SUMIF('Competency Event Log'!$U$4:$U$803,$B51&amp;"|"&amp;BJ$5,'Competency Event Log'!$D$4:$D$803)))</f>
        <v/>
      </c>
      <c r="BK51" s="8" t="str">
        <f>IF($B51="","",IF(COUNTIF('Competency Event Log'!$U$4:$U$803,$B51&amp;"|"&amp;BK$5)=0,"",SUMIF('Competency Event Log'!$U$4:$U$803,$B51&amp;"|"&amp;BK$5,'Competency Event Log'!$D$4:$D$803)))</f>
        <v/>
      </c>
      <c r="BL51" s="8" t="str">
        <f>IF($B51="","",IF(COUNTIF('Competency Event Log'!$U$4:$U$803,$B51&amp;"|"&amp;BL$5)=0,"",SUMIF('Competency Event Log'!$U$4:$U$803,$B51&amp;"|"&amp;BL$5,'Competency Event Log'!$D$4:$D$803)))</f>
        <v/>
      </c>
      <c r="BM51" s="8" t="str">
        <f>IF($B51="","",IF(COUNTIF('Competency Event Log'!$U$4:$U$803,$B51&amp;"|"&amp;BM$5)=0,"",SUMIF('Competency Event Log'!$U$4:$U$803,$B51&amp;"|"&amp;BM$5,'Competency Event Log'!$D$4:$D$803)))</f>
        <v/>
      </c>
      <c r="BN51" s="8" t="str">
        <f>IF($B51="","",IF(COUNTIF('Competency Event Log'!$U$4:$U$803,$B51&amp;"|"&amp;BN$5)=0,"",SUMIF('Competency Event Log'!$U$4:$U$803,$B51&amp;"|"&amp;BN$5,'Competency Event Log'!$D$4:$D$803)))</f>
        <v/>
      </c>
      <c r="BO51" s="8" t="str">
        <f>IF($B51="","",IF(COUNTIF('Competency Event Log'!$U$4:$U$803,$B51&amp;"|"&amp;BO$5)=0,"",SUMIF('Competency Event Log'!$U$4:$U$803,$B51&amp;"|"&amp;BO$5,'Competency Event Log'!$D$4:$D$803)))</f>
        <v/>
      </c>
      <c r="BP51" s="8" t="str">
        <f>IF($B51="","",IF(COUNTIF('Competency Event Log'!$U$4:$U$803,$B51&amp;"|"&amp;BP$5)=0,"",SUMIF('Competency Event Log'!$U$4:$U$803,$B51&amp;"|"&amp;BP$5,'Competency Event Log'!$D$4:$D$803)))</f>
        <v/>
      </c>
      <c r="BQ51" s="8" t="str">
        <f>IF($B51="","",IF(COUNTIF('Competency Event Log'!$U$4:$U$803,$B51&amp;"|"&amp;BQ$5)=0,"",SUMIF('Competency Event Log'!$U$4:$U$803,$B51&amp;"|"&amp;BQ$5,'Competency Event Log'!$D$4:$D$803)))</f>
        <v/>
      </c>
      <c r="BR51" s="8" t="str">
        <f>IF($B51="","",IF(COUNTIF('Competency Event Log'!$U$4:$U$803,$B51&amp;"|"&amp;BR$5)=0,"",SUMIF('Competency Event Log'!$U$4:$U$803,$B51&amp;"|"&amp;BR$5,'Competency Event Log'!$D$4:$D$803)))</f>
        <v/>
      </c>
      <c r="BS51" s="8" t="str">
        <f>IF($B51="","",IF(COUNTIF('Competency Event Log'!$U$4:$U$803,$B51&amp;"|"&amp;BS$5)=0,"",SUMIF('Competency Event Log'!$U$4:$U$803,$B51&amp;"|"&amp;BS$5,'Competency Event Log'!$D$4:$D$803)))</f>
        <v/>
      </c>
      <c r="BT51" s="8" t="str">
        <f>IF($B51="","",IF(COUNTIF('Competency Event Log'!$U$4:$U$803,$B51&amp;"|"&amp;BT$5)=0,"",SUMIF('Competency Event Log'!$U$4:$U$803,$B51&amp;"|"&amp;BT$5,'Competency Event Log'!$D$4:$D$803)))</f>
        <v/>
      </c>
      <c r="BU51" s="8" t="str">
        <f>IF($B51="","",IF(COUNTIF('Competency Event Log'!$U$4:$U$803,$B51&amp;"|"&amp;BU$5)=0,"",SUMIF('Competency Event Log'!$U$4:$U$803,$B51&amp;"|"&amp;BU$5,'Competency Event Log'!$D$4:$D$803)))</f>
        <v/>
      </c>
      <c r="BV51" s="8" t="str">
        <f>IF($B51="","",IF(COUNTIF('Competency Event Log'!$U$4:$U$803,$B51&amp;"|"&amp;BV$5)=0,"",SUMIF('Competency Event Log'!$U$4:$U$803,$B51&amp;"|"&amp;BV$5,'Competency Event Log'!$D$4:$D$803)))</f>
        <v/>
      </c>
      <c r="BW51" s="8" t="str">
        <f>IF($B51="","",IF(COUNTIF('Competency Event Log'!$U$4:$U$803,$B51&amp;"|"&amp;BW$5)=0,"",SUMIF('Competency Event Log'!$U$4:$U$803,$B51&amp;"|"&amp;BW$5,'Competency Event Log'!$D$4:$D$803)))</f>
        <v/>
      </c>
      <c r="BX51" s="8" t="str">
        <f>IF($B51="","",IF(COUNTIF('Competency Event Log'!$U$4:$U$803,$B51&amp;"|"&amp;BX$5)=0,"",SUMIF('Competency Event Log'!$U$4:$U$803,$B51&amp;"|"&amp;BX$5,'Competency Event Log'!$D$4:$D$803)))</f>
        <v/>
      </c>
      <c r="BY51" s="8" t="str">
        <f>IF($B51="","",IF(COUNTIF('Competency Event Log'!$U$4:$U$803,$B51&amp;"|"&amp;BY$5)=0,"",SUMIF('Competency Event Log'!$U$4:$U$803,$B51&amp;"|"&amp;BY$5,'Competency Event Log'!$D$4:$D$803)))</f>
        <v/>
      </c>
      <c r="BZ51" s="8" t="str">
        <f>IF($B51="","",IF(COUNTIF('Competency Event Log'!$U$4:$U$803,$B51&amp;"|"&amp;BZ$5)=0,"",SUMIF('Competency Event Log'!$U$4:$U$803,$B51&amp;"|"&amp;BZ$5,'Competency Event Log'!$D$4:$D$803)))</f>
        <v/>
      </c>
      <c r="CA51" s="8" t="str">
        <f>IF($B51="","",IF(COUNTIF('Competency Event Log'!$U$4:$U$803,$B51&amp;"|"&amp;CA$5)=0,"",SUMIF('Competency Event Log'!$U$4:$U$803,$B51&amp;"|"&amp;CA$5,'Competency Event Log'!$D$4:$D$803)))</f>
        <v/>
      </c>
      <c r="CB51" s="8" t="str">
        <f>IF($B51="","",IF(COUNTIF('Competency Event Log'!$U$4:$U$803,$B51&amp;"|"&amp;CB$5)=0,"",SUMIF('Competency Event Log'!$U$4:$U$803,$B51&amp;"|"&amp;CB$5,'Competency Event Log'!$D$4:$D$803)))</f>
        <v/>
      </c>
      <c r="CC51" s="8" t="str">
        <f>IF($B51="","",IF(COUNTIF('Competency Event Log'!$U$4:$U$803,$B51&amp;"|"&amp;CC$5)=0,"",SUMIF('Competency Event Log'!$U$4:$U$803,$B51&amp;"|"&amp;CC$5,'Competency Event Log'!$D$4:$D$803)))</f>
        <v/>
      </c>
      <c r="CD51" s="8" t="str">
        <f>IF($B51="","",IF(COUNTIF('Competency Event Log'!$U$4:$U$803,$B51&amp;"|"&amp;CD$5)=0,"",SUMIF('Competency Event Log'!$U$4:$U$803,$B51&amp;"|"&amp;CD$5,'Competency Event Log'!$D$4:$D$803)))</f>
        <v/>
      </c>
      <c r="CE51" s="8" t="str">
        <f>IF($B51="","",IF(COUNTIF('Competency Event Log'!$U$4:$U$803,$B51&amp;"|"&amp;CE$5)=0,"",SUMIF('Competency Event Log'!$U$4:$U$803,$B51&amp;"|"&amp;CE$5,'Competency Event Log'!$D$4:$D$803)))</f>
        <v/>
      </c>
      <c r="CF51" s="8" t="str">
        <f>IF($B51="","",IF(COUNTIF('Competency Event Log'!$U$4:$U$803,$B51&amp;"|"&amp;CF$5)=0,"",SUMIF('Competency Event Log'!$U$4:$U$803,$B51&amp;"|"&amp;CF$5,'Competency Event Log'!$D$4:$D$803)))</f>
        <v/>
      </c>
      <c r="CG51" s="8" t="str">
        <f>IF($B51="","",IF(COUNTIF('Competency Event Log'!$U$4:$U$803,$B51&amp;"|"&amp;CG$5)=0,"",SUMIF('Competency Event Log'!$U$4:$U$803,$B51&amp;"|"&amp;CG$5,'Competency Event Log'!$D$4:$D$803)))</f>
        <v/>
      </c>
      <c r="CH51" s="8" t="str">
        <f>IF($B51="","",IF(COUNTIF('Competency Event Log'!$U$4:$U$803,$B51&amp;"|"&amp;CH$5)=0,"",SUMIF('Competency Event Log'!$U$4:$U$803,$B51&amp;"|"&amp;CH$5,'Competency Event Log'!$D$4:$D$803)))</f>
        <v/>
      </c>
      <c r="CI51" s="8" t="str">
        <f>IF($B51="","",IF(COUNTIF('Competency Event Log'!$U$4:$U$803,$B51&amp;"|"&amp;CI$5)=0,"",SUMIF('Competency Event Log'!$U$4:$U$803,$B51&amp;"|"&amp;CI$5,'Competency Event Log'!$D$4:$D$803)))</f>
        <v/>
      </c>
      <c r="CJ51" s="8" t="str">
        <f>IF($B51="","",IF(COUNTIF('Competency Event Log'!$U$4:$U$803,$B51&amp;"|"&amp;CJ$5)=0,"",SUMIF('Competency Event Log'!$U$4:$U$803,$B51&amp;"|"&amp;CJ$5,'Competency Event Log'!$D$4:$D$803)))</f>
        <v/>
      </c>
      <c r="CK51" s="8" t="str">
        <f>IF($B51="","",IF(COUNTIF('Competency Event Log'!$U$4:$U$803,$B51&amp;"|"&amp;CK$5)=0,"",SUMIF('Competency Event Log'!$U$4:$U$803,$B51&amp;"|"&amp;CK$5,'Competency Event Log'!$D$4:$D$803)))</f>
        <v/>
      </c>
      <c r="CL51" s="8" t="str">
        <f>IF($B51="","",IF(COUNTIF('Competency Event Log'!$U$4:$U$803,$B51&amp;"|"&amp;CL$5)=0,"",SUMIF('Competency Event Log'!$U$4:$U$803,$B51&amp;"|"&amp;CL$5,'Competency Event Log'!$D$4:$D$803)))</f>
        <v/>
      </c>
      <c r="CM51" s="8" t="str">
        <f>IF($B51="","",IF(COUNTIF('Competency Event Log'!$U$4:$U$803,$B51&amp;"|"&amp;CM$5)=0,"",SUMIF('Competency Event Log'!$U$4:$U$803,$B51&amp;"|"&amp;CM$5,'Competency Event Log'!$D$4:$D$803)))</f>
        <v/>
      </c>
      <c r="CN51" s="8" t="str">
        <f>IF($B51="","",IF(COUNTIF('Competency Event Log'!$U$4:$U$803,$B51&amp;"|"&amp;CN$5)=0,"",SUMIF('Competency Event Log'!$U$4:$U$803,$B51&amp;"|"&amp;CN$5,'Competency Event Log'!$D$4:$D$803)))</f>
        <v/>
      </c>
      <c r="CO51" s="8" t="str">
        <f>IF($B51="","",IF(COUNTIF('Competency Event Log'!$U$4:$U$803,$B51&amp;"|"&amp;CO$5)=0,"",SUMIF('Competency Event Log'!$U$4:$U$803,$B51&amp;"|"&amp;CO$5,'Competency Event Log'!$D$4:$D$803)))</f>
        <v/>
      </c>
      <c r="CP51" s="8" t="str">
        <f>IF($B51="","",IF(COUNTIF('Competency Event Log'!$U$4:$U$803,$B51&amp;"|"&amp;CP$5)=0,"",SUMIF('Competency Event Log'!$U$4:$U$803,$B51&amp;"|"&amp;CP$5,'Competency Event Log'!$D$4:$D$803)))</f>
        <v/>
      </c>
      <c r="CQ51" s="8" t="str">
        <f>IF($B51="","",IF(COUNTIF('Competency Event Log'!$U$4:$U$803,$B51&amp;"|"&amp;CQ$5)=0,"",SUMIF('Competency Event Log'!$U$4:$U$803,$B51&amp;"|"&amp;CQ$5,'Competency Event Log'!$D$4:$D$803)))</f>
        <v/>
      </c>
      <c r="CR51" s="8" t="str">
        <f>IF($B51="","",IF(COUNTIF('Competency Event Log'!$U$4:$U$803,$B51&amp;"|"&amp;CR$5)=0,"",SUMIF('Competency Event Log'!$U$4:$U$803,$B51&amp;"|"&amp;CR$5,'Competency Event Log'!$D$4:$D$803)))</f>
        <v/>
      </c>
      <c r="CS51" s="8" t="str">
        <f>IF($B51="","",IF(COUNTIF('Competency Event Log'!$U$4:$U$803,$B51&amp;"|"&amp;CS$5)=0,"",SUMIF('Competency Event Log'!$U$4:$U$803,$B51&amp;"|"&amp;CS$5,'Competency Event Log'!$D$4:$D$803)))</f>
        <v/>
      </c>
      <c r="CT51" s="8" t="str">
        <f>IF($B51="","",IF(COUNTIF('Competency Event Log'!$U$4:$U$803,$B51&amp;"|"&amp;CT$5)=0,"",SUMIF('Competency Event Log'!$U$4:$U$803,$B51&amp;"|"&amp;CT$5,'Competency Event Log'!$D$4:$D$803)))</f>
        <v/>
      </c>
      <c r="CU51" s="8" t="str">
        <f>IF($B51="","",IF(COUNTIF('Competency Event Log'!$U$4:$U$803,$B51&amp;"|"&amp;CU$5)=0,"",SUMIF('Competency Event Log'!$U$4:$U$803,$B51&amp;"|"&amp;CU$5,'Competency Event Log'!$D$4:$D$803)))</f>
        <v/>
      </c>
      <c r="CV51" s="8" t="str">
        <f>IF($B51="","",IF(COUNTIF('Competency Event Log'!$U$4:$U$803,$B51&amp;"|"&amp;CV$5)=0,"",SUMIF('Competency Event Log'!$U$4:$U$803,$B51&amp;"|"&amp;CV$5,'Competency Event Log'!$D$4:$D$803)))</f>
        <v/>
      </c>
      <c r="CW51" s="8" t="str">
        <f>IF($B51="","",IF(COUNTIF('Competency Event Log'!$U$4:$U$803,$B51&amp;"|"&amp;CW$5)=0,"",SUMIF('Competency Event Log'!$U$4:$U$803,$B51&amp;"|"&amp;CW$5,'Competency Event Log'!$D$4:$D$803)))</f>
        <v/>
      </c>
      <c r="CX51" s="8" t="str">
        <f>IF($B51="","",IF(COUNTIF('Competency Event Log'!$U$4:$U$803,$B51&amp;"|"&amp;CX$5)=0,"",SUMIF('Competency Event Log'!$U$4:$U$803,$B51&amp;"|"&amp;CX$5,'Competency Event Log'!$D$4:$D$803)))</f>
        <v/>
      </c>
      <c r="CY51" s="8" t="str">
        <f>IF($B51="","",IF(COUNTIF('Competency Event Log'!$U$4:$U$803,$B51&amp;"|"&amp;CY$5)=0,"",SUMIF('Competency Event Log'!$U$4:$U$803,$B51&amp;"|"&amp;CY$5,'Competency Event Log'!$D$4:$D$803)))</f>
        <v/>
      </c>
      <c r="CZ51" s="8" t="str">
        <f>IF($B51="","",IF(COUNTIF('Competency Event Log'!$U$4:$U$803,$B51&amp;"|"&amp;CZ$5)=0,"",SUMIF('Competency Event Log'!$U$4:$U$803,$B51&amp;"|"&amp;CZ$5,'Competency Event Log'!$D$4:$D$803)))</f>
        <v/>
      </c>
      <c r="DA51" s="8" t="str">
        <f>IF($B51="","",IF(COUNTIF('Competency Event Log'!$U$4:$U$803,$B51&amp;"|"&amp;DA$5)=0,"",SUMIF('Competency Event Log'!$U$4:$U$803,$B51&amp;"|"&amp;DA$5,'Competency Event Log'!$D$4:$D$803)))</f>
        <v/>
      </c>
      <c r="DB51" s="8" t="str">
        <f>IF($B51="","",IF(COUNTIF('Competency Event Log'!$U$4:$U$803,$B51&amp;"|"&amp;DB$5)=0,"",SUMIF('Competency Event Log'!$U$4:$U$803,$B51&amp;"|"&amp;DB$5,'Competency Event Log'!$D$4:$D$803)))</f>
        <v/>
      </c>
      <c r="DC51" s="8" t="str">
        <f>IF($B51="","",IF(COUNTIF('Competency Event Log'!$U$4:$U$803,$B51&amp;"|"&amp;DC$5)=0,"",SUMIF('Competency Event Log'!$U$4:$U$803,$B51&amp;"|"&amp;DC$5,'Competency Event Log'!$D$4:$D$803)))</f>
        <v/>
      </c>
      <c r="DD51" s="8" t="str">
        <f>IF($B51="","",IF(COUNTIF('Competency Event Log'!$U$4:$U$803,$B51&amp;"|"&amp;DD$5)=0,"",SUMIF('Competency Event Log'!$U$4:$U$803,$B51&amp;"|"&amp;DD$5,'Competency Event Log'!$D$4:$D$803)))</f>
        <v/>
      </c>
      <c r="DE51" s="8" t="str">
        <f>IF($B51="","",IF(COUNTIF('Competency Event Log'!$U$4:$U$803,$B51&amp;"|"&amp;DE$5)=0,"",SUMIF('Competency Event Log'!$U$4:$U$803,$B51&amp;"|"&amp;DE$5,'Competency Event Log'!$D$4:$D$803)))</f>
        <v/>
      </c>
      <c r="DF51" s="8" t="str">
        <f t="shared" si="4"/>
        <v/>
      </c>
      <c r="DG51" s="8" t="str">
        <f t="shared" si="5"/>
        <v/>
      </c>
      <c r="DH51" s="8" t="str">
        <f t="shared" si="6"/>
        <v/>
      </c>
      <c r="DI51" s="11" t="str">
        <f t="shared" si="7"/>
        <v/>
      </c>
    </row>
    <row r="52" spans="1:113">
      <c r="A52" s="7"/>
      <c r="B52" s="7"/>
      <c r="C52" s="8"/>
      <c r="D52" s="9"/>
      <c r="E52" s="10"/>
      <c r="F52" s="8"/>
      <c r="G52" s="8" t="str">
        <f>IF($B52="","",IF(COUNTIF('Competency Event Log'!$U$4:$U$803,$B52&amp;"|"&amp;G$5)=0,"",SUMIF('Competency Event Log'!$U$4:$U$803,$B52&amp;"|"&amp;G$5,'Competency Event Log'!$D$4:$D$803)))</f>
        <v/>
      </c>
      <c r="H52" s="8" t="str">
        <f>IF($B52="","",IF(COUNTIF('Competency Event Log'!$U$4:$U$803,$B52&amp;"|"&amp;H$5)=0,"",SUMIF('Competency Event Log'!$U$4:$U$803,$B52&amp;"|"&amp;H$5,'Competency Event Log'!$D$4:$D$803)))</f>
        <v/>
      </c>
      <c r="I52" s="8" t="str">
        <f>IF($B52="","",IF(COUNTIF('Competency Event Log'!$U$4:$U$803,$B52&amp;"|"&amp;I$5)=0,"",SUMIF('Competency Event Log'!$U$4:$U$803,$B52&amp;"|"&amp;I$5,'Competency Event Log'!$D$4:$D$803)))</f>
        <v/>
      </c>
      <c r="J52" s="8" t="str">
        <f>IF($B52="","",IF(COUNTIF('Competency Event Log'!$U$4:$U$803,$B52&amp;"|"&amp;J$5)=0,"",SUMIF('Competency Event Log'!$U$4:$U$803,$B52&amp;"|"&amp;J$5,'Competency Event Log'!$D$4:$D$803)))</f>
        <v/>
      </c>
      <c r="K52" s="8" t="str">
        <f>IF($B52="","",IF(COUNTIF('Competency Event Log'!$U$4:$U$803,$B52&amp;"|"&amp;K$5)=0,"",SUMIF('Competency Event Log'!$U$4:$U$803,$B52&amp;"|"&amp;K$5,'Competency Event Log'!$D$4:$D$803)))</f>
        <v/>
      </c>
      <c r="L52" s="8" t="str">
        <f>IF($B52="","",IF(COUNTIF('Competency Event Log'!$U$4:$U$803,$B52&amp;"|"&amp;L$5)=0,"",SUMIF('Competency Event Log'!$U$4:$U$803,$B52&amp;"|"&amp;L$5,'Competency Event Log'!$D$4:$D$803)))</f>
        <v/>
      </c>
      <c r="M52" s="8" t="str">
        <f>IF($B52="","",IF(COUNTIF('Competency Event Log'!$U$4:$U$803,$B52&amp;"|"&amp;M$5)=0,"",SUMIF('Competency Event Log'!$U$4:$U$803,$B52&amp;"|"&amp;M$5,'Competency Event Log'!$D$4:$D$803)))</f>
        <v/>
      </c>
      <c r="N52" s="8" t="str">
        <f>IF($B52="","",IF(COUNTIF('Competency Event Log'!$U$4:$U$803,$B52&amp;"|"&amp;N$5)=0,"",SUMIF('Competency Event Log'!$U$4:$U$803,$B52&amp;"|"&amp;N$5,'Competency Event Log'!$D$4:$D$803)))</f>
        <v/>
      </c>
      <c r="O52" s="8" t="str">
        <f>IF($B52="","",IF(COUNTIF('Competency Event Log'!$U$4:$U$803,$B52&amp;"|"&amp;O$5)=0,"",SUMIF('Competency Event Log'!$U$4:$U$803,$B52&amp;"|"&amp;O$5,'Competency Event Log'!$D$4:$D$803)))</f>
        <v/>
      </c>
      <c r="P52" s="8" t="str">
        <f>IF($B52="","",IF(COUNTIF('Competency Event Log'!$U$4:$U$803,$B52&amp;"|"&amp;P$5)=0,"",SUMIF('Competency Event Log'!$U$4:$U$803,$B52&amp;"|"&amp;P$5,'Competency Event Log'!$D$4:$D$803)))</f>
        <v/>
      </c>
      <c r="Q52" s="8" t="str">
        <f>IF($B52="","",IF(COUNTIF('Competency Event Log'!$U$4:$U$803,$B52&amp;"|"&amp;Q$5)=0,"",SUMIF('Competency Event Log'!$U$4:$U$803,$B52&amp;"|"&amp;Q$5,'Competency Event Log'!$D$4:$D$803)))</f>
        <v/>
      </c>
      <c r="R52" s="8" t="str">
        <f>IF($B52="","",IF(COUNTIF('Competency Event Log'!$U$4:$U$803,$B52&amp;"|"&amp;R$5)=0,"",SUMIF('Competency Event Log'!$U$4:$U$803,$B52&amp;"|"&amp;R$5,'Competency Event Log'!$D$4:$D$803)))</f>
        <v/>
      </c>
      <c r="S52" s="8" t="str">
        <f>IF($B52="","",IF(COUNTIF('Competency Event Log'!$U$4:$U$803,$B52&amp;"|"&amp;S$5)=0,"",SUMIF('Competency Event Log'!$U$4:$U$803,$B52&amp;"|"&amp;S$5,'Competency Event Log'!$D$4:$D$803)))</f>
        <v/>
      </c>
      <c r="T52" s="8" t="str">
        <f>IF($B52="","",IF(COUNTIF('Competency Event Log'!$U$4:$U$803,$B52&amp;"|"&amp;T$5)=0,"",SUMIF('Competency Event Log'!$U$4:$U$803,$B52&amp;"|"&amp;T$5,'Competency Event Log'!$D$4:$D$803)))</f>
        <v/>
      </c>
      <c r="U52" s="8" t="str">
        <f>IF($B52="","",IF(COUNTIF('Competency Event Log'!$U$4:$U$803,$B52&amp;"|"&amp;U$5)=0,"",SUMIF('Competency Event Log'!$U$4:$U$803,$B52&amp;"|"&amp;U$5,'Competency Event Log'!$D$4:$D$803)))</f>
        <v/>
      </c>
      <c r="V52" s="8" t="str">
        <f>IF($B52="","",IF(COUNTIF('Competency Event Log'!$U$4:$U$803,$B52&amp;"|"&amp;V$5)=0,"",SUMIF('Competency Event Log'!$U$4:$U$803,$B52&amp;"|"&amp;V$5,'Competency Event Log'!$D$4:$D$803)))</f>
        <v/>
      </c>
      <c r="W52" s="8" t="str">
        <f>IF($B52="","",IF(COUNTIF('Competency Event Log'!$U$4:$U$803,$B52&amp;"|"&amp;W$5)=0,"",SUMIF('Competency Event Log'!$U$4:$U$803,$B52&amp;"|"&amp;W$5,'Competency Event Log'!$D$4:$D$803)))</f>
        <v/>
      </c>
      <c r="X52" s="8" t="str">
        <f>IF($B52="","",IF(COUNTIF('Competency Event Log'!$U$4:$U$803,$B52&amp;"|"&amp;X$5)=0,"",SUMIF('Competency Event Log'!$U$4:$U$803,$B52&amp;"|"&amp;X$5,'Competency Event Log'!$D$4:$D$803)))</f>
        <v/>
      </c>
      <c r="Y52" s="8" t="str">
        <f>IF($B52="","",IF(COUNTIF('Competency Event Log'!$U$4:$U$803,$B52&amp;"|"&amp;Y$5)=0,"",SUMIF('Competency Event Log'!$U$4:$U$803,$B52&amp;"|"&amp;Y$5,'Competency Event Log'!$D$4:$D$803)))</f>
        <v/>
      </c>
      <c r="Z52" s="8" t="str">
        <f>IF($B52="","",IF(COUNTIF('Competency Event Log'!$U$4:$U$803,$B52&amp;"|"&amp;Z$5)=0,"",SUMIF('Competency Event Log'!$U$4:$U$803,$B52&amp;"|"&amp;Z$5,'Competency Event Log'!$D$4:$D$803)))</f>
        <v/>
      </c>
      <c r="AA52" s="8" t="str">
        <f>IF($B52="","",IF(COUNTIF('Competency Event Log'!$U$4:$U$803,$B52&amp;"|"&amp;AA$5)=0,"",SUMIF('Competency Event Log'!$U$4:$U$803,$B52&amp;"|"&amp;AA$5,'Competency Event Log'!$D$4:$D$803)))</f>
        <v/>
      </c>
      <c r="AB52" s="8" t="str">
        <f>IF($B52="","",IF(COUNTIF('Competency Event Log'!$U$4:$U$803,$B52&amp;"|"&amp;AB$5)=0,"",SUMIF('Competency Event Log'!$U$4:$U$803,$B52&amp;"|"&amp;AB$5,'Competency Event Log'!$D$4:$D$803)))</f>
        <v/>
      </c>
      <c r="AC52" s="8" t="str">
        <f>IF($B52="","",IF(COUNTIF('Competency Event Log'!$U$4:$U$803,$B52&amp;"|"&amp;AC$5)=0,"",SUMIF('Competency Event Log'!$U$4:$U$803,$B52&amp;"|"&amp;AC$5,'Competency Event Log'!$D$4:$D$803)))</f>
        <v/>
      </c>
      <c r="AD52" s="8" t="str">
        <f>IF($B52="","",IF(COUNTIF('Competency Event Log'!$U$4:$U$803,$B52&amp;"|"&amp;AD$5)=0,"",SUMIF('Competency Event Log'!$U$4:$U$803,$B52&amp;"|"&amp;AD$5,'Competency Event Log'!$D$4:$D$803)))</f>
        <v/>
      </c>
      <c r="AE52" s="8" t="str">
        <f>IF($B52="","",IF(COUNTIF('Competency Event Log'!$U$4:$U$803,$B52&amp;"|"&amp;AE$5)=0,"",SUMIF('Competency Event Log'!$U$4:$U$803,$B52&amp;"|"&amp;AE$5,'Competency Event Log'!$D$4:$D$803)))</f>
        <v/>
      </c>
      <c r="AF52" s="8" t="str">
        <f>IF($B52="","",IF(COUNTIF('Competency Event Log'!$U$4:$U$803,$B52&amp;"|"&amp;AF$5)=0,"",SUMIF('Competency Event Log'!$U$4:$U$803,$B52&amp;"|"&amp;AF$5,'Competency Event Log'!$D$4:$D$803)))</f>
        <v/>
      </c>
      <c r="AG52" s="8" t="str">
        <f>IF($B52="","",IF(COUNTIF('Competency Event Log'!$U$4:$U$803,$B52&amp;"|"&amp;AG$5)=0,"",SUMIF('Competency Event Log'!$U$4:$U$803,$B52&amp;"|"&amp;AG$5,'Competency Event Log'!$D$4:$D$803)))</f>
        <v/>
      </c>
      <c r="AH52" s="8" t="str">
        <f>IF($B52="","",IF(COUNTIF('Competency Event Log'!$U$4:$U$803,$B52&amp;"|"&amp;AH$5)=0,"",SUMIF('Competency Event Log'!$U$4:$U$803,$B52&amp;"|"&amp;AH$5,'Competency Event Log'!$D$4:$D$803)))</f>
        <v/>
      </c>
      <c r="AI52" s="8" t="str">
        <f>IF($B52="","",IF(COUNTIF('Competency Event Log'!$U$4:$U$803,$B52&amp;"|"&amp;AI$5)=0,"",SUMIF('Competency Event Log'!$U$4:$U$803,$B52&amp;"|"&amp;AI$5,'Competency Event Log'!$D$4:$D$803)))</f>
        <v/>
      </c>
      <c r="AJ52" s="8" t="str">
        <f>IF($B52="","",IF(COUNTIF('Competency Event Log'!$U$4:$U$803,$B52&amp;"|"&amp;AJ$5)=0,"",SUMIF('Competency Event Log'!$U$4:$U$803,$B52&amp;"|"&amp;AJ$5,'Competency Event Log'!$D$4:$D$803)))</f>
        <v/>
      </c>
      <c r="AK52" s="8" t="str">
        <f>IF($B52="","",IF(COUNTIF('Competency Event Log'!$U$4:$U$803,$B52&amp;"|"&amp;AK$5)=0,"",SUMIF('Competency Event Log'!$U$4:$U$803,$B52&amp;"|"&amp;AK$5,'Competency Event Log'!$D$4:$D$803)))</f>
        <v/>
      </c>
      <c r="AL52" s="8" t="str">
        <f>IF($B52="","",IF(COUNTIF('Competency Event Log'!$U$4:$U$803,$B52&amp;"|"&amp;AL$5)=0,"",SUMIF('Competency Event Log'!$U$4:$U$803,$B52&amp;"|"&amp;AL$5,'Competency Event Log'!$D$4:$D$803)))</f>
        <v/>
      </c>
      <c r="AM52" s="8" t="str">
        <f>IF($B52="","",IF(COUNTIF('Competency Event Log'!$U$4:$U$803,$B52&amp;"|"&amp;AM$5)=0,"",SUMIF('Competency Event Log'!$U$4:$U$803,$B52&amp;"|"&amp;AM$5,'Competency Event Log'!$D$4:$D$803)))</f>
        <v/>
      </c>
      <c r="AN52" s="8" t="str">
        <f>IF($B52="","",IF(COUNTIF('Competency Event Log'!$U$4:$U$803,$B52&amp;"|"&amp;AN$5)=0,"",SUMIF('Competency Event Log'!$U$4:$U$803,$B52&amp;"|"&amp;AN$5,'Competency Event Log'!$D$4:$D$803)))</f>
        <v/>
      </c>
      <c r="AO52" s="8" t="str">
        <f>IF($B52="","",IF(COUNTIF('Competency Event Log'!$U$4:$U$803,$B52&amp;"|"&amp;AO$5)=0,"",SUMIF('Competency Event Log'!$U$4:$U$803,$B52&amp;"|"&amp;AO$5,'Competency Event Log'!$D$4:$D$803)))</f>
        <v/>
      </c>
      <c r="AP52" s="8" t="str">
        <f>IF($B52="","",IF(COUNTIF('Competency Event Log'!$U$4:$U$803,$B52&amp;"|"&amp;AP$5)=0,"",SUMIF('Competency Event Log'!$U$4:$U$803,$B52&amp;"|"&amp;AP$5,'Competency Event Log'!$D$4:$D$803)))</f>
        <v/>
      </c>
      <c r="AQ52" s="8" t="str">
        <f>IF($B52="","",IF(COUNTIF('Competency Event Log'!$U$4:$U$803,$B52&amp;"|"&amp;AQ$5)=0,"",SUMIF('Competency Event Log'!$U$4:$U$803,$B52&amp;"|"&amp;AQ$5,'Competency Event Log'!$D$4:$D$803)))</f>
        <v/>
      </c>
      <c r="AR52" s="8" t="str">
        <f>IF($B52="","",IF(COUNTIF('Competency Event Log'!$U$4:$U$803,$B52&amp;"|"&amp;AR$5)=0,"",SUMIF('Competency Event Log'!$U$4:$U$803,$B52&amp;"|"&amp;AR$5,'Competency Event Log'!$D$4:$D$803)))</f>
        <v/>
      </c>
      <c r="AS52" s="8" t="str">
        <f>IF($B52="","",IF(COUNTIF('Competency Event Log'!$U$4:$U$803,$B52&amp;"|"&amp;AS$5)=0,"",SUMIF('Competency Event Log'!$U$4:$U$803,$B52&amp;"|"&amp;AS$5,'Competency Event Log'!$D$4:$D$803)))</f>
        <v/>
      </c>
      <c r="AT52" s="8" t="str">
        <f>IF($B52="","",IF(COUNTIF('Competency Event Log'!$U$4:$U$803,$B52&amp;"|"&amp;AT$5)=0,"",SUMIF('Competency Event Log'!$U$4:$U$803,$B52&amp;"|"&amp;AT$5,'Competency Event Log'!$D$4:$D$803)))</f>
        <v/>
      </c>
      <c r="AU52" s="8" t="str">
        <f>IF($B52="","",IF(COUNTIF('Competency Event Log'!$U$4:$U$803,$B52&amp;"|"&amp;AU$5)=0,"",SUMIF('Competency Event Log'!$U$4:$U$803,$B52&amp;"|"&amp;AU$5,'Competency Event Log'!$D$4:$D$803)))</f>
        <v/>
      </c>
      <c r="AV52" s="8" t="str">
        <f>IF($B52="","",IF(COUNTIF('Competency Event Log'!$U$4:$U$803,$B52&amp;"|"&amp;AV$5)=0,"",SUMIF('Competency Event Log'!$U$4:$U$803,$B52&amp;"|"&amp;AV$5,'Competency Event Log'!$D$4:$D$803)))</f>
        <v/>
      </c>
      <c r="AW52" s="8" t="str">
        <f>IF($B52="","",IF(COUNTIF('Competency Event Log'!$U$4:$U$803,$B52&amp;"|"&amp;AW$5)=0,"",SUMIF('Competency Event Log'!$U$4:$U$803,$B52&amp;"|"&amp;AW$5,'Competency Event Log'!$D$4:$D$803)))</f>
        <v/>
      </c>
      <c r="AX52" s="8" t="str">
        <f>IF($B52="","",IF(COUNTIF('Competency Event Log'!$U$4:$U$803,$B52&amp;"|"&amp;AX$5)=0,"",SUMIF('Competency Event Log'!$U$4:$U$803,$B52&amp;"|"&amp;AX$5,'Competency Event Log'!$D$4:$D$803)))</f>
        <v/>
      </c>
      <c r="AY52" s="8" t="str">
        <f>IF($B52="","",IF(COUNTIF('Competency Event Log'!$U$4:$U$803,$B52&amp;"|"&amp;AY$5)=0,"",SUMIF('Competency Event Log'!$U$4:$U$803,$B52&amp;"|"&amp;AY$5,'Competency Event Log'!$D$4:$D$803)))</f>
        <v/>
      </c>
      <c r="AZ52" s="8" t="str">
        <f>IF($B52="","",IF(COUNTIF('Competency Event Log'!$U$4:$U$803,$B52&amp;"|"&amp;AZ$5)=0,"",SUMIF('Competency Event Log'!$U$4:$U$803,$B52&amp;"|"&amp;AZ$5,'Competency Event Log'!$D$4:$D$803)))</f>
        <v/>
      </c>
      <c r="BA52" s="8" t="str">
        <f>IF($B52="","",IF(COUNTIF('Competency Event Log'!$U$4:$U$803,$B52&amp;"|"&amp;BA$5)=0,"",SUMIF('Competency Event Log'!$U$4:$U$803,$B52&amp;"|"&amp;BA$5,'Competency Event Log'!$D$4:$D$803)))</f>
        <v/>
      </c>
      <c r="BB52" s="8" t="str">
        <f>IF($B52="","",IF(COUNTIF('Competency Event Log'!$U$4:$U$803,$B52&amp;"|"&amp;BB$5)=0,"",SUMIF('Competency Event Log'!$U$4:$U$803,$B52&amp;"|"&amp;BB$5,'Competency Event Log'!$D$4:$D$803)))</f>
        <v/>
      </c>
      <c r="BC52" s="8" t="str">
        <f>IF($B52="","",IF(COUNTIF('Competency Event Log'!$U$4:$U$803,$B52&amp;"|"&amp;BC$5)=0,"",SUMIF('Competency Event Log'!$U$4:$U$803,$B52&amp;"|"&amp;BC$5,'Competency Event Log'!$D$4:$D$803)))</f>
        <v/>
      </c>
      <c r="BD52" s="8" t="str">
        <f>IF($B52="","",IF(COUNTIF('Competency Event Log'!$U$4:$U$803,$B52&amp;"|"&amp;BD$5)=0,"",SUMIF('Competency Event Log'!$U$4:$U$803,$B52&amp;"|"&amp;BD$5,'Competency Event Log'!$D$4:$D$803)))</f>
        <v/>
      </c>
      <c r="BE52" s="8" t="str">
        <f>IF($B52="","",IF(COUNTIF('Competency Event Log'!$U$4:$U$803,$B52&amp;"|"&amp;BE$5)=0,"",SUMIF('Competency Event Log'!$U$4:$U$803,$B52&amp;"|"&amp;BE$5,'Competency Event Log'!$D$4:$D$803)))</f>
        <v/>
      </c>
      <c r="BF52" s="8" t="str">
        <f>IF($B52="","",IF(COUNTIF('Competency Event Log'!$U$4:$U$803,$B52&amp;"|"&amp;BF$5)=0,"",SUMIF('Competency Event Log'!$U$4:$U$803,$B52&amp;"|"&amp;BF$5,'Competency Event Log'!$D$4:$D$803)))</f>
        <v/>
      </c>
      <c r="BG52" s="8" t="str">
        <f>IF($B52="","",IF(COUNTIF('Competency Event Log'!$U$4:$U$803,$B52&amp;"|"&amp;BG$5)=0,"",SUMIF('Competency Event Log'!$U$4:$U$803,$B52&amp;"|"&amp;BG$5,'Competency Event Log'!$D$4:$D$803)))</f>
        <v/>
      </c>
      <c r="BH52" s="8" t="str">
        <f>IF($B52="","",IF(COUNTIF('Competency Event Log'!$U$4:$U$803,$B52&amp;"|"&amp;BH$5)=0,"",SUMIF('Competency Event Log'!$U$4:$U$803,$B52&amp;"|"&amp;BH$5,'Competency Event Log'!$D$4:$D$803)))</f>
        <v/>
      </c>
      <c r="BI52" s="8" t="str">
        <f>IF($B52="","",IF(COUNTIF('Competency Event Log'!$U$4:$U$803,$B52&amp;"|"&amp;BI$5)=0,"",SUMIF('Competency Event Log'!$U$4:$U$803,$B52&amp;"|"&amp;BI$5,'Competency Event Log'!$D$4:$D$803)))</f>
        <v/>
      </c>
      <c r="BJ52" s="8" t="str">
        <f>IF($B52="","",IF(COUNTIF('Competency Event Log'!$U$4:$U$803,$B52&amp;"|"&amp;BJ$5)=0,"",SUMIF('Competency Event Log'!$U$4:$U$803,$B52&amp;"|"&amp;BJ$5,'Competency Event Log'!$D$4:$D$803)))</f>
        <v/>
      </c>
      <c r="BK52" s="8" t="str">
        <f>IF($B52="","",IF(COUNTIF('Competency Event Log'!$U$4:$U$803,$B52&amp;"|"&amp;BK$5)=0,"",SUMIF('Competency Event Log'!$U$4:$U$803,$B52&amp;"|"&amp;BK$5,'Competency Event Log'!$D$4:$D$803)))</f>
        <v/>
      </c>
      <c r="BL52" s="8" t="str">
        <f>IF($B52="","",IF(COUNTIF('Competency Event Log'!$U$4:$U$803,$B52&amp;"|"&amp;BL$5)=0,"",SUMIF('Competency Event Log'!$U$4:$U$803,$B52&amp;"|"&amp;BL$5,'Competency Event Log'!$D$4:$D$803)))</f>
        <v/>
      </c>
      <c r="BM52" s="8" t="str">
        <f>IF($B52="","",IF(COUNTIF('Competency Event Log'!$U$4:$U$803,$B52&amp;"|"&amp;BM$5)=0,"",SUMIF('Competency Event Log'!$U$4:$U$803,$B52&amp;"|"&amp;BM$5,'Competency Event Log'!$D$4:$D$803)))</f>
        <v/>
      </c>
      <c r="BN52" s="8" t="str">
        <f>IF($B52="","",IF(COUNTIF('Competency Event Log'!$U$4:$U$803,$B52&amp;"|"&amp;BN$5)=0,"",SUMIF('Competency Event Log'!$U$4:$U$803,$B52&amp;"|"&amp;BN$5,'Competency Event Log'!$D$4:$D$803)))</f>
        <v/>
      </c>
      <c r="BO52" s="8" t="str">
        <f>IF($B52="","",IF(COUNTIF('Competency Event Log'!$U$4:$U$803,$B52&amp;"|"&amp;BO$5)=0,"",SUMIF('Competency Event Log'!$U$4:$U$803,$B52&amp;"|"&amp;BO$5,'Competency Event Log'!$D$4:$D$803)))</f>
        <v/>
      </c>
      <c r="BP52" s="8" t="str">
        <f>IF($B52="","",IF(COUNTIF('Competency Event Log'!$U$4:$U$803,$B52&amp;"|"&amp;BP$5)=0,"",SUMIF('Competency Event Log'!$U$4:$U$803,$B52&amp;"|"&amp;BP$5,'Competency Event Log'!$D$4:$D$803)))</f>
        <v/>
      </c>
      <c r="BQ52" s="8" t="str">
        <f>IF($B52="","",IF(COUNTIF('Competency Event Log'!$U$4:$U$803,$B52&amp;"|"&amp;BQ$5)=0,"",SUMIF('Competency Event Log'!$U$4:$U$803,$B52&amp;"|"&amp;BQ$5,'Competency Event Log'!$D$4:$D$803)))</f>
        <v/>
      </c>
      <c r="BR52" s="8" t="str">
        <f>IF($B52="","",IF(COUNTIF('Competency Event Log'!$U$4:$U$803,$B52&amp;"|"&amp;BR$5)=0,"",SUMIF('Competency Event Log'!$U$4:$U$803,$B52&amp;"|"&amp;BR$5,'Competency Event Log'!$D$4:$D$803)))</f>
        <v/>
      </c>
      <c r="BS52" s="8" t="str">
        <f>IF($B52="","",IF(COUNTIF('Competency Event Log'!$U$4:$U$803,$B52&amp;"|"&amp;BS$5)=0,"",SUMIF('Competency Event Log'!$U$4:$U$803,$B52&amp;"|"&amp;BS$5,'Competency Event Log'!$D$4:$D$803)))</f>
        <v/>
      </c>
      <c r="BT52" s="8" t="str">
        <f>IF($B52="","",IF(COUNTIF('Competency Event Log'!$U$4:$U$803,$B52&amp;"|"&amp;BT$5)=0,"",SUMIF('Competency Event Log'!$U$4:$U$803,$B52&amp;"|"&amp;BT$5,'Competency Event Log'!$D$4:$D$803)))</f>
        <v/>
      </c>
      <c r="BU52" s="8" t="str">
        <f>IF($B52="","",IF(COUNTIF('Competency Event Log'!$U$4:$U$803,$B52&amp;"|"&amp;BU$5)=0,"",SUMIF('Competency Event Log'!$U$4:$U$803,$B52&amp;"|"&amp;BU$5,'Competency Event Log'!$D$4:$D$803)))</f>
        <v/>
      </c>
      <c r="BV52" s="8" t="str">
        <f>IF($B52="","",IF(COUNTIF('Competency Event Log'!$U$4:$U$803,$B52&amp;"|"&amp;BV$5)=0,"",SUMIF('Competency Event Log'!$U$4:$U$803,$B52&amp;"|"&amp;BV$5,'Competency Event Log'!$D$4:$D$803)))</f>
        <v/>
      </c>
      <c r="BW52" s="8" t="str">
        <f>IF($B52="","",IF(COUNTIF('Competency Event Log'!$U$4:$U$803,$B52&amp;"|"&amp;BW$5)=0,"",SUMIF('Competency Event Log'!$U$4:$U$803,$B52&amp;"|"&amp;BW$5,'Competency Event Log'!$D$4:$D$803)))</f>
        <v/>
      </c>
      <c r="BX52" s="8" t="str">
        <f>IF($B52="","",IF(COUNTIF('Competency Event Log'!$U$4:$U$803,$B52&amp;"|"&amp;BX$5)=0,"",SUMIF('Competency Event Log'!$U$4:$U$803,$B52&amp;"|"&amp;BX$5,'Competency Event Log'!$D$4:$D$803)))</f>
        <v/>
      </c>
      <c r="BY52" s="8" t="str">
        <f>IF($B52="","",IF(COUNTIF('Competency Event Log'!$U$4:$U$803,$B52&amp;"|"&amp;BY$5)=0,"",SUMIF('Competency Event Log'!$U$4:$U$803,$B52&amp;"|"&amp;BY$5,'Competency Event Log'!$D$4:$D$803)))</f>
        <v/>
      </c>
      <c r="BZ52" s="8" t="str">
        <f>IF($B52="","",IF(COUNTIF('Competency Event Log'!$U$4:$U$803,$B52&amp;"|"&amp;BZ$5)=0,"",SUMIF('Competency Event Log'!$U$4:$U$803,$B52&amp;"|"&amp;BZ$5,'Competency Event Log'!$D$4:$D$803)))</f>
        <v/>
      </c>
      <c r="CA52" s="8" t="str">
        <f>IF($B52="","",IF(COUNTIF('Competency Event Log'!$U$4:$U$803,$B52&amp;"|"&amp;CA$5)=0,"",SUMIF('Competency Event Log'!$U$4:$U$803,$B52&amp;"|"&amp;CA$5,'Competency Event Log'!$D$4:$D$803)))</f>
        <v/>
      </c>
      <c r="CB52" s="8" t="str">
        <f>IF($B52="","",IF(COUNTIF('Competency Event Log'!$U$4:$U$803,$B52&amp;"|"&amp;CB$5)=0,"",SUMIF('Competency Event Log'!$U$4:$U$803,$B52&amp;"|"&amp;CB$5,'Competency Event Log'!$D$4:$D$803)))</f>
        <v/>
      </c>
      <c r="CC52" s="8" t="str">
        <f>IF($B52="","",IF(COUNTIF('Competency Event Log'!$U$4:$U$803,$B52&amp;"|"&amp;CC$5)=0,"",SUMIF('Competency Event Log'!$U$4:$U$803,$B52&amp;"|"&amp;CC$5,'Competency Event Log'!$D$4:$D$803)))</f>
        <v/>
      </c>
      <c r="CD52" s="8" t="str">
        <f>IF($B52="","",IF(COUNTIF('Competency Event Log'!$U$4:$U$803,$B52&amp;"|"&amp;CD$5)=0,"",SUMIF('Competency Event Log'!$U$4:$U$803,$B52&amp;"|"&amp;CD$5,'Competency Event Log'!$D$4:$D$803)))</f>
        <v/>
      </c>
      <c r="CE52" s="8" t="str">
        <f>IF($B52="","",IF(COUNTIF('Competency Event Log'!$U$4:$U$803,$B52&amp;"|"&amp;CE$5)=0,"",SUMIF('Competency Event Log'!$U$4:$U$803,$B52&amp;"|"&amp;CE$5,'Competency Event Log'!$D$4:$D$803)))</f>
        <v/>
      </c>
      <c r="CF52" s="8" t="str">
        <f>IF($B52="","",IF(COUNTIF('Competency Event Log'!$U$4:$U$803,$B52&amp;"|"&amp;CF$5)=0,"",SUMIF('Competency Event Log'!$U$4:$U$803,$B52&amp;"|"&amp;CF$5,'Competency Event Log'!$D$4:$D$803)))</f>
        <v/>
      </c>
      <c r="CG52" s="8" t="str">
        <f>IF($B52="","",IF(COUNTIF('Competency Event Log'!$U$4:$U$803,$B52&amp;"|"&amp;CG$5)=0,"",SUMIF('Competency Event Log'!$U$4:$U$803,$B52&amp;"|"&amp;CG$5,'Competency Event Log'!$D$4:$D$803)))</f>
        <v/>
      </c>
      <c r="CH52" s="8" t="str">
        <f>IF($B52="","",IF(COUNTIF('Competency Event Log'!$U$4:$U$803,$B52&amp;"|"&amp;CH$5)=0,"",SUMIF('Competency Event Log'!$U$4:$U$803,$B52&amp;"|"&amp;CH$5,'Competency Event Log'!$D$4:$D$803)))</f>
        <v/>
      </c>
      <c r="CI52" s="8" t="str">
        <f>IF($B52="","",IF(COUNTIF('Competency Event Log'!$U$4:$U$803,$B52&amp;"|"&amp;CI$5)=0,"",SUMIF('Competency Event Log'!$U$4:$U$803,$B52&amp;"|"&amp;CI$5,'Competency Event Log'!$D$4:$D$803)))</f>
        <v/>
      </c>
      <c r="CJ52" s="8" t="str">
        <f>IF($B52="","",IF(COUNTIF('Competency Event Log'!$U$4:$U$803,$B52&amp;"|"&amp;CJ$5)=0,"",SUMIF('Competency Event Log'!$U$4:$U$803,$B52&amp;"|"&amp;CJ$5,'Competency Event Log'!$D$4:$D$803)))</f>
        <v/>
      </c>
      <c r="CK52" s="8" t="str">
        <f>IF($B52="","",IF(COUNTIF('Competency Event Log'!$U$4:$U$803,$B52&amp;"|"&amp;CK$5)=0,"",SUMIF('Competency Event Log'!$U$4:$U$803,$B52&amp;"|"&amp;CK$5,'Competency Event Log'!$D$4:$D$803)))</f>
        <v/>
      </c>
      <c r="CL52" s="8" t="str">
        <f>IF($B52="","",IF(COUNTIF('Competency Event Log'!$U$4:$U$803,$B52&amp;"|"&amp;CL$5)=0,"",SUMIF('Competency Event Log'!$U$4:$U$803,$B52&amp;"|"&amp;CL$5,'Competency Event Log'!$D$4:$D$803)))</f>
        <v/>
      </c>
      <c r="CM52" s="8" t="str">
        <f>IF($B52="","",IF(COUNTIF('Competency Event Log'!$U$4:$U$803,$B52&amp;"|"&amp;CM$5)=0,"",SUMIF('Competency Event Log'!$U$4:$U$803,$B52&amp;"|"&amp;CM$5,'Competency Event Log'!$D$4:$D$803)))</f>
        <v/>
      </c>
      <c r="CN52" s="8" t="str">
        <f>IF($B52="","",IF(COUNTIF('Competency Event Log'!$U$4:$U$803,$B52&amp;"|"&amp;CN$5)=0,"",SUMIF('Competency Event Log'!$U$4:$U$803,$B52&amp;"|"&amp;CN$5,'Competency Event Log'!$D$4:$D$803)))</f>
        <v/>
      </c>
      <c r="CO52" s="8" t="str">
        <f>IF($B52="","",IF(COUNTIF('Competency Event Log'!$U$4:$U$803,$B52&amp;"|"&amp;CO$5)=0,"",SUMIF('Competency Event Log'!$U$4:$U$803,$B52&amp;"|"&amp;CO$5,'Competency Event Log'!$D$4:$D$803)))</f>
        <v/>
      </c>
      <c r="CP52" s="8" t="str">
        <f>IF($B52="","",IF(COUNTIF('Competency Event Log'!$U$4:$U$803,$B52&amp;"|"&amp;CP$5)=0,"",SUMIF('Competency Event Log'!$U$4:$U$803,$B52&amp;"|"&amp;CP$5,'Competency Event Log'!$D$4:$D$803)))</f>
        <v/>
      </c>
      <c r="CQ52" s="8" t="str">
        <f>IF($B52="","",IF(COUNTIF('Competency Event Log'!$U$4:$U$803,$B52&amp;"|"&amp;CQ$5)=0,"",SUMIF('Competency Event Log'!$U$4:$U$803,$B52&amp;"|"&amp;CQ$5,'Competency Event Log'!$D$4:$D$803)))</f>
        <v/>
      </c>
      <c r="CR52" s="8" t="str">
        <f>IF($B52="","",IF(COUNTIF('Competency Event Log'!$U$4:$U$803,$B52&amp;"|"&amp;CR$5)=0,"",SUMIF('Competency Event Log'!$U$4:$U$803,$B52&amp;"|"&amp;CR$5,'Competency Event Log'!$D$4:$D$803)))</f>
        <v/>
      </c>
      <c r="CS52" s="8" t="str">
        <f>IF($B52="","",IF(COUNTIF('Competency Event Log'!$U$4:$U$803,$B52&amp;"|"&amp;CS$5)=0,"",SUMIF('Competency Event Log'!$U$4:$U$803,$B52&amp;"|"&amp;CS$5,'Competency Event Log'!$D$4:$D$803)))</f>
        <v/>
      </c>
      <c r="CT52" s="8" t="str">
        <f>IF($B52="","",IF(COUNTIF('Competency Event Log'!$U$4:$U$803,$B52&amp;"|"&amp;CT$5)=0,"",SUMIF('Competency Event Log'!$U$4:$U$803,$B52&amp;"|"&amp;CT$5,'Competency Event Log'!$D$4:$D$803)))</f>
        <v/>
      </c>
      <c r="CU52" s="8" t="str">
        <f>IF($B52="","",IF(COUNTIF('Competency Event Log'!$U$4:$U$803,$B52&amp;"|"&amp;CU$5)=0,"",SUMIF('Competency Event Log'!$U$4:$U$803,$B52&amp;"|"&amp;CU$5,'Competency Event Log'!$D$4:$D$803)))</f>
        <v/>
      </c>
      <c r="CV52" s="8" t="str">
        <f>IF($B52="","",IF(COUNTIF('Competency Event Log'!$U$4:$U$803,$B52&amp;"|"&amp;CV$5)=0,"",SUMIF('Competency Event Log'!$U$4:$U$803,$B52&amp;"|"&amp;CV$5,'Competency Event Log'!$D$4:$D$803)))</f>
        <v/>
      </c>
      <c r="CW52" s="8" t="str">
        <f>IF($B52="","",IF(COUNTIF('Competency Event Log'!$U$4:$U$803,$B52&amp;"|"&amp;CW$5)=0,"",SUMIF('Competency Event Log'!$U$4:$U$803,$B52&amp;"|"&amp;CW$5,'Competency Event Log'!$D$4:$D$803)))</f>
        <v/>
      </c>
      <c r="CX52" s="8" t="str">
        <f>IF($B52="","",IF(COUNTIF('Competency Event Log'!$U$4:$U$803,$B52&amp;"|"&amp;CX$5)=0,"",SUMIF('Competency Event Log'!$U$4:$U$803,$B52&amp;"|"&amp;CX$5,'Competency Event Log'!$D$4:$D$803)))</f>
        <v/>
      </c>
      <c r="CY52" s="8" t="str">
        <f>IF($B52="","",IF(COUNTIF('Competency Event Log'!$U$4:$U$803,$B52&amp;"|"&amp;CY$5)=0,"",SUMIF('Competency Event Log'!$U$4:$U$803,$B52&amp;"|"&amp;CY$5,'Competency Event Log'!$D$4:$D$803)))</f>
        <v/>
      </c>
      <c r="CZ52" s="8" t="str">
        <f>IF($B52="","",IF(COUNTIF('Competency Event Log'!$U$4:$U$803,$B52&amp;"|"&amp;CZ$5)=0,"",SUMIF('Competency Event Log'!$U$4:$U$803,$B52&amp;"|"&amp;CZ$5,'Competency Event Log'!$D$4:$D$803)))</f>
        <v/>
      </c>
      <c r="DA52" s="8" t="str">
        <f>IF($B52="","",IF(COUNTIF('Competency Event Log'!$U$4:$U$803,$B52&amp;"|"&amp;DA$5)=0,"",SUMIF('Competency Event Log'!$U$4:$U$803,$B52&amp;"|"&amp;DA$5,'Competency Event Log'!$D$4:$D$803)))</f>
        <v/>
      </c>
      <c r="DB52" s="8" t="str">
        <f>IF($B52="","",IF(COUNTIF('Competency Event Log'!$U$4:$U$803,$B52&amp;"|"&amp;DB$5)=0,"",SUMIF('Competency Event Log'!$U$4:$U$803,$B52&amp;"|"&amp;DB$5,'Competency Event Log'!$D$4:$D$803)))</f>
        <v/>
      </c>
      <c r="DC52" s="8" t="str">
        <f>IF($B52="","",IF(COUNTIF('Competency Event Log'!$U$4:$U$803,$B52&amp;"|"&amp;DC$5)=0,"",SUMIF('Competency Event Log'!$U$4:$U$803,$B52&amp;"|"&amp;DC$5,'Competency Event Log'!$D$4:$D$803)))</f>
        <v/>
      </c>
      <c r="DD52" s="8" t="str">
        <f>IF($B52="","",IF(COUNTIF('Competency Event Log'!$U$4:$U$803,$B52&amp;"|"&amp;DD$5)=0,"",SUMIF('Competency Event Log'!$U$4:$U$803,$B52&amp;"|"&amp;DD$5,'Competency Event Log'!$D$4:$D$803)))</f>
        <v/>
      </c>
      <c r="DE52" s="8" t="str">
        <f>IF($B52="","",IF(COUNTIF('Competency Event Log'!$U$4:$U$803,$B52&amp;"|"&amp;DE$5)=0,"",SUMIF('Competency Event Log'!$U$4:$U$803,$B52&amp;"|"&amp;DE$5,'Competency Event Log'!$D$4:$D$803)))</f>
        <v/>
      </c>
      <c r="DF52" s="8" t="str">
        <f t="shared" si="4"/>
        <v/>
      </c>
      <c r="DG52" s="8" t="str">
        <f t="shared" si="5"/>
        <v/>
      </c>
      <c r="DH52" s="8" t="str">
        <f t="shared" si="6"/>
        <v/>
      </c>
      <c r="DI52" s="11" t="str">
        <f t="shared" si="7"/>
        <v/>
      </c>
    </row>
    <row r="53" spans="1:113">
      <c r="A53" s="7"/>
      <c r="B53" s="7"/>
      <c r="C53" s="8"/>
      <c r="D53" s="9"/>
      <c r="E53" s="10"/>
      <c r="F53" s="8"/>
      <c r="G53" s="8" t="str">
        <f>IF($B53="","",IF(COUNTIF('Competency Event Log'!$U$4:$U$803,$B53&amp;"|"&amp;G$5)=0,"",SUMIF('Competency Event Log'!$U$4:$U$803,$B53&amp;"|"&amp;G$5,'Competency Event Log'!$D$4:$D$803)))</f>
        <v/>
      </c>
      <c r="H53" s="8" t="str">
        <f>IF($B53="","",IF(COUNTIF('Competency Event Log'!$U$4:$U$803,$B53&amp;"|"&amp;H$5)=0,"",SUMIF('Competency Event Log'!$U$4:$U$803,$B53&amp;"|"&amp;H$5,'Competency Event Log'!$D$4:$D$803)))</f>
        <v/>
      </c>
      <c r="I53" s="8" t="str">
        <f>IF($B53="","",IF(COUNTIF('Competency Event Log'!$U$4:$U$803,$B53&amp;"|"&amp;I$5)=0,"",SUMIF('Competency Event Log'!$U$4:$U$803,$B53&amp;"|"&amp;I$5,'Competency Event Log'!$D$4:$D$803)))</f>
        <v/>
      </c>
      <c r="J53" s="8" t="str">
        <f>IF($B53="","",IF(COUNTIF('Competency Event Log'!$U$4:$U$803,$B53&amp;"|"&amp;J$5)=0,"",SUMIF('Competency Event Log'!$U$4:$U$803,$B53&amp;"|"&amp;J$5,'Competency Event Log'!$D$4:$D$803)))</f>
        <v/>
      </c>
      <c r="K53" s="8" t="str">
        <f>IF($B53="","",IF(COUNTIF('Competency Event Log'!$U$4:$U$803,$B53&amp;"|"&amp;K$5)=0,"",SUMIF('Competency Event Log'!$U$4:$U$803,$B53&amp;"|"&amp;K$5,'Competency Event Log'!$D$4:$D$803)))</f>
        <v/>
      </c>
      <c r="L53" s="8" t="str">
        <f>IF($B53="","",IF(COUNTIF('Competency Event Log'!$U$4:$U$803,$B53&amp;"|"&amp;L$5)=0,"",SUMIF('Competency Event Log'!$U$4:$U$803,$B53&amp;"|"&amp;L$5,'Competency Event Log'!$D$4:$D$803)))</f>
        <v/>
      </c>
      <c r="M53" s="8" t="str">
        <f>IF($B53="","",IF(COUNTIF('Competency Event Log'!$U$4:$U$803,$B53&amp;"|"&amp;M$5)=0,"",SUMIF('Competency Event Log'!$U$4:$U$803,$B53&amp;"|"&amp;M$5,'Competency Event Log'!$D$4:$D$803)))</f>
        <v/>
      </c>
      <c r="N53" s="8" t="str">
        <f>IF($B53="","",IF(COUNTIF('Competency Event Log'!$U$4:$U$803,$B53&amp;"|"&amp;N$5)=0,"",SUMIF('Competency Event Log'!$U$4:$U$803,$B53&amp;"|"&amp;N$5,'Competency Event Log'!$D$4:$D$803)))</f>
        <v/>
      </c>
      <c r="O53" s="8" t="str">
        <f>IF($B53="","",IF(COUNTIF('Competency Event Log'!$U$4:$U$803,$B53&amp;"|"&amp;O$5)=0,"",SUMIF('Competency Event Log'!$U$4:$U$803,$B53&amp;"|"&amp;O$5,'Competency Event Log'!$D$4:$D$803)))</f>
        <v/>
      </c>
      <c r="P53" s="8" t="str">
        <f>IF($B53="","",IF(COUNTIF('Competency Event Log'!$U$4:$U$803,$B53&amp;"|"&amp;P$5)=0,"",SUMIF('Competency Event Log'!$U$4:$U$803,$B53&amp;"|"&amp;P$5,'Competency Event Log'!$D$4:$D$803)))</f>
        <v/>
      </c>
      <c r="Q53" s="8" t="str">
        <f>IF($B53="","",IF(COUNTIF('Competency Event Log'!$U$4:$U$803,$B53&amp;"|"&amp;Q$5)=0,"",SUMIF('Competency Event Log'!$U$4:$U$803,$B53&amp;"|"&amp;Q$5,'Competency Event Log'!$D$4:$D$803)))</f>
        <v/>
      </c>
      <c r="R53" s="8" t="str">
        <f>IF($B53="","",IF(COUNTIF('Competency Event Log'!$U$4:$U$803,$B53&amp;"|"&amp;R$5)=0,"",SUMIF('Competency Event Log'!$U$4:$U$803,$B53&amp;"|"&amp;R$5,'Competency Event Log'!$D$4:$D$803)))</f>
        <v/>
      </c>
      <c r="S53" s="8" t="str">
        <f>IF($B53="","",IF(COUNTIF('Competency Event Log'!$U$4:$U$803,$B53&amp;"|"&amp;S$5)=0,"",SUMIF('Competency Event Log'!$U$4:$U$803,$B53&amp;"|"&amp;S$5,'Competency Event Log'!$D$4:$D$803)))</f>
        <v/>
      </c>
      <c r="T53" s="8" t="str">
        <f>IF($B53="","",IF(COUNTIF('Competency Event Log'!$U$4:$U$803,$B53&amp;"|"&amp;T$5)=0,"",SUMIF('Competency Event Log'!$U$4:$U$803,$B53&amp;"|"&amp;T$5,'Competency Event Log'!$D$4:$D$803)))</f>
        <v/>
      </c>
      <c r="U53" s="8" t="str">
        <f>IF($B53="","",IF(COUNTIF('Competency Event Log'!$U$4:$U$803,$B53&amp;"|"&amp;U$5)=0,"",SUMIF('Competency Event Log'!$U$4:$U$803,$B53&amp;"|"&amp;U$5,'Competency Event Log'!$D$4:$D$803)))</f>
        <v/>
      </c>
      <c r="V53" s="8" t="str">
        <f>IF($B53="","",IF(COUNTIF('Competency Event Log'!$U$4:$U$803,$B53&amp;"|"&amp;V$5)=0,"",SUMIF('Competency Event Log'!$U$4:$U$803,$B53&amp;"|"&amp;V$5,'Competency Event Log'!$D$4:$D$803)))</f>
        <v/>
      </c>
      <c r="W53" s="8" t="str">
        <f>IF($B53="","",IF(COUNTIF('Competency Event Log'!$U$4:$U$803,$B53&amp;"|"&amp;W$5)=0,"",SUMIF('Competency Event Log'!$U$4:$U$803,$B53&amp;"|"&amp;W$5,'Competency Event Log'!$D$4:$D$803)))</f>
        <v/>
      </c>
      <c r="X53" s="8" t="str">
        <f>IF($B53="","",IF(COUNTIF('Competency Event Log'!$U$4:$U$803,$B53&amp;"|"&amp;X$5)=0,"",SUMIF('Competency Event Log'!$U$4:$U$803,$B53&amp;"|"&amp;X$5,'Competency Event Log'!$D$4:$D$803)))</f>
        <v/>
      </c>
      <c r="Y53" s="8" t="str">
        <f>IF($B53="","",IF(COUNTIF('Competency Event Log'!$U$4:$U$803,$B53&amp;"|"&amp;Y$5)=0,"",SUMIF('Competency Event Log'!$U$4:$U$803,$B53&amp;"|"&amp;Y$5,'Competency Event Log'!$D$4:$D$803)))</f>
        <v/>
      </c>
      <c r="Z53" s="8" t="str">
        <f>IF($B53="","",IF(COUNTIF('Competency Event Log'!$U$4:$U$803,$B53&amp;"|"&amp;Z$5)=0,"",SUMIF('Competency Event Log'!$U$4:$U$803,$B53&amp;"|"&amp;Z$5,'Competency Event Log'!$D$4:$D$803)))</f>
        <v/>
      </c>
      <c r="AA53" s="8" t="str">
        <f>IF($B53="","",IF(COUNTIF('Competency Event Log'!$U$4:$U$803,$B53&amp;"|"&amp;AA$5)=0,"",SUMIF('Competency Event Log'!$U$4:$U$803,$B53&amp;"|"&amp;AA$5,'Competency Event Log'!$D$4:$D$803)))</f>
        <v/>
      </c>
      <c r="AB53" s="8" t="str">
        <f>IF($B53="","",IF(COUNTIF('Competency Event Log'!$U$4:$U$803,$B53&amp;"|"&amp;AB$5)=0,"",SUMIF('Competency Event Log'!$U$4:$U$803,$B53&amp;"|"&amp;AB$5,'Competency Event Log'!$D$4:$D$803)))</f>
        <v/>
      </c>
      <c r="AC53" s="8" t="str">
        <f>IF($B53="","",IF(COUNTIF('Competency Event Log'!$U$4:$U$803,$B53&amp;"|"&amp;AC$5)=0,"",SUMIF('Competency Event Log'!$U$4:$U$803,$B53&amp;"|"&amp;AC$5,'Competency Event Log'!$D$4:$D$803)))</f>
        <v/>
      </c>
      <c r="AD53" s="8" t="str">
        <f>IF($B53="","",IF(COUNTIF('Competency Event Log'!$U$4:$U$803,$B53&amp;"|"&amp;AD$5)=0,"",SUMIF('Competency Event Log'!$U$4:$U$803,$B53&amp;"|"&amp;AD$5,'Competency Event Log'!$D$4:$D$803)))</f>
        <v/>
      </c>
      <c r="AE53" s="8" t="str">
        <f>IF($B53="","",IF(COUNTIF('Competency Event Log'!$U$4:$U$803,$B53&amp;"|"&amp;AE$5)=0,"",SUMIF('Competency Event Log'!$U$4:$U$803,$B53&amp;"|"&amp;AE$5,'Competency Event Log'!$D$4:$D$803)))</f>
        <v/>
      </c>
      <c r="AF53" s="8" t="str">
        <f>IF($B53="","",IF(COUNTIF('Competency Event Log'!$U$4:$U$803,$B53&amp;"|"&amp;AF$5)=0,"",SUMIF('Competency Event Log'!$U$4:$U$803,$B53&amp;"|"&amp;AF$5,'Competency Event Log'!$D$4:$D$803)))</f>
        <v/>
      </c>
      <c r="AG53" s="8" t="str">
        <f>IF($B53="","",IF(COUNTIF('Competency Event Log'!$U$4:$U$803,$B53&amp;"|"&amp;AG$5)=0,"",SUMIF('Competency Event Log'!$U$4:$U$803,$B53&amp;"|"&amp;AG$5,'Competency Event Log'!$D$4:$D$803)))</f>
        <v/>
      </c>
      <c r="AH53" s="8" t="str">
        <f>IF($B53="","",IF(COUNTIF('Competency Event Log'!$U$4:$U$803,$B53&amp;"|"&amp;AH$5)=0,"",SUMIF('Competency Event Log'!$U$4:$U$803,$B53&amp;"|"&amp;AH$5,'Competency Event Log'!$D$4:$D$803)))</f>
        <v/>
      </c>
      <c r="AI53" s="8" t="str">
        <f>IF($B53="","",IF(COUNTIF('Competency Event Log'!$U$4:$U$803,$B53&amp;"|"&amp;AI$5)=0,"",SUMIF('Competency Event Log'!$U$4:$U$803,$B53&amp;"|"&amp;AI$5,'Competency Event Log'!$D$4:$D$803)))</f>
        <v/>
      </c>
      <c r="AJ53" s="8" t="str">
        <f>IF($B53="","",IF(COUNTIF('Competency Event Log'!$U$4:$U$803,$B53&amp;"|"&amp;AJ$5)=0,"",SUMIF('Competency Event Log'!$U$4:$U$803,$B53&amp;"|"&amp;AJ$5,'Competency Event Log'!$D$4:$D$803)))</f>
        <v/>
      </c>
      <c r="AK53" s="8" t="str">
        <f>IF($B53="","",IF(COUNTIF('Competency Event Log'!$U$4:$U$803,$B53&amp;"|"&amp;AK$5)=0,"",SUMIF('Competency Event Log'!$U$4:$U$803,$B53&amp;"|"&amp;AK$5,'Competency Event Log'!$D$4:$D$803)))</f>
        <v/>
      </c>
      <c r="AL53" s="8" t="str">
        <f>IF($B53="","",IF(COUNTIF('Competency Event Log'!$U$4:$U$803,$B53&amp;"|"&amp;AL$5)=0,"",SUMIF('Competency Event Log'!$U$4:$U$803,$B53&amp;"|"&amp;AL$5,'Competency Event Log'!$D$4:$D$803)))</f>
        <v/>
      </c>
      <c r="AM53" s="8" t="str">
        <f>IF($B53="","",IF(COUNTIF('Competency Event Log'!$U$4:$U$803,$B53&amp;"|"&amp;AM$5)=0,"",SUMIF('Competency Event Log'!$U$4:$U$803,$B53&amp;"|"&amp;AM$5,'Competency Event Log'!$D$4:$D$803)))</f>
        <v/>
      </c>
      <c r="AN53" s="8" t="str">
        <f>IF($B53="","",IF(COUNTIF('Competency Event Log'!$U$4:$U$803,$B53&amp;"|"&amp;AN$5)=0,"",SUMIF('Competency Event Log'!$U$4:$U$803,$B53&amp;"|"&amp;AN$5,'Competency Event Log'!$D$4:$D$803)))</f>
        <v/>
      </c>
      <c r="AO53" s="8" t="str">
        <f>IF($B53="","",IF(COUNTIF('Competency Event Log'!$U$4:$U$803,$B53&amp;"|"&amp;AO$5)=0,"",SUMIF('Competency Event Log'!$U$4:$U$803,$B53&amp;"|"&amp;AO$5,'Competency Event Log'!$D$4:$D$803)))</f>
        <v/>
      </c>
      <c r="AP53" s="8" t="str">
        <f>IF($B53="","",IF(COUNTIF('Competency Event Log'!$U$4:$U$803,$B53&amp;"|"&amp;AP$5)=0,"",SUMIF('Competency Event Log'!$U$4:$U$803,$B53&amp;"|"&amp;AP$5,'Competency Event Log'!$D$4:$D$803)))</f>
        <v/>
      </c>
      <c r="AQ53" s="8" t="str">
        <f>IF($B53="","",IF(COUNTIF('Competency Event Log'!$U$4:$U$803,$B53&amp;"|"&amp;AQ$5)=0,"",SUMIF('Competency Event Log'!$U$4:$U$803,$B53&amp;"|"&amp;AQ$5,'Competency Event Log'!$D$4:$D$803)))</f>
        <v/>
      </c>
      <c r="AR53" s="8" t="str">
        <f>IF($B53="","",IF(COUNTIF('Competency Event Log'!$U$4:$U$803,$B53&amp;"|"&amp;AR$5)=0,"",SUMIF('Competency Event Log'!$U$4:$U$803,$B53&amp;"|"&amp;AR$5,'Competency Event Log'!$D$4:$D$803)))</f>
        <v/>
      </c>
      <c r="AS53" s="8" t="str">
        <f>IF($B53="","",IF(COUNTIF('Competency Event Log'!$U$4:$U$803,$B53&amp;"|"&amp;AS$5)=0,"",SUMIF('Competency Event Log'!$U$4:$U$803,$B53&amp;"|"&amp;AS$5,'Competency Event Log'!$D$4:$D$803)))</f>
        <v/>
      </c>
      <c r="AT53" s="8" t="str">
        <f>IF($B53="","",IF(COUNTIF('Competency Event Log'!$U$4:$U$803,$B53&amp;"|"&amp;AT$5)=0,"",SUMIF('Competency Event Log'!$U$4:$U$803,$B53&amp;"|"&amp;AT$5,'Competency Event Log'!$D$4:$D$803)))</f>
        <v/>
      </c>
      <c r="AU53" s="8" t="str">
        <f>IF($B53="","",IF(COUNTIF('Competency Event Log'!$U$4:$U$803,$B53&amp;"|"&amp;AU$5)=0,"",SUMIF('Competency Event Log'!$U$4:$U$803,$B53&amp;"|"&amp;AU$5,'Competency Event Log'!$D$4:$D$803)))</f>
        <v/>
      </c>
      <c r="AV53" s="8" t="str">
        <f>IF($B53="","",IF(COUNTIF('Competency Event Log'!$U$4:$U$803,$B53&amp;"|"&amp;AV$5)=0,"",SUMIF('Competency Event Log'!$U$4:$U$803,$B53&amp;"|"&amp;AV$5,'Competency Event Log'!$D$4:$D$803)))</f>
        <v/>
      </c>
      <c r="AW53" s="8" t="str">
        <f>IF($B53="","",IF(COUNTIF('Competency Event Log'!$U$4:$U$803,$B53&amp;"|"&amp;AW$5)=0,"",SUMIF('Competency Event Log'!$U$4:$U$803,$B53&amp;"|"&amp;AW$5,'Competency Event Log'!$D$4:$D$803)))</f>
        <v/>
      </c>
      <c r="AX53" s="8" t="str">
        <f>IF($B53="","",IF(COUNTIF('Competency Event Log'!$U$4:$U$803,$B53&amp;"|"&amp;AX$5)=0,"",SUMIF('Competency Event Log'!$U$4:$U$803,$B53&amp;"|"&amp;AX$5,'Competency Event Log'!$D$4:$D$803)))</f>
        <v/>
      </c>
      <c r="AY53" s="8" t="str">
        <f>IF($B53="","",IF(COUNTIF('Competency Event Log'!$U$4:$U$803,$B53&amp;"|"&amp;AY$5)=0,"",SUMIF('Competency Event Log'!$U$4:$U$803,$B53&amp;"|"&amp;AY$5,'Competency Event Log'!$D$4:$D$803)))</f>
        <v/>
      </c>
      <c r="AZ53" s="8" t="str">
        <f>IF($B53="","",IF(COUNTIF('Competency Event Log'!$U$4:$U$803,$B53&amp;"|"&amp;AZ$5)=0,"",SUMIF('Competency Event Log'!$U$4:$U$803,$B53&amp;"|"&amp;AZ$5,'Competency Event Log'!$D$4:$D$803)))</f>
        <v/>
      </c>
      <c r="BA53" s="8" t="str">
        <f>IF($B53="","",IF(COUNTIF('Competency Event Log'!$U$4:$U$803,$B53&amp;"|"&amp;BA$5)=0,"",SUMIF('Competency Event Log'!$U$4:$U$803,$B53&amp;"|"&amp;BA$5,'Competency Event Log'!$D$4:$D$803)))</f>
        <v/>
      </c>
      <c r="BB53" s="8" t="str">
        <f>IF($B53="","",IF(COUNTIF('Competency Event Log'!$U$4:$U$803,$B53&amp;"|"&amp;BB$5)=0,"",SUMIF('Competency Event Log'!$U$4:$U$803,$B53&amp;"|"&amp;BB$5,'Competency Event Log'!$D$4:$D$803)))</f>
        <v/>
      </c>
      <c r="BC53" s="8" t="str">
        <f>IF($B53="","",IF(COUNTIF('Competency Event Log'!$U$4:$U$803,$B53&amp;"|"&amp;BC$5)=0,"",SUMIF('Competency Event Log'!$U$4:$U$803,$B53&amp;"|"&amp;BC$5,'Competency Event Log'!$D$4:$D$803)))</f>
        <v/>
      </c>
      <c r="BD53" s="8" t="str">
        <f>IF($B53="","",IF(COUNTIF('Competency Event Log'!$U$4:$U$803,$B53&amp;"|"&amp;BD$5)=0,"",SUMIF('Competency Event Log'!$U$4:$U$803,$B53&amp;"|"&amp;BD$5,'Competency Event Log'!$D$4:$D$803)))</f>
        <v/>
      </c>
      <c r="BE53" s="8" t="str">
        <f>IF($B53="","",IF(COUNTIF('Competency Event Log'!$U$4:$U$803,$B53&amp;"|"&amp;BE$5)=0,"",SUMIF('Competency Event Log'!$U$4:$U$803,$B53&amp;"|"&amp;BE$5,'Competency Event Log'!$D$4:$D$803)))</f>
        <v/>
      </c>
      <c r="BF53" s="8" t="str">
        <f>IF($B53="","",IF(COUNTIF('Competency Event Log'!$U$4:$U$803,$B53&amp;"|"&amp;BF$5)=0,"",SUMIF('Competency Event Log'!$U$4:$U$803,$B53&amp;"|"&amp;BF$5,'Competency Event Log'!$D$4:$D$803)))</f>
        <v/>
      </c>
      <c r="BG53" s="8" t="str">
        <f>IF($B53="","",IF(COUNTIF('Competency Event Log'!$U$4:$U$803,$B53&amp;"|"&amp;BG$5)=0,"",SUMIF('Competency Event Log'!$U$4:$U$803,$B53&amp;"|"&amp;BG$5,'Competency Event Log'!$D$4:$D$803)))</f>
        <v/>
      </c>
      <c r="BH53" s="8" t="str">
        <f>IF($B53="","",IF(COUNTIF('Competency Event Log'!$U$4:$U$803,$B53&amp;"|"&amp;BH$5)=0,"",SUMIF('Competency Event Log'!$U$4:$U$803,$B53&amp;"|"&amp;BH$5,'Competency Event Log'!$D$4:$D$803)))</f>
        <v/>
      </c>
      <c r="BI53" s="8" t="str">
        <f>IF($B53="","",IF(COUNTIF('Competency Event Log'!$U$4:$U$803,$B53&amp;"|"&amp;BI$5)=0,"",SUMIF('Competency Event Log'!$U$4:$U$803,$B53&amp;"|"&amp;BI$5,'Competency Event Log'!$D$4:$D$803)))</f>
        <v/>
      </c>
      <c r="BJ53" s="8" t="str">
        <f>IF($B53="","",IF(COUNTIF('Competency Event Log'!$U$4:$U$803,$B53&amp;"|"&amp;BJ$5)=0,"",SUMIF('Competency Event Log'!$U$4:$U$803,$B53&amp;"|"&amp;BJ$5,'Competency Event Log'!$D$4:$D$803)))</f>
        <v/>
      </c>
      <c r="BK53" s="8" t="str">
        <f>IF($B53="","",IF(COUNTIF('Competency Event Log'!$U$4:$U$803,$B53&amp;"|"&amp;BK$5)=0,"",SUMIF('Competency Event Log'!$U$4:$U$803,$B53&amp;"|"&amp;BK$5,'Competency Event Log'!$D$4:$D$803)))</f>
        <v/>
      </c>
      <c r="BL53" s="8" t="str">
        <f>IF($B53="","",IF(COUNTIF('Competency Event Log'!$U$4:$U$803,$B53&amp;"|"&amp;BL$5)=0,"",SUMIF('Competency Event Log'!$U$4:$U$803,$B53&amp;"|"&amp;BL$5,'Competency Event Log'!$D$4:$D$803)))</f>
        <v/>
      </c>
      <c r="BM53" s="8" t="str">
        <f>IF($B53="","",IF(COUNTIF('Competency Event Log'!$U$4:$U$803,$B53&amp;"|"&amp;BM$5)=0,"",SUMIF('Competency Event Log'!$U$4:$U$803,$B53&amp;"|"&amp;BM$5,'Competency Event Log'!$D$4:$D$803)))</f>
        <v/>
      </c>
      <c r="BN53" s="8" t="str">
        <f>IF($B53="","",IF(COUNTIF('Competency Event Log'!$U$4:$U$803,$B53&amp;"|"&amp;BN$5)=0,"",SUMIF('Competency Event Log'!$U$4:$U$803,$B53&amp;"|"&amp;BN$5,'Competency Event Log'!$D$4:$D$803)))</f>
        <v/>
      </c>
      <c r="BO53" s="8" t="str">
        <f>IF($B53="","",IF(COUNTIF('Competency Event Log'!$U$4:$U$803,$B53&amp;"|"&amp;BO$5)=0,"",SUMIF('Competency Event Log'!$U$4:$U$803,$B53&amp;"|"&amp;BO$5,'Competency Event Log'!$D$4:$D$803)))</f>
        <v/>
      </c>
      <c r="BP53" s="8" t="str">
        <f>IF($B53="","",IF(COUNTIF('Competency Event Log'!$U$4:$U$803,$B53&amp;"|"&amp;BP$5)=0,"",SUMIF('Competency Event Log'!$U$4:$U$803,$B53&amp;"|"&amp;BP$5,'Competency Event Log'!$D$4:$D$803)))</f>
        <v/>
      </c>
      <c r="BQ53" s="8" t="str">
        <f>IF($B53="","",IF(COUNTIF('Competency Event Log'!$U$4:$U$803,$B53&amp;"|"&amp;BQ$5)=0,"",SUMIF('Competency Event Log'!$U$4:$U$803,$B53&amp;"|"&amp;BQ$5,'Competency Event Log'!$D$4:$D$803)))</f>
        <v/>
      </c>
      <c r="BR53" s="8" t="str">
        <f>IF($B53="","",IF(COUNTIF('Competency Event Log'!$U$4:$U$803,$B53&amp;"|"&amp;BR$5)=0,"",SUMIF('Competency Event Log'!$U$4:$U$803,$B53&amp;"|"&amp;BR$5,'Competency Event Log'!$D$4:$D$803)))</f>
        <v/>
      </c>
      <c r="BS53" s="8" t="str">
        <f>IF($B53="","",IF(COUNTIF('Competency Event Log'!$U$4:$U$803,$B53&amp;"|"&amp;BS$5)=0,"",SUMIF('Competency Event Log'!$U$4:$U$803,$B53&amp;"|"&amp;BS$5,'Competency Event Log'!$D$4:$D$803)))</f>
        <v/>
      </c>
      <c r="BT53" s="8" t="str">
        <f>IF($B53="","",IF(COUNTIF('Competency Event Log'!$U$4:$U$803,$B53&amp;"|"&amp;BT$5)=0,"",SUMIF('Competency Event Log'!$U$4:$U$803,$B53&amp;"|"&amp;BT$5,'Competency Event Log'!$D$4:$D$803)))</f>
        <v/>
      </c>
      <c r="BU53" s="8" t="str">
        <f>IF($B53="","",IF(COUNTIF('Competency Event Log'!$U$4:$U$803,$B53&amp;"|"&amp;BU$5)=0,"",SUMIF('Competency Event Log'!$U$4:$U$803,$B53&amp;"|"&amp;BU$5,'Competency Event Log'!$D$4:$D$803)))</f>
        <v/>
      </c>
      <c r="BV53" s="8" t="str">
        <f>IF($B53="","",IF(COUNTIF('Competency Event Log'!$U$4:$U$803,$B53&amp;"|"&amp;BV$5)=0,"",SUMIF('Competency Event Log'!$U$4:$U$803,$B53&amp;"|"&amp;BV$5,'Competency Event Log'!$D$4:$D$803)))</f>
        <v/>
      </c>
      <c r="BW53" s="8" t="str">
        <f>IF($B53="","",IF(COUNTIF('Competency Event Log'!$U$4:$U$803,$B53&amp;"|"&amp;BW$5)=0,"",SUMIF('Competency Event Log'!$U$4:$U$803,$B53&amp;"|"&amp;BW$5,'Competency Event Log'!$D$4:$D$803)))</f>
        <v/>
      </c>
      <c r="BX53" s="8" t="str">
        <f>IF($B53="","",IF(COUNTIF('Competency Event Log'!$U$4:$U$803,$B53&amp;"|"&amp;BX$5)=0,"",SUMIF('Competency Event Log'!$U$4:$U$803,$B53&amp;"|"&amp;BX$5,'Competency Event Log'!$D$4:$D$803)))</f>
        <v/>
      </c>
      <c r="BY53" s="8" t="str">
        <f>IF($B53="","",IF(COUNTIF('Competency Event Log'!$U$4:$U$803,$B53&amp;"|"&amp;BY$5)=0,"",SUMIF('Competency Event Log'!$U$4:$U$803,$B53&amp;"|"&amp;BY$5,'Competency Event Log'!$D$4:$D$803)))</f>
        <v/>
      </c>
      <c r="BZ53" s="8" t="str">
        <f>IF($B53="","",IF(COUNTIF('Competency Event Log'!$U$4:$U$803,$B53&amp;"|"&amp;BZ$5)=0,"",SUMIF('Competency Event Log'!$U$4:$U$803,$B53&amp;"|"&amp;BZ$5,'Competency Event Log'!$D$4:$D$803)))</f>
        <v/>
      </c>
      <c r="CA53" s="8" t="str">
        <f>IF($B53="","",IF(COUNTIF('Competency Event Log'!$U$4:$U$803,$B53&amp;"|"&amp;CA$5)=0,"",SUMIF('Competency Event Log'!$U$4:$U$803,$B53&amp;"|"&amp;CA$5,'Competency Event Log'!$D$4:$D$803)))</f>
        <v/>
      </c>
      <c r="CB53" s="8" t="str">
        <f>IF($B53="","",IF(COUNTIF('Competency Event Log'!$U$4:$U$803,$B53&amp;"|"&amp;CB$5)=0,"",SUMIF('Competency Event Log'!$U$4:$U$803,$B53&amp;"|"&amp;CB$5,'Competency Event Log'!$D$4:$D$803)))</f>
        <v/>
      </c>
      <c r="CC53" s="8" t="str">
        <f>IF($B53="","",IF(COUNTIF('Competency Event Log'!$U$4:$U$803,$B53&amp;"|"&amp;CC$5)=0,"",SUMIF('Competency Event Log'!$U$4:$U$803,$B53&amp;"|"&amp;CC$5,'Competency Event Log'!$D$4:$D$803)))</f>
        <v/>
      </c>
      <c r="CD53" s="8" t="str">
        <f>IF($B53="","",IF(COUNTIF('Competency Event Log'!$U$4:$U$803,$B53&amp;"|"&amp;CD$5)=0,"",SUMIF('Competency Event Log'!$U$4:$U$803,$B53&amp;"|"&amp;CD$5,'Competency Event Log'!$D$4:$D$803)))</f>
        <v/>
      </c>
      <c r="CE53" s="8" t="str">
        <f>IF($B53="","",IF(COUNTIF('Competency Event Log'!$U$4:$U$803,$B53&amp;"|"&amp;CE$5)=0,"",SUMIF('Competency Event Log'!$U$4:$U$803,$B53&amp;"|"&amp;CE$5,'Competency Event Log'!$D$4:$D$803)))</f>
        <v/>
      </c>
      <c r="CF53" s="8" t="str">
        <f>IF($B53="","",IF(COUNTIF('Competency Event Log'!$U$4:$U$803,$B53&amp;"|"&amp;CF$5)=0,"",SUMIF('Competency Event Log'!$U$4:$U$803,$B53&amp;"|"&amp;CF$5,'Competency Event Log'!$D$4:$D$803)))</f>
        <v/>
      </c>
      <c r="CG53" s="8" t="str">
        <f>IF($B53="","",IF(COUNTIF('Competency Event Log'!$U$4:$U$803,$B53&amp;"|"&amp;CG$5)=0,"",SUMIF('Competency Event Log'!$U$4:$U$803,$B53&amp;"|"&amp;CG$5,'Competency Event Log'!$D$4:$D$803)))</f>
        <v/>
      </c>
      <c r="CH53" s="8" t="str">
        <f>IF($B53="","",IF(COUNTIF('Competency Event Log'!$U$4:$U$803,$B53&amp;"|"&amp;CH$5)=0,"",SUMIF('Competency Event Log'!$U$4:$U$803,$B53&amp;"|"&amp;CH$5,'Competency Event Log'!$D$4:$D$803)))</f>
        <v/>
      </c>
      <c r="CI53" s="8" t="str">
        <f>IF($B53="","",IF(COUNTIF('Competency Event Log'!$U$4:$U$803,$B53&amp;"|"&amp;CI$5)=0,"",SUMIF('Competency Event Log'!$U$4:$U$803,$B53&amp;"|"&amp;CI$5,'Competency Event Log'!$D$4:$D$803)))</f>
        <v/>
      </c>
      <c r="CJ53" s="8" t="str">
        <f>IF($B53="","",IF(COUNTIF('Competency Event Log'!$U$4:$U$803,$B53&amp;"|"&amp;CJ$5)=0,"",SUMIF('Competency Event Log'!$U$4:$U$803,$B53&amp;"|"&amp;CJ$5,'Competency Event Log'!$D$4:$D$803)))</f>
        <v/>
      </c>
      <c r="CK53" s="8" t="str">
        <f>IF($B53="","",IF(COUNTIF('Competency Event Log'!$U$4:$U$803,$B53&amp;"|"&amp;CK$5)=0,"",SUMIF('Competency Event Log'!$U$4:$U$803,$B53&amp;"|"&amp;CK$5,'Competency Event Log'!$D$4:$D$803)))</f>
        <v/>
      </c>
      <c r="CL53" s="8" t="str">
        <f>IF($B53="","",IF(COUNTIF('Competency Event Log'!$U$4:$U$803,$B53&amp;"|"&amp;CL$5)=0,"",SUMIF('Competency Event Log'!$U$4:$U$803,$B53&amp;"|"&amp;CL$5,'Competency Event Log'!$D$4:$D$803)))</f>
        <v/>
      </c>
      <c r="CM53" s="8" t="str">
        <f>IF($B53="","",IF(COUNTIF('Competency Event Log'!$U$4:$U$803,$B53&amp;"|"&amp;CM$5)=0,"",SUMIF('Competency Event Log'!$U$4:$U$803,$B53&amp;"|"&amp;CM$5,'Competency Event Log'!$D$4:$D$803)))</f>
        <v/>
      </c>
      <c r="CN53" s="8" t="str">
        <f>IF($B53="","",IF(COUNTIF('Competency Event Log'!$U$4:$U$803,$B53&amp;"|"&amp;CN$5)=0,"",SUMIF('Competency Event Log'!$U$4:$U$803,$B53&amp;"|"&amp;CN$5,'Competency Event Log'!$D$4:$D$803)))</f>
        <v/>
      </c>
      <c r="CO53" s="8" t="str">
        <f>IF($B53="","",IF(COUNTIF('Competency Event Log'!$U$4:$U$803,$B53&amp;"|"&amp;CO$5)=0,"",SUMIF('Competency Event Log'!$U$4:$U$803,$B53&amp;"|"&amp;CO$5,'Competency Event Log'!$D$4:$D$803)))</f>
        <v/>
      </c>
      <c r="CP53" s="8" t="str">
        <f>IF($B53="","",IF(COUNTIF('Competency Event Log'!$U$4:$U$803,$B53&amp;"|"&amp;CP$5)=0,"",SUMIF('Competency Event Log'!$U$4:$U$803,$B53&amp;"|"&amp;CP$5,'Competency Event Log'!$D$4:$D$803)))</f>
        <v/>
      </c>
      <c r="CQ53" s="8" t="str">
        <f>IF($B53="","",IF(COUNTIF('Competency Event Log'!$U$4:$U$803,$B53&amp;"|"&amp;CQ$5)=0,"",SUMIF('Competency Event Log'!$U$4:$U$803,$B53&amp;"|"&amp;CQ$5,'Competency Event Log'!$D$4:$D$803)))</f>
        <v/>
      </c>
      <c r="CR53" s="8" t="str">
        <f>IF($B53="","",IF(COUNTIF('Competency Event Log'!$U$4:$U$803,$B53&amp;"|"&amp;CR$5)=0,"",SUMIF('Competency Event Log'!$U$4:$U$803,$B53&amp;"|"&amp;CR$5,'Competency Event Log'!$D$4:$D$803)))</f>
        <v/>
      </c>
      <c r="CS53" s="8" t="str">
        <f>IF($B53="","",IF(COUNTIF('Competency Event Log'!$U$4:$U$803,$B53&amp;"|"&amp;CS$5)=0,"",SUMIF('Competency Event Log'!$U$4:$U$803,$B53&amp;"|"&amp;CS$5,'Competency Event Log'!$D$4:$D$803)))</f>
        <v/>
      </c>
      <c r="CT53" s="8" t="str">
        <f>IF($B53="","",IF(COUNTIF('Competency Event Log'!$U$4:$U$803,$B53&amp;"|"&amp;CT$5)=0,"",SUMIF('Competency Event Log'!$U$4:$U$803,$B53&amp;"|"&amp;CT$5,'Competency Event Log'!$D$4:$D$803)))</f>
        <v/>
      </c>
      <c r="CU53" s="8" t="str">
        <f>IF($B53="","",IF(COUNTIF('Competency Event Log'!$U$4:$U$803,$B53&amp;"|"&amp;CU$5)=0,"",SUMIF('Competency Event Log'!$U$4:$U$803,$B53&amp;"|"&amp;CU$5,'Competency Event Log'!$D$4:$D$803)))</f>
        <v/>
      </c>
      <c r="CV53" s="8" t="str">
        <f>IF($B53="","",IF(COUNTIF('Competency Event Log'!$U$4:$U$803,$B53&amp;"|"&amp;CV$5)=0,"",SUMIF('Competency Event Log'!$U$4:$U$803,$B53&amp;"|"&amp;CV$5,'Competency Event Log'!$D$4:$D$803)))</f>
        <v/>
      </c>
      <c r="CW53" s="8" t="str">
        <f>IF($B53="","",IF(COUNTIF('Competency Event Log'!$U$4:$U$803,$B53&amp;"|"&amp;CW$5)=0,"",SUMIF('Competency Event Log'!$U$4:$U$803,$B53&amp;"|"&amp;CW$5,'Competency Event Log'!$D$4:$D$803)))</f>
        <v/>
      </c>
      <c r="CX53" s="8" t="str">
        <f>IF($B53="","",IF(COUNTIF('Competency Event Log'!$U$4:$U$803,$B53&amp;"|"&amp;CX$5)=0,"",SUMIF('Competency Event Log'!$U$4:$U$803,$B53&amp;"|"&amp;CX$5,'Competency Event Log'!$D$4:$D$803)))</f>
        <v/>
      </c>
      <c r="CY53" s="8" t="str">
        <f>IF($B53="","",IF(COUNTIF('Competency Event Log'!$U$4:$U$803,$B53&amp;"|"&amp;CY$5)=0,"",SUMIF('Competency Event Log'!$U$4:$U$803,$B53&amp;"|"&amp;CY$5,'Competency Event Log'!$D$4:$D$803)))</f>
        <v/>
      </c>
      <c r="CZ53" s="8" t="str">
        <f>IF($B53="","",IF(COUNTIF('Competency Event Log'!$U$4:$U$803,$B53&amp;"|"&amp;CZ$5)=0,"",SUMIF('Competency Event Log'!$U$4:$U$803,$B53&amp;"|"&amp;CZ$5,'Competency Event Log'!$D$4:$D$803)))</f>
        <v/>
      </c>
      <c r="DA53" s="8" t="str">
        <f>IF($B53="","",IF(COUNTIF('Competency Event Log'!$U$4:$U$803,$B53&amp;"|"&amp;DA$5)=0,"",SUMIF('Competency Event Log'!$U$4:$U$803,$B53&amp;"|"&amp;DA$5,'Competency Event Log'!$D$4:$D$803)))</f>
        <v/>
      </c>
      <c r="DB53" s="8" t="str">
        <f>IF($B53="","",IF(COUNTIF('Competency Event Log'!$U$4:$U$803,$B53&amp;"|"&amp;DB$5)=0,"",SUMIF('Competency Event Log'!$U$4:$U$803,$B53&amp;"|"&amp;DB$5,'Competency Event Log'!$D$4:$D$803)))</f>
        <v/>
      </c>
      <c r="DC53" s="8" t="str">
        <f>IF($B53="","",IF(COUNTIF('Competency Event Log'!$U$4:$U$803,$B53&amp;"|"&amp;DC$5)=0,"",SUMIF('Competency Event Log'!$U$4:$U$803,$B53&amp;"|"&amp;DC$5,'Competency Event Log'!$D$4:$D$803)))</f>
        <v/>
      </c>
      <c r="DD53" s="8" t="str">
        <f>IF($B53="","",IF(COUNTIF('Competency Event Log'!$U$4:$U$803,$B53&amp;"|"&amp;DD$5)=0,"",SUMIF('Competency Event Log'!$U$4:$U$803,$B53&amp;"|"&amp;DD$5,'Competency Event Log'!$D$4:$D$803)))</f>
        <v/>
      </c>
      <c r="DE53" s="8" t="str">
        <f>IF($B53="","",IF(COUNTIF('Competency Event Log'!$U$4:$U$803,$B53&amp;"|"&amp;DE$5)=0,"",SUMIF('Competency Event Log'!$U$4:$U$803,$B53&amp;"|"&amp;DE$5,'Competency Event Log'!$D$4:$D$803)))</f>
        <v/>
      </c>
      <c r="DF53" s="8" t="str">
        <f t="shared" si="4"/>
        <v/>
      </c>
      <c r="DG53" s="8" t="str">
        <f t="shared" si="5"/>
        <v/>
      </c>
      <c r="DH53" s="8" t="str">
        <f t="shared" si="6"/>
        <v/>
      </c>
      <c r="DI53" s="11" t="str">
        <f t="shared" si="7"/>
        <v/>
      </c>
    </row>
    <row r="54" spans="1:113">
      <c r="A54" s="7"/>
      <c r="B54" s="7"/>
      <c r="C54" s="8"/>
      <c r="D54" s="9"/>
      <c r="E54" s="10"/>
      <c r="F54" s="8"/>
      <c r="G54" s="8" t="str">
        <f>IF($B54="","",IF(COUNTIF('Competency Event Log'!$U$4:$U$803,$B54&amp;"|"&amp;G$5)=0,"",SUMIF('Competency Event Log'!$U$4:$U$803,$B54&amp;"|"&amp;G$5,'Competency Event Log'!$D$4:$D$803)))</f>
        <v/>
      </c>
      <c r="H54" s="8" t="str">
        <f>IF($B54="","",IF(COUNTIF('Competency Event Log'!$U$4:$U$803,$B54&amp;"|"&amp;H$5)=0,"",SUMIF('Competency Event Log'!$U$4:$U$803,$B54&amp;"|"&amp;H$5,'Competency Event Log'!$D$4:$D$803)))</f>
        <v/>
      </c>
      <c r="I54" s="8" t="str">
        <f>IF($B54="","",IF(COUNTIF('Competency Event Log'!$U$4:$U$803,$B54&amp;"|"&amp;I$5)=0,"",SUMIF('Competency Event Log'!$U$4:$U$803,$B54&amp;"|"&amp;I$5,'Competency Event Log'!$D$4:$D$803)))</f>
        <v/>
      </c>
      <c r="J54" s="8" t="str">
        <f>IF($B54="","",IF(COUNTIF('Competency Event Log'!$U$4:$U$803,$B54&amp;"|"&amp;J$5)=0,"",SUMIF('Competency Event Log'!$U$4:$U$803,$B54&amp;"|"&amp;J$5,'Competency Event Log'!$D$4:$D$803)))</f>
        <v/>
      </c>
      <c r="K54" s="8" t="str">
        <f>IF($B54="","",IF(COUNTIF('Competency Event Log'!$U$4:$U$803,$B54&amp;"|"&amp;K$5)=0,"",SUMIF('Competency Event Log'!$U$4:$U$803,$B54&amp;"|"&amp;K$5,'Competency Event Log'!$D$4:$D$803)))</f>
        <v/>
      </c>
      <c r="L54" s="8" t="str">
        <f>IF($B54="","",IF(COUNTIF('Competency Event Log'!$U$4:$U$803,$B54&amp;"|"&amp;L$5)=0,"",SUMIF('Competency Event Log'!$U$4:$U$803,$B54&amp;"|"&amp;L$5,'Competency Event Log'!$D$4:$D$803)))</f>
        <v/>
      </c>
      <c r="M54" s="8" t="str">
        <f>IF($B54="","",IF(COUNTIF('Competency Event Log'!$U$4:$U$803,$B54&amp;"|"&amp;M$5)=0,"",SUMIF('Competency Event Log'!$U$4:$U$803,$B54&amp;"|"&amp;M$5,'Competency Event Log'!$D$4:$D$803)))</f>
        <v/>
      </c>
      <c r="N54" s="8" t="str">
        <f>IF($B54="","",IF(COUNTIF('Competency Event Log'!$U$4:$U$803,$B54&amp;"|"&amp;N$5)=0,"",SUMIF('Competency Event Log'!$U$4:$U$803,$B54&amp;"|"&amp;N$5,'Competency Event Log'!$D$4:$D$803)))</f>
        <v/>
      </c>
      <c r="O54" s="8" t="str">
        <f>IF($B54="","",IF(COUNTIF('Competency Event Log'!$U$4:$U$803,$B54&amp;"|"&amp;O$5)=0,"",SUMIF('Competency Event Log'!$U$4:$U$803,$B54&amp;"|"&amp;O$5,'Competency Event Log'!$D$4:$D$803)))</f>
        <v/>
      </c>
      <c r="P54" s="8" t="str">
        <f>IF($B54="","",IF(COUNTIF('Competency Event Log'!$U$4:$U$803,$B54&amp;"|"&amp;P$5)=0,"",SUMIF('Competency Event Log'!$U$4:$U$803,$B54&amp;"|"&amp;P$5,'Competency Event Log'!$D$4:$D$803)))</f>
        <v/>
      </c>
      <c r="Q54" s="8" t="str">
        <f>IF($B54="","",IF(COUNTIF('Competency Event Log'!$U$4:$U$803,$B54&amp;"|"&amp;Q$5)=0,"",SUMIF('Competency Event Log'!$U$4:$U$803,$B54&amp;"|"&amp;Q$5,'Competency Event Log'!$D$4:$D$803)))</f>
        <v/>
      </c>
      <c r="R54" s="8" t="str">
        <f>IF($B54="","",IF(COUNTIF('Competency Event Log'!$U$4:$U$803,$B54&amp;"|"&amp;R$5)=0,"",SUMIF('Competency Event Log'!$U$4:$U$803,$B54&amp;"|"&amp;R$5,'Competency Event Log'!$D$4:$D$803)))</f>
        <v/>
      </c>
      <c r="S54" s="8" t="str">
        <f>IF($B54="","",IF(COUNTIF('Competency Event Log'!$U$4:$U$803,$B54&amp;"|"&amp;S$5)=0,"",SUMIF('Competency Event Log'!$U$4:$U$803,$B54&amp;"|"&amp;S$5,'Competency Event Log'!$D$4:$D$803)))</f>
        <v/>
      </c>
      <c r="T54" s="8" t="str">
        <f>IF($B54="","",IF(COUNTIF('Competency Event Log'!$U$4:$U$803,$B54&amp;"|"&amp;T$5)=0,"",SUMIF('Competency Event Log'!$U$4:$U$803,$B54&amp;"|"&amp;T$5,'Competency Event Log'!$D$4:$D$803)))</f>
        <v/>
      </c>
      <c r="U54" s="8" t="str">
        <f>IF($B54="","",IF(COUNTIF('Competency Event Log'!$U$4:$U$803,$B54&amp;"|"&amp;U$5)=0,"",SUMIF('Competency Event Log'!$U$4:$U$803,$B54&amp;"|"&amp;U$5,'Competency Event Log'!$D$4:$D$803)))</f>
        <v/>
      </c>
      <c r="V54" s="8" t="str">
        <f>IF($B54="","",IF(COUNTIF('Competency Event Log'!$U$4:$U$803,$B54&amp;"|"&amp;V$5)=0,"",SUMIF('Competency Event Log'!$U$4:$U$803,$B54&amp;"|"&amp;V$5,'Competency Event Log'!$D$4:$D$803)))</f>
        <v/>
      </c>
      <c r="W54" s="8" t="str">
        <f>IF($B54="","",IF(COUNTIF('Competency Event Log'!$U$4:$U$803,$B54&amp;"|"&amp;W$5)=0,"",SUMIF('Competency Event Log'!$U$4:$U$803,$B54&amp;"|"&amp;W$5,'Competency Event Log'!$D$4:$D$803)))</f>
        <v/>
      </c>
      <c r="X54" s="8" t="str">
        <f>IF($B54="","",IF(COUNTIF('Competency Event Log'!$U$4:$U$803,$B54&amp;"|"&amp;X$5)=0,"",SUMIF('Competency Event Log'!$U$4:$U$803,$B54&amp;"|"&amp;X$5,'Competency Event Log'!$D$4:$D$803)))</f>
        <v/>
      </c>
      <c r="Y54" s="8" t="str">
        <f>IF($B54="","",IF(COUNTIF('Competency Event Log'!$U$4:$U$803,$B54&amp;"|"&amp;Y$5)=0,"",SUMIF('Competency Event Log'!$U$4:$U$803,$B54&amp;"|"&amp;Y$5,'Competency Event Log'!$D$4:$D$803)))</f>
        <v/>
      </c>
      <c r="Z54" s="8" t="str">
        <f>IF($B54="","",IF(COUNTIF('Competency Event Log'!$U$4:$U$803,$B54&amp;"|"&amp;Z$5)=0,"",SUMIF('Competency Event Log'!$U$4:$U$803,$B54&amp;"|"&amp;Z$5,'Competency Event Log'!$D$4:$D$803)))</f>
        <v/>
      </c>
      <c r="AA54" s="8" t="str">
        <f>IF($B54="","",IF(COUNTIF('Competency Event Log'!$U$4:$U$803,$B54&amp;"|"&amp;AA$5)=0,"",SUMIF('Competency Event Log'!$U$4:$U$803,$B54&amp;"|"&amp;AA$5,'Competency Event Log'!$D$4:$D$803)))</f>
        <v/>
      </c>
      <c r="AB54" s="8" t="str">
        <f>IF($B54="","",IF(COUNTIF('Competency Event Log'!$U$4:$U$803,$B54&amp;"|"&amp;AB$5)=0,"",SUMIF('Competency Event Log'!$U$4:$U$803,$B54&amp;"|"&amp;AB$5,'Competency Event Log'!$D$4:$D$803)))</f>
        <v/>
      </c>
      <c r="AC54" s="8" t="str">
        <f>IF($B54="","",IF(COUNTIF('Competency Event Log'!$U$4:$U$803,$B54&amp;"|"&amp;AC$5)=0,"",SUMIF('Competency Event Log'!$U$4:$U$803,$B54&amp;"|"&amp;AC$5,'Competency Event Log'!$D$4:$D$803)))</f>
        <v/>
      </c>
      <c r="AD54" s="8" t="str">
        <f>IF($B54="","",IF(COUNTIF('Competency Event Log'!$U$4:$U$803,$B54&amp;"|"&amp;AD$5)=0,"",SUMIF('Competency Event Log'!$U$4:$U$803,$B54&amp;"|"&amp;AD$5,'Competency Event Log'!$D$4:$D$803)))</f>
        <v/>
      </c>
      <c r="AE54" s="8" t="str">
        <f>IF($B54="","",IF(COUNTIF('Competency Event Log'!$U$4:$U$803,$B54&amp;"|"&amp;AE$5)=0,"",SUMIF('Competency Event Log'!$U$4:$U$803,$B54&amp;"|"&amp;AE$5,'Competency Event Log'!$D$4:$D$803)))</f>
        <v/>
      </c>
      <c r="AF54" s="8" t="str">
        <f>IF($B54="","",IF(COUNTIF('Competency Event Log'!$U$4:$U$803,$B54&amp;"|"&amp;AF$5)=0,"",SUMIF('Competency Event Log'!$U$4:$U$803,$B54&amp;"|"&amp;AF$5,'Competency Event Log'!$D$4:$D$803)))</f>
        <v/>
      </c>
      <c r="AG54" s="8" t="str">
        <f>IF($B54="","",IF(COUNTIF('Competency Event Log'!$U$4:$U$803,$B54&amp;"|"&amp;AG$5)=0,"",SUMIF('Competency Event Log'!$U$4:$U$803,$B54&amp;"|"&amp;AG$5,'Competency Event Log'!$D$4:$D$803)))</f>
        <v/>
      </c>
      <c r="AH54" s="8" t="str">
        <f>IF($B54="","",IF(COUNTIF('Competency Event Log'!$U$4:$U$803,$B54&amp;"|"&amp;AH$5)=0,"",SUMIF('Competency Event Log'!$U$4:$U$803,$B54&amp;"|"&amp;AH$5,'Competency Event Log'!$D$4:$D$803)))</f>
        <v/>
      </c>
      <c r="AI54" s="8" t="str">
        <f>IF($B54="","",IF(COUNTIF('Competency Event Log'!$U$4:$U$803,$B54&amp;"|"&amp;AI$5)=0,"",SUMIF('Competency Event Log'!$U$4:$U$803,$B54&amp;"|"&amp;AI$5,'Competency Event Log'!$D$4:$D$803)))</f>
        <v/>
      </c>
      <c r="AJ54" s="8" t="str">
        <f>IF($B54="","",IF(COUNTIF('Competency Event Log'!$U$4:$U$803,$B54&amp;"|"&amp;AJ$5)=0,"",SUMIF('Competency Event Log'!$U$4:$U$803,$B54&amp;"|"&amp;AJ$5,'Competency Event Log'!$D$4:$D$803)))</f>
        <v/>
      </c>
      <c r="AK54" s="8" t="str">
        <f>IF($B54="","",IF(COUNTIF('Competency Event Log'!$U$4:$U$803,$B54&amp;"|"&amp;AK$5)=0,"",SUMIF('Competency Event Log'!$U$4:$U$803,$B54&amp;"|"&amp;AK$5,'Competency Event Log'!$D$4:$D$803)))</f>
        <v/>
      </c>
      <c r="AL54" s="8" t="str">
        <f>IF($B54="","",IF(COUNTIF('Competency Event Log'!$U$4:$U$803,$B54&amp;"|"&amp;AL$5)=0,"",SUMIF('Competency Event Log'!$U$4:$U$803,$B54&amp;"|"&amp;AL$5,'Competency Event Log'!$D$4:$D$803)))</f>
        <v/>
      </c>
      <c r="AM54" s="8" t="str">
        <f>IF($B54="","",IF(COUNTIF('Competency Event Log'!$U$4:$U$803,$B54&amp;"|"&amp;AM$5)=0,"",SUMIF('Competency Event Log'!$U$4:$U$803,$B54&amp;"|"&amp;AM$5,'Competency Event Log'!$D$4:$D$803)))</f>
        <v/>
      </c>
      <c r="AN54" s="8" t="str">
        <f>IF($B54="","",IF(COUNTIF('Competency Event Log'!$U$4:$U$803,$B54&amp;"|"&amp;AN$5)=0,"",SUMIF('Competency Event Log'!$U$4:$U$803,$B54&amp;"|"&amp;AN$5,'Competency Event Log'!$D$4:$D$803)))</f>
        <v/>
      </c>
      <c r="AO54" s="8" t="str">
        <f>IF($B54="","",IF(COUNTIF('Competency Event Log'!$U$4:$U$803,$B54&amp;"|"&amp;AO$5)=0,"",SUMIF('Competency Event Log'!$U$4:$U$803,$B54&amp;"|"&amp;AO$5,'Competency Event Log'!$D$4:$D$803)))</f>
        <v/>
      </c>
      <c r="AP54" s="8" t="str">
        <f>IF($B54="","",IF(COUNTIF('Competency Event Log'!$U$4:$U$803,$B54&amp;"|"&amp;AP$5)=0,"",SUMIF('Competency Event Log'!$U$4:$U$803,$B54&amp;"|"&amp;AP$5,'Competency Event Log'!$D$4:$D$803)))</f>
        <v/>
      </c>
      <c r="AQ54" s="8" t="str">
        <f>IF($B54="","",IF(COUNTIF('Competency Event Log'!$U$4:$U$803,$B54&amp;"|"&amp;AQ$5)=0,"",SUMIF('Competency Event Log'!$U$4:$U$803,$B54&amp;"|"&amp;AQ$5,'Competency Event Log'!$D$4:$D$803)))</f>
        <v/>
      </c>
      <c r="AR54" s="8" t="str">
        <f>IF($B54="","",IF(COUNTIF('Competency Event Log'!$U$4:$U$803,$B54&amp;"|"&amp;AR$5)=0,"",SUMIF('Competency Event Log'!$U$4:$U$803,$B54&amp;"|"&amp;AR$5,'Competency Event Log'!$D$4:$D$803)))</f>
        <v/>
      </c>
      <c r="AS54" s="8" t="str">
        <f>IF($B54="","",IF(COUNTIF('Competency Event Log'!$U$4:$U$803,$B54&amp;"|"&amp;AS$5)=0,"",SUMIF('Competency Event Log'!$U$4:$U$803,$B54&amp;"|"&amp;AS$5,'Competency Event Log'!$D$4:$D$803)))</f>
        <v/>
      </c>
      <c r="AT54" s="8" t="str">
        <f>IF($B54="","",IF(COUNTIF('Competency Event Log'!$U$4:$U$803,$B54&amp;"|"&amp;AT$5)=0,"",SUMIF('Competency Event Log'!$U$4:$U$803,$B54&amp;"|"&amp;AT$5,'Competency Event Log'!$D$4:$D$803)))</f>
        <v/>
      </c>
      <c r="AU54" s="8" t="str">
        <f>IF($B54="","",IF(COUNTIF('Competency Event Log'!$U$4:$U$803,$B54&amp;"|"&amp;AU$5)=0,"",SUMIF('Competency Event Log'!$U$4:$U$803,$B54&amp;"|"&amp;AU$5,'Competency Event Log'!$D$4:$D$803)))</f>
        <v/>
      </c>
      <c r="AV54" s="8" t="str">
        <f>IF($B54="","",IF(COUNTIF('Competency Event Log'!$U$4:$U$803,$B54&amp;"|"&amp;AV$5)=0,"",SUMIF('Competency Event Log'!$U$4:$U$803,$B54&amp;"|"&amp;AV$5,'Competency Event Log'!$D$4:$D$803)))</f>
        <v/>
      </c>
      <c r="AW54" s="8" t="str">
        <f>IF($B54="","",IF(COUNTIF('Competency Event Log'!$U$4:$U$803,$B54&amp;"|"&amp;AW$5)=0,"",SUMIF('Competency Event Log'!$U$4:$U$803,$B54&amp;"|"&amp;AW$5,'Competency Event Log'!$D$4:$D$803)))</f>
        <v/>
      </c>
      <c r="AX54" s="8" t="str">
        <f>IF($B54="","",IF(COUNTIF('Competency Event Log'!$U$4:$U$803,$B54&amp;"|"&amp;AX$5)=0,"",SUMIF('Competency Event Log'!$U$4:$U$803,$B54&amp;"|"&amp;AX$5,'Competency Event Log'!$D$4:$D$803)))</f>
        <v/>
      </c>
      <c r="AY54" s="8" t="str">
        <f>IF($B54="","",IF(COUNTIF('Competency Event Log'!$U$4:$U$803,$B54&amp;"|"&amp;AY$5)=0,"",SUMIF('Competency Event Log'!$U$4:$U$803,$B54&amp;"|"&amp;AY$5,'Competency Event Log'!$D$4:$D$803)))</f>
        <v/>
      </c>
      <c r="AZ54" s="8" t="str">
        <f>IF($B54="","",IF(COUNTIF('Competency Event Log'!$U$4:$U$803,$B54&amp;"|"&amp;AZ$5)=0,"",SUMIF('Competency Event Log'!$U$4:$U$803,$B54&amp;"|"&amp;AZ$5,'Competency Event Log'!$D$4:$D$803)))</f>
        <v/>
      </c>
      <c r="BA54" s="8" t="str">
        <f>IF($B54="","",IF(COUNTIF('Competency Event Log'!$U$4:$U$803,$B54&amp;"|"&amp;BA$5)=0,"",SUMIF('Competency Event Log'!$U$4:$U$803,$B54&amp;"|"&amp;BA$5,'Competency Event Log'!$D$4:$D$803)))</f>
        <v/>
      </c>
      <c r="BB54" s="8" t="str">
        <f>IF($B54="","",IF(COUNTIF('Competency Event Log'!$U$4:$U$803,$B54&amp;"|"&amp;BB$5)=0,"",SUMIF('Competency Event Log'!$U$4:$U$803,$B54&amp;"|"&amp;BB$5,'Competency Event Log'!$D$4:$D$803)))</f>
        <v/>
      </c>
      <c r="BC54" s="8" t="str">
        <f>IF($B54="","",IF(COUNTIF('Competency Event Log'!$U$4:$U$803,$B54&amp;"|"&amp;BC$5)=0,"",SUMIF('Competency Event Log'!$U$4:$U$803,$B54&amp;"|"&amp;BC$5,'Competency Event Log'!$D$4:$D$803)))</f>
        <v/>
      </c>
      <c r="BD54" s="8" t="str">
        <f>IF($B54="","",IF(COUNTIF('Competency Event Log'!$U$4:$U$803,$B54&amp;"|"&amp;BD$5)=0,"",SUMIF('Competency Event Log'!$U$4:$U$803,$B54&amp;"|"&amp;BD$5,'Competency Event Log'!$D$4:$D$803)))</f>
        <v/>
      </c>
      <c r="BE54" s="8" t="str">
        <f>IF($B54="","",IF(COUNTIF('Competency Event Log'!$U$4:$U$803,$B54&amp;"|"&amp;BE$5)=0,"",SUMIF('Competency Event Log'!$U$4:$U$803,$B54&amp;"|"&amp;BE$5,'Competency Event Log'!$D$4:$D$803)))</f>
        <v/>
      </c>
      <c r="BF54" s="8" t="str">
        <f>IF($B54="","",IF(COUNTIF('Competency Event Log'!$U$4:$U$803,$B54&amp;"|"&amp;BF$5)=0,"",SUMIF('Competency Event Log'!$U$4:$U$803,$B54&amp;"|"&amp;BF$5,'Competency Event Log'!$D$4:$D$803)))</f>
        <v/>
      </c>
      <c r="BG54" s="8" t="str">
        <f>IF($B54="","",IF(COUNTIF('Competency Event Log'!$U$4:$U$803,$B54&amp;"|"&amp;BG$5)=0,"",SUMIF('Competency Event Log'!$U$4:$U$803,$B54&amp;"|"&amp;BG$5,'Competency Event Log'!$D$4:$D$803)))</f>
        <v/>
      </c>
      <c r="BH54" s="8" t="str">
        <f>IF($B54="","",IF(COUNTIF('Competency Event Log'!$U$4:$U$803,$B54&amp;"|"&amp;BH$5)=0,"",SUMIF('Competency Event Log'!$U$4:$U$803,$B54&amp;"|"&amp;BH$5,'Competency Event Log'!$D$4:$D$803)))</f>
        <v/>
      </c>
      <c r="BI54" s="8" t="str">
        <f>IF($B54="","",IF(COUNTIF('Competency Event Log'!$U$4:$U$803,$B54&amp;"|"&amp;BI$5)=0,"",SUMIF('Competency Event Log'!$U$4:$U$803,$B54&amp;"|"&amp;BI$5,'Competency Event Log'!$D$4:$D$803)))</f>
        <v/>
      </c>
      <c r="BJ54" s="8" t="str">
        <f>IF($B54="","",IF(COUNTIF('Competency Event Log'!$U$4:$U$803,$B54&amp;"|"&amp;BJ$5)=0,"",SUMIF('Competency Event Log'!$U$4:$U$803,$B54&amp;"|"&amp;BJ$5,'Competency Event Log'!$D$4:$D$803)))</f>
        <v/>
      </c>
      <c r="BK54" s="8" t="str">
        <f>IF($B54="","",IF(COUNTIF('Competency Event Log'!$U$4:$U$803,$B54&amp;"|"&amp;BK$5)=0,"",SUMIF('Competency Event Log'!$U$4:$U$803,$B54&amp;"|"&amp;BK$5,'Competency Event Log'!$D$4:$D$803)))</f>
        <v/>
      </c>
      <c r="BL54" s="8" t="str">
        <f>IF($B54="","",IF(COUNTIF('Competency Event Log'!$U$4:$U$803,$B54&amp;"|"&amp;BL$5)=0,"",SUMIF('Competency Event Log'!$U$4:$U$803,$B54&amp;"|"&amp;BL$5,'Competency Event Log'!$D$4:$D$803)))</f>
        <v/>
      </c>
      <c r="BM54" s="8" t="str">
        <f>IF($B54="","",IF(COUNTIF('Competency Event Log'!$U$4:$U$803,$B54&amp;"|"&amp;BM$5)=0,"",SUMIF('Competency Event Log'!$U$4:$U$803,$B54&amp;"|"&amp;BM$5,'Competency Event Log'!$D$4:$D$803)))</f>
        <v/>
      </c>
      <c r="BN54" s="8" t="str">
        <f>IF($B54="","",IF(COUNTIF('Competency Event Log'!$U$4:$U$803,$B54&amp;"|"&amp;BN$5)=0,"",SUMIF('Competency Event Log'!$U$4:$U$803,$B54&amp;"|"&amp;BN$5,'Competency Event Log'!$D$4:$D$803)))</f>
        <v/>
      </c>
      <c r="BO54" s="8" t="str">
        <f>IF($B54="","",IF(COUNTIF('Competency Event Log'!$U$4:$U$803,$B54&amp;"|"&amp;BO$5)=0,"",SUMIF('Competency Event Log'!$U$4:$U$803,$B54&amp;"|"&amp;BO$5,'Competency Event Log'!$D$4:$D$803)))</f>
        <v/>
      </c>
      <c r="BP54" s="8" t="str">
        <f>IF($B54="","",IF(COUNTIF('Competency Event Log'!$U$4:$U$803,$B54&amp;"|"&amp;BP$5)=0,"",SUMIF('Competency Event Log'!$U$4:$U$803,$B54&amp;"|"&amp;BP$5,'Competency Event Log'!$D$4:$D$803)))</f>
        <v/>
      </c>
      <c r="BQ54" s="8" t="str">
        <f>IF($B54="","",IF(COUNTIF('Competency Event Log'!$U$4:$U$803,$B54&amp;"|"&amp;BQ$5)=0,"",SUMIF('Competency Event Log'!$U$4:$U$803,$B54&amp;"|"&amp;BQ$5,'Competency Event Log'!$D$4:$D$803)))</f>
        <v/>
      </c>
      <c r="BR54" s="8" t="str">
        <f>IF($B54="","",IF(COUNTIF('Competency Event Log'!$U$4:$U$803,$B54&amp;"|"&amp;BR$5)=0,"",SUMIF('Competency Event Log'!$U$4:$U$803,$B54&amp;"|"&amp;BR$5,'Competency Event Log'!$D$4:$D$803)))</f>
        <v/>
      </c>
      <c r="BS54" s="8" t="str">
        <f>IF($B54="","",IF(COUNTIF('Competency Event Log'!$U$4:$U$803,$B54&amp;"|"&amp;BS$5)=0,"",SUMIF('Competency Event Log'!$U$4:$U$803,$B54&amp;"|"&amp;BS$5,'Competency Event Log'!$D$4:$D$803)))</f>
        <v/>
      </c>
      <c r="BT54" s="8" t="str">
        <f>IF($B54="","",IF(COUNTIF('Competency Event Log'!$U$4:$U$803,$B54&amp;"|"&amp;BT$5)=0,"",SUMIF('Competency Event Log'!$U$4:$U$803,$B54&amp;"|"&amp;BT$5,'Competency Event Log'!$D$4:$D$803)))</f>
        <v/>
      </c>
      <c r="BU54" s="8" t="str">
        <f>IF($B54="","",IF(COUNTIF('Competency Event Log'!$U$4:$U$803,$B54&amp;"|"&amp;BU$5)=0,"",SUMIF('Competency Event Log'!$U$4:$U$803,$B54&amp;"|"&amp;BU$5,'Competency Event Log'!$D$4:$D$803)))</f>
        <v/>
      </c>
      <c r="BV54" s="8" t="str">
        <f>IF($B54="","",IF(COUNTIF('Competency Event Log'!$U$4:$U$803,$B54&amp;"|"&amp;BV$5)=0,"",SUMIF('Competency Event Log'!$U$4:$U$803,$B54&amp;"|"&amp;BV$5,'Competency Event Log'!$D$4:$D$803)))</f>
        <v/>
      </c>
      <c r="BW54" s="8" t="str">
        <f>IF($B54="","",IF(COUNTIF('Competency Event Log'!$U$4:$U$803,$B54&amp;"|"&amp;BW$5)=0,"",SUMIF('Competency Event Log'!$U$4:$U$803,$B54&amp;"|"&amp;BW$5,'Competency Event Log'!$D$4:$D$803)))</f>
        <v/>
      </c>
      <c r="BX54" s="8" t="str">
        <f>IF($B54="","",IF(COUNTIF('Competency Event Log'!$U$4:$U$803,$B54&amp;"|"&amp;BX$5)=0,"",SUMIF('Competency Event Log'!$U$4:$U$803,$B54&amp;"|"&amp;BX$5,'Competency Event Log'!$D$4:$D$803)))</f>
        <v/>
      </c>
      <c r="BY54" s="8" t="str">
        <f>IF($B54="","",IF(COUNTIF('Competency Event Log'!$U$4:$U$803,$B54&amp;"|"&amp;BY$5)=0,"",SUMIF('Competency Event Log'!$U$4:$U$803,$B54&amp;"|"&amp;BY$5,'Competency Event Log'!$D$4:$D$803)))</f>
        <v/>
      </c>
      <c r="BZ54" s="8" t="str">
        <f>IF($B54="","",IF(COUNTIF('Competency Event Log'!$U$4:$U$803,$B54&amp;"|"&amp;BZ$5)=0,"",SUMIF('Competency Event Log'!$U$4:$U$803,$B54&amp;"|"&amp;BZ$5,'Competency Event Log'!$D$4:$D$803)))</f>
        <v/>
      </c>
      <c r="CA54" s="8" t="str">
        <f>IF($B54="","",IF(COUNTIF('Competency Event Log'!$U$4:$U$803,$B54&amp;"|"&amp;CA$5)=0,"",SUMIF('Competency Event Log'!$U$4:$U$803,$B54&amp;"|"&amp;CA$5,'Competency Event Log'!$D$4:$D$803)))</f>
        <v/>
      </c>
      <c r="CB54" s="8" t="str">
        <f>IF($B54="","",IF(COUNTIF('Competency Event Log'!$U$4:$U$803,$B54&amp;"|"&amp;CB$5)=0,"",SUMIF('Competency Event Log'!$U$4:$U$803,$B54&amp;"|"&amp;CB$5,'Competency Event Log'!$D$4:$D$803)))</f>
        <v/>
      </c>
      <c r="CC54" s="8" t="str">
        <f>IF($B54="","",IF(COUNTIF('Competency Event Log'!$U$4:$U$803,$B54&amp;"|"&amp;CC$5)=0,"",SUMIF('Competency Event Log'!$U$4:$U$803,$B54&amp;"|"&amp;CC$5,'Competency Event Log'!$D$4:$D$803)))</f>
        <v/>
      </c>
      <c r="CD54" s="8" t="str">
        <f>IF($B54="","",IF(COUNTIF('Competency Event Log'!$U$4:$U$803,$B54&amp;"|"&amp;CD$5)=0,"",SUMIF('Competency Event Log'!$U$4:$U$803,$B54&amp;"|"&amp;CD$5,'Competency Event Log'!$D$4:$D$803)))</f>
        <v/>
      </c>
      <c r="CE54" s="8" t="str">
        <f>IF($B54="","",IF(COUNTIF('Competency Event Log'!$U$4:$U$803,$B54&amp;"|"&amp;CE$5)=0,"",SUMIF('Competency Event Log'!$U$4:$U$803,$B54&amp;"|"&amp;CE$5,'Competency Event Log'!$D$4:$D$803)))</f>
        <v/>
      </c>
      <c r="CF54" s="8" t="str">
        <f>IF($B54="","",IF(COUNTIF('Competency Event Log'!$U$4:$U$803,$B54&amp;"|"&amp;CF$5)=0,"",SUMIF('Competency Event Log'!$U$4:$U$803,$B54&amp;"|"&amp;CF$5,'Competency Event Log'!$D$4:$D$803)))</f>
        <v/>
      </c>
      <c r="CG54" s="8" t="str">
        <f>IF($B54="","",IF(COUNTIF('Competency Event Log'!$U$4:$U$803,$B54&amp;"|"&amp;CG$5)=0,"",SUMIF('Competency Event Log'!$U$4:$U$803,$B54&amp;"|"&amp;CG$5,'Competency Event Log'!$D$4:$D$803)))</f>
        <v/>
      </c>
      <c r="CH54" s="8" t="str">
        <f>IF($B54="","",IF(COUNTIF('Competency Event Log'!$U$4:$U$803,$B54&amp;"|"&amp;CH$5)=0,"",SUMIF('Competency Event Log'!$U$4:$U$803,$B54&amp;"|"&amp;CH$5,'Competency Event Log'!$D$4:$D$803)))</f>
        <v/>
      </c>
      <c r="CI54" s="8" t="str">
        <f>IF($B54="","",IF(COUNTIF('Competency Event Log'!$U$4:$U$803,$B54&amp;"|"&amp;CI$5)=0,"",SUMIF('Competency Event Log'!$U$4:$U$803,$B54&amp;"|"&amp;CI$5,'Competency Event Log'!$D$4:$D$803)))</f>
        <v/>
      </c>
      <c r="CJ54" s="8" t="str">
        <f>IF($B54="","",IF(COUNTIF('Competency Event Log'!$U$4:$U$803,$B54&amp;"|"&amp;CJ$5)=0,"",SUMIF('Competency Event Log'!$U$4:$U$803,$B54&amp;"|"&amp;CJ$5,'Competency Event Log'!$D$4:$D$803)))</f>
        <v/>
      </c>
      <c r="CK54" s="8" t="str">
        <f>IF($B54="","",IF(COUNTIF('Competency Event Log'!$U$4:$U$803,$B54&amp;"|"&amp;CK$5)=0,"",SUMIF('Competency Event Log'!$U$4:$U$803,$B54&amp;"|"&amp;CK$5,'Competency Event Log'!$D$4:$D$803)))</f>
        <v/>
      </c>
      <c r="CL54" s="8" t="str">
        <f>IF($B54="","",IF(COUNTIF('Competency Event Log'!$U$4:$U$803,$B54&amp;"|"&amp;CL$5)=0,"",SUMIF('Competency Event Log'!$U$4:$U$803,$B54&amp;"|"&amp;CL$5,'Competency Event Log'!$D$4:$D$803)))</f>
        <v/>
      </c>
      <c r="CM54" s="8" t="str">
        <f>IF($B54="","",IF(COUNTIF('Competency Event Log'!$U$4:$U$803,$B54&amp;"|"&amp;CM$5)=0,"",SUMIF('Competency Event Log'!$U$4:$U$803,$B54&amp;"|"&amp;CM$5,'Competency Event Log'!$D$4:$D$803)))</f>
        <v/>
      </c>
      <c r="CN54" s="8" t="str">
        <f>IF($B54="","",IF(COUNTIF('Competency Event Log'!$U$4:$U$803,$B54&amp;"|"&amp;CN$5)=0,"",SUMIF('Competency Event Log'!$U$4:$U$803,$B54&amp;"|"&amp;CN$5,'Competency Event Log'!$D$4:$D$803)))</f>
        <v/>
      </c>
      <c r="CO54" s="8" t="str">
        <f>IF($B54="","",IF(COUNTIF('Competency Event Log'!$U$4:$U$803,$B54&amp;"|"&amp;CO$5)=0,"",SUMIF('Competency Event Log'!$U$4:$U$803,$B54&amp;"|"&amp;CO$5,'Competency Event Log'!$D$4:$D$803)))</f>
        <v/>
      </c>
      <c r="CP54" s="8" t="str">
        <f>IF($B54="","",IF(COUNTIF('Competency Event Log'!$U$4:$U$803,$B54&amp;"|"&amp;CP$5)=0,"",SUMIF('Competency Event Log'!$U$4:$U$803,$B54&amp;"|"&amp;CP$5,'Competency Event Log'!$D$4:$D$803)))</f>
        <v/>
      </c>
      <c r="CQ54" s="8" t="str">
        <f>IF($B54="","",IF(COUNTIF('Competency Event Log'!$U$4:$U$803,$B54&amp;"|"&amp;CQ$5)=0,"",SUMIF('Competency Event Log'!$U$4:$U$803,$B54&amp;"|"&amp;CQ$5,'Competency Event Log'!$D$4:$D$803)))</f>
        <v/>
      </c>
      <c r="CR54" s="8" t="str">
        <f>IF($B54="","",IF(COUNTIF('Competency Event Log'!$U$4:$U$803,$B54&amp;"|"&amp;CR$5)=0,"",SUMIF('Competency Event Log'!$U$4:$U$803,$B54&amp;"|"&amp;CR$5,'Competency Event Log'!$D$4:$D$803)))</f>
        <v/>
      </c>
      <c r="CS54" s="8" t="str">
        <f>IF($B54="","",IF(COUNTIF('Competency Event Log'!$U$4:$U$803,$B54&amp;"|"&amp;CS$5)=0,"",SUMIF('Competency Event Log'!$U$4:$U$803,$B54&amp;"|"&amp;CS$5,'Competency Event Log'!$D$4:$D$803)))</f>
        <v/>
      </c>
      <c r="CT54" s="8" t="str">
        <f>IF($B54="","",IF(COUNTIF('Competency Event Log'!$U$4:$U$803,$B54&amp;"|"&amp;CT$5)=0,"",SUMIF('Competency Event Log'!$U$4:$U$803,$B54&amp;"|"&amp;CT$5,'Competency Event Log'!$D$4:$D$803)))</f>
        <v/>
      </c>
      <c r="CU54" s="8" t="str">
        <f>IF($B54="","",IF(COUNTIF('Competency Event Log'!$U$4:$U$803,$B54&amp;"|"&amp;CU$5)=0,"",SUMIF('Competency Event Log'!$U$4:$U$803,$B54&amp;"|"&amp;CU$5,'Competency Event Log'!$D$4:$D$803)))</f>
        <v/>
      </c>
      <c r="CV54" s="8" t="str">
        <f>IF($B54="","",IF(COUNTIF('Competency Event Log'!$U$4:$U$803,$B54&amp;"|"&amp;CV$5)=0,"",SUMIF('Competency Event Log'!$U$4:$U$803,$B54&amp;"|"&amp;CV$5,'Competency Event Log'!$D$4:$D$803)))</f>
        <v/>
      </c>
      <c r="CW54" s="8" t="str">
        <f>IF($B54="","",IF(COUNTIF('Competency Event Log'!$U$4:$U$803,$B54&amp;"|"&amp;CW$5)=0,"",SUMIF('Competency Event Log'!$U$4:$U$803,$B54&amp;"|"&amp;CW$5,'Competency Event Log'!$D$4:$D$803)))</f>
        <v/>
      </c>
      <c r="CX54" s="8" t="str">
        <f>IF($B54="","",IF(COUNTIF('Competency Event Log'!$U$4:$U$803,$B54&amp;"|"&amp;CX$5)=0,"",SUMIF('Competency Event Log'!$U$4:$U$803,$B54&amp;"|"&amp;CX$5,'Competency Event Log'!$D$4:$D$803)))</f>
        <v/>
      </c>
      <c r="CY54" s="8" t="str">
        <f>IF($B54="","",IF(COUNTIF('Competency Event Log'!$U$4:$U$803,$B54&amp;"|"&amp;CY$5)=0,"",SUMIF('Competency Event Log'!$U$4:$U$803,$B54&amp;"|"&amp;CY$5,'Competency Event Log'!$D$4:$D$803)))</f>
        <v/>
      </c>
      <c r="CZ54" s="8" t="str">
        <f>IF($B54="","",IF(COUNTIF('Competency Event Log'!$U$4:$U$803,$B54&amp;"|"&amp;CZ$5)=0,"",SUMIF('Competency Event Log'!$U$4:$U$803,$B54&amp;"|"&amp;CZ$5,'Competency Event Log'!$D$4:$D$803)))</f>
        <v/>
      </c>
      <c r="DA54" s="8" t="str">
        <f>IF($B54="","",IF(COUNTIF('Competency Event Log'!$U$4:$U$803,$B54&amp;"|"&amp;DA$5)=0,"",SUMIF('Competency Event Log'!$U$4:$U$803,$B54&amp;"|"&amp;DA$5,'Competency Event Log'!$D$4:$D$803)))</f>
        <v/>
      </c>
      <c r="DB54" s="8" t="str">
        <f>IF($B54="","",IF(COUNTIF('Competency Event Log'!$U$4:$U$803,$B54&amp;"|"&amp;DB$5)=0,"",SUMIF('Competency Event Log'!$U$4:$U$803,$B54&amp;"|"&amp;DB$5,'Competency Event Log'!$D$4:$D$803)))</f>
        <v/>
      </c>
      <c r="DC54" s="8" t="str">
        <f>IF($B54="","",IF(COUNTIF('Competency Event Log'!$U$4:$U$803,$B54&amp;"|"&amp;DC$5)=0,"",SUMIF('Competency Event Log'!$U$4:$U$803,$B54&amp;"|"&amp;DC$5,'Competency Event Log'!$D$4:$D$803)))</f>
        <v/>
      </c>
      <c r="DD54" s="8" t="str">
        <f>IF($B54="","",IF(COUNTIF('Competency Event Log'!$U$4:$U$803,$B54&amp;"|"&amp;DD$5)=0,"",SUMIF('Competency Event Log'!$U$4:$U$803,$B54&amp;"|"&amp;DD$5,'Competency Event Log'!$D$4:$D$803)))</f>
        <v/>
      </c>
      <c r="DE54" s="8" t="str">
        <f>IF($B54="","",IF(COUNTIF('Competency Event Log'!$U$4:$U$803,$B54&amp;"|"&amp;DE$5)=0,"",SUMIF('Competency Event Log'!$U$4:$U$803,$B54&amp;"|"&amp;DE$5,'Competency Event Log'!$D$4:$D$803)))</f>
        <v/>
      </c>
      <c r="DF54" s="8" t="str">
        <f t="shared" si="4"/>
        <v/>
      </c>
      <c r="DG54" s="8" t="str">
        <f t="shared" si="5"/>
        <v/>
      </c>
      <c r="DH54" s="8" t="str">
        <f t="shared" si="6"/>
        <v/>
      </c>
      <c r="DI54" s="11" t="str">
        <f t="shared" si="7"/>
        <v/>
      </c>
    </row>
    <row r="55" spans="1:113">
      <c r="A55" s="7"/>
      <c r="B55" s="7"/>
      <c r="C55" s="8"/>
      <c r="D55" s="9"/>
      <c r="E55" s="10"/>
      <c r="F55" s="8"/>
      <c r="G55" s="8" t="str">
        <f>IF($B55="","",IF(COUNTIF('Competency Event Log'!$U$4:$U$803,$B55&amp;"|"&amp;G$5)=0,"",SUMIF('Competency Event Log'!$U$4:$U$803,$B55&amp;"|"&amp;G$5,'Competency Event Log'!$D$4:$D$803)))</f>
        <v/>
      </c>
      <c r="H55" s="8" t="str">
        <f>IF($B55="","",IF(COUNTIF('Competency Event Log'!$U$4:$U$803,$B55&amp;"|"&amp;H$5)=0,"",SUMIF('Competency Event Log'!$U$4:$U$803,$B55&amp;"|"&amp;H$5,'Competency Event Log'!$D$4:$D$803)))</f>
        <v/>
      </c>
      <c r="I55" s="8" t="str">
        <f>IF($B55="","",IF(COUNTIF('Competency Event Log'!$U$4:$U$803,$B55&amp;"|"&amp;I$5)=0,"",SUMIF('Competency Event Log'!$U$4:$U$803,$B55&amp;"|"&amp;I$5,'Competency Event Log'!$D$4:$D$803)))</f>
        <v/>
      </c>
      <c r="J55" s="8" t="str">
        <f>IF($B55="","",IF(COUNTIF('Competency Event Log'!$U$4:$U$803,$B55&amp;"|"&amp;J$5)=0,"",SUMIF('Competency Event Log'!$U$4:$U$803,$B55&amp;"|"&amp;J$5,'Competency Event Log'!$D$4:$D$803)))</f>
        <v/>
      </c>
      <c r="K55" s="8" t="str">
        <f>IF($B55="","",IF(COUNTIF('Competency Event Log'!$U$4:$U$803,$B55&amp;"|"&amp;K$5)=0,"",SUMIF('Competency Event Log'!$U$4:$U$803,$B55&amp;"|"&amp;K$5,'Competency Event Log'!$D$4:$D$803)))</f>
        <v/>
      </c>
      <c r="L55" s="8" t="str">
        <f>IF($B55="","",IF(COUNTIF('Competency Event Log'!$U$4:$U$803,$B55&amp;"|"&amp;L$5)=0,"",SUMIF('Competency Event Log'!$U$4:$U$803,$B55&amp;"|"&amp;L$5,'Competency Event Log'!$D$4:$D$803)))</f>
        <v/>
      </c>
      <c r="M55" s="8" t="str">
        <f>IF($B55="","",IF(COUNTIF('Competency Event Log'!$U$4:$U$803,$B55&amp;"|"&amp;M$5)=0,"",SUMIF('Competency Event Log'!$U$4:$U$803,$B55&amp;"|"&amp;M$5,'Competency Event Log'!$D$4:$D$803)))</f>
        <v/>
      </c>
      <c r="N55" s="8" t="str">
        <f>IF($B55="","",IF(COUNTIF('Competency Event Log'!$U$4:$U$803,$B55&amp;"|"&amp;N$5)=0,"",SUMIF('Competency Event Log'!$U$4:$U$803,$B55&amp;"|"&amp;N$5,'Competency Event Log'!$D$4:$D$803)))</f>
        <v/>
      </c>
      <c r="O55" s="8" t="str">
        <f>IF($B55="","",IF(COUNTIF('Competency Event Log'!$U$4:$U$803,$B55&amp;"|"&amp;O$5)=0,"",SUMIF('Competency Event Log'!$U$4:$U$803,$B55&amp;"|"&amp;O$5,'Competency Event Log'!$D$4:$D$803)))</f>
        <v/>
      </c>
      <c r="P55" s="8" t="str">
        <f>IF($B55="","",IF(COUNTIF('Competency Event Log'!$U$4:$U$803,$B55&amp;"|"&amp;P$5)=0,"",SUMIF('Competency Event Log'!$U$4:$U$803,$B55&amp;"|"&amp;P$5,'Competency Event Log'!$D$4:$D$803)))</f>
        <v/>
      </c>
      <c r="Q55" s="8" t="str">
        <f>IF($B55="","",IF(COUNTIF('Competency Event Log'!$U$4:$U$803,$B55&amp;"|"&amp;Q$5)=0,"",SUMIF('Competency Event Log'!$U$4:$U$803,$B55&amp;"|"&amp;Q$5,'Competency Event Log'!$D$4:$D$803)))</f>
        <v/>
      </c>
      <c r="R55" s="8" t="str">
        <f>IF($B55="","",IF(COUNTIF('Competency Event Log'!$U$4:$U$803,$B55&amp;"|"&amp;R$5)=0,"",SUMIF('Competency Event Log'!$U$4:$U$803,$B55&amp;"|"&amp;R$5,'Competency Event Log'!$D$4:$D$803)))</f>
        <v/>
      </c>
      <c r="S55" s="8" t="str">
        <f>IF($B55="","",IF(COUNTIF('Competency Event Log'!$U$4:$U$803,$B55&amp;"|"&amp;S$5)=0,"",SUMIF('Competency Event Log'!$U$4:$U$803,$B55&amp;"|"&amp;S$5,'Competency Event Log'!$D$4:$D$803)))</f>
        <v/>
      </c>
      <c r="T55" s="8" t="str">
        <f>IF($B55="","",IF(COUNTIF('Competency Event Log'!$U$4:$U$803,$B55&amp;"|"&amp;T$5)=0,"",SUMIF('Competency Event Log'!$U$4:$U$803,$B55&amp;"|"&amp;T$5,'Competency Event Log'!$D$4:$D$803)))</f>
        <v/>
      </c>
      <c r="U55" s="8" t="str">
        <f>IF($B55="","",IF(COUNTIF('Competency Event Log'!$U$4:$U$803,$B55&amp;"|"&amp;U$5)=0,"",SUMIF('Competency Event Log'!$U$4:$U$803,$B55&amp;"|"&amp;U$5,'Competency Event Log'!$D$4:$D$803)))</f>
        <v/>
      </c>
      <c r="V55" s="8" t="str">
        <f>IF($B55="","",IF(COUNTIF('Competency Event Log'!$U$4:$U$803,$B55&amp;"|"&amp;V$5)=0,"",SUMIF('Competency Event Log'!$U$4:$U$803,$B55&amp;"|"&amp;V$5,'Competency Event Log'!$D$4:$D$803)))</f>
        <v/>
      </c>
      <c r="W55" s="8" t="str">
        <f>IF($B55="","",IF(COUNTIF('Competency Event Log'!$U$4:$U$803,$B55&amp;"|"&amp;W$5)=0,"",SUMIF('Competency Event Log'!$U$4:$U$803,$B55&amp;"|"&amp;W$5,'Competency Event Log'!$D$4:$D$803)))</f>
        <v/>
      </c>
      <c r="X55" s="8" t="str">
        <f>IF($B55="","",IF(COUNTIF('Competency Event Log'!$U$4:$U$803,$B55&amp;"|"&amp;X$5)=0,"",SUMIF('Competency Event Log'!$U$4:$U$803,$B55&amp;"|"&amp;X$5,'Competency Event Log'!$D$4:$D$803)))</f>
        <v/>
      </c>
      <c r="Y55" s="8" t="str">
        <f>IF($B55="","",IF(COUNTIF('Competency Event Log'!$U$4:$U$803,$B55&amp;"|"&amp;Y$5)=0,"",SUMIF('Competency Event Log'!$U$4:$U$803,$B55&amp;"|"&amp;Y$5,'Competency Event Log'!$D$4:$D$803)))</f>
        <v/>
      </c>
      <c r="Z55" s="8" t="str">
        <f>IF($B55="","",IF(COUNTIF('Competency Event Log'!$U$4:$U$803,$B55&amp;"|"&amp;Z$5)=0,"",SUMIF('Competency Event Log'!$U$4:$U$803,$B55&amp;"|"&amp;Z$5,'Competency Event Log'!$D$4:$D$803)))</f>
        <v/>
      </c>
      <c r="AA55" s="8" t="str">
        <f>IF($B55="","",IF(COUNTIF('Competency Event Log'!$U$4:$U$803,$B55&amp;"|"&amp;AA$5)=0,"",SUMIF('Competency Event Log'!$U$4:$U$803,$B55&amp;"|"&amp;AA$5,'Competency Event Log'!$D$4:$D$803)))</f>
        <v/>
      </c>
      <c r="AB55" s="8" t="str">
        <f>IF($B55="","",IF(COUNTIF('Competency Event Log'!$U$4:$U$803,$B55&amp;"|"&amp;AB$5)=0,"",SUMIF('Competency Event Log'!$U$4:$U$803,$B55&amp;"|"&amp;AB$5,'Competency Event Log'!$D$4:$D$803)))</f>
        <v/>
      </c>
      <c r="AC55" s="8" t="str">
        <f>IF($B55="","",IF(COUNTIF('Competency Event Log'!$U$4:$U$803,$B55&amp;"|"&amp;AC$5)=0,"",SUMIF('Competency Event Log'!$U$4:$U$803,$B55&amp;"|"&amp;AC$5,'Competency Event Log'!$D$4:$D$803)))</f>
        <v/>
      </c>
      <c r="AD55" s="8" t="str">
        <f>IF($B55="","",IF(COUNTIF('Competency Event Log'!$U$4:$U$803,$B55&amp;"|"&amp;AD$5)=0,"",SUMIF('Competency Event Log'!$U$4:$U$803,$B55&amp;"|"&amp;AD$5,'Competency Event Log'!$D$4:$D$803)))</f>
        <v/>
      </c>
      <c r="AE55" s="8" t="str">
        <f>IF($B55="","",IF(COUNTIF('Competency Event Log'!$U$4:$U$803,$B55&amp;"|"&amp;AE$5)=0,"",SUMIF('Competency Event Log'!$U$4:$U$803,$B55&amp;"|"&amp;AE$5,'Competency Event Log'!$D$4:$D$803)))</f>
        <v/>
      </c>
      <c r="AF55" s="8" t="str">
        <f>IF($B55="","",IF(COUNTIF('Competency Event Log'!$U$4:$U$803,$B55&amp;"|"&amp;AF$5)=0,"",SUMIF('Competency Event Log'!$U$4:$U$803,$B55&amp;"|"&amp;AF$5,'Competency Event Log'!$D$4:$D$803)))</f>
        <v/>
      </c>
      <c r="AG55" s="8" t="str">
        <f>IF($B55="","",IF(COUNTIF('Competency Event Log'!$U$4:$U$803,$B55&amp;"|"&amp;AG$5)=0,"",SUMIF('Competency Event Log'!$U$4:$U$803,$B55&amp;"|"&amp;AG$5,'Competency Event Log'!$D$4:$D$803)))</f>
        <v/>
      </c>
      <c r="AH55" s="8" t="str">
        <f>IF($B55="","",IF(COUNTIF('Competency Event Log'!$U$4:$U$803,$B55&amp;"|"&amp;AH$5)=0,"",SUMIF('Competency Event Log'!$U$4:$U$803,$B55&amp;"|"&amp;AH$5,'Competency Event Log'!$D$4:$D$803)))</f>
        <v/>
      </c>
      <c r="AI55" s="8" t="str">
        <f>IF($B55="","",IF(COUNTIF('Competency Event Log'!$U$4:$U$803,$B55&amp;"|"&amp;AI$5)=0,"",SUMIF('Competency Event Log'!$U$4:$U$803,$B55&amp;"|"&amp;AI$5,'Competency Event Log'!$D$4:$D$803)))</f>
        <v/>
      </c>
      <c r="AJ55" s="8" t="str">
        <f>IF($B55="","",IF(COUNTIF('Competency Event Log'!$U$4:$U$803,$B55&amp;"|"&amp;AJ$5)=0,"",SUMIF('Competency Event Log'!$U$4:$U$803,$B55&amp;"|"&amp;AJ$5,'Competency Event Log'!$D$4:$D$803)))</f>
        <v/>
      </c>
      <c r="AK55" s="8" t="str">
        <f>IF($B55="","",IF(COUNTIF('Competency Event Log'!$U$4:$U$803,$B55&amp;"|"&amp;AK$5)=0,"",SUMIF('Competency Event Log'!$U$4:$U$803,$B55&amp;"|"&amp;AK$5,'Competency Event Log'!$D$4:$D$803)))</f>
        <v/>
      </c>
      <c r="AL55" s="8" t="str">
        <f>IF($B55="","",IF(COUNTIF('Competency Event Log'!$U$4:$U$803,$B55&amp;"|"&amp;AL$5)=0,"",SUMIF('Competency Event Log'!$U$4:$U$803,$B55&amp;"|"&amp;AL$5,'Competency Event Log'!$D$4:$D$803)))</f>
        <v/>
      </c>
      <c r="AM55" s="8" t="str">
        <f>IF($B55="","",IF(COUNTIF('Competency Event Log'!$U$4:$U$803,$B55&amp;"|"&amp;AM$5)=0,"",SUMIF('Competency Event Log'!$U$4:$U$803,$B55&amp;"|"&amp;AM$5,'Competency Event Log'!$D$4:$D$803)))</f>
        <v/>
      </c>
      <c r="AN55" s="8" t="str">
        <f>IF($B55="","",IF(COUNTIF('Competency Event Log'!$U$4:$U$803,$B55&amp;"|"&amp;AN$5)=0,"",SUMIF('Competency Event Log'!$U$4:$U$803,$B55&amp;"|"&amp;AN$5,'Competency Event Log'!$D$4:$D$803)))</f>
        <v/>
      </c>
      <c r="AO55" s="8" t="str">
        <f>IF($B55="","",IF(COUNTIF('Competency Event Log'!$U$4:$U$803,$B55&amp;"|"&amp;AO$5)=0,"",SUMIF('Competency Event Log'!$U$4:$U$803,$B55&amp;"|"&amp;AO$5,'Competency Event Log'!$D$4:$D$803)))</f>
        <v/>
      </c>
      <c r="AP55" s="8" t="str">
        <f>IF($B55="","",IF(COUNTIF('Competency Event Log'!$U$4:$U$803,$B55&amp;"|"&amp;AP$5)=0,"",SUMIF('Competency Event Log'!$U$4:$U$803,$B55&amp;"|"&amp;AP$5,'Competency Event Log'!$D$4:$D$803)))</f>
        <v/>
      </c>
      <c r="AQ55" s="8" t="str">
        <f>IF($B55="","",IF(COUNTIF('Competency Event Log'!$U$4:$U$803,$B55&amp;"|"&amp;AQ$5)=0,"",SUMIF('Competency Event Log'!$U$4:$U$803,$B55&amp;"|"&amp;AQ$5,'Competency Event Log'!$D$4:$D$803)))</f>
        <v/>
      </c>
      <c r="AR55" s="8" t="str">
        <f>IF($B55="","",IF(COUNTIF('Competency Event Log'!$U$4:$U$803,$B55&amp;"|"&amp;AR$5)=0,"",SUMIF('Competency Event Log'!$U$4:$U$803,$B55&amp;"|"&amp;AR$5,'Competency Event Log'!$D$4:$D$803)))</f>
        <v/>
      </c>
      <c r="AS55" s="8" t="str">
        <f>IF($B55="","",IF(COUNTIF('Competency Event Log'!$U$4:$U$803,$B55&amp;"|"&amp;AS$5)=0,"",SUMIF('Competency Event Log'!$U$4:$U$803,$B55&amp;"|"&amp;AS$5,'Competency Event Log'!$D$4:$D$803)))</f>
        <v/>
      </c>
      <c r="AT55" s="8" t="str">
        <f>IF($B55="","",IF(COUNTIF('Competency Event Log'!$U$4:$U$803,$B55&amp;"|"&amp;AT$5)=0,"",SUMIF('Competency Event Log'!$U$4:$U$803,$B55&amp;"|"&amp;AT$5,'Competency Event Log'!$D$4:$D$803)))</f>
        <v/>
      </c>
      <c r="AU55" s="8" t="str">
        <f>IF($B55="","",IF(COUNTIF('Competency Event Log'!$U$4:$U$803,$B55&amp;"|"&amp;AU$5)=0,"",SUMIF('Competency Event Log'!$U$4:$U$803,$B55&amp;"|"&amp;AU$5,'Competency Event Log'!$D$4:$D$803)))</f>
        <v/>
      </c>
      <c r="AV55" s="8" t="str">
        <f>IF($B55="","",IF(COUNTIF('Competency Event Log'!$U$4:$U$803,$B55&amp;"|"&amp;AV$5)=0,"",SUMIF('Competency Event Log'!$U$4:$U$803,$B55&amp;"|"&amp;AV$5,'Competency Event Log'!$D$4:$D$803)))</f>
        <v/>
      </c>
      <c r="AW55" s="8" t="str">
        <f>IF($B55="","",IF(COUNTIF('Competency Event Log'!$U$4:$U$803,$B55&amp;"|"&amp;AW$5)=0,"",SUMIF('Competency Event Log'!$U$4:$U$803,$B55&amp;"|"&amp;AW$5,'Competency Event Log'!$D$4:$D$803)))</f>
        <v/>
      </c>
      <c r="AX55" s="8" t="str">
        <f>IF($B55="","",IF(COUNTIF('Competency Event Log'!$U$4:$U$803,$B55&amp;"|"&amp;AX$5)=0,"",SUMIF('Competency Event Log'!$U$4:$U$803,$B55&amp;"|"&amp;AX$5,'Competency Event Log'!$D$4:$D$803)))</f>
        <v/>
      </c>
      <c r="AY55" s="8" t="str">
        <f>IF($B55="","",IF(COUNTIF('Competency Event Log'!$U$4:$U$803,$B55&amp;"|"&amp;AY$5)=0,"",SUMIF('Competency Event Log'!$U$4:$U$803,$B55&amp;"|"&amp;AY$5,'Competency Event Log'!$D$4:$D$803)))</f>
        <v/>
      </c>
      <c r="AZ55" s="8" t="str">
        <f>IF($B55="","",IF(COUNTIF('Competency Event Log'!$U$4:$U$803,$B55&amp;"|"&amp;AZ$5)=0,"",SUMIF('Competency Event Log'!$U$4:$U$803,$B55&amp;"|"&amp;AZ$5,'Competency Event Log'!$D$4:$D$803)))</f>
        <v/>
      </c>
      <c r="BA55" s="8" t="str">
        <f>IF($B55="","",IF(COUNTIF('Competency Event Log'!$U$4:$U$803,$B55&amp;"|"&amp;BA$5)=0,"",SUMIF('Competency Event Log'!$U$4:$U$803,$B55&amp;"|"&amp;BA$5,'Competency Event Log'!$D$4:$D$803)))</f>
        <v/>
      </c>
      <c r="BB55" s="8" t="str">
        <f>IF($B55="","",IF(COUNTIF('Competency Event Log'!$U$4:$U$803,$B55&amp;"|"&amp;BB$5)=0,"",SUMIF('Competency Event Log'!$U$4:$U$803,$B55&amp;"|"&amp;BB$5,'Competency Event Log'!$D$4:$D$803)))</f>
        <v/>
      </c>
      <c r="BC55" s="8" t="str">
        <f>IF($B55="","",IF(COUNTIF('Competency Event Log'!$U$4:$U$803,$B55&amp;"|"&amp;BC$5)=0,"",SUMIF('Competency Event Log'!$U$4:$U$803,$B55&amp;"|"&amp;BC$5,'Competency Event Log'!$D$4:$D$803)))</f>
        <v/>
      </c>
      <c r="BD55" s="8" t="str">
        <f>IF($B55="","",IF(COUNTIF('Competency Event Log'!$U$4:$U$803,$B55&amp;"|"&amp;BD$5)=0,"",SUMIF('Competency Event Log'!$U$4:$U$803,$B55&amp;"|"&amp;BD$5,'Competency Event Log'!$D$4:$D$803)))</f>
        <v/>
      </c>
      <c r="BE55" s="8" t="str">
        <f>IF($B55="","",IF(COUNTIF('Competency Event Log'!$U$4:$U$803,$B55&amp;"|"&amp;BE$5)=0,"",SUMIF('Competency Event Log'!$U$4:$U$803,$B55&amp;"|"&amp;BE$5,'Competency Event Log'!$D$4:$D$803)))</f>
        <v/>
      </c>
      <c r="BF55" s="8" t="str">
        <f>IF($B55="","",IF(COUNTIF('Competency Event Log'!$U$4:$U$803,$B55&amp;"|"&amp;BF$5)=0,"",SUMIF('Competency Event Log'!$U$4:$U$803,$B55&amp;"|"&amp;BF$5,'Competency Event Log'!$D$4:$D$803)))</f>
        <v/>
      </c>
      <c r="BG55" s="8" t="str">
        <f>IF($B55="","",IF(COUNTIF('Competency Event Log'!$U$4:$U$803,$B55&amp;"|"&amp;BG$5)=0,"",SUMIF('Competency Event Log'!$U$4:$U$803,$B55&amp;"|"&amp;BG$5,'Competency Event Log'!$D$4:$D$803)))</f>
        <v/>
      </c>
      <c r="BH55" s="8" t="str">
        <f>IF($B55="","",IF(COUNTIF('Competency Event Log'!$U$4:$U$803,$B55&amp;"|"&amp;BH$5)=0,"",SUMIF('Competency Event Log'!$U$4:$U$803,$B55&amp;"|"&amp;BH$5,'Competency Event Log'!$D$4:$D$803)))</f>
        <v/>
      </c>
      <c r="BI55" s="8" t="str">
        <f>IF($B55="","",IF(COUNTIF('Competency Event Log'!$U$4:$U$803,$B55&amp;"|"&amp;BI$5)=0,"",SUMIF('Competency Event Log'!$U$4:$U$803,$B55&amp;"|"&amp;BI$5,'Competency Event Log'!$D$4:$D$803)))</f>
        <v/>
      </c>
      <c r="BJ55" s="8" t="str">
        <f>IF($B55="","",IF(COUNTIF('Competency Event Log'!$U$4:$U$803,$B55&amp;"|"&amp;BJ$5)=0,"",SUMIF('Competency Event Log'!$U$4:$U$803,$B55&amp;"|"&amp;BJ$5,'Competency Event Log'!$D$4:$D$803)))</f>
        <v/>
      </c>
      <c r="BK55" s="8" t="str">
        <f>IF($B55="","",IF(COUNTIF('Competency Event Log'!$U$4:$U$803,$B55&amp;"|"&amp;BK$5)=0,"",SUMIF('Competency Event Log'!$U$4:$U$803,$B55&amp;"|"&amp;BK$5,'Competency Event Log'!$D$4:$D$803)))</f>
        <v/>
      </c>
      <c r="BL55" s="8" t="str">
        <f>IF($B55="","",IF(COUNTIF('Competency Event Log'!$U$4:$U$803,$B55&amp;"|"&amp;BL$5)=0,"",SUMIF('Competency Event Log'!$U$4:$U$803,$B55&amp;"|"&amp;BL$5,'Competency Event Log'!$D$4:$D$803)))</f>
        <v/>
      </c>
      <c r="BM55" s="8" t="str">
        <f>IF($B55="","",IF(COUNTIF('Competency Event Log'!$U$4:$U$803,$B55&amp;"|"&amp;BM$5)=0,"",SUMIF('Competency Event Log'!$U$4:$U$803,$B55&amp;"|"&amp;BM$5,'Competency Event Log'!$D$4:$D$803)))</f>
        <v/>
      </c>
      <c r="BN55" s="8" t="str">
        <f>IF($B55="","",IF(COUNTIF('Competency Event Log'!$U$4:$U$803,$B55&amp;"|"&amp;BN$5)=0,"",SUMIF('Competency Event Log'!$U$4:$U$803,$B55&amp;"|"&amp;BN$5,'Competency Event Log'!$D$4:$D$803)))</f>
        <v/>
      </c>
      <c r="BO55" s="8" t="str">
        <f>IF($B55="","",IF(COUNTIF('Competency Event Log'!$U$4:$U$803,$B55&amp;"|"&amp;BO$5)=0,"",SUMIF('Competency Event Log'!$U$4:$U$803,$B55&amp;"|"&amp;BO$5,'Competency Event Log'!$D$4:$D$803)))</f>
        <v/>
      </c>
      <c r="BP55" s="8" t="str">
        <f>IF($B55="","",IF(COUNTIF('Competency Event Log'!$U$4:$U$803,$B55&amp;"|"&amp;BP$5)=0,"",SUMIF('Competency Event Log'!$U$4:$U$803,$B55&amp;"|"&amp;BP$5,'Competency Event Log'!$D$4:$D$803)))</f>
        <v/>
      </c>
      <c r="BQ55" s="8" t="str">
        <f>IF($B55="","",IF(COUNTIF('Competency Event Log'!$U$4:$U$803,$B55&amp;"|"&amp;BQ$5)=0,"",SUMIF('Competency Event Log'!$U$4:$U$803,$B55&amp;"|"&amp;BQ$5,'Competency Event Log'!$D$4:$D$803)))</f>
        <v/>
      </c>
      <c r="BR55" s="8" t="str">
        <f>IF($B55="","",IF(COUNTIF('Competency Event Log'!$U$4:$U$803,$B55&amp;"|"&amp;BR$5)=0,"",SUMIF('Competency Event Log'!$U$4:$U$803,$B55&amp;"|"&amp;BR$5,'Competency Event Log'!$D$4:$D$803)))</f>
        <v/>
      </c>
      <c r="BS55" s="8" t="str">
        <f>IF($B55="","",IF(COUNTIF('Competency Event Log'!$U$4:$U$803,$B55&amp;"|"&amp;BS$5)=0,"",SUMIF('Competency Event Log'!$U$4:$U$803,$B55&amp;"|"&amp;BS$5,'Competency Event Log'!$D$4:$D$803)))</f>
        <v/>
      </c>
      <c r="BT55" s="8" t="str">
        <f>IF($B55="","",IF(COUNTIF('Competency Event Log'!$U$4:$U$803,$B55&amp;"|"&amp;BT$5)=0,"",SUMIF('Competency Event Log'!$U$4:$U$803,$B55&amp;"|"&amp;BT$5,'Competency Event Log'!$D$4:$D$803)))</f>
        <v/>
      </c>
      <c r="BU55" s="8" t="str">
        <f>IF($B55="","",IF(COUNTIF('Competency Event Log'!$U$4:$U$803,$B55&amp;"|"&amp;BU$5)=0,"",SUMIF('Competency Event Log'!$U$4:$U$803,$B55&amp;"|"&amp;BU$5,'Competency Event Log'!$D$4:$D$803)))</f>
        <v/>
      </c>
      <c r="BV55" s="8" t="str">
        <f>IF($B55="","",IF(COUNTIF('Competency Event Log'!$U$4:$U$803,$B55&amp;"|"&amp;BV$5)=0,"",SUMIF('Competency Event Log'!$U$4:$U$803,$B55&amp;"|"&amp;BV$5,'Competency Event Log'!$D$4:$D$803)))</f>
        <v/>
      </c>
      <c r="BW55" s="8" t="str">
        <f>IF($B55="","",IF(COUNTIF('Competency Event Log'!$U$4:$U$803,$B55&amp;"|"&amp;BW$5)=0,"",SUMIF('Competency Event Log'!$U$4:$U$803,$B55&amp;"|"&amp;BW$5,'Competency Event Log'!$D$4:$D$803)))</f>
        <v/>
      </c>
      <c r="BX55" s="8" t="str">
        <f>IF($B55="","",IF(COUNTIF('Competency Event Log'!$U$4:$U$803,$B55&amp;"|"&amp;BX$5)=0,"",SUMIF('Competency Event Log'!$U$4:$U$803,$B55&amp;"|"&amp;BX$5,'Competency Event Log'!$D$4:$D$803)))</f>
        <v/>
      </c>
      <c r="BY55" s="8" t="str">
        <f>IF($B55="","",IF(COUNTIF('Competency Event Log'!$U$4:$U$803,$B55&amp;"|"&amp;BY$5)=0,"",SUMIF('Competency Event Log'!$U$4:$U$803,$B55&amp;"|"&amp;BY$5,'Competency Event Log'!$D$4:$D$803)))</f>
        <v/>
      </c>
      <c r="BZ55" s="8" t="str">
        <f>IF($B55="","",IF(COUNTIF('Competency Event Log'!$U$4:$U$803,$B55&amp;"|"&amp;BZ$5)=0,"",SUMIF('Competency Event Log'!$U$4:$U$803,$B55&amp;"|"&amp;BZ$5,'Competency Event Log'!$D$4:$D$803)))</f>
        <v/>
      </c>
      <c r="CA55" s="8" t="str">
        <f>IF($B55="","",IF(COUNTIF('Competency Event Log'!$U$4:$U$803,$B55&amp;"|"&amp;CA$5)=0,"",SUMIF('Competency Event Log'!$U$4:$U$803,$B55&amp;"|"&amp;CA$5,'Competency Event Log'!$D$4:$D$803)))</f>
        <v/>
      </c>
      <c r="CB55" s="8" t="str">
        <f>IF($B55="","",IF(COUNTIF('Competency Event Log'!$U$4:$U$803,$B55&amp;"|"&amp;CB$5)=0,"",SUMIF('Competency Event Log'!$U$4:$U$803,$B55&amp;"|"&amp;CB$5,'Competency Event Log'!$D$4:$D$803)))</f>
        <v/>
      </c>
      <c r="CC55" s="8" t="str">
        <f>IF($B55="","",IF(COUNTIF('Competency Event Log'!$U$4:$U$803,$B55&amp;"|"&amp;CC$5)=0,"",SUMIF('Competency Event Log'!$U$4:$U$803,$B55&amp;"|"&amp;CC$5,'Competency Event Log'!$D$4:$D$803)))</f>
        <v/>
      </c>
      <c r="CD55" s="8" t="str">
        <f>IF($B55="","",IF(COUNTIF('Competency Event Log'!$U$4:$U$803,$B55&amp;"|"&amp;CD$5)=0,"",SUMIF('Competency Event Log'!$U$4:$U$803,$B55&amp;"|"&amp;CD$5,'Competency Event Log'!$D$4:$D$803)))</f>
        <v/>
      </c>
      <c r="CE55" s="8" t="str">
        <f>IF($B55="","",IF(COUNTIF('Competency Event Log'!$U$4:$U$803,$B55&amp;"|"&amp;CE$5)=0,"",SUMIF('Competency Event Log'!$U$4:$U$803,$B55&amp;"|"&amp;CE$5,'Competency Event Log'!$D$4:$D$803)))</f>
        <v/>
      </c>
      <c r="CF55" s="8" t="str">
        <f>IF($B55="","",IF(COUNTIF('Competency Event Log'!$U$4:$U$803,$B55&amp;"|"&amp;CF$5)=0,"",SUMIF('Competency Event Log'!$U$4:$U$803,$B55&amp;"|"&amp;CF$5,'Competency Event Log'!$D$4:$D$803)))</f>
        <v/>
      </c>
      <c r="CG55" s="8" t="str">
        <f>IF($B55="","",IF(COUNTIF('Competency Event Log'!$U$4:$U$803,$B55&amp;"|"&amp;CG$5)=0,"",SUMIF('Competency Event Log'!$U$4:$U$803,$B55&amp;"|"&amp;CG$5,'Competency Event Log'!$D$4:$D$803)))</f>
        <v/>
      </c>
      <c r="CH55" s="8" t="str">
        <f>IF($B55="","",IF(COUNTIF('Competency Event Log'!$U$4:$U$803,$B55&amp;"|"&amp;CH$5)=0,"",SUMIF('Competency Event Log'!$U$4:$U$803,$B55&amp;"|"&amp;CH$5,'Competency Event Log'!$D$4:$D$803)))</f>
        <v/>
      </c>
      <c r="CI55" s="8" t="str">
        <f>IF($B55="","",IF(COUNTIF('Competency Event Log'!$U$4:$U$803,$B55&amp;"|"&amp;CI$5)=0,"",SUMIF('Competency Event Log'!$U$4:$U$803,$B55&amp;"|"&amp;CI$5,'Competency Event Log'!$D$4:$D$803)))</f>
        <v/>
      </c>
      <c r="CJ55" s="8" t="str">
        <f>IF($B55="","",IF(COUNTIF('Competency Event Log'!$U$4:$U$803,$B55&amp;"|"&amp;CJ$5)=0,"",SUMIF('Competency Event Log'!$U$4:$U$803,$B55&amp;"|"&amp;CJ$5,'Competency Event Log'!$D$4:$D$803)))</f>
        <v/>
      </c>
      <c r="CK55" s="8" t="str">
        <f>IF($B55="","",IF(COUNTIF('Competency Event Log'!$U$4:$U$803,$B55&amp;"|"&amp;CK$5)=0,"",SUMIF('Competency Event Log'!$U$4:$U$803,$B55&amp;"|"&amp;CK$5,'Competency Event Log'!$D$4:$D$803)))</f>
        <v/>
      </c>
      <c r="CL55" s="8" t="str">
        <f>IF($B55="","",IF(COUNTIF('Competency Event Log'!$U$4:$U$803,$B55&amp;"|"&amp;CL$5)=0,"",SUMIF('Competency Event Log'!$U$4:$U$803,$B55&amp;"|"&amp;CL$5,'Competency Event Log'!$D$4:$D$803)))</f>
        <v/>
      </c>
      <c r="CM55" s="8" t="str">
        <f>IF($B55="","",IF(COUNTIF('Competency Event Log'!$U$4:$U$803,$B55&amp;"|"&amp;CM$5)=0,"",SUMIF('Competency Event Log'!$U$4:$U$803,$B55&amp;"|"&amp;CM$5,'Competency Event Log'!$D$4:$D$803)))</f>
        <v/>
      </c>
      <c r="CN55" s="8" t="str">
        <f>IF($B55="","",IF(COUNTIF('Competency Event Log'!$U$4:$U$803,$B55&amp;"|"&amp;CN$5)=0,"",SUMIF('Competency Event Log'!$U$4:$U$803,$B55&amp;"|"&amp;CN$5,'Competency Event Log'!$D$4:$D$803)))</f>
        <v/>
      </c>
      <c r="CO55" s="8" t="str">
        <f>IF($B55="","",IF(COUNTIF('Competency Event Log'!$U$4:$U$803,$B55&amp;"|"&amp;CO$5)=0,"",SUMIF('Competency Event Log'!$U$4:$U$803,$B55&amp;"|"&amp;CO$5,'Competency Event Log'!$D$4:$D$803)))</f>
        <v/>
      </c>
      <c r="CP55" s="8" t="str">
        <f>IF($B55="","",IF(COUNTIF('Competency Event Log'!$U$4:$U$803,$B55&amp;"|"&amp;CP$5)=0,"",SUMIF('Competency Event Log'!$U$4:$U$803,$B55&amp;"|"&amp;CP$5,'Competency Event Log'!$D$4:$D$803)))</f>
        <v/>
      </c>
      <c r="CQ55" s="8" t="str">
        <f>IF($B55="","",IF(COUNTIF('Competency Event Log'!$U$4:$U$803,$B55&amp;"|"&amp;CQ$5)=0,"",SUMIF('Competency Event Log'!$U$4:$U$803,$B55&amp;"|"&amp;CQ$5,'Competency Event Log'!$D$4:$D$803)))</f>
        <v/>
      </c>
      <c r="CR55" s="8" t="str">
        <f>IF($B55="","",IF(COUNTIF('Competency Event Log'!$U$4:$U$803,$B55&amp;"|"&amp;CR$5)=0,"",SUMIF('Competency Event Log'!$U$4:$U$803,$B55&amp;"|"&amp;CR$5,'Competency Event Log'!$D$4:$D$803)))</f>
        <v/>
      </c>
      <c r="CS55" s="8" t="str">
        <f>IF($B55="","",IF(COUNTIF('Competency Event Log'!$U$4:$U$803,$B55&amp;"|"&amp;CS$5)=0,"",SUMIF('Competency Event Log'!$U$4:$U$803,$B55&amp;"|"&amp;CS$5,'Competency Event Log'!$D$4:$D$803)))</f>
        <v/>
      </c>
      <c r="CT55" s="8" t="str">
        <f>IF($B55="","",IF(COUNTIF('Competency Event Log'!$U$4:$U$803,$B55&amp;"|"&amp;CT$5)=0,"",SUMIF('Competency Event Log'!$U$4:$U$803,$B55&amp;"|"&amp;CT$5,'Competency Event Log'!$D$4:$D$803)))</f>
        <v/>
      </c>
      <c r="CU55" s="8" t="str">
        <f>IF($B55="","",IF(COUNTIF('Competency Event Log'!$U$4:$U$803,$B55&amp;"|"&amp;CU$5)=0,"",SUMIF('Competency Event Log'!$U$4:$U$803,$B55&amp;"|"&amp;CU$5,'Competency Event Log'!$D$4:$D$803)))</f>
        <v/>
      </c>
      <c r="CV55" s="8" t="str">
        <f>IF($B55="","",IF(COUNTIF('Competency Event Log'!$U$4:$U$803,$B55&amp;"|"&amp;CV$5)=0,"",SUMIF('Competency Event Log'!$U$4:$U$803,$B55&amp;"|"&amp;CV$5,'Competency Event Log'!$D$4:$D$803)))</f>
        <v/>
      </c>
      <c r="CW55" s="8" t="str">
        <f>IF($B55="","",IF(COUNTIF('Competency Event Log'!$U$4:$U$803,$B55&amp;"|"&amp;CW$5)=0,"",SUMIF('Competency Event Log'!$U$4:$U$803,$B55&amp;"|"&amp;CW$5,'Competency Event Log'!$D$4:$D$803)))</f>
        <v/>
      </c>
      <c r="CX55" s="8" t="str">
        <f>IF($B55="","",IF(COUNTIF('Competency Event Log'!$U$4:$U$803,$B55&amp;"|"&amp;CX$5)=0,"",SUMIF('Competency Event Log'!$U$4:$U$803,$B55&amp;"|"&amp;CX$5,'Competency Event Log'!$D$4:$D$803)))</f>
        <v/>
      </c>
      <c r="CY55" s="8" t="str">
        <f>IF($B55="","",IF(COUNTIF('Competency Event Log'!$U$4:$U$803,$B55&amp;"|"&amp;CY$5)=0,"",SUMIF('Competency Event Log'!$U$4:$U$803,$B55&amp;"|"&amp;CY$5,'Competency Event Log'!$D$4:$D$803)))</f>
        <v/>
      </c>
      <c r="CZ55" s="8" t="str">
        <f>IF($B55="","",IF(COUNTIF('Competency Event Log'!$U$4:$U$803,$B55&amp;"|"&amp;CZ$5)=0,"",SUMIF('Competency Event Log'!$U$4:$U$803,$B55&amp;"|"&amp;CZ$5,'Competency Event Log'!$D$4:$D$803)))</f>
        <v/>
      </c>
      <c r="DA55" s="8" t="str">
        <f>IF($B55="","",IF(COUNTIF('Competency Event Log'!$U$4:$U$803,$B55&amp;"|"&amp;DA$5)=0,"",SUMIF('Competency Event Log'!$U$4:$U$803,$B55&amp;"|"&amp;DA$5,'Competency Event Log'!$D$4:$D$803)))</f>
        <v/>
      </c>
      <c r="DB55" s="8" t="str">
        <f>IF($B55="","",IF(COUNTIF('Competency Event Log'!$U$4:$U$803,$B55&amp;"|"&amp;DB$5)=0,"",SUMIF('Competency Event Log'!$U$4:$U$803,$B55&amp;"|"&amp;DB$5,'Competency Event Log'!$D$4:$D$803)))</f>
        <v/>
      </c>
      <c r="DC55" s="8" t="str">
        <f>IF($B55="","",IF(COUNTIF('Competency Event Log'!$U$4:$U$803,$B55&amp;"|"&amp;DC$5)=0,"",SUMIF('Competency Event Log'!$U$4:$U$803,$B55&amp;"|"&amp;DC$5,'Competency Event Log'!$D$4:$D$803)))</f>
        <v/>
      </c>
      <c r="DD55" s="8" t="str">
        <f>IF($B55="","",IF(COUNTIF('Competency Event Log'!$U$4:$U$803,$B55&amp;"|"&amp;DD$5)=0,"",SUMIF('Competency Event Log'!$U$4:$U$803,$B55&amp;"|"&amp;DD$5,'Competency Event Log'!$D$4:$D$803)))</f>
        <v/>
      </c>
      <c r="DE55" s="8" t="str">
        <f>IF($B55="","",IF(COUNTIF('Competency Event Log'!$U$4:$U$803,$B55&amp;"|"&amp;DE$5)=0,"",SUMIF('Competency Event Log'!$U$4:$U$803,$B55&amp;"|"&amp;DE$5,'Competency Event Log'!$D$4:$D$803)))</f>
        <v/>
      </c>
      <c r="DF55" s="8" t="str">
        <f t="shared" si="4"/>
        <v/>
      </c>
      <c r="DG55" s="8" t="str">
        <f t="shared" si="5"/>
        <v/>
      </c>
      <c r="DH55" s="8" t="str">
        <f t="shared" si="6"/>
        <v/>
      </c>
      <c r="DI55" s="11" t="str">
        <f t="shared" si="7"/>
        <v/>
      </c>
    </row>
    <row r="56" spans="1:113">
      <c r="A56" s="7"/>
      <c r="B56" s="7"/>
      <c r="C56" s="8"/>
      <c r="D56" s="9"/>
      <c r="E56" s="10"/>
      <c r="F56" s="8"/>
      <c r="G56" s="8" t="str">
        <f>IF($B56="","",IF(COUNTIF('Competency Event Log'!$U$4:$U$803,$B56&amp;"|"&amp;G$5)=0,"",SUMIF('Competency Event Log'!$U$4:$U$803,$B56&amp;"|"&amp;G$5,'Competency Event Log'!$D$4:$D$803)))</f>
        <v/>
      </c>
      <c r="H56" s="8" t="str">
        <f>IF($B56="","",IF(COUNTIF('Competency Event Log'!$U$4:$U$803,$B56&amp;"|"&amp;H$5)=0,"",SUMIF('Competency Event Log'!$U$4:$U$803,$B56&amp;"|"&amp;H$5,'Competency Event Log'!$D$4:$D$803)))</f>
        <v/>
      </c>
      <c r="I56" s="8" t="str">
        <f>IF($B56="","",IF(COUNTIF('Competency Event Log'!$U$4:$U$803,$B56&amp;"|"&amp;I$5)=0,"",SUMIF('Competency Event Log'!$U$4:$U$803,$B56&amp;"|"&amp;I$5,'Competency Event Log'!$D$4:$D$803)))</f>
        <v/>
      </c>
      <c r="J56" s="8" t="str">
        <f>IF($B56="","",IF(COUNTIF('Competency Event Log'!$U$4:$U$803,$B56&amp;"|"&amp;J$5)=0,"",SUMIF('Competency Event Log'!$U$4:$U$803,$B56&amp;"|"&amp;J$5,'Competency Event Log'!$D$4:$D$803)))</f>
        <v/>
      </c>
      <c r="K56" s="8" t="str">
        <f>IF($B56="","",IF(COUNTIF('Competency Event Log'!$U$4:$U$803,$B56&amp;"|"&amp;K$5)=0,"",SUMIF('Competency Event Log'!$U$4:$U$803,$B56&amp;"|"&amp;K$5,'Competency Event Log'!$D$4:$D$803)))</f>
        <v/>
      </c>
      <c r="L56" s="8" t="str">
        <f>IF($B56="","",IF(COUNTIF('Competency Event Log'!$U$4:$U$803,$B56&amp;"|"&amp;L$5)=0,"",SUMIF('Competency Event Log'!$U$4:$U$803,$B56&amp;"|"&amp;L$5,'Competency Event Log'!$D$4:$D$803)))</f>
        <v/>
      </c>
      <c r="M56" s="8" t="str">
        <f>IF($B56="","",IF(COUNTIF('Competency Event Log'!$U$4:$U$803,$B56&amp;"|"&amp;M$5)=0,"",SUMIF('Competency Event Log'!$U$4:$U$803,$B56&amp;"|"&amp;M$5,'Competency Event Log'!$D$4:$D$803)))</f>
        <v/>
      </c>
      <c r="N56" s="8" t="str">
        <f>IF($B56="","",IF(COUNTIF('Competency Event Log'!$U$4:$U$803,$B56&amp;"|"&amp;N$5)=0,"",SUMIF('Competency Event Log'!$U$4:$U$803,$B56&amp;"|"&amp;N$5,'Competency Event Log'!$D$4:$D$803)))</f>
        <v/>
      </c>
      <c r="O56" s="8" t="str">
        <f>IF($B56="","",IF(COUNTIF('Competency Event Log'!$U$4:$U$803,$B56&amp;"|"&amp;O$5)=0,"",SUMIF('Competency Event Log'!$U$4:$U$803,$B56&amp;"|"&amp;O$5,'Competency Event Log'!$D$4:$D$803)))</f>
        <v/>
      </c>
      <c r="P56" s="8" t="str">
        <f>IF($B56="","",IF(COUNTIF('Competency Event Log'!$U$4:$U$803,$B56&amp;"|"&amp;P$5)=0,"",SUMIF('Competency Event Log'!$U$4:$U$803,$B56&amp;"|"&amp;P$5,'Competency Event Log'!$D$4:$D$803)))</f>
        <v/>
      </c>
      <c r="Q56" s="8" t="str">
        <f>IF($B56="","",IF(COUNTIF('Competency Event Log'!$U$4:$U$803,$B56&amp;"|"&amp;Q$5)=0,"",SUMIF('Competency Event Log'!$U$4:$U$803,$B56&amp;"|"&amp;Q$5,'Competency Event Log'!$D$4:$D$803)))</f>
        <v/>
      </c>
      <c r="R56" s="8" t="str">
        <f>IF($B56="","",IF(COUNTIF('Competency Event Log'!$U$4:$U$803,$B56&amp;"|"&amp;R$5)=0,"",SUMIF('Competency Event Log'!$U$4:$U$803,$B56&amp;"|"&amp;R$5,'Competency Event Log'!$D$4:$D$803)))</f>
        <v/>
      </c>
      <c r="S56" s="8" t="str">
        <f>IF($B56="","",IF(COUNTIF('Competency Event Log'!$U$4:$U$803,$B56&amp;"|"&amp;S$5)=0,"",SUMIF('Competency Event Log'!$U$4:$U$803,$B56&amp;"|"&amp;S$5,'Competency Event Log'!$D$4:$D$803)))</f>
        <v/>
      </c>
      <c r="T56" s="8" t="str">
        <f>IF($B56="","",IF(COUNTIF('Competency Event Log'!$U$4:$U$803,$B56&amp;"|"&amp;T$5)=0,"",SUMIF('Competency Event Log'!$U$4:$U$803,$B56&amp;"|"&amp;T$5,'Competency Event Log'!$D$4:$D$803)))</f>
        <v/>
      </c>
      <c r="U56" s="8" t="str">
        <f>IF($B56="","",IF(COUNTIF('Competency Event Log'!$U$4:$U$803,$B56&amp;"|"&amp;U$5)=0,"",SUMIF('Competency Event Log'!$U$4:$U$803,$B56&amp;"|"&amp;U$5,'Competency Event Log'!$D$4:$D$803)))</f>
        <v/>
      </c>
      <c r="V56" s="8" t="str">
        <f>IF($B56="","",IF(COUNTIF('Competency Event Log'!$U$4:$U$803,$B56&amp;"|"&amp;V$5)=0,"",SUMIF('Competency Event Log'!$U$4:$U$803,$B56&amp;"|"&amp;V$5,'Competency Event Log'!$D$4:$D$803)))</f>
        <v/>
      </c>
      <c r="W56" s="8" t="str">
        <f>IF($B56="","",IF(COUNTIF('Competency Event Log'!$U$4:$U$803,$B56&amp;"|"&amp;W$5)=0,"",SUMIF('Competency Event Log'!$U$4:$U$803,$B56&amp;"|"&amp;W$5,'Competency Event Log'!$D$4:$D$803)))</f>
        <v/>
      </c>
      <c r="X56" s="8" t="str">
        <f>IF($B56="","",IF(COUNTIF('Competency Event Log'!$U$4:$U$803,$B56&amp;"|"&amp;X$5)=0,"",SUMIF('Competency Event Log'!$U$4:$U$803,$B56&amp;"|"&amp;X$5,'Competency Event Log'!$D$4:$D$803)))</f>
        <v/>
      </c>
      <c r="Y56" s="8" t="str">
        <f>IF($B56="","",IF(COUNTIF('Competency Event Log'!$U$4:$U$803,$B56&amp;"|"&amp;Y$5)=0,"",SUMIF('Competency Event Log'!$U$4:$U$803,$B56&amp;"|"&amp;Y$5,'Competency Event Log'!$D$4:$D$803)))</f>
        <v/>
      </c>
      <c r="Z56" s="8" t="str">
        <f>IF($B56="","",IF(COUNTIF('Competency Event Log'!$U$4:$U$803,$B56&amp;"|"&amp;Z$5)=0,"",SUMIF('Competency Event Log'!$U$4:$U$803,$B56&amp;"|"&amp;Z$5,'Competency Event Log'!$D$4:$D$803)))</f>
        <v/>
      </c>
      <c r="AA56" s="8" t="str">
        <f>IF($B56="","",IF(COUNTIF('Competency Event Log'!$U$4:$U$803,$B56&amp;"|"&amp;AA$5)=0,"",SUMIF('Competency Event Log'!$U$4:$U$803,$B56&amp;"|"&amp;AA$5,'Competency Event Log'!$D$4:$D$803)))</f>
        <v/>
      </c>
      <c r="AB56" s="8" t="str">
        <f>IF($B56="","",IF(COUNTIF('Competency Event Log'!$U$4:$U$803,$B56&amp;"|"&amp;AB$5)=0,"",SUMIF('Competency Event Log'!$U$4:$U$803,$B56&amp;"|"&amp;AB$5,'Competency Event Log'!$D$4:$D$803)))</f>
        <v/>
      </c>
      <c r="AC56" s="8" t="str">
        <f>IF($B56="","",IF(COUNTIF('Competency Event Log'!$U$4:$U$803,$B56&amp;"|"&amp;AC$5)=0,"",SUMIF('Competency Event Log'!$U$4:$U$803,$B56&amp;"|"&amp;AC$5,'Competency Event Log'!$D$4:$D$803)))</f>
        <v/>
      </c>
      <c r="AD56" s="8" t="str">
        <f>IF($B56="","",IF(COUNTIF('Competency Event Log'!$U$4:$U$803,$B56&amp;"|"&amp;AD$5)=0,"",SUMIF('Competency Event Log'!$U$4:$U$803,$B56&amp;"|"&amp;AD$5,'Competency Event Log'!$D$4:$D$803)))</f>
        <v/>
      </c>
      <c r="AE56" s="8" t="str">
        <f>IF($B56="","",IF(COUNTIF('Competency Event Log'!$U$4:$U$803,$B56&amp;"|"&amp;AE$5)=0,"",SUMIF('Competency Event Log'!$U$4:$U$803,$B56&amp;"|"&amp;AE$5,'Competency Event Log'!$D$4:$D$803)))</f>
        <v/>
      </c>
      <c r="AF56" s="8" t="str">
        <f>IF($B56="","",IF(COUNTIF('Competency Event Log'!$U$4:$U$803,$B56&amp;"|"&amp;AF$5)=0,"",SUMIF('Competency Event Log'!$U$4:$U$803,$B56&amp;"|"&amp;AF$5,'Competency Event Log'!$D$4:$D$803)))</f>
        <v/>
      </c>
      <c r="AG56" s="8" t="str">
        <f>IF($B56="","",IF(COUNTIF('Competency Event Log'!$U$4:$U$803,$B56&amp;"|"&amp;AG$5)=0,"",SUMIF('Competency Event Log'!$U$4:$U$803,$B56&amp;"|"&amp;AG$5,'Competency Event Log'!$D$4:$D$803)))</f>
        <v/>
      </c>
      <c r="AH56" s="8" t="str">
        <f>IF($B56="","",IF(COUNTIF('Competency Event Log'!$U$4:$U$803,$B56&amp;"|"&amp;AH$5)=0,"",SUMIF('Competency Event Log'!$U$4:$U$803,$B56&amp;"|"&amp;AH$5,'Competency Event Log'!$D$4:$D$803)))</f>
        <v/>
      </c>
      <c r="AI56" s="8" t="str">
        <f>IF($B56="","",IF(COUNTIF('Competency Event Log'!$U$4:$U$803,$B56&amp;"|"&amp;AI$5)=0,"",SUMIF('Competency Event Log'!$U$4:$U$803,$B56&amp;"|"&amp;AI$5,'Competency Event Log'!$D$4:$D$803)))</f>
        <v/>
      </c>
      <c r="AJ56" s="8" t="str">
        <f>IF($B56="","",IF(COUNTIF('Competency Event Log'!$U$4:$U$803,$B56&amp;"|"&amp;AJ$5)=0,"",SUMIF('Competency Event Log'!$U$4:$U$803,$B56&amp;"|"&amp;AJ$5,'Competency Event Log'!$D$4:$D$803)))</f>
        <v/>
      </c>
      <c r="AK56" s="8" t="str">
        <f>IF($B56="","",IF(COUNTIF('Competency Event Log'!$U$4:$U$803,$B56&amp;"|"&amp;AK$5)=0,"",SUMIF('Competency Event Log'!$U$4:$U$803,$B56&amp;"|"&amp;AK$5,'Competency Event Log'!$D$4:$D$803)))</f>
        <v/>
      </c>
      <c r="AL56" s="8" t="str">
        <f>IF($B56="","",IF(COUNTIF('Competency Event Log'!$U$4:$U$803,$B56&amp;"|"&amp;AL$5)=0,"",SUMIF('Competency Event Log'!$U$4:$U$803,$B56&amp;"|"&amp;AL$5,'Competency Event Log'!$D$4:$D$803)))</f>
        <v/>
      </c>
      <c r="AM56" s="8" t="str">
        <f>IF($B56="","",IF(COUNTIF('Competency Event Log'!$U$4:$U$803,$B56&amp;"|"&amp;AM$5)=0,"",SUMIF('Competency Event Log'!$U$4:$U$803,$B56&amp;"|"&amp;AM$5,'Competency Event Log'!$D$4:$D$803)))</f>
        <v/>
      </c>
      <c r="AN56" s="8" t="str">
        <f>IF($B56="","",IF(COUNTIF('Competency Event Log'!$U$4:$U$803,$B56&amp;"|"&amp;AN$5)=0,"",SUMIF('Competency Event Log'!$U$4:$U$803,$B56&amp;"|"&amp;AN$5,'Competency Event Log'!$D$4:$D$803)))</f>
        <v/>
      </c>
      <c r="AO56" s="8" t="str">
        <f>IF($B56="","",IF(COUNTIF('Competency Event Log'!$U$4:$U$803,$B56&amp;"|"&amp;AO$5)=0,"",SUMIF('Competency Event Log'!$U$4:$U$803,$B56&amp;"|"&amp;AO$5,'Competency Event Log'!$D$4:$D$803)))</f>
        <v/>
      </c>
      <c r="AP56" s="8" t="str">
        <f>IF($B56="","",IF(COUNTIF('Competency Event Log'!$U$4:$U$803,$B56&amp;"|"&amp;AP$5)=0,"",SUMIF('Competency Event Log'!$U$4:$U$803,$B56&amp;"|"&amp;AP$5,'Competency Event Log'!$D$4:$D$803)))</f>
        <v/>
      </c>
      <c r="AQ56" s="8" t="str">
        <f>IF($B56="","",IF(COUNTIF('Competency Event Log'!$U$4:$U$803,$B56&amp;"|"&amp;AQ$5)=0,"",SUMIF('Competency Event Log'!$U$4:$U$803,$B56&amp;"|"&amp;AQ$5,'Competency Event Log'!$D$4:$D$803)))</f>
        <v/>
      </c>
      <c r="AR56" s="8" t="str">
        <f>IF($B56="","",IF(COUNTIF('Competency Event Log'!$U$4:$U$803,$B56&amp;"|"&amp;AR$5)=0,"",SUMIF('Competency Event Log'!$U$4:$U$803,$B56&amp;"|"&amp;AR$5,'Competency Event Log'!$D$4:$D$803)))</f>
        <v/>
      </c>
      <c r="AS56" s="8" t="str">
        <f>IF($B56="","",IF(COUNTIF('Competency Event Log'!$U$4:$U$803,$B56&amp;"|"&amp;AS$5)=0,"",SUMIF('Competency Event Log'!$U$4:$U$803,$B56&amp;"|"&amp;AS$5,'Competency Event Log'!$D$4:$D$803)))</f>
        <v/>
      </c>
      <c r="AT56" s="8" t="str">
        <f>IF($B56="","",IF(COUNTIF('Competency Event Log'!$U$4:$U$803,$B56&amp;"|"&amp;AT$5)=0,"",SUMIF('Competency Event Log'!$U$4:$U$803,$B56&amp;"|"&amp;AT$5,'Competency Event Log'!$D$4:$D$803)))</f>
        <v/>
      </c>
      <c r="AU56" s="8" t="str">
        <f>IF($B56="","",IF(COUNTIF('Competency Event Log'!$U$4:$U$803,$B56&amp;"|"&amp;AU$5)=0,"",SUMIF('Competency Event Log'!$U$4:$U$803,$B56&amp;"|"&amp;AU$5,'Competency Event Log'!$D$4:$D$803)))</f>
        <v/>
      </c>
      <c r="AV56" s="8" t="str">
        <f>IF($B56="","",IF(COUNTIF('Competency Event Log'!$U$4:$U$803,$B56&amp;"|"&amp;AV$5)=0,"",SUMIF('Competency Event Log'!$U$4:$U$803,$B56&amp;"|"&amp;AV$5,'Competency Event Log'!$D$4:$D$803)))</f>
        <v/>
      </c>
      <c r="AW56" s="8" t="str">
        <f>IF($B56="","",IF(COUNTIF('Competency Event Log'!$U$4:$U$803,$B56&amp;"|"&amp;AW$5)=0,"",SUMIF('Competency Event Log'!$U$4:$U$803,$B56&amp;"|"&amp;AW$5,'Competency Event Log'!$D$4:$D$803)))</f>
        <v/>
      </c>
      <c r="AX56" s="8" t="str">
        <f>IF($B56="","",IF(COUNTIF('Competency Event Log'!$U$4:$U$803,$B56&amp;"|"&amp;AX$5)=0,"",SUMIF('Competency Event Log'!$U$4:$U$803,$B56&amp;"|"&amp;AX$5,'Competency Event Log'!$D$4:$D$803)))</f>
        <v/>
      </c>
      <c r="AY56" s="8" t="str">
        <f>IF($B56="","",IF(COUNTIF('Competency Event Log'!$U$4:$U$803,$B56&amp;"|"&amp;AY$5)=0,"",SUMIF('Competency Event Log'!$U$4:$U$803,$B56&amp;"|"&amp;AY$5,'Competency Event Log'!$D$4:$D$803)))</f>
        <v/>
      </c>
      <c r="AZ56" s="8" t="str">
        <f>IF($B56="","",IF(COUNTIF('Competency Event Log'!$U$4:$U$803,$B56&amp;"|"&amp;AZ$5)=0,"",SUMIF('Competency Event Log'!$U$4:$U$803,$B56&amp;"|"&amp;AZ$5,'Competency Event Log'!$D$4:$D$803)))</f>
        <v/>
      </c>
      <c r="BA56" s="8" t="str">
        <f>IF($B56="","",IF(COUNTIF('Competency Event Log'!$U$4:$U$803,$B56&amp;"|"&amp;BA$5)=0,"",SUMIF('Competency Event Log'!$U$4:$U$803,$B56&amp;"|"&amp;BA$5,'Competency Event Log'!$D$4:$D$803)))</f>
        <v/>
      </c>
      <c r="BB56" s="8" t="str">
        <f>IF($B56="","",IF(COUNTIF('Competency Event Log'!$U$4:$U$803,$B56&amp;"|"&amp;BB$5)=0,"",SUMIF('Competency Event Log'!$U$4:$U$803,$B56&amp;"|"&amp;BB$5,'Competency Event Log'!$D$4:$D$803)))</f>
        <v/>
      </c>
      <c r="BC56" s="8" t="str">
        <f>IF($B56="","",IF(COUNTIF('Competency Event Log'!$U$4:$U$803,$B56&amp;"|"&amp;BC$5)=0,"",SUMIF('Competency Event Log'!$U$4:$U$803,$B56&amp;"|"&amp;BC$5,'Competency Event Log'!$D$4:$D$803)))</f>
        <v/>
      </c>
      <c r="BD56" s="8" t="str">
        <f>IF($B56="","",IF(COUNTIF('Competency Event Log'!$U$4:$U$803,$B56&amp;"|"&amp;BD$5)=0,"",SUMIF('Competency Event Log'!$U$4:$U$803,$B56&amp;"|"&amp;BD$5,'Competency Event Log'!$D$4:$D$803)))</f>
        <v/>
      </c>
      <c r="BE56" s="8" t="str">
        <f>IF($B56="","",IF(COUNTIF('Competency Event Log'!$U$4:$U$803,$B56&amp;"|"&amp;BE$5)=0,"",SUMIF('Competency Event Log'!$U$4:$U$803,$B56&amp;"|"&amp;BE$5,'Competency Event Log'!$D$4:$D$803)))</f>
        <v/>
      </c>
      <c r="BF56" s="8" t="str">
        <f>IF($B56="","",IF(COUNTIF('Competency Event Log'!$U$4:$U$803,$B56&amp;"|"&amp;BF$5)=0,"",SUMIF('Competency Event Log'!$U$4:$U$803,$B56&amp;"|"&amp;BF$5,'Competency Event Log'!$D$4:$D$803)))</f>
        <v/>
      </c>
      <c r="BG56" s="8" t="str">
        <f>IF($B56="","",IF(COUNTIF('Competency Event Log'!$U$4:$U$803,$B56&amp;"|"&amp;BG$5)=0,"",SUMIF('Competency Event Log'!$U$4:$U$803,$B56&amp;"|"&amp;BG$5,'Competency Event Log'!$D$4:$D$803)))</f>
        <v/>
      </c>
      <c r="BH56" s="8" t="str">
        <f>IF($B56="","",IF(COUNTIF('Competency Event Log'!$U$4:$U$803,$B56&amp;"|"&amp;BH$5)=0,"",SUMIF('Competency Event Log'!$U$4:$U$803,$B56&amp;"|"&amp;BH$5,'Competency Event Log'!$D$4:$D$803)))</f>
        <v/>
      </c>
      <c r="BI56" s="8" t="str">
        <f>IF($B56="","",IF(COUNTIF('Competency Event Log'!$U$4:$U$803,$B56&amp;"|"&amp;BI$5)=0,"",SUMIF('Competency Event Log'!$U$4:$U$803,$B56&amp;"|"&amp;BI$5,'Competency Event Log'!$D$4:$D$803)))</f>
        <v/>
      </c>
      <c r="BJ56" s="8" t="str">
        <f>IF($B56="","",IF(COUNTIF('Competency Event Log'!$U$4:$U$803,$B56&amp;"|"&amp;BJ$5)=0,"",SUMIF('Competency Event Log'!$U$4:$U$803,$B56&amp;"|"&amp;BJ$5,'Competency Event Log'!$D$4:$D$803)))</f>
        <v/>
      </c>
      <c r="BK56" s="8" t="str">
        <f>IF($B56="","",IF(COUNTIF('Competency Event Log'!$U$4:$U$803,$B56&amp;"|"&amp;BK$5)=0,"",SUMIF('Competency Event Log'!$U$4:$U$803,$B56&amp;"|"&amp;BK$5,'Competency Event Log'!$D$4:$D$803)))</f>
        <v/>
      </c>
      <c r="BL56" s="8" t="str">
        <f>IF($B56="","",IF(COUNTIF('Competency Event Log'!$U$4:$U$803,$B56&amp;"|"&amp;BL$5)=0,"",SUMIF('Competency Event Log'!$U$4:$U$803,$B56&amp;"|"&amp;BL$5,'Competency Event Log'!$D$4:$D$803)))</f>
        <v/>
      </c>
      <c r="BM56" s="8" t="str">
        <f>IF($B56="","",IF(COUNTIF('Competency Event Log'!$U$4:$U$803,$B56&amp;"|"&amp;BM$5)=0,"",SUMIF('Competency Event Log'!$U$4:$U$803,$B56&amp;"|"&amp;BM$5,'Competency Event Log'!$D$4:$D$803)))</f>
        <v/>
      </c>
      <c r="BN56" s="8" t="str">
        <f>IF($B56="","",IF(COUNTIF('Competency Event Log'!$U$4:$U$803,$B56&amp;"|"&amp;BN$5)=0,"",SUMIF('Competency Event Log'!$U$4:$U$803,$B56&amp;"|"&amp;BN$5,'Competency Event Log'!$D$4:$D$803)))</f>
        <v/>
      </c>
      <c r="BO56" s="8" t="str">
        <f>IF($B56="","",IF(COUNTIF('Competency Event Log'!$U$4:$U$803,$B56&amp;"|"&amp;BO$5)=0,"",SUMIF('Competency Event Log'!$U$4:$U$803,$B56&amp;"|"&amp;BO$5,'Competency Event Log'!$D$4:$D$803)))</f>
        <v/>
      </c>
      <c r="BP56" s="8" t="str">
        <f>IF($B56="","",IF(COUNTIF('Competency Event Log'!$U$4:$U$803,$B56&amp;"|"&amp;BP$5)=0,"",SUMIF('Competency Event Log'!$U$4:$U$803,$B56&amp;"|"&amp;BP$5,'Competency Event Log'!$D$4:$D$803)))</f>
        <v/>
      </c>
      <c r="BQ56" s="8" t="str">
        <f>IF($B56="","",IF(COUNTIF('Competency Event Log'!$U$4:$U$803,$B56&amp;"|"&amp;BQ$5)=0,"",SUMIF('Competency Event Log'!$U$4:$U$803,$B56&amp;"|"&amp;BQ$5,'Competency Event Log'!$D$4:$D$803)))</f>
        <v/>
      </c>
      <c r="BR56" s="8" t="str">
        <f>IF($B56="","",IF(COUNTIF('Competency Event Log'!$U$4:$U$803,$B56&amp;"|"&amp;BR$5)=0,"",SUMIF('Competency Event Log'!$U$4:$U$803,$B56&amp;"|"&amp;BR$5,'Competency Event Log'!$D$4:$D$803)))</f>
        <v/>
      </c>
      <c r="BS56" s="8" t="str">
        <f>IF($B56="","",IF(COUNTIF('Competency Event Log'!$U$4:$U$803,$B56&amp;"|"&amp;BS$5)=0,"",SUMIF('Competency Event Log'!$U$4:$U$803,$B56&amp;"|"&amp;BS$5,'Competency Event Log'!$D$4:$D$803)))</f>
        <v/>
      </c>
      <c r="BT56" s="8" t="str">
        <f>IF($B56="","",IF(COUNTIF('Competency Event Log'!$U$4:$U$803,$B56&amp;"|"&amp;BT$5)=0,"",SUMIF('Competency Event Log'!$U$4:$U$803,$B56&amp;"|"&amp;BT$5,'Competency Event Log'!$D$4:$D$803)))</f>
        <v/>
      </c>
      <c r="BU56" s="8" t="str">
        <f>IF($B56="","",IF(COUNTIF('Competency Event Log'!$U$4:$U$803,$B56&amp;"|"&amp;BU$5)=0,"",SUMIF('Competency Event Log'!$U$4:$U$803,$B56&amp;"|"&amp;BU$5,'Competency Event Log'!$D$4:$D$803)))</f>
        <v/>
      </c>
      <c r="BV56" s="8" t="str">
        <f>IF($B56="","",IF(COUNTIF('Competency Event Log'!$U$4:$U$803,$B56&amp;"|"&amp;BV$5)=0,"",SUMIF('Competency Event Log'!$U$4:$U$803,$B56&amp;"|"&amp;BV$5,'Competency Event Log'!$D$4:$D$803)))</f>
        <v/>
      </c>
      <c r="BW56" s="8" t="str">
        <f>IF($B56="","",IF(COUNTIF('Competency Event Log'!$U$4:$U$803,$B56&amp;"|"&amp;BW$5)=0,"",SUMIF('Competency Event Log'!$U$4:$U$803,$B56&amp;"|"&amp;BW$5,'Competency Event Log'!$D$4:$D$803)))</f>
        <v/>
      </c>
      <c r="BX56" s="8" t="str">
        <f>IF($B56="","",IF(COUNTIF('Competency Event Log'!$U$4:$U$803,$B56&amp;"|"&amp;BX$5)=0,"",SUMIF('Competency Event Log'!$U$4:$U$803,$B56&amp;"|"&amp;BX$5,'Competency Event Log'!$D$4:$D$803)))</f>
        <v/>
      </c>
      <c r="BY56" s="8" t="str">
        <f>IF($B56="","",IF(COUNTIF('Competency Event Log'!$U$4:$U$803,$B56&amp;"|"&amp;BY$5)=0,"",SUMIF('Competency Event Log'!$U$4:$U$803,$B56&amp;"|"&amp;BY$5,'Competency Event Log'!$D$4:$D$803)))</f>
        <v/>
      </c>
      <c r="BZ56" s="8" t="str">
        <f>IF($B56="","",IF(COUNTIF('Competency Event Log'!$U$4:$U$803,$B56&amp;"|"&amp;BZ$5)=0,"",SUMIF('Competency Event Log'!$U$4:$U$803,$B56&amp;"|"&amp;BZ$5,'Competency Event Log'!$D$4:$D$803)))</f>
        <v/>
      </c>
      <c r="CA56" s="8" t="str">
        <f>IF($B56="","",IF(COUNTIF('Competency Event Log'!$U$4:$U$803,$B56&amp;"|"&amp;CA$5)=0,"",SUMIF('Competency Event Log'!$U$4:$U$803,$B56&amp;"|"&amp;CA$5,'Competency Event Log'!$D$4:$D$803)))</f>
        <v/>
      </c>
      <c r="CB56" s="8" t="str">
        <f>IF($B56="","",IF(COUNTIF('Competency Event Log'!$U$4:$U$803,$B56&amp;"|"&amp;CB$5)=0,"",SUMIF('Competency Event Log'!$U$4:$U$803,$B56&amp;"|"&amp;CB$5,'Competency Event Log'!$D$4:$D$803)))</f>
        <v/>
      </c>
      <c r="CC56" s="8" t="str">
        <f>IF($B56="","",IF(COUNTIF('Competency Event Log'!$U$4:$U$803,$B56&amp;"|"&amp;CC$5)=0,"",SUMIF('Competency Event Log'!$U$4:$U$803,$B56&amp;"|"&amp;CC$5,'Competency Event Log'!$D$4:$D$803)))</f>
        <v/>
      </c>
      <c r="CD56" s="8" t="str">
        <f>IF($B56="","",IF(COUNTIF('Competency Event Log'!$U$4:$U$803,$B56&amp;"|"&amp;CD$5)=0,"",SUMIF('Competency Event Log'!$U$4:$U$803,$B56&amp;"|"&amp;CD$5,'Competency Event Log'!$D$4:$D$803)))</f>
        <v/>
      </c>
      <c r="CE56" s="8" t="str">
        <f>IF($B56="","",IF(COUNTIF('Competency Event Log'!$U$4:$U$803,$B56&amp;"|"&amp;CE$5)=0,"",SUMIF('Competency Event Log'!$U$4:$U$803,$B56&amp;"|"&amp;CE$5,'Competency Event Log'!$D$4:$D$803)))</f>
        <v/>
      </c>
      <c r="CF56" s="8" t="str">
        <f>IF($B56="","",IF(COUNTIF('Competency Event Log'!$U$4:$U$803,$B56&amp;"|"&amp;CF$5)=0,"",SUMIF('Competency Event Log'!$U$4:$U$803,$B56&amp;"|"&amp;CF$5,'Competency Event Log'!$D$4:$D$803)))</f>
        <v/>
      </c>
      <c r="CG56" s="8" t="str">
        <f>IF($B56="","",IF(COUNTIF('Competency Event Log'!$U$4:$U$803,$B56&amp;"|"&amp;CG$5)=0,"",SUMIF('Competency Event Log'!$U$4:$U$803,$B56&amp;"|"&amp;CG$5,'Competency Event Log'!$D$4:$D$803)))</f>
        <v/>
      </c>
      <c r="CH56" s="8" t="str">
        <f>IF($B56="","",IF(COUNTIF('Competency Event Log'!$U$4:$U$803,$B56&amp;"|"&amp;CH$5)=0,"",SUMIF('Competency Event Log'!$U$4:$U$803,$B56&amp;"|"&amp;CH$5,'Competency Event Log'!$D$4:$D$803)))</f>
        <v/>
      </c>
      <c r="CI56" s="8" t="str">
        <f>IF($B56="","",IF(COUNTIF('Competency Event Log'!$U$4:$U$803,$B56&amp;"|"&amp;CI$5)=0,"",SUMIF('Competency Event Log'!$U$4:$U$803,$B56&amp;"|"&amp;CI$5,'Competency Event Log'!$D$4:$D$803)))</f>
        <v/>
      </c>
      <c r="CJ56" s="8" t="str">
        <f>IF($B56="","",IF(COUNTIF('Competency Event Log'!$U$4:$U$803,$B56&amp;"|"&amp;CJ$5)=0,"",SUMIF('Competency Event Log'!$U$4:$U$803,$B56&amp;"|"&amp;CJ$5,'Competency Event Log'!$D$4:$D$803)))</f>
        <v/>
      </c>
      <c r="CK56" s="8" t="str">
        <f>IF($B56="","",IF(COUNTIF('Competency Event Log'!$U$4:$U$803,$B56&amp;"|"&amp;CK$5)=0,"",SUMIF('Competency Event Log'!$U$4:$U$803,$B56&amp;"|"&amp;CK$5,'Competency Event Log'!$D$4:$D$803)))</f>
        <v/>
      </c>
      <c r="CL56" s="8" t="str">
        <f>IF($B56="","",IF(COUNTIF('Competency Event Log'!$U$4:$U$803,$B56&amp;"|"&amp;CL$5)=0,"",SUMIF('Competency Event Log'!$U$4:$U$803,$B56&amp;"|"&amp;CL$5,'Competency Event Log'!$D$4:$D$803)))</f>
        <v/>
      </c>
      <c r="CM56" s="8" t="str">
        <f>IF($B56="","",IF(COUNTIF('Competency Event Log'!$U$4:$U$803,$B56&amp;"|"&amp;CM$5)=0,"",SUMIF('Competency Event Log'!$U$4:$U$803,$B56&amp;"|"&amp;CM$5,'Competency Event Log'!$D$4:$D$803)))</f>
        <v/>
      </c>
      <c r="CN56" s="8" t="str">
        <f>IF($B56="","",IF(COUNTIF('Competency Event Log'!$U$4:$U$803,$B56&amp;"|"&amp;CN$5)=0,"",SUMIF('Competency Event Log'!$U$4:$U$803,$B56&amp;"|"&amp;CN$5,'Competency Event Log'!$D$4:$D$803)))</f>
        <v/>
      </c>
      <c r="CO56" s="8" t="str">
        <f>IF($B56="","",IF(COUNTIF('Competency Event Log'!$U$4:$U$803,$B56&amp;"|"&amp;CO$5)=0,"",SUMIF('Competency Event Log'!$U$4:$U$803,$B56&amp;"|"&amp;CO$5,'Competency Event Log'!$D$4:$D$803)))</f>
        <v/>
      </c>
      <c r="CP56" s="8" t="str">
        <f>IF($B56="","",IF(COUNTIF('Competency Event Log'!$U$4:$U$803,$B56&amp;"|"&amp;CP$5)=0,"",SUMIF('Competency Event Log'!$U$4:$U$803,$B56&amp;"|"&amp;CP$5,'Competency Event Log'!$D$4:$D$803)))</f>
        <v/>
      </c>
      <c r="CQ56" s="8" t="str">
        <f>IF($B56="","",IF(COUNTIF('Competency Event Log'!$U$4:$U$803,$B56&amp;"|"&amp;CQ$5)=0,"",SUMIF('Competency Event Log'!$U$4:$U$803,$B56&amp;"|"&amp;CQ$5,'Competency Event Log'!$D$4:$D$803)))</f>
        <v/>
      </c>
      <c r="CR56" s="8" t="str">
        <f>IF($B56="","",IF(COUNTIF('Competency Event Log'!$U$4:$U$803,$B56&amp;"|"&amp;CR$5)=0,"",SUMIF('Competency Event Log'!$U$4:$U$803,$B56&amp;"|"&amp;CR$5,'Competency Event Log'!$D$4:$D$803)))</f>
        <v/>
      </c>
      <c r="CS56" s="8" t="str">
        <f>IF($B56="","",IF(COUNTIF('Competency Event Log'!$U$4:$U$803,$B56&amp;"|"&amp;CS$5)=0,"",SUMIF('Competency Event Log'!$U$4:$U$803,$B56&amp;"|"&amp;CS$5,'Competency Event Log'!$D$4:$D$803)))</f>
        <v/>
      </c>
      <c r="CT56" s="8" t="str">
        <f>IF($B56="","",IF(COUNTIF('Competency Event Log'!$U$4:$U$803,$B56&amp;"|"&amp;CT$5)=0,"",SUMIF('Competency Event Log'!$U$4:$U$803,$B56&amp;"|"&amp;CT$5,'Competency Event Log'!$D$4:$D$803)))</f>
        <v/>
      </c>
      <c r="CU56" s="8" t="str">
        <f>IF($B56="","",IF(COUNTIF('Competency Event Log'!$U$4:$U$803,$B56&amp;"|"&amp;CU$5)=0,"",SUMIF('Competency Event Log'!$U$4:$U$803,$B56&amp;"|"&amp;CU$5,'Competency Event Log'!$D$4:$D$803)))</f>
        <v/>
      </c>
      <c r="CV56" s="8" t="str">
        <f>IF($B56="","",IF(COUNTIF('Competency Event Log'!$U$4:$U$803,$B56&amp;"|"&amp;CV$5)=0,"",SUMIF('Competency Event Log'!$U$4:$U$803,$B56&amp;"|"&amp;CV$5,'Competency Event Log'!$D$4:$D$803)))</f>
        <v/>
      </c>
      <c r="CW56" s="8" t="str">
        <f>IF($B56="","",IF(COUNTIF('Competency Event Log'!$U$4:$U$803,$B56&amp;"|"&amp;CW$5)=0,"",SUMIF('Competency Event Log'!$U$4:$U$803,$B56&amp;"|"&amp;CW$5,'Competency Event Log'!$D$4:$D$803)))</f>
        <v/>
      </c>
      <c r="CX56" s="8" t="str">
        <f>IF($B56="","",IF(COUNTIF('Competency Event Log'!$U$4:$U$803,$B56&amp;"|"&amp;CX$5)=0,"",SUMIF('Competency Event Log'!$U$4:$U$803,$B56&amp;"|"&amp;CX$5,'Competency Event Log'!$D$4:$D$803)))</f>
        <v/>
      </c>
      <c r="CY56" s="8" t="str">
        <f>IF($B56="","",IF(COUNTIF('Competency Event Log'!$U$4:$U$803,$B56&amp;"|"&amp;CY$5)=0,"",SUMIF('Competency Event Log'!$U$4:$U$803,$B56&amp;"|"&amp;CY$5,'Competency Event Log'!$D$4:$D$803)))</f>
        <v/>
      </c>
      <c r="CZ56" s="8" t="str">
        <f>IF($B56="","",IF(COUNTIF('Competency Event Log'!$U$4:$U$803,$B56&amp;"|"&amp;CZ$5)=0,"",SUMIF('Competency Event Log'!$U$4:$U$803,$B56&amp;"|"&amp;CZ$5,'Competency Event Log'!$D$4:$D$803)))</f>
        <v/>
      </c>
      <c r="DA56" s="8" t="str">
        <f>IF($B56="","",IF(COUNTIF('Competency Event Log'!$U$4:$U$803,$B56&amp;"|"&amp;DA$5)=0,"",SUMIF('Competency Event Log'!$U$4:$U$803,$B56&amp;"|"&amp;DA$5,'Competency Event Log'!$D$4:$D$803)))</f>
        <v/>
      </c>
      <c r="DB56" s="8" t="str">
        <f>IF($B56="","",IF(COUNTIF('Competency Event Log'!$U$4:$U$803,$B56&amp;"|"&amp;DB$5)=0,"",SUMIF('Competency Event Log'!$U$4:$U$803,$B56&amp;"|"&amp;DB$5,'Competency Event Log'!$D$4:$D$803)))</f>
        <v/>
      </c>
      <c r="DC56" s="8" t="str">
        <f>IF($B56="","",IF(COUNTIF('Competency Event Log'!$U$4:$U$803,$B56&amp;"|"&amp;DC$5)=0,"",SUMIF('Competency Event Log'!$U$4:$U$803,$B56&amp;"|"&amp;DC$5,'Competency Event Log'!$D$4:$D$803)))</f>
        <v/>
      </c>
      <c r="DD56" s="8" t="str">
        <f>IF($B56="","",IF(COUNTIF('Competency Event Log'!$U$4:$U$803,$B56&amp;"|"&amp;DD$5)=0,"",SUMIF('Competency Event Log'!$U$4:$U$803,$B56&amp;"|"&amp;DD$5,'Competency Event Log'!$D$4:$D$803)))</f>
        <v/>
      </c>
      <c r="DE56" s="8" t="str">
        <f>IF($B56="","",IF(COUNTIF('Competency Event Log'!$U$4:$U$803,$B56&amp;"|"&amp;DE$5)=0,"",SUMIF('Competency Event Log'!$U$4:$U$803,$B56&amp;"|"&amp;DE$5,'Competency Event Log'!$D$4:$D$803)))</f>
        <v/>
      </c>
      <c r="DF56" s="8" t="str">
        <f t="shared" si="4"/>
        <v/>
      </c>
      <c r="DG56" s="8" t="str">
        <f t="shared" si="5"/>
        <v/>
      </c>
      <c r="DH56" s="8" t="str">
        <f t="shared" si="6"/>
        <v/>
      </c>
      <c r="DI56" s="11" t="str">
        <f t="shared" si="7"/>
        <v/>
      </c>
    </row>
    <row r="57" spans="1:113">
      <c r="A57" s="7"/>
      <c r="B57" s="7"/>
      <c r="C57" s="8"/>
      <c r="D57" s="9"/>
      <c r="E57" s="10"/>
      <c r="F57" s="8"/>
      <c r="G57" s="8" t="str">
        <f>IF($B57="","",IF(COUNTIF('Competency Event Log'!$U$4:$U$803,$B57&amp;"|"&amp;G$5)=0,"",SUMIF('Competency Event Log'!$U$4:$U$803,$B57&amp;"|"&amp;G$5,'Competency Event Log'!$D$4:$D$803)))</f>
        <v/>
      </c>
      <c r="H57" s="8" t="str">
        <f>IF($B57="","",IF(COUNTIF('Competency Event Log'!$U$4:$U$803,$B57&amp;"|"&amp;H$5)=0,"",SUMIF('Competency Event Log'!$U$4:$U$803,$B57&amp;"|"&amp;H$5,'Competency Event Log'!$D$4:$D$803)))</f>
        <v/>
      </c>
      <c r="I57" s="8" t="str">
        <f>IF($B57="","",IF(COUNTIF('Competency Event Log'!$U$4:$U$803,$B57&amp;"|"&amp;I$5)=0,"",SUMIF('Competency Event Log'!$U$4:$U$803,$B57&amp;"|"&amp;I$5,'Competency Event Log'!$D$4:$D$803)))</f>
        <v/>
      </c>
      <c r="J57" s="8" t="str">
        <f>IF($B57="","",IF(COUNTIF('Competency Event Log'!$U$4:$U$803,$B57&amp;"|"&amp;J$5)=0,"",SUMIF('Competency Event Log'!$U$4:$U$803,$B57&amp;"|"&amp;J$5,'Competency Event Log'!$D$4:$D$803)))</f>
        <v/>
      </c>
      <c r="K57" s="8" t="str">
        <f>IF($B57="","",IF(COUNTIF('Competency Event Log'!$U$4:$U$803,$B57&amp;"|"&amp;K$5)=0,"",SUMIF('Competency Event Log'!$U$4:$U$803,$B57&amp;"|"&amp;K$5,'Competency Event Log'!$D$4:$D$803)))</f>
        <v/>
      </c>
      <c r="L57" s="8" t="str">
        <f>IF($B57="","",IF(COUNTIF('Competency Event Log'!$U$4:$U$803,$B57&amp;"|"&amp;L$5)=0,"",SUMIF('Competency Event Log'!$U$4:$U$803,$B57&amp;"|"&amp;L$5,'Competency Event Log'!$D$4:$D$803)))</f>
        <v/>
      </c>
      <c r="M57" s="8" t="str">
        <f>IF($B57="","",IF(COUNTIF('Competency Event Log'!$U$4:$U$803,$B57&amp;"|"&amp;M$5)=0,"",SUMIF('Competency Event Log'!$U$4:$U$803,$B57&amp;"|"&amp;M$5,'Competency Event Log'!$D$4:$D$803)))</f>
        <v/>
      </c>
      <c r="N57" s="8" t="str">
        <f>IF($B57="","",IF(COUNTIF('Competency Event Log'!$U$4:$U$803,$B57&amp;"|"&amp;N$5)=0,"",SUMIF('Competency Event Log'!$U$4:$U$803,$B57&amp;"|"&amp;N$5,'Competency Event Log'!$D$4:$D$803)))</f>
        <v/>
      </c>
      <c r="O57" s="8" t="str">
        <f>IF($B57="","",IF(COUNTIF('Competency Event Log'!$U$4:$U$803,$B57&amp;"|"&amp;O$5)=0,"",SUMIF('Competency Event Log'!$U$4:$U$803,$B57&amp;"|"&amp;O$5,'Competency Event Log'!$D$4:$D$803)))</f>
        <v/>
      </c>
      <c r="P57" s="8" t="str">
        <f>IF($B57="","",IF(COUNTIF('Competency Event Log'!$U$4:$U$803,$B57&amp;"|"&amp;P$5)=0,"",SUMIF('Competency Event Log'!$U$4:$U$803,$B57&amp;"|"&amp;P$5,'Competency Event Log'!$D$4:$D$803)))</f>
        <v/>
      </c>
      <c r="Q57" s="8" t="str">
        <f>IF($B57="","",IF(COUNTIF('Competency Event Log'!$U$4:$U$803,$B57&amp;"|"&amp;Q$5)=0,"",SUMIF('Competency Event Log'!$U$4:$U$803,$B57&amp;"|"&amp;Q$5,'Competency Event Log'!$D$4:$D$803)))</f>
        <v/>
      </c>
      <c r="R57" s="8" t="str">
        <f>IF($B57="","",IF(COUNTIF('Competency Event Log'!$U$4:$U$803,$B57&amp;"|"&amp;R$5)=0,"",SUMIF('Competency Event Log'!$U$4:$U$803,$B57&amp;"|"&amp;R$5,'Competency Event Log'!$D$4:$D$803)))</f>
        <v/>
      </c>
      <c r="S57" s="8" t="str">
        <f>IF($B57="","",IF(COUNTIF('Competency Event Log'!$U$4:$U$803,$B57&amp;"|"&amp;S$5)=0,"",SUMIF('Competency Event Log'!$U$4:$U$803,$B57&amp;"|"&amp;S$5,'Competency Event Log'!$D$4:$D$803)))</f>
        <v/>
      </c>
      <c r="T57" s="8" t="str">
        <f>IF($B57="","",IF(COUNTIF('Competency Event Log'!$U$4:$U$803,$B57&amp;"|"&amp;T$5)=0,"",SUMIF('Competency Event Log'!$U$4:$U$803,$B57&amp;"|"&amp;T$5,'Competency Event Log'!$D$4:$D$803)))</f>
        <v/>
      </c>
      <c r="U57" s="8" t="str">
        <f>IF($B57="","",IF(COUNTIF('Competency Event Log'!$U$4:$U$803,$B57&amp;"|"&amp;U$5)=0,"",SUMIF('Competency Event Log'!$U$4:$U$803,$B57&amp;"|"&amp;U$5,'Competency Event Log'!$D$4:$D$803)))</f>
        <v/>
      </c>
      <c r="V57" s="8" t="str">
        <f>IF($B57="","",IF(COUNTIF('Competency Event Log'!$U$4:$U$803,$B57&amp;"|"&amp;V$5)=0,"",SUMIF('Competency Event Log'!$U$4:$U$803,$B57&amp;"|"&amp;V$5,'Competency Event Log'!$D$4:$D$803)))</f>
        <v/>
      </c>
      <c r="W57" s="8" t="str">
        <f>IF($B57="","",IF(COUNTIF('Competency Event Log'!$U$4:$U$803,$B57&amp;"|"&amp;W$5)=0,"",SUMIF('Competency Event Log'!$U$4:$U$803,$B57&amp;"|"&amp;W$5,'Competency Event Log'!$D$4:$D$803)))</f>
        <v/>
      </c>
      <c r="X57" s="8" t="str">
        <f>IF($B57="","",IF(COUNTIF('Competency Event Log'!$U$4:$U$803,$B57&amp;"|"&amp;X$5)=0,"",SUMIF('Competency Event Log'!$U$4:$U$803,$B57&amp;"|"&amp;X$5,'Competency Event Log'!$D$4:$D$803)))</f>
        <v/>
      </c>
      <c r="Y57" s="8" t="str">
        <f>IF($B57="","",IF(COUNTIF('Competency Event Log'!$U$4:$U$803,$B57&amp;"|"&amp;Y$5)=0,"",SUMIF('Competency Event Log'!$U$4:$U$803,$B57&amp;"|"&amp;Y$5,'Competency Event Log'!$D$4:$D$803)))</f>
        <v/>
      </c>
      <c r="Z57" s="8" t="str">
        <f>IF($B57="","",IF(COUNTIF('Competency Event Log'!$U$4:$U$803,$B57&amp;"|"&amp;Z$5)=0,"",SUMIF('Competency Event Log'!$U$4:$U$803,$B57&amp;"|"&amp;Z$5,'Competency Event Log'!$D$4:$D$803)))</f>
        <v/>
      </c>
      <c r="AA57" s="8" t="str">
        <f>IF($B57="","",IF(COUNTIF('Competency Event Log'!$U$4:$U$803,$B57&amp;"|"&amp;AA$5)=0,"",SUMIF('Competency Event Log'!$U$4:$U$803,$B57&amp;"|"&amp;AA$5,'Competency Event Log'!$D$4:$D$803)))</f>
        <v/>
      </c>
      <c r="AB57" s="8" t="str">
        <f>IF($B57="","",IF(COUNTIF('Competency Event Log'!$U$4:$U$803,$B57&amp;"|"&amp;AB$5)=0,"",SUMIF('Competency Event Log'!$U$4:$U$803,$B57&amp;"|"&amp;AB$5,'Competency Event Log'!$D$4:$D$803)))</f>
        <v/>
      </c>
      <c r="AC57" s="8" t="str">
        <f>IF($B57="","",IF(COUNTIF('Competency Event Log'!$U$4:$U$803,$B57&amp;"|"&amp;AC$5)=0,"",SUMIF('Competency Event Log'!$U$4:$U$803,$B57&amp;"|"&amp;AC$5,'Competency Event Log'!$D$4:$D$803)))</f>
        <v/>
      </c>
      <c r="AD57" s="8" t="str">
        <f>IF($B57="","",IF(COUNTIF('Competency Event Log'!$U$4:$U$803,$B57&amp;"|"&amp;AD$5)=0,"",SUMIF('Competency Event Log'!$U$4:$U$803,$B57&amp;"|"&amp;AD$5,'Competency Event Log'!$D$4:$D$803)))</f>
        <v/>
      </c>
      <c r="AE57" s="8" t="str">
        <f>IF($B57="","",IF(COUNTIF('Competency Event Log'!$U$4:$U$803,$B57&amp;"|"&amp;AE$5)=0,"",SUMIF('Competency Event Log'!$U$4:$U$803,$B57&amp;"|"&amp;AE$5,'Competency Event Log'!$D$4:$D$803)))</f>
        <v/>
      </c>
      <c r="AF57" s="8" t="str">
        <f>IF($B57="","",IF(COUNTIF('Competency Event Log'!$U$4:$U$803,$B57&amp;"|"&amp;AF$5)=0,"",SUMIF('Competency Event Log'!$U$4:$U$803,$B57&amp;"|"&amp;AF$5,'Competency Event Log'!$D$4:$D$803)))</f>
        <v/>
      </c>
      <c r="AG57" s="8" t="str">
        <f>IF($B57="","",IF(COUNTIF('Competency Event Log'!$U$4:$U$803,$B57&amp;"|"&amp;AG$5)=0,"",SUMIF('Competency Event Log'!$U$4:$U$803,$B57&amp;"|"&amp;AG$5,'Competency Event Log'!$D$4:$D$803)))</f>
        <v/>
      </c>
      <c r="AH57" s="8" t="str">
        <f>IF($B57="","",IF(COUNTIF('Competency Event Log'!$U$4:$U$803,$B57&amp;"|"&amp;AH$5)=0,"",SUMIF('Competency Event Log'!$U$4:$U$803,$B57&amp;"|"&amp;AH$5,'Competency Event Log'!$D$4:$D$803)))</f>
        <v/>
      </c>
      <c r="AI57" s="8" t="str">
        <f>IF($B57="","",IF(COUNTIF('Competency Event Log'!$U$4:$U$803,$B57&amp;"|"&amp;AI$5)=0,"",SUMIF('Competency Event Log'!$U$4:$U$803,$B57&amp;"|"&amp;AI$5,'Competency Event Log'!$D$4:$D$803)))</f>
        <v/>
      </c>
      <c r="AJ57" s="8" t="str">
        <f>IF($B57="","",IF(COUNTIF('Competency Event Log'!$U$4:$U$803,$B57&amp;"|"&amp;AJ$5)=0,"",SUMIF('Competency Event Log'!$U$4:$U$803,$B57&amp;"|"&amp;AJ$5,'Competency Event Log'!$D$4:$D$803)))</f>
        <v/>
      </c>
      <c r="AK57" s="8" t="str">
        <f>IF($B57="","",IF(COUNTIF('Competency Event Log'!$U$4:$U$803,$B57&amp;"|"&amp;AK$5)=0,"",SUMIF('Competency Event Log'!$U$4:$U$803,$B57&amp;"|"&amp;AK$5,'Competency Event Log'!$D$4:$D$803)))</f>
        <v/>
      </c>
      <c r="AL57" s="8" t="str">
        <f>IF($B57="","",IF(COUNTIF('Competency Event Log'!$U$4:$U$803,$B57&amp;"|"&amp;AL$5)=0,"",SUMIF('Competency Event Log'!$U$4:$U$803,$B57&amp;"|"&amp;AL$5,'Competency Event Log'!$D$4:$D$803)))</f>
        <v/>
      </c>
      <c r="AM57" s="8" t="str">
        <f>IF($B57="","",IF(COUNTIF('Competency Event Log'!$U$4:$U$803,$B57&amp;"|"&amp;AM$5)=0,"",SUMIF('Competency Event Log'!$U$4:$U$803,$B57&amp;"|"&amp;AM$5,'Competency Event Log'!$D$4:$D$803)))</f>
        <v/>
      </c>
      <c r="AN57" s="8" t="str">
        <f>IF($B57="","",IF(COUNTIF('Competency Event Log'!$U$4:$U$803,$B57&amp;"|"&amp;AN$5)=0,"",SUMIF('Competency Event Log'!$U$4:$U$803,$B57&amp;"|"&amp;AN$5,'Competency Event Log'!$D$4:$D$803)))</f>
        <v/>
      </c>
      <c r="AO57" s="8" t="str">
        <f>IF($B57="","",IF(COUNTIF('Competency Event Log'!$U$4:$U$803,$B57&amp;"|"&amp;AO$5)=0,"",SUMIF('Competency Event Log'!$U$4:$U$803,$B57&amp;"|"&amp;AO$5,'Competency Event Log'!$D$4:$D$803)))</f>
        <v/>
      </c>
      <c r="AP57" s="8" t="str">
        <f>IF($B57="","",IF(COUNTIF('Competency Event Log'!$U$4:$U$803,$B57&amp;"|"&amp;AP$5)=0,"",SUMIF('Competency Event Log'!$U$4:$U$803,$B57&amp;"|"&amp;AP$5,'Competency Event Log'!$D$4:$D$803)))</f>
        <v/>
      </c>
      <c r="AQ57" s="8" t="str">
        <f>IF($B57="","",IF(COUNTIF('Competency Event Log'!$U$4:$U$803,$B57&amp;"|"&amp;AQ$5)=0,"",SUMIF('Competency Event Log'!$U$4:$U$803,$B57&amp;"|"&amp;AQ$5,'Competency Event Log'!$D$4:$D$803)))</f>
        <v/>
      </c>
      <c r="AR57" s="8" t="str">
        <f>IF($B57="","",IF(COUNTIF('Competency Event Log'!$U$4:$U$803,$B57&amp;"|"&amp;AR$5)=0,"",SUMIF('Competency Event Log'!$U$4:$U$803,$B57&amp;"|"&amp;AR$5,'Competency Event Log'!$D$4:$D$803)))</f>
        <v/>
      </c>
      <c r="AS57" s="8" t="str">
        <f>IF($B57="","",IF(COUNTIF('Competency Event Log'!$U$4:$U$803,$B57&amp;"|"&amp;AS$5)=0,"",SUMIF('Competency Event Log'!$U$4:$U$803,$B57&amp;"|"&amp;AS$5,'Competency Event Log'!$D$4:$D$803)))</f>
        <v/>
      </c>
      <c r="AT57" s="8" t="str">
        <f>IF($B57="","",IF(COUNTIF('Competency Event Log'!$U$4:$U$803,$B57&amp;"|"&amp;AT$5)=0,"",SUMIF('Competency Event Log'!$U$4:$U$803,$B57&amp;"|"&amp;AT$5,'Competency Event Log'!$D$4:$D$803)))</f>
        <v/>
      </c>
      <c r="AU57" s="8" t="str">
        <f>IF($B57="","",IF(COUNTIF('Competency Event Log'!$U$4:$U$803,$B57&amp;"|"&amp;AU$5)=0,"",SUMIF('Competency Event Log'!$U$4:$U$803,$B57&amp;"|"&amp;AU$5,'Competency Event Log'!$D$4:$D$803)))</f>
        <v/>
      </c>
      <c r="AV57" s="8" t="str">
        <f>IF($B57="","",IF(COUNTIF('Competency Event Log'!$U$4:$U$803,$B57&amp;"|"&amp;AV$5)=0,"",SUMIF('Competency Event Log'!$U$4:$U$803,$B57&amp;"|"&amp;AV$5,'Competency Event Log'!$D$4:$D$803)))</f>
        <v/>
      </c>
      <c r="AW57" s="8" t="str">
        <f>IF($B57="","",IF(COUNTIF('Competency Event Log'!$U$4:$U$803,$B57&amp;"|"&amp;AW$5)=0,"",SUMIF('Competency Event Log'!$U$4:$U$803,$B57&amp;"|"&amp;AW$5,'Competency Event Log'!$D$4:$D$803)))</f>
        <v/>
      </c>
      <c r="AX57" s="8" t="str">
        <f>IF($B57="","",IF(COUNTIF('Competency Event Log'!$U$4:$U$803,$B57&amp;"|"&amp;AX$5)=0,"",SUMIF('Competency Event Log'!$U$4:$U$803,$B57&amp;"|"&amp;AX$5,'Competency Event Log'!$D$4:$D$803)))</f>
        <v/>
      </c>
      <c r="AY57" s="8" t="str">
        <f>IF($B57="","",IF(COUNTIF('Competency Event Log'!$U$4:$U$803,$B57&amp;"|"&amp;AY$5)=0,"",SUMIF('Competency Event Log'!$U$4:$U$803,$B57&amp;"|"&amp;AY$5,'Competency Event Log'!$D$4:$D$803)))</f>
        <v/>
      </c>
      <c r="AZ57" s="8" t="str">
        <f>IF($B57="","",IF(COUNTIF('Competency Event Log'!$U$4:$U$803,$B57&amp;"|"&amp;AZ$5)=0,"",SUMIF('Competency Event Log'!$U$4:$U$803,$B57&amp;"|"&amp;AZ$5,'Competency Event Log'!$D$4:$D$803)))</f>
        <v/>
      </c>
      <c r="BA57" s="8" t="str">
        <f>IF($B57="","",IF(COUNTIF('Competency Event Log'!$U$4:$U$803,$B57&amp;"|"&amp;BA$5)=0,"",SUMIF('Competency Event Log'!$U$4:$U$803,$B57&amp;"|"&amp;BA$5,'Competency Event Log'!$D$4:$D$803)))</f>
        <v/>
      </c>
      <c r="BB57" s="8" t="str">
        <f>IF($B57="","",IF(COUNTIF('Competency Event Log'!$U$4:$U$803,$B57&amp;"|"&amp;BB$5)=0,"",SUMIF('Competency Event Log'!$U$4:$U$803,$B57&amp;"|"&amp;BB$5,'Competency Event Log'!$D$4:$D$803)))</f>
        <v/>
      </c>
      <c r="BC57" s="8" t="str">
        <f>IF($B57="","",IF(COUNTIF('Competency Event Log'!$U$4:$U$803,$B57&amp;"|"&amp;BC$5)=0,"",SUMIF('Competency Event Log'!$U$4:$U$803,$B57&amp;"|"&amp;BC$5,'Competency Event Log'!$D$4:$D$803)))</f>
        <v/>
      </c>
      <c r="BD57" s="8" t="str">
        <f>IF($B57="","",IF(COUNTIF('Competency Event Log'!$U$4:$U$803,$B57&amp;"|"&amp;BD$5)=0,"",SUMIF('Competency Event Log'!$U$4:$U$803,$B57&amp;"|"&amp;BD$5,'Competency Event Log'!$D$4:$D$803)))</f>
        <v/>
      </c>
      <c r="BE57" s="8" t="str">
        <f>IF($B57="","",IF(COUNTIF('Competency Event Log'!$U$4:$U$803,$B57&amp;"|"&amp;BE$5)=0,"",SUMIF('Competency Event Log'!$U$4:$U$803,$B57&amp;"|"&amp;BE$5,'Competency Event Log'!$D$4:$D$803)))</f>
        <v/>
      </c>
      <c r="BF57" s="8" t="str">
        <f>IF($B57="","",IF(COUNTIF('Competency Event Log'!$U$4:$U$803,$B57&amp;"|"&amp;BF$5)=0,"",SUMIF('Competency Event Log'!$U$4:$U$803,$B57&amp;"|"&amp;BF$5,'Competency Event Log'!$D$4:$D$803)))</f>
        <v/>
      </c>
      <c r="BG57" s="8" t="str">
        <f>IF($B57="","",IF(COUNTIF('Competency Event Log'!$U$4:$U$803,$B57&amp;"|"&amp;BG$5)=0,"",SUMIF('Competency Event Log'!$U$4:$U$803,$B57&amp;"|"&amp;BG$5,'Competency Event Log'!$D$4:$D$803)))</f>
        <v/>
      </c>
      <c r="BH57" s="8" t="str">
        <f>IF($B57="","",IF(COUNTIF('Competency Event Log'!$U$4:$U$803,$B57&amp;"|"&amp;BH$5)=0,"",SUMIF('Competency Event Log'!$U$4:$U$803,$B57&amp;"|"&amp;BH$5,'Competency Event Log'!$D$4:$D$803)))</f>
        <v/>
      </c>
      <c r="BI57" s="8" t="str">
        <f>IF($B57="","",IF(COUNTIF('Competency Event Log'!$U$4:$U$803,$B57&amp;"|"&amp;BI$5)=0,"",SUMIF('Competency Event Log'!$U$4:$U$803,$B57&amp;"|"&amp;BI$5,'Competency Event Log'!$D$4:$D$803)))</f>
        <v/>
      </c>
      <c r="BJ57" s="8" t="str">
        <f>IF($B57="","",IF(COUNTIF('Competency Event Log'!$U$4:$U$803,$B57&amp;"|"&amp;BJ$5)=0,"",SUMIF('Competency Event Log'!$U$4:$U$803,$B57&amp;"|"&amp;BJ$5,'Competency Event Log'!$D$4:$D$803)))</f>
        <v/>
      </c>
      <c r="BK57" s="8" t="str">
        <f>IF($B57="","",IF(COUNTIF('Competency Event Log'!$U$4:$U$803,$B57&amp;"|"&amp;BK$5)=0,"",SUMIF('Competency Event Log'!$U$4:$U$803,$B57&amp;"|"&amp;BK$5,'Competency Event Log'!$D$4:$D$803)))</f>
        <v/>
      </c>
      <c r="BL57" s="8" t="str">
        <f>IF($B57="","",IF(COUNTIF('Competency Event Log'!$U$4:$U$803,$B57&amp;"|"&amp;BL$5)=0,"",SUMIF('Competency Event Log'!$U$4:$U$803,$B57&amp;"|"&amp;BL$5,'Competency Event Log'!$D$4:$D$803)))</f>
        <v/>
      </c>
      <c r="BM57" s="8" t="str">
        <f>IF($B57="","",IF(COUNTIF('Competency Event Log'!$U$4:$U$803,$B57&amp;"|"&amp;BM$5)=0,"",SUMIF('Competency Event Log'!$U$4:$U$803,$B57&amp;"|"&amp;BM$5,'Competency Event Log'!$D$4:$D$803)))</f>
        <v/>
      </c>
      <c r="BN57" s="8" t="str">
        <f>IF($B57="","",IF(COUNTIF('Competency Event Log'!$U$4:$U$803,$B57&amp;"|"&amp;BN$5)=0,"",SUMIF('Competency Event Log'!$U$4:$U$803,$B57&amp;"|"&amp;BN$5,'Competency Event Log'!$D$4:$D$803)))</f>
        <v/>
      </c>
      <c r="BO57" s="8" t="str">
        <f>IF($B57="","",IF(COUNTIF('Competency Event Log'!$U$4:$U$803,$B57&amp;"|"&amp;BO$5)=0,"",SUMIF('Competency Event Log'!$U$4:$U$803,$B57&amp;"|"&amp;BO$5,'Competency Event Log'!$D$4:$D$803)))</f>
        <v/>
      </c>
      <c r="BP57" s="8" t="str">
        <f>IF($B57="","",IF(COUNTIF('Competency Event Log'!$U$4:$U$803,$B57&amp;"|"&amp;BP$5)=0,"",SUMIF('Competency Event Log'!$U$4:$U$803,$B57&amp;"|"&amp;BP$5,'Competency Event Log'!$D$4:$D$803)))</f>
        <v/>
      </c>
      <c r="BQ57" s="8" t="str">
        <f>IF($B57="","",IF(COUNTIF('Competency Event Log'!$U$4:$U$803,$B57&amp;"|"&amp;BQ$5)=0,"",SUMIF('Competency Event Log'!$U$4:$U$803,$B57&amp;"|"&amp;BQ$5,'Competency Event Log'!$D$4:$D$803)))</f>
        <v/>
      </c>
      <c r="BR57" s="8" t="str">
        <f>IF($B57="","",IF(COUNTIF('Competency Event Log'!$U$4:$U$803,$B57&amp;"|"&amp;BR$5)=0,"",SUMIF('Competency Event Log'!$U$4:$U$803,$B57&amp;"|"&amp;BR$5,'Competency Event Log'!$D$4:$D$803)))</f>
        <v/>
      </c>
      <c r="BS57" s="8" t="str">
        <f>IF($B57="","",IF(COUNTIF('Competency Event Log'!$U$4:$U$803,$B57&amp;"|"&amp;BS$5)=0,"",SUMIF('Competency Event Log'!$U$4:$U$803,$B57&amp;"|"&amp;BS$5,'Competency Event Log'!$D$4:$D$803)))</f>
        <v/>
      </c>
      <c r="BT57" s="8" t="str">
        <f>IF($B57="","",IF(COUNTIF('Competency Event Log'!$U$4:$U$803,$B57&amp;"|"&amp;BT$5)=0,"",SUMIF('Competency Event Log'!$U$4:$U$803,$B57&amp;"|"&amp;BT$5,'Competency Event Log'!$D$4:$D$803)))</f>
        <v/>
      </c>
      <c r="BU57" s="8" t="str">
        <f>IF($B57="","",IF(COUNTIF('Competency Event Log'!$U$4:$U$803,$B57&amp;"|"&amp;BU$5)=0,"",SUMIF('Competency Event Log'!$U$4:$U$803,$B57&amp;"|"&amp;BU$5,'Competency Event Log'!$D$4:$D$803)))</f>
        <v/>
      </c>
      <c r="BV57" s="8" t="str">
        <f>IF($B57="","",IF(COUNTIF('Competency Event Log'!$U$4:$U$803,$B57&amp;"|"&amp;BV$5)=0,"",SUMIF('Competency Event Log'!$U$4:$U$803,$B57&amp;"|"&amp;BV$5,'Competency Event Log'!$D$4:$D$803)))</f>
        <v/>
      </c>
      <c r="BW57" s="8" t="str">
        <f>IF($B57="","",IF(COUNTIF('Competency Event Log'!$U$4:$U$803,$B57&amp;"|"&amp;BW$5)=0,"",SUMIF('Competency Event Log'!$U$4:$U$803,$B57&amp;"|"&amp;BW$5,'Competency Event Log'!$D$4:$D$803)))</f>
        <v/>
      </c>
      <c r="BX57" s="8" t="str">
        <f>IF($B57="","",IF(COUNTIF('Competency Event Log'!$U$4:$U$803,$B57&amp;"|"&amp;BX$5)=0,"",SUMIF('Competency Event Log'!$U$4:$U$803,$B57&amp;"|"&amp;BX$5,'Competency Event Log'!$D$4:$D$803)))</f>
        <v/>
      </c>
      <c r="BY57" s="8" t="str">
        <f>IF($B57="","",IF(COUNTIF('Competency Event Log'!$U$4:$U$803,$B57&amp;"|"&amp;BY$5)=0,"",SUMIF('Competency Event Log'!$U$4:$U$803,$B57&amp;"|"&amp;BY$5,'Competency Event Log'!$D$4:$D$803)))</f>
        <v/>
      </c>
      <c r="BZ57" s="8" t="str">
        <f>IF($B57="","",IF(COUNTIF('Competency Event Log'!$U$4:$U$803,$B57&amp;"|"&amp;BZ$5)=0,"",SUMIF('Competency Event Log'!$U$4:$U$803,$B57&amp;"|"&amp;BZ$5,'Competency Event Log'!$D$4:$D$803)))</f>
        <v/>
      </c>
      <c r="CA57" s="8" t="str">
        <f>IF($B57="","",IF(COUNTIF('Competency Event Log'!$U$4:$U$803,$B57&amp;"|"&amp;CA$5)=0,"",SUMIF('Competency Event Log'!$U$4:$U$803,$B57&amp;"|"&amp;CA$5,'Competency Event Log'!$D$4:$D$803)))</f>
        <v/>
      </c>
      <c r="CB57" s="8" t="str">
        <f>IF($B57="","",IF(COUNTIF('Competency Event Log'!$U$4:$U$803,$B57&amp;"|"&amp;CB$5)=0,"",SUMIF('Competency Event Log'!$U$4:$U$803,$B57&amp;"|"&amp;CB$5,'Competency Event Log'!$D$4:$D$803)))</f>
        <v/>
      </c>
      <c r="CC57" s="8" t="str">
        <f>IF($B57="","",IF(COUNTIF('Competency Event Log'!$U$4:$U$803,$B57&amp;"|"&amp;CC$5)=0,"",SUMIF('Competency Event Log'!$U$4:$U$803,$B57&amp;"|"&amp;CC$5,'Competency Event Log'!$D$4:$D$803)))</f>
        <v/>
      </c>
      <c r="CD57" s="8" t="str">
        <f>IF($B57="","",IF(COUNTIF('Competency Event Log'!$U$4:$U$803,$B57&amp;"|"&amp;CD$5)=0,"",SUMIF('Competency Event Log'!$U$4:$U$803,$B57&amp;"|"&amp;CD$5,'Competency Event Log'!$D$4:$D$803)))</f>
        <v/>
      </c>
      <c r="CE57" s="8" t="str">
        <f>IF($B57="","",IF(COUNTIF('Competency Event Log'!$U$4:$U$803,$B57&amp;"|"&amp;CE$5)=0,"",SUMIF('Competency Event Log'!$U$4:$U$803,$B57&amp;"|"&amp;CE$5,'Competency Event Log'!$D$4:$D$803)))</f>
        <v/>
      </c>
      <c r="CF57" s="8" t="str">
        <f>IF($B57="","",IF(COUNTIF('Competency Event Log'!$U$4:$U$803,$B57&amp;"|"&amp;CF$5)=0,"",SUMIF('Competency Event Log'!$U$4:$U$803,$B57&amp;"|"&amp;CF$5,'Competency Event Log'!$D$4:$D$803)))</f>
        <v/>
      </c>
      <c r="CG57" s="8" t="str">
        <f>IF($B57="","",IF(COUNTIF('Competency Event Log'!$U$4:$U$803,$B57&amp;"|"&amp;CG$5)=0,"",SUMIF('Competency Event Log'!$U$4:$U$803,$B57&amp;"|"&amp;CG$5,'Competency Event Log'!$D$4:$D$803)))</f>
        <v/>
      </c>
      <c r="CH57" s="8" t="str">
        <f>IF($B57="","",IF(COUNTIF('Competency Event Log'!$U$4:$U$803,$B57&amp;"|"&amp;CH$5)=0,"",SUMIF('Competency Event Log'!$U$4:$U$803,$B57&amp;"|"&amp;CH$5,'Competency Event Log'!$D$4:$D$803)))</f>
        <v/>
      </c>
      <c r="CI57" s="8" t="str">
        <f>IF($B57="","",IF(COUNTIF('Competency Event Log'!$U$4:$U$803,$B57&amp;"|"&amp;CI$5)=0,"",SUMIF('Competency Event Log'!$U$4:$U$803,$B57&amp;"|"&amp;CI$5,'Competency Event Log'!$D$4:$D$803)))</f>
        <v/>
      </c>
      <c r="CJ57" s="8" t="str">
        <f>IF($B57="","",IF(COUNTIF('Competency Event Log'!$U$4:$U$803,$B57&amp;"|"&amp;CJ$5)=0,"",SUMIF('Competency Event Log'!$U$4:$U$803,$B57&amp;"|"&amp;CJ$5,'Competency Event Log'!$D$4:$D$803)))</f>
        <v/>
      </c>
      <c r="CK57" s="8" t="str">
        <f>IF($B57="","",IF(COUNTIF('Competency Event Log'!$U$4:$U$803,$B57&amp;"|"&amp;CK$5)=0,"",SUMIF('Competency Event Log'!$U$4:$U$803,$B57&amp;"|"&amp;CK$5,'Competency Event Log'!$D$4:$D$803)))</f>
        <v/>
      </c>
      <c r="CL57" s="8" t="str">
        <f>IF($B57="","",IF(COUNTIF('Competency Event Log'!$U$4:$U$803,$B57&amp;"|"&amp;CL$5)=0,"",SUMIF('Competency Event Log'!$U$4:$U$803,$B57&amp;"|"&amp;CL$5,'Competency Event Log'!$D$4:$D$803)))</f>
        <v/>
      </c>
      <c r="CM57" s="8" t="str">
        <f>IF($B57="","",IF(COUNTIF('Competency Event Log'!$U$4:$U$803,$B57&amp;"|"&amp;CM$5)=0,"",SUMIF('Competency Event Log'!$U$4:$U$803,$B57&amp;"|"&amp;CM$5,'Competency Event Log'!$D$4:$D$803)))</f>
        <v/>
      </c>
      <c r="CN57" s="8" t="str">
        <f>IF($B57="","",IF(COUNTIF('Competency Event Log'!$U$4:$U$803,$B57&amp;"|"&amp;CN$5)=0,"",SUMIF('Competency Event Log'!$U$4:$U$803,$B57&amp;"|"&amp;CN$5,'Competency Event Log'!$D$4:$D$803)))</f>
        <v/>
      </c>
      <c r="CO57" s="8" t="str">
        <f>IF($B57="","",IF(COUNTIF('Competency Event Log'!$U$4:$U$803,$B57&amp;"|"&amp;CO$5)=0,"",SUMIF('Competency Event Log'!$U$4:$U$803,$B57&amp;"|"&amp;CO$5,'Competency Event Log'!$D$4:$D$803)))</f>
        <v/>
      </c>
      <c r="CP57" s="8" t="str">
        <f>IF($B57="","",IF(COUNTIF('Competency Event Log'!$U$4:$U$803,$B57&amp;"|"&amp;CP$5)=0,"",SUMIF('Competency Event Log'!$U$4:$U$803,$B57&amp;"|"&amp;CP$5,'Competency Event Log'!$D$4:$D$803)))</f>
        <v/>
      </c>
      <c r="CQ57" s="8" t="str">
        <f>IF($B57="","",IF(COUNTIF('Competency Event Log'!$U$4:$U$803,$B57&amp;"|"&amp;CQ$5)=0,"",SUMIF('Competency Event Log'!$U$4:$U$803,$B57&amp;"|"&amp;CQ$5,'Competency Event Log'!$D$4:$D$803)))</f>
        <v/>
      </c>
      <c r="CR57" s="8" t="str">
        <f>IF($B57="","",IF(COUNTIF('Competency Event Log'!$U$4:$U$803,$B57&amp;"|"&amp;CR$5)=0,"",SUMIF('Competency Event Log'!$U$4:$U$803,$B57&amp;"|"&amp;CR$5,'Competency Event Log'!$D$4:$D$803)))</f>
        <v/>
      </c>
      <c r="CS57" s="8" t="str">
        <f>IF($B57="","",IF(COUNTIF('Competency Event Log'!$U$4:$U$803,$B57&amp;"|"&amp;CS$5)=0,"",SUMIF('Competency Event Log'!$U$4:$U$803,$B57&amp;"|"&amp;CS$5,'Competency Event Log'!$D$4:$D$803)))</f>
        <v/>
      </c>
      <c r="CT57" s="8" t="str">
        <f>IF($B57="","",IF(COUNTIF('Competency Event Log'!$U$4:$U$803,$B57&amp;"|"&amp;CT$5)=0,"",SUMIF('Competency Event Log'!$U$4:$U$803,$B57&amp;"|"&amp;CT$5,'Competency Event Log'!$D$4:$D$803)))</f>
        <v/>
      </c>
      <c r="CU57" s="8" t="str">
        <f>IF($B57="","",IF(COUNTIF('Competency Event Log'!$U$4:$U$803,$B57&amp;"|"&amp;CU$5)=0,"",SUMIF('Competency Event Log'!$U$4:$U$803,$B57&amp;"|"&amp;CU$5,'Competency Event Log'!$D$4:$D$803)))</f>
        <v/>
      </c>
      <c r="CV57" s="8" t="str">
        <f>IF($B57="","",IF(COUNTIF('Competency Event Log'!$U$4:$U$803,$B57&amp;"|"&amp;CV$5)=0,"",SUMIF('Competency Event Log'!$U$4:$U$803,$B57&amp;"|"&amp;CV$5,'Competency Event Log'!$D$4:$D$803)))</f>
        <v/>
      </c>
      <c r="CW57" s="8" t="str">
        <f>IF($B57="","",IF(COUNTIF('Competency Event Log'!$U$4:$U$803,$B57&amp;"|"&amp;CW$5)=0,"",SUMIF('Competency Event Log'!$U$4:$U$803,$B57&amp;"|"&amp;CW$5,'Competency Event Log'!$D$4:$D$803)))</f>
        <v/>
      </c>
      <c r="CX57" s="8" t="str">
        <f>IF($B57="","",IF(COUNTIF('Competency Event Log'!$U$4:$U$803,$B57&amp;"|"&amp;CX$5)=0,"",SUMIF('Competency Event Log'!$U$4:$U$803,$B57&amp;"|"&amp;CX$5,'Competency Event Log'!$D$4:$D$803)))</f>
        <v/>
      </c>
      <c r="CY57" s="8" t="str">
        <f>IF($B57="","",IF(COUNTIF('Competency Event Log'!$U$4:$U$803,$B57&amp;"|"&amp;CY$5)=0,"",SUMIF('Competency Event Log'!$U$4:$U$803,$B57&amp;"|"&amp;CY$5,'Competency Event Log'!$D$4:$D$803)))</f>
        <v/>
      </c>
      <c r="CZ57" s="8" t="str">
        <f>IF($B57="","",IF(COUNTIF('Competency Event Log'!$U$4:$U$803,$B57&amp;"|"&amp;CZ$5)=0,"",SUMIF('Competency Event Log'!$U$4:$U$803,$B57&amp;"|"&amp;CZ$5,'Competency Event Log'!$D$4:$D$803)))</f>
        <v/>
      </c>
      <c r="DA57" s="8" t="str">
        <f>IF($B57="","",IF(COUNTIF('Competency Event Log'!$U$4:$U$803,$B57&amp;"|"&amp;DA$5)=0,"",SUMIF('Competency Event Log'!$U$4:$U$803,$B57&amp;"|"&amp;DA$5,'Competency Event Log'!$D$4:$D$803)))</f>
        <v/>
      </c>
      <c r="DB57" s="8" t="str">
        <f>IF($B57="","",IF(COUNTIF('Competency Event Log'!$U$4:$U$803,$B57&amp;"|"&amp;DB$5)=0,"",SUMIF('Competency Event Log'!$U$4:$U$803,$B57&amp;"|"&amp;DB$5,'Competency Event Log'!$D$4:$D$803)))</f>
        <v/>
      </c>
      <c r="DC57" s="8" t="str">
        <f>IF($B57="","",IF(COUNTIF('Competency Event Log'!$U$4:$U$803,$B57&amp;"|"&amp;DC$5)=0,"",SUMIF('Competency Event Log'!$U$4:$U$803,$B57&amp;"|"&amp;DC$5,'Competency Event Log'!$D$4:$D$803)))</f>
        <v/>
      </c>
      <c r="DD57" s="8" t="str">
        <f>IF($B57="","",IF(COUNTIF('Competency Event Log'!$U$4:$U$803,$B57&amp;"|"&amp;DD$5)=0,"",SUMIF('Competency Event Log'!$U$4:$U$803,$B57&amp;"|"&amp;DD$5,'Competency Event Log'!$D$4:$D$803)))</f>
        <v/>
      </c>
      <c r="DE57" s="8" t="str">
        <f>IF($B57="","",IF(COUNTIF('Competency Event Log'!$U$4:$U$803,$B57&amp;"|"&amp;DE$5)=0,"",SUMIF('Competency Event Log'!$U$4:$U$803,$B57&amp;"|"&amp;DE$5,'Competency Event Log'!$D$4:$D$803)))</f>
        <v/>
      </c>
      <c r="DF57" s="8" t="str">
        <f t="shared" si="4"/>
        <v/>
      </c>
      <c r="DG57" s="8" t="str">
        <f t="shared" si="5"/>
        <v/>
      </c>
      <c r="DH57" s="8" t="str">
        <f t="shared" si="6"/>
        <v/>
      </c>
      <c r="DI57" s="11" t="str">
        <f t="shared" si="7"/>
        <v/>
      </c>
    </row>
    <row r="58" spans="1:113">
      <c r="A58" s="7"/>
      <c r="B58" s="7"/>
      <c r="C58" s="8"/>
      <c r="D58" s="9"/>
      <c r="E58" s="10"/>
      <c r="F58" s="8"/>
      <c r="G58" s="8" t="str">
        <f>IF($B58="","",IF(COUNTIF('Competency Event Log'!$U$4:$U$803,$B58&amp;"|"&amp;G$5)=0,"",SUMIF('Competency Event Log'!$U$4:$U$803,$B58&amp;"|"&amp;G$5,'Competency Event Log'!$D$4:$D$803)))</f>
        <v/>
      </c>
      <c r="H58" s="8" t="str">
        <f>IF($B58="","",IF(COUNTIF('Competency Event Log'!$U$4:$U$803,$B58&amp;"|"&amp;H$5)=0,"",SUMIF('Competency Event Log'!$U$4:$U$803,$B58&amp;"|"&amp;H$5,'Competency Event Log'!$D$4:$D$803)))</f>
        <v/>
      </c>
      <c r="I58" s="8" t="str">
        <f>IF($B58="","",IF(COUNTIF('Competency Event Log'!$U$4:$U$803,$B58&amp;"|"&amp;I$5)=0,"",SUMIF('Competency Event Log'!$U$4:$U$803,$B58&amp;"|"&amp;I$5,'Competency Event Log'!$D$4:$D$803)))</f>
        <v/>
      </c>
      <c r="J58" s="8" t="str">
        <f>IF($B58="","",IF(COUNTIF('Competency Event Log'!$U$4:$U$803,$B58&amp;"|"&amp;J$5)=0,"",SUMIF('Competency Event Log'!$U$4:$U$803,$B58&amp;"|"&amp;J$5,'Competency Event Log'!$D$4:$D$803)))</f>
        <v/>
      </c>
      <c r="K58" s="8" t="str">
        <f>IF($B58="","",IF(COUNTIF('Competency Event Log'!$U$4:$U$803,$B58&amp;"|"&amp;K$5)=0,"",SUMIF('Competency Event Log'!$U$4:$U$803,$B58&amp;"|"&amp;K$5,'Competency Event Log'!$D$4:$D$803)))</f>
        <v/>
      </c>
      <c r="L58" s="8" t="str">
        <f>IF($B58="","",IF(COUNTIF('Competency Event Log'!$U$4:$U$803,$B58&amp;"|"&amp;L$5)=0,"",SUMIF('Competency Event Log'!$U$4:$U$803,$B58&amp;"|"&amp;L$5,'Competency Event Log'!$D$4:$D$803)))</f>
        <v/>
      </c>
      <c r="M58" s="8" t="str">
        <f>IF($B58="","",IF(COUNTIF('Competency Event Log'!$U$4:$U$803,$B58&amp;"|"&amp;M$5)=0,"",SUMIF('Competency Event Log'!$U$4:$U$803,$B58&amp;"|"&amp;M$5,'Competency Event Log'!$D$4:$D$803)))</f>
        <v/>
      </c>
      <c r="N58" s="8" t="str">
        <f>IF($B58="","",IF(COUNTIF('Competency Event Log'!$U$4:$U$803,$B58&amp;"|"&amp;N$5)=0,"",SUMIF('Competency Event Log'!$U$4:$U$803,$B58&amp;"|"&amp;N$5,'Competency Event Log'!$D$4:$D$803)))</f>
        <v/>
      </c>
      <c r="O58" s="8" t="str">
        <f>IF($B58="","",IF(COUNTIF('Competency Event Log'!$U$4:$U$803,$B58&amp;"|"&amp;O$5)=0,"",SUMIF('Competency Event Log'!$U$4:$U$803,$B58&amp;"|"&amp;O$5,'Competency Event Log'!$D$4:$D$803)))</f>
        <v/>
      </c>
      <c r="P58" s="8" t="str">
        <f>IF($B58="","",IF(COUNTIF('Competency Event Log'!$U$4:$U$803,$B58&amp;"|"&amp;P$5)=0,"",SUMIF('Competency Event Log'!$U$4:$U$803,$B58&amp;"|"&amp;P$5,'Competency Event Log'!$D$4:$D$803)))</f>
        <v/>
      </c>
      <c r="Q58" s="8" t="str">
        <f>IF($B58="","",IF(COUNTIF('Competency Event Log'!$U$4:$U$803,$B58&amp;"|"&amp;Q$5)=0,"",SUMIF('Competency Event Log'!$U$4:$U$803,$B58&amp;"|"&amp;Q$5,'Competency Event Log'!$D$4:$D$803)))</f>
        <v/>
      </c>
      <c r="R58" s="8" t="str">
        <f>IF($B58="","",IF(COUNTIF('Competency Event Log'!$U$4:$U$803,$B58&amp;"|"&amp;R$5)=0,"",SUMIF('Competency Event Log'!$U$4:$U$803,$B58&amp;"|"&amp;R$5,'Competency Event Log'!$D$4:$D$803)))</f>
        <v/>
      </c>
      <c r="S58" s="8" t="str">
        <f>IF($B58="","",IF(COUNTIF('Competency Event Log'!$U$4:$U$803,$B58&amp;"|"&amp;S$5)=0,"",SUMIF('Competency Event Log'!$U$4:$U$803,$B58&amp;"|"&amp;S$5,'Competency Event Log'!$D$4:$D$803)))</f>
        <v/>
      </c>
      <c r="T58" s="8" t="str">
        <f>IF($B58="","",IF(COUNTIF('Competency Event Log'!$U$4:$U$803,$B58&amp;"|"&amp;T$5)=0,"",SUMIF('Competency Event Log'!$U$4:$U$803,$B58&amp;"|"&amp;T$5,'Competency Event Log'!$D$4:$D$803)))</f>
        <v/>
      </c>
      <c r="U58" s="8" t="str">
        <f>IF($B58="","",IF(COUNTIF('Competency Event Log'!$U$4:$U$803,$B58&amp;"|"&amp;U$5)=0,"",SUMIF('Competency Event Log'!$U$4:$U$803,$B58&amp;"|"&amp;U$5,'Competency Event Log'!$D$4:$D$803)))</f>
        <v/>
      </c>
      <c r="V58" s="8" t="str">
        <f>IF($B58="","",IF(COUNTIF('Competency Event Log'!$U$4:$U$803,$B58&amp;"|"&amp;V$5)=0,"",SUMIF('Competency Event Log'!$U$4:$U$803,$B58&amp;"|"&amp;V$5,'Competency Event Log'!$D$4:$D$803)))</f>
        <v/>
      </c>
      <c r="W58" s="8" t="str">
        <f>IF($B58="","",IF(COUNTIF('Competency Event Log'!$U$4:$U$803,$B58&amp;"|"&amp;W$5)=0,"",SUMIF('Competency Event Log'!$U$4:$U$803,$B58&amp;"|"&amp;W$5,'Competency Event Log'!$D$4:$D$803)))</f>
        <v/>
      </c>
      <c r="X58" s="8" t="str">
        <f>IF($B58="","",IF(COUNTIF('Competency Event Log'!$U$4:$U$803,$B58&amp;"|"&amp;X$5)=0,"",SUMIF('Competency Event Log'!$U$4:$U$803,$B58&amp;"|"&amp;X$5,'Competency Event Log'!$D$4:$D$803)))</f>
        <v/>
      </c>
      <c r="Y58" s="8" t="str">
        <f>IF($B58="","",IF(COUNTIF('Competency Event Log'!$U$4:$U$803,$B58&amp;"|"&amp;Y$5)=0,"",SUMIF('Competency Event Log'!$U$4:$U$803,$B58&amp;"|"&amp;Y$5,'Competency Event Log'!$D$4:$D$803)))</f>
        <v/>
      </c>
      <c r="Z58" s="8" t="str">
        <f>IF($B58="","",IF(COUNTIF('Competency Event Log'!$U$4:$U$803,$B58&amp;"|"&amp;Z$5)=0,"",SUMIF('Competency Event Log'!$U$4:$U$803,$B58&amp;"|"&amp;Z$5,'Competency Event Log'!$D$4:$D$803)))</f>
        <v/>
      </c>
      <c r="AA58" s="8" t="str">
        <f>IF($B58="","",IF(COUNTIF('Competency Event Log'!$U$4:$U$803,$B58&amp;"|"&amp;AA$5)=0,"",SUMIF('Competency Event Log'!$U$4:$U$803,$B58&amp;"|"&amp;AA$5,'Competency Event Log'!$D$4:$D$803)))</f>
        <v/>
      </c>
      <c r="AB58" s="8" t="str">
        <f>IF($B58="","",IF(COUNTIF('Competency Event Log'!$U$4:$U$803,$B58&amp;"|"&amp;AB$5)=0,"",SUMIF('Competency Event Log'!$U$4:$U$803,$B58&amp;"|"&amp;AB$5,'Competency Event Log'!$D$4:$D$803)))</f>
        <v/>
      </c>
      <c r="AC58" s="8" t="str">
        <f>IF($B58="","",IF(COUNTIF('Competency Event Log'!$U$4:$U$803,$B58&amp;"|"&amp;AC$5)=0,"",SUMIF('Competency Event Log'!$U$4:$U$803,$B58&amp;"|"&amp;AC$5,'Competency Event Log'!$D$4:$D$803)))</f>
        <v/>
      </c>
      <c r="AD58" s="8" t="str">
        <f>IF($B58="","",IF(COUNTIF('Competency Event Log'!$U$4:$U$803,$B58&amp;"|"&amp;AD$5)=0,"",SUMIF('Competency Event Log'!$U$4:$U$803,$B58&amp;"|"&amp;AD$5,'Competency Event Log'!$D$4:$D$803)))</f>
        <v/>
      </c>
      <c r="AE58" s="8" t="str">
        <f>IF($B58="","",IF(COUNTIF('Competency Event Log'!$U$4:$U$803,$B58&amp;"|"&amp;AE$5)=0,"",SUMIF('Competency Event Log'!$U$4:$U$803,$B58&amp;"|"&amp;AE$5,'Competency Event Log'!$D$4:$D$803)))</f>
        <v/>
      </c>
      <c r="AF58" s="8" t="str">
        <f>IF($B58="","",IF(COUNTIF('Competency Event Log'!$U$4:$U$803,$B58&amp;"|"&amp;AF$5)=0,"",SUMIF('Competency Event Log'!$U$4:$U$803,$B58&amp;"|"&amp;AF$5,'Competency Event Log'!$D$4:$D$803)))</f>
        <v/>
      </c>
      <c r="AG58" s="8" t="str">
        <f>IF($B58="","",IF(COUNTIF('Competency Event Log'!$U$4:$U$803,$B58&amp;"|"&amp;AG$5)=0,"",SUMIF('Competency Event Log'!$U$4:$U$803,$B58&amp;"|"&amp;AG$5,'Competency Event Log'!$D$4:$D$803)))</f>
        <v/>
      </c>
      <c r="AH58" s="8" t="str">
        <f>IF($B58="","",IF(COUNTIF('Competency Event Log'!$U$4:$U$803,$B58&amp;"|"&amp;AH$5)=0,"",SUMIF('Competency Event Log'!$U$4:$U$803,$B58&amp;"|"&amp;AH$5,'Competency Event Log'!$D$4:$D$803)))</f>
        <v/>
      </c>
      <c r="AI58" s="8" t="str">
        <f>IF($B58="","",IF(COUNTIF('Competency Event Log'!$U$4:$U$803,$B58&amp;"|"&amp;AI$5)=0,"",SUMIF('Competency Event Log'!$U$4:$U$803,$B58&amp;"|"&amp;AI$5,'Competency Event Log'!$D$4:$D$803)))</f>
        <v/>
      </c>
      <c r="AJ58" s="8" t="str">
        <f>IF($B58="","",IF(COUNTIF('Competency Event Log'!$U$4:$U$803,$B58&amp;"|"&amp;AJ$5)=0,"",SUMIF('Competency Event Log'!$U$4:$U$803,$B58&amp;"|"&amp;AJ$5,'Competency Event Log'!$D$4:$D$803)))</f>
        <v/>
      </c>
      <c r="AK58" s="8" t="str">
        <f>IF($B58="","",IF(COUNTIF('Competency Event Log'!$U$4:$U$803,$B58&amp;"|"&amp;AK$5)=0,"",SUMIF('Competency Event Log'!$U$4:$U$803,$B58&amp;"|"&amp;AK$5,'Competency Event Log'!$D$4:$D$803)))</f>
        <v/>
      </c>
      <c r="AL58" s="8" t="str">
        <f>IF($B58="","",IF(COUNTIF('Competency Event Log'!$U$4:$U$803,$B58&amp;"|"&amp;AL$5)=0,"",SUMIF('Competency Event Log'!$U$4:$U$803,$B58&amp;"|"&amp;AL$5,'Competency Event Log'!$D$4:$D$803)))</f>
        <v/>
      </c>
      <c r="AM58" s="8" t="str">
        <f>IF($B58="","",IF(COUNTIF('Competency Event Log'!$U$4:$U$803,$B58&amp;"|"&amp;AM$5)=0,"",SUMIF('Competency Event Log'!$U$4:$U$803,$B58&amp;"|"&amp;AM$5,'Competency Event Log'!$D$4:$D$803)))</f>
        <v/>
      </c>
      <c r="AN58" s="8" t="str">
        <f>IF($B58="","",IF(COUNTIF('Competency Event Log'!$U$4:$U$803,$B58&amp;"|"&amp;AN$5)=0,"",SUMIF('Competency Event Log'!$U$4:$U$803,$B58&amp;"|"&amp;AN$5,'Competency Event Log'!$D$4:$D$803)))</f>
        <v/>
      </c>
      <c r="AO58" s="8" t="str">
        <f>IF($B58="","",IF(COUNTIF('Competency Event Log'!$U$4:$U$803,$B58&amp;"|"&amp;AO$5)=0,"",SUMIF('Competency Event Log'!$U$4:$U$803,$B58&amp;"|"&amp;AO$5,'Competency Event Log'!$D$4:$D$803)))</f>
        <v/>
      </c>
      <c r="AP58" s="8" t="str">
        <f>IF($B58="","",IF(COUNTIF('Competency Event Log'!$U$4:$U$803,$B58&amp;"|"&amp;AP$5)=0,"",SUMIF('Competency Event Log'!$U$4:$U$803,$B58&amp;"|"&amp;AP$5,'Competency Event Log'!$D$4:$D$803)))</f>
        <v/>
      </c>
      <c r="AQ58" s="8" t="str">
        <f>IF($B58="","",IF(COUNTIF('Competency Event Log'!$U$4:$U$803,$B58&amp;"|"&amp;AQ$5)=0,"",SUMIF('Competency Event Log'!$U$4:$U$803,$B58&amp;"|"&amp;AQ$5,'Competency Event Log'!$D$4:$D$803)))</f>
        <v/>
      </c>
      <c r="AR58" s="8" t="str">
        <f>IF($B58="","",IF(COUNTIF('Competency Event Log'!$U$4:$U$803,$B58&amp;"|"&amp;AR$5)=0,"",SUMIF('Competency Event Log'!$U$4:$U$803,$B58&amp;"|"&amp;AR$5,'Competency Event Log'!$D$4:$D$803)))</f>
        <v/>
      </c>
      <c r="AS58" s="8" t="str">
        <f>IF($B58="","",IF(COUNTIF('Competency Event Log'!$U$4:$U$803,$B58&amp;"|"&amp;AS$5)=0,"",SUMIF('Competency Event Log'!$U$4:$U$803,$B58&amp;"|"&amp;AS$5,'Competency Event Log'!$D$4:$D$803)))</f>
        <v/>
      </c>
      <c r="AT58" s="8" t="str">
        <f>IF($B58="","",IF(COUNTIF('Competency Event Log'!$U$4:$U$803,$B58&amp;"|"&amp;AT$5)=0,"",SUMIF('Competency Event Log'!$U$4:$U$803,$B58&amp;"|"&amp;AT$5,'Competency Event Log'!$D$4:$D$803)))</f>
        <v/>
      </c>
      <c r="AU58" s="8" t="str">
        <f>IF($B58="","",IF(COUNTIF('Competency Event Log'!$U$4:$U$803,$B58&amp;"|"&amp;AU$5)=0,"",SUMIF('Competency Event Log'!$U$4:$U$803,$B58&amp;"|"&amp;AU$5,'Competency Event Log'!$D$4:$D$803)))</f>
        <v/>
      </c>
      <c r="AV58" s="8" t="str">
        <f>IF($B58="","",IF(COUNTIF('Competency Event Log'!$U$4:$U$803,$B58&amp;"|"&amp;AV$5)=0,"",SUMIF('Competency Event Log'!$U$4:$U$803,$B58&amp;"|"&amp;AV$5,'Competency Event Log'!$D$4:$D$803)))</f>
        <v/>
      </c>
      <c r="AW58" s="8" t="str">
        <f>IF($B58="","",IF(COUNTIF('Competency Event Log'!$U$4:$U$803,$B58&amp;"|"&amp;AW$5)=0,"",SUMIF('Competency Event Log'!$U$4:$U$803,$B58&amp;"|"&amp;AW$5,'Competency Event Log'!$D$4:$D$803)))</f>
        <v/>
      </c>
      <c r="AX58" s="8" t="str">
        <f>IF($B58="","",IF(COUNTIF('Competency Event Log'!$U$4:$U$803,$B58&amp;"|"&amp;AX$5)=0,"",SUMIF('Competency Event Log'!$U$4:$U$803,$B58&amp;"|"&amp;AX$5,'Competency Event Log'!$D$4:$D$803)))</f>
        <v/>
      </c>
      <c r="AY58" s="8" t="str">
        <f>IF($B58="","",IF(COUNTIF('Competency Event Log'!$U$4:$U$803,$B58&amp;"|"&amp;AY$5)=0,"",SUMIF('Competency Event Log'!$U$4:$U$803,$B58&amp;"|"&amp;AY$5,'Competency Event Log'!$D$4:$D$803)))</f>
        <v/>
      </c>
      <c r="AZ58" s="8" t="str">
        <f>IF($B58="","",IF(COUNTIF('Competency Event Log'!$U$4:$U$803,$B58&amp;"|"&amp;AZ$5)=0,"",SUMIF('Competency Event Log'!$U$4:$U$803,$B58&amp;"|"&amp;AZ$5,'Competency Event Log'!$D$4:$D$803)))</f>
        <v/>
      </c>
      <c r="BA58" s="8" t="str">
        <f>IF($B58="","",IF(COUNTIF('Competency Event Log'!$U$4:$U$803,$B58&amp;"|"&amp;BA$5)=0,"",SUMIF('Competency Event Log'!$U$4:$U$803,$B58&amp;"|"&amp;BA$5,'Competency Event Log'!$D$4:$D$803)))</f>
        <v/>
      </c>
      <c r="BB58" s="8" t="str">
        <f>IF($B58="","",IF(COUNTIF('Competency Event Log'!$U$4:$U$803,$B58&amp;"|"&amp;BB$5)=0,"",SUMIF('Competency Event Log'!$U$4:$U$803,$B58&amp;"|"&amp;BB$5,'Competency Event Log'!$D$4:$D$803)))</f>
        <v/>
      </c>
      <c r="BC58" s="8" t="str">
        <f>IF($B58="","",IF(COUNTIF('Competency Event Log'!$U$4:$U$803,$B58&amp;"|"&amp;BC$5)=0,"",SUMIF('Competency Event Log'!$U$4:$U$803,$B58&amp;"|"&amp;BC$5,'Competency Event Log'!$D$4:$D$803)))</f>
        <v/>
      </c>
      <c r="BD58" s="8" t="str">
        <f>IF($B58="","",IF(COUNTIF('Competency Event Log'!$U$4:$U$803,$B58&amp;"|"&amp;BD$5)=0,"",SUMIF('Competency Event Log'!$U$4:$U$803,$B58&amp;"|"&amp;BD$5,'Competency Event Log'!$D$4:$D$803)))</f>
        <v/>
      </c>
      <c r="BE58" s="8" t="str">
        <f>IF($B58="","",IF(COUNTIF('Competency Event Log'!$U$4:$U$803,$B58&amp;"|"&amp;BE$5)=0,"",SUMIF('Competency Event Log'!$U$4:$U$803,$B58&amp;"|"&amp;BE$5,'Competency Event Log'!$D$4:$D$803)))</f>
        <v/>
      </c>
      <c r="BF58" s="8" t="str">
        <f>IF($B58="","",IF(COUNTIF('Competency Event Log'!$U$4:$U$803,$B58&amp;"|"&amp;BF$5)=0,"",SUMIF('Competency Event Log'!$U$4:$U$803,$B58&amp;"|"&amp;BF$5,'Competency Event Log'!$D$4:$D$803)))</f>
        <v/>
      </c>
      <c r="BG58" s="8" t="str">
        <f>IF($B58="","",IF(COUNTIF('Competency Event Log'!$U$4:$U$803,$B58&amp;"|"&amp;BG$5)=0,"",SUMIF('Competency Event Log'!$U$4:$U$803,$B58&amp;"|"&amp;BG$5,'Competency Event Log'!$D$4:$D$803)))</f>
        <v/>
      </c>
      <c r="BH58" s="8" t="str">
        <f>IF($B58="","",IF(COUNTIF('Competency Event Log'!$U$4:$U$803,$B58&amp;"|"&amp;BH$5)=0,"",SUMIF('Competency Event Log'!$U$4:$U$803,$B58&amp;"|"&amp;BH$5,'Competency Event Log'!$D$4:$D$803)))</f>
        <v/>
      </c>
      <c r="BI58" s="8" t="str">
        <f>IF($B58="","",IF(COUNTIF('Competency Event Log'!$U$4:$U$803,$B58&amp;"|"&amp;BI$5)=0,"",SUMIF('Competency Event Log'!$U$4:$U$803,$B58&amp;"|"&amp;BI$5,'Competency Event Log'!$D$4:$D$803)))</f>
        <v/>
      </c>
      <c r="BJ58" s="8" t="str">
        <f>IF($B58="","",IF(COUNTIF('Competency Event Log'!$U$4:$U$803,$B58&amp;"|"&amp;BJ$5)=0,"",SUMIF('Competency Event Log'!$U$4:$U$803,$B58&amp;"|"&amp;BJ$5,'Competency Event Log'!$D$4:$D$803)))</f>
        <v/>
      </c>
      <c r="BK58" s="8" t="str">
        <f>IF($B58="","",IF(COUNTIF('Competency Event Log'!$U$4:$U$803,$B58&amp;"|"&amp;BK$5)=0,"",SUMIF('Competency Event Log'!$U$4:$U$803,$B58&amp;"|"&amp;BK$5,'Competency Event Log'!$D$4:$D$803)))</f>
        <v/>
      </c>
      <c r="BL58" s="8" t="str">
        <f>IF($B58="","",IF(COUNTIF('Competency Event Log'!$U$4:$U$803,$B58&amp;"|"&amp;BL$5)=0,"",SUMIF('Competency Event Log'!$U$4:$U$803,$B58&amp;"|"&amp;BL$5,'Competency Event Log'!$D$4:$D$803)))</f>
        <v/>
      </c>
      <c r="BM58" s="8" t="str">
        <f>IF($B58="","",IF(COUNTIF('Competency Event Log'!$U$4:$U$803,$B58&amp;"|"&amp;BM$5)=0,"",SUMIF('Competency Event Log'!$U$4:$U$803,$B58&amp;"|"&amp;BM$5,'Competency Event Log'!$D$4:$D$803)))</f>
        <v/>
      </c>
      <c r="BN58" s="8" t="str">
        <f>IF($B58="","",IF(COUNTIF('Competency Event Log'!$U$4:$U$803,$B58&amp;"|"&amp;BN$5)=0,"",SUMIF('Competency Event Log'!$U$4:$U$803,$B58&amp;"|"&amp;BN$5,'Competency Event Log'!$D$4:$D$803)))</f>
        <v/>
      </c>
      <c r="BO58" s="8" t="str">
        <f>IF($B58="","",IF(COUNTIF('Competency Event Log'!$U$4:$U$803,$B58&amp;"|"&amp;BO$5)=0,"",SUMIF('Competency Event Log'!$U$4:$U$803,$B58&amp;"|"&amp;BO$5,'Competency Event Log'!$D$4:$D$803)))</f>
        <v/>
      </c>
      <c r="BP58" s="8" t="str">
        <f>IF($B58="","",IF(COUNTIF('Competency Event Log'!$U$4:$U$803,$B58&amp;"|"&amp;BP$5)=0,"",SUMIF('Competency Event Log'!$U$4:$U$803,$B58&amp;"|"&amp;BP$5,'Competency Event Log'!$D$4:$D$803)))</f>
        <v/>
      </c>
      <c r="BQ58" s="8" t="str">
        <f>IF($B58="","",IF(COUNTIF('Competency Event Log'!$U$4:$U$803,$B58&amp;"|"&amp;BQ$5)=0,"",SUMIF('Competency Event Log'!$U$4:$U$803,$B58&amp;"|"&amp;BQ$5,'Competency Event Log'!$D$4:$D$803)))</f>
        <v/>
      </c>
      <c r="BR58" s="8" t="str">
        <f>IF($B58="","",IF(COUNTIF('Competency Event Log'!$U$4:$U$803,$B58&amp;"|"&amp;BR$5)=0,"",SUMIF('Competency Event Log'!$U$4:$U$803,$B58&amp;"|"&amp;BR$5,'Competency Event Log'!$D$4:$D$803)))</f>
        <v/>
      </c>
      <c r="BS58" s="8" t="str">
        <f>IF($B58="","",IF(COUNTIF('Competency Event Log'!$U$4:$U$803,$B58&amp;"|"&amp;BS$5)=0,"",SUMIF('Competency Event Log'!$U$4:$U$803,$B58&amp;"|"&amp;BS$5,'Competency Event Log'!$D$4:$D$803)))</f>
        <v/>
      </c>
      <c r="BT58" s="8" t="str">
        <f>IF($B58="","",IF(COUNTIF('Competency Event Log'!$U$4:$U$803,$B58&amp;"|"&amp;BT$5)=0,"",SUMIF('Competency Event Log'!$U$4:$U$803,$B58&amp;"|"&amp;BT$5,'Competency Event Log'!$D$4:$D$803)))</f>
        <v/>
      </c>
      <c r="BU58" s="8" t="str">
        <f>IF($B58="","",IF(COUNTIF('Competency Event Log'!$U$4:$U$803,$B58&amp;"|"&amp;BU$5)=0,"",SUMIF('Competency Event Log'!$U$4:$U$803,$B58&amp;"|"&amp;BU$5,'Competency Event Log'!$D$4:$D$803)))</f>
        <v/>
      </c>
      <c r="BV58" s="8" t="str">
        <f>IF($B58="","",IF(COUNTIF('Competency Event Log'!$U$4:$U$803,$B58&amp;"|"&amp;BV$5)=0,"",SUMIF('Competency Event Log'!$U$4:$U$803,$B58&amp;"|"&amp;BV$5,'Competency Event Log'!$D$4:$D$803)))</f>
        <v/>
      </c>
      <c r="BW58" s="8" t="str">
        <f>IF($B58="","",IF(COUNTIF('Competency Event Log'!$U$4:$U$803,$B58&amp;"|"&amp;BW$5)=0,"",SUMIF('Competency Event Log'!$U$4:$U$803,$B58&amp;"|"&amp;BW$5,'Competency Event Log'!$D$4:$D$803)))</f>
        <v/>
      </c>
      <c r="BX58" s="8" t="str">
        <f>IF($B58="","",IF(COUNTIF('Competency Event Log'!$U$4:$U$803,$B58&amp;"|"&amp;BX$5)=0,"",SUMIF('Competency Event Log'!$U$4:$U$803,$B58&amp;"|"&amp;BX$5,'Competency Event Log'!$D$4:$D$803)))</f>
        <v/>
      </c>
      <c r="BY58" s="8" t="str">
        <f>IF($B58="","",IF(COUNTIF('Competency Event Log'!$U$4:$U$803,$B58&amp;"|"&amp;BY$5)=0,"",SUMIF('Competency Event Log'!$U$4:$U$803,$B58&amp;"|"&amp;BY$5,'Competency Event Log'!$D$4:$D$803)))</f>
        <v/>
      </c>
      <c r="BZ58" s="8" t="str">
        <f>IF($B58="","",IF(COUNTIF('Competency Event Log'!$U$4:$U$803,$B58&amp;"|"&amp;BZ$5)=0,"",SUMIF('Competency Event Log'!$U$4:$U$803,$B58&amp;"|"&amp;BZ$5,'Competency Event Log'!$D$4:$D$803)))</f>
        <v/>
      </c>
      <c r="CA58" s="8" t="str">
        <f>IF($B58="","",IF(COUNTIF('Competency Event Log'!$U$4:$U$803,$B58&amp;"|"&amp;CA$5)=0,"",SUMIF('Competency Event Log'!$U$4:$U$803,$B58&amp;"|"&amp;CA$5,'Competency Event Log'!$D$4:$D$803)))</f>
        <v/>
      </c>
      <c r="CB58" s="8" t="str">
        <f>IF($B58="","",IF(COUNTIF('Competency Event Log'!$U$4:$U$803,$B58&amp;"|"&amp;CB$5)=0,"",SUMIF('Competency Event Log'!$U$4:$U$803,$B58&amp;"|"&amp;CB$5,'Competency Event Log'!$D$4:$D$803)))</f>
        <v/>
      </c>
      <c r="CC58" s="8" t="str">
        <f>IF($B58="","",IF(COUNTIF('Competency Event Log'!$U$4:$U$803,$B58&amp;"|"&amp;CC$5)=0,"",SUMIF('Competency Event Log'!$U$4:$U$803,$B58&amp;"|"&amp;CC$5,'Competency Event Log'!$D$4:$D$803)))</f>
        <v/>
      </c>
      <c r="CD58" s="8" t="str">
        <f>IF($B58="","",IF(COUNTIF('Competency Event Log'!$U$4:$U$803,$B58&amp;"|"&amp;CD$5)=0,"",SUMIF('Competency Event Log'!$U$4:$U$803,$B58&amp;"|"&amp;CD$5,'Competency Event Log'!$D$4:$D$803)))</f>
        <v/>
      </c>
      <c r="CE58" s="8" t="str">
        <f>IF($B58="","",IF(COUNTIF('Competency Event Log'!$U$4:$U$803,$B58&amp;"|"&amp;CE$5)=0,"",SUMIF('Competency Event Log'!$U$4:$U$803,$B58&amp;"|"&amp;CE$5,'Competency Event Log'!$D$4:$D$803)))</f>
        <v/>
      </c>
      <c r="CF58" s="8" t="str">
        <f>IF($B58="","",IF(COUNTIF('Competency Event Log'!$U$4:$U$803,$B58&amp;"|"&amp;CF$5)=0,"",SUMIF('Competency Event Log'!$U$4:$U$803,$B58&amp;"|"&amp;CF$5,'Competency Event Log'!$D$4:$D$803)))</f>
        <v/>
      </c>
      <c r="CG58" s="8" t="str">
        <f>IF($B58="","",IF(COUNTIF('Competency Event Log'!$U$4:$U$803,$B58&amp;"|"&amp;CG$5)=0,"",SUMIF('Competency Event Log'!$U$4:$U$803,$B58&amp;"|"&amp;CG$5,'Competency Event Log'!$D$4:$D$803)))</f>
        <v/>
      </c>
      <c r="CH58" s="8" t="str">
        <f>IF($B58="","",IF(COUNTIF('Competency Event Log'!$U$4:$U$803,$B58&amp;"|"&amp;CH$5)=0,"",SUMIF('Competency Event Log'!$U$4:$U$803,$B58&amp;"|"&amp;CH$5,'Competency Event Log'!$D$4:$D$803)))</f>
        <v/>
      </c>
      <c r="CI58" s="8" t="str">
        <f>IF($B58="","",IF(COUNTIF('Competency Event Log'!$U$4:$U$803,$B58&amp;"|"&amp;CI$5)=0,"",SUMIF('Competency Event Log'!$U$4:$U$803,$B58&amp;"|"&amp;CI$5,'Competency Event Log'!$D$4:$D$803)))</f>
        <v/>
      </c>
      <c r="CJ58" s="8" t="str">
        <f>IF($B58="","",IF(COUNTIF('Competency Event Log'!$U$4:$U$803,$B58&amp;"|"&amp;CJ$5)=0,"",SUMIF('Competency Event Log'!$U$4:$U$803,$B58&amp;"|"&amp;CJ$5,'Competency Event Log'!$D$4:$D$803)))</f>
        <v/>
      </c>
      <c r="CK58" s="8" t="str">
        <f>IF($B58="","",IF(COUNTIF('Competency Event Log'!$U$4:$U$803,$B58&amp;"|"&amp;CK$5)=0,"",SUMIF('Competency Event Log'!$U$4:$U$803,$B58&amp;"|"&amp;CK$5,'Competency Event Log'!$D$4:$D$803)))</f>
        <v/>
      </c>
      <c r="CL58" s="8" t="str">
        <f>IF($B58="","",IF(COUNTIF('Competency Event Log'!$U$4:$U$803,$B58&amp;"|"&amp;CL$5)=0,"",SUMIF('Competency Event Log'!$U$4:$U$803,$B58&amp;"|"&amp;CL$5,'Competency Event Log'!$D$4:$D$803)))</f>
        <v/>
      </c>
      <c r="CM58" s="8" t="str">
        <f>IF($B58="","",IF(COUNTIF('Competency Event Log'!$U$4:$U$803,$B58&amp;"|"&amp;CM$5)=0,"",SUMIF('Competency Event Log'!$U$4:$U$803,$B58&amp;"|"&amp;CM$5,'Competency Event Log'!$D$4:$D$803)))</f>
        <v/>
      </c>
      <c r="CN58" s="8" t="str">
        <f>IF($B58="","",IF(COUNTIF('Competency Event Log'!$U$4:$U$803,$B58&amp;"|"&amp;CN$5)=0,"",SUMIF('Competency Event Log'!$U$4:$U$803,$B58&amp;"|"&amp;CN$5,'Competency Event Log'!$D$4:$D$803)))</f>
        <v/>
      </c>
      <c r="CO58" s="8" t="str">
        <f>IF($B58="","",IF(COUNTIF('Competency Event Log'!$U$4:$U$803,$B58&amp;"|"&amp;CO$5)=0,"",SUMIF('Competency Event Log'!$U$4:$U$803,$B58&amp;"|"&amp;CO$5,'Competency Event Log'!$D$4:$D$803)))</f>
        <v/>
      </c>
      <c r="CP58" s="8" t="str">
        <f>IF($B58="","",IF(COUNTIF('Competency Event Log'!$U$4:$U$803,$B58&amp;"|"&amp;CP$5)=0,"",SUMIF('Competency Event Log'!$U$4:$U$803,$B58&amp;"|"&amp;CP$5,'Competency Event Log'!$D$4:$D$803)))</f>
        <v/>
      </c>
      <c r="CQ58" s="8" t="str">
        <f>IF($B58="","",IF(COUNTIF('Competency Event Log'!$U$4:$U$803,$B58&amp;"|"&amp;CQ$5)=0,"",SUMIF('Competency Event Log'!$U$4:$U$803,$B58&amp;"|"&amp;CQ$5,'Competency Event Log'!$D$4:$D$803)))</f>
        <v/>
      </c>
      <c r="CR58" s="8" t="str">
        <f>IF($B58="","",IF(COUNTIF('Competency Event Log'!$U$4:$U$803,$B58&amp;"|"&amp;CR$5)=0,"",SUMIF('Competency Event Log'!$U$4:$U$803,$B58&amp;"|"&amp;CR$5,'Competency Event Log'!$D$4:$D$803)))</f>
        <v/>
      </c>
      <c r="CS58" s="8" t="str">
        <f>IF($B58="","",IF(COUNTIF('Competency Event Log'!$U$4:$U$803,$B58&amp;"|"&amp;CS$5)=0,"",SUMIF('Competency Event Log'!$U$4:$U$803,$B58&amp;"|"&amp;CS$5,'Competency Event Log'!$D$4:$D$803)))</f>
        <v/>
      </c>
      <c r="CT58" s="8" t="str">
        <f>IF($B58="","",IF(COUNTIF('Competency Event Log'!$U$4:$U$803,$B58&amp;"|"&amp;CT$5)=0,"",SUMIF('Competency Event Log'!$U$4:$U$803,$B58&amp;"|"&amp;CT$5,'Competency Event Log'!$D$4:$D$803)))</f>
        <v/>
      </c>
      <c r="CU58" s="8" t="str">
        <f>IF($B58="","",IF(COUNTIF('Competency Event Log'!$U$4:$U$803,$B58&amp;"|"&amp;CU$5)=0,"",SUMIF('Competency Event Log'!$U$4:$U$803,$B58&amp;"|"&amp;CU$5,'Competency Event Log'!$D$4:$D$803)))</f>
        <v/>
      </c>
      <c r="CV58" s="8" t="str">
        <f>IF($B58="","",IF(COUNTIF('Competency Event Log'!$U$4:$U$803,$B58&amp;"|"&amp;CV$5)=0,"",SUMIF('Competency Event Log'!$U$4:$U$803,$B58&amp;"|"&amp;CV$5,'Competency Event Log'!$D$4:$D$803)))</f>
        <v/>
      </c>
      <c r="CW58" s="8" t="str">
        <f>IF($B58="","",IF(COUNTIF('Competency Event Log'!$U$4:$U$803,$B58&amp;"|"&amp;CW$5)=0,"",SUMIF('Competency Event Log'!$U$4:$U$803,$B58&amp;"|"&amp;CW$5,'Competency Event Log'!$D$4:$D$803)))</f>
        <v/>
      </c>
      <c r="CX58" s="8" t="str">
        <f>IF($B58="","",IF(COUNTIF('Competency Event Log'!$U$4:$U$803,$B58&amp;"|"&amp;CX$5)=0,"",SUMIF('Competency Event Log'!$U$4:$U$803,$B58&amp;"|"&amp;CX$5,'Competency Event Log'!$D$4:$D$803)))</f>
        <v/>
      </c>
      <c r="CY58" s="8" t="str">
        <f>IF($B58="","",IF(COUNTIF('Competency Event Log'!$U$4:$U$803,$B58&amp;"|"&amp;CY$5)=0,"",SUMIF('Competency Event Log'!$U$4:$U$803,$B58&amp;"|"&amp;CY$5,'Competency Event Log'!$D$4:$D$803)))</f>
        <v/>
      </c>
      <c r="CZ58" s="8" t="str">
        <f>IF($B58="","",IF(COUNTIF('Competency Event Log'!$U$4:$U$803,$B58&amp;"|"&amp;CZ$5)=0,"",SUMIF('Competency Event Log'!$U$4:$U$803,$B58&amp;"|"&amp;CZ$5,'Competency Event Log'!$D$4:$D$803)))</f>
        <v/>
      </c>
      <c r="DA58" s="8" t="str">
        <f>IF($B58="","",IF(COUNTIF('Competency Event Log'!$U$4:$U$803,$B58&amp;"|"&amp;DA$5)=0,"",SUMIF('Competency Event Log'!$U$4:$U$803,$B58&amp;"|"&amp;DA$5,'Competency Event Log'!$D$4:$D$803)))</f>
        <v/>
      </c>
      <c r="DB58" s="8" t="str">
        <f>IF($B58="","",IF(COUNTIF('Competency Event Log'!$U$4:$U$803,$B58&amp;"|"&amp;DB$5)=0,"",SUMIF('Competency Event Log'!$U$4:$U$803,$B58&amp;"|"&amp;DB$5,'Competency Event Log'!$D$4:$D$803)))</f>
        <v/>
      </c>
      <c r="DC58" s="8" t="str">
        <f>IF($B58="","",IF(COUNTIF('Competency Event Log'!$U$4:$U$803,$B58&amp;"|"&amp;DC$5)=0,"",SUMIF('Competency Event Log'!$U$4:$U$803,$B58&amp;"|"&amp;DC$5,'Competency Event Log'!$D$4:$D$803)))</f>
        <v/>
      </c>
      <c r="DD58" s="8" t="str">
        <f>IF($B58="","",IF(COUNTIF('Competency Event Log'!$U$4:$U$803,$B58&amp;"|"&amp;DD$5)=0,"",SUMIF('Competency Event Log'!$U$4:$U$803,$B58&amp;"|"&amp;DD$5,'Competency Event Log'!$D$4:$D$803)))</f>
        <v/>
      </c>
      <c r="DE58" s="8" t="str">
        <f>IF($B58="","",IF(COUNTIF('Competency Event Log'!$U$4:$U$803,$B58&amp;"|"&amp;DE$5)=0,"",SUMIF('Competency Event Log'!$U$4:$U$803,$B58&amp;"|"&amp;DE$5,'Competency Event Log'!$D$4:$D$803)))</f>
        <v/>
      </c>
      <c r="DF58" s="8" t="str">
        <f t="shared" si="4"/>
        <v/>
      </c>
      <c r="DG58" s="8" t="str">
        <f t="shared" si="5"/>
        <v/>
      </c>
      <c r="DH58" s="8" t="str">
        <f t="shared" si="6"/>
        <v/>
      </c>
      <c r="DI58" s="11" t="str">
        <f t="shared" si="7"/>
        <v/>
      </c>
    </row>
    <row r="59" spans="1:113">
      <c r="A59" s="7"/>
      <c r="B59" s="7"/>
      <c r="C59" s="8"/>
      <c r="D59" s="9"/>
      <c r="E59" s="10"/>
      <c r="F59" s="8"/>
      <c r="G59" s="8" t="str">
        <f>IF($B59="","",IF(COUNTIF('Competency Event Log'!$U$4:$U$803,$B59&amp;"|"&amp;G$5)=0,"",SUMIF('Competency Event Log'!$U$4:$U$803,$B59&amp;"|"&amp;G$5,'Competency Event Log'!$D$4:$D$803)))</f>
        <v/>
      </c>
      <c r="H59" s="8" t="str">
        <f>IF($B59="","",IF(COUNTIF('Competency Event Log'!$U$4:$U$803,$B59&amp;"|"&amp;H$5)=0,"",SUMIF('Competency Event Log'!$U$4:$U$803,$B59&amp;"|"&amp;H$5,'Competency Event Log'!$D$4:$D$803)))</f>
        <v/>
      </c>
      <c r="I59" s="8" t="str">
        <f>IF($B59="","",IF(COUNTIF('Competency Event Log'!$U$4:$U$803,$B59&amp;"|"&amp;I$5)=0,"",SUMIF('Competency Event Log'!$U$4:$U$803,$B59&amp;"|"&amp;I$5,'Competency Event Log'!$D$4:$D$803)))</f>
        <v/>
      </c>
      <c r="J59" s="8" t="str">
        <f>IF($B59="","",IF(COUNTIF('Competency Event Log'!$U$4:$U$803,$B59&amp;"|"&amp;J$5)=0,"",SUMIF('Competency Event Log'!$U$4:$U$803,$B59&amp;"|"&amp;J$5,'Competency Event Log'!$D$4:$D$803)))</f>
        <v/>
      </c>
      <c r="K59" s="8" t="str">
        <f>IF($B59="","",IF(COUNTIF('Competency Event Log'!$U$4:$U$803,$B59&amp;"|"&amp;K$5)=0,"",SUMIF('Competency Event Log'!$U$4:$U$803,$B59&amp;"|"&amp;K$5,'Competency Event Log'!$D$4:$D$803)))</f>
        <v/>
      </c>
      <c r="L59" s="8" t="str">
        <f>IF($B59="","",IF(COUNTIF('Competency Event Log'!$U$4:$U$803,$B59&amp;"|"&amp;L$5)=0,"",SUMIF('Competency Event Log'!$U$4:$U$803,$B59&amp;"|"&amp;L$5,'Competency Event Log'!$D$4:$D$803)))</f>
        <v/>
      </c>
      <c r="M59" s="8" t="str">
        <f>IF($B59="","",IF(COUNTIF('Competency Event Log'!$U$4:$U$803,$B59&amp;"|"&amp;M$5)=0,"",SUMIF('Competency Event Log'!$U$4:$U$803,$B59&amp;"|"&amp;M$5,'Competency Event Log'!$D$4:$D$803)))</f>
        <v/>
      </c>
      <c r="N59" s="8" t="str">
        <f>IF($B59="","",IF(COUNTIF('Competency Event Log'!$U$4:$U$803,$B59&amp;"|"&amp;N$5)=0,"",SUMIF('Competency Event Log'!$U$4:$U$803,$B59&amp;"|"&amp;N$5,'Competency Event Log'!$D$4:$D$803)))</f>
        <v/>
      </c>
      <c r="O59" s="8" t="str">
        <f>IF($B59="","",IF(COUNTIF('Competency Event Log'!$U$4:$U$803,$B59&amp;"|"&amp;O$5)=0,"",SUMIF('Competency Event Log'!$U$4:$U$803,$B59&amp;"|"&amp;O$5,'Competency Event Log'!$D$4:$D$803)))</f>
        <v/>
      </c>
      <c r="P59" s="8" t="str">
        <f>IF($B59="","",IF(COUNTIF('Competency Event Log'!$U$4:$U$803,$B59&amp;"|"&amp;P$5)=0,"",SUMIF('Competency Event Log'!$U$4:$U$803,$B59&amp;"|"&amp;P$5,'Competency Event Log'!$D$4:$D$803)))</f>
        <v/>
      </c>
      <c r="Q59" s="8" t="str">
        <f>IF($B59="","",IF(COUNTIF('Competency Event Log'!$U$4:$U$803,$B59&amp;"|"&amp;Q$5)=0,"",SUMIF('Competency Event Log'!$U$4:$U$803,$B59&amp;"|"&amp;Q$5,'Competency Event Log'!$D$4:$D$803)))</f>
        <v/>
      </c>
      <c r="R59" s="8" t="str">
        <f>IF($B59="","",IF(COUNTIF('Competency Event Log'!$U$4:$U$803,$B59&amp;"|"&amp;R$5)=0,"",SUMIF('Competency Event Log'!$U$4:$U$803,$B59&amp;"|"&amp;R$5,'Competency Event Log'!$D$4:$D$803)))</f>
        <v/>
      </c>
      <c r="S59" s="8" t="str">
        <f>IF($B59="","",IF(COUNTIF('Competency Event Log'!$U$4:$U$803,$B59&amp;"|"&amp;S$5)=0,"",SUMIF('Competency Event Log'!$U$4:$U$803,$B59&amp;"|"&amp;S$5,'Competency Event Log'!$D$4:$D$803)))</f>
        <v/>
      </c>
      <c r="T59" s="8" t="str">
        <f>IF($B59="","",IF(COUNTIF('Competency Event Log'!$U$4:$U$803,$B59&amp;"|"&amp;T$5)=0,"",SUMIF('Competency Event Log'!$U$4:$U$803,$B59&amp;"|"&amp;T$5,'Competency Event Log'!$D$4:$D$803)))</f>
        <v/>
      </c>
      <c r="U59" s="8" t="str">
        <f>IF($B59="","",IF(COUNTIF('Competency Event Log'!$U$4:$U$803,$B59&amp;"|"&amp;U$5)=0,"",SUMIF('Competency Event Log'!$U$4:$U$803,$B59&amp;"|"&amp;U$5,'Competency Event Log'!$D$4:$D$803)))</f>
        <v/>
      </c>
      <c r="V59" s="8" t="str">
        <f>IF($B59="","",IF(COUNTIF('Competency Event Log'!$U$4:$U$803,$B59&amp;"|"&amp;V$5)=0,"",SUMIF('Competency Event Log'!$U$4:$U$803,$B59&amp;"|"&amp;V$5,'Competency Event Log'!$D$4:$D$803)))</f>
        <v/>
      </c>
      <c r="W59" s="8" t="str">
        <f>IF($B59="","",IF(COUNTIF('Competency Event Log'!$U$4:$U$803,$B59&amp;"|"&amp;W$5)=0,"",SUMIF('Competency Event Log'!$U$4:$U$803,$B59&amp;"|"&amp;W$5,'Competency Event Log'!$D$4:$D$803)))</f>
        <v/>
      </c>
      <c r="X59" s="8" t="str">
        <f>IF($B59="","",IF(COUNTIF('Competency Event Log'!$U$4:$U$803,$B59&amp;"|"&amp;X$5)=0,"",SUMIF('Competency Event Log'!$U$4:$U$803,$B59&amp;"|"&amp;X$5,'Competency Event Log'!$D$4:$D$803)))</f>
        <v/>
      </c>
      <c r="Y59" s="8" t="str">
        <f>IF($B59="","",IF(COUNTIF('Competency Event Log'!$U$4:$U$803,$B59&amp;"|"&amp;Y$5)=0,"",SUMIF('Competency Event Log'!$U$4:$U$803,$B59&amp;"|"&amp;Y$5,'Competency Event Log'!$D$4:$D$803)))</f>
        <v/>
      </c>
      <c r="Z59" s="8" t="str">
        <f>IF($B59="","",IF(COUNTIF('Competency Event Log'!$U$4:$U$803,$B59&amp;"|"&amp;Z$5)=0,"",SUMIF('Competency Event Log'!$U$4:$U$803,$B59&amp;"|"&amp;Z$5,'Competency Event Log'!$D$4:$D$803)))</f>
        <v/>
      </c>
      <c r="AA59" s="8" t="str">
        <f>IF($B59="","",IF(COUNTIF('Competency Event Log'!$U$4:$U$803,$B59&amp;"|"&amp;AA$5)=0,"",SUMIF('Competency Event Log'!$U$4:$U$803,$B59&amp;"|"&amp;AA$5,'Competency Event Log'!$D$4:$D$803)))</f>
        <v/>
      </c>
      <c r="AB59" s="8" t="str">
        <f>IF($B59="","",IF(COUNTIF('Competency Event Log'!$U$4:$U$803,$B59&amp;"|"&amp;AB$5)=0,"",SUMIF('Competency Event Log'!$U$4:$U$803,$B59&amp;"|"&amp;AB$5,'Competency Event Log'!$D$4:$D$803)))</f>
        <v/>
      </c>
      <c r="AC59" s="8" t="str">
        <f>IF($B59="","",IF(COUNTIF('Competency Event Log'!$U$4:$U$803,$B59&amp;"|"&amp;AC$5)=0,"",SUMIF('Competency Event Log'!$U$4:$U$803,$B59&amp;"|"&amp;AC$5,'Competency Event Log'!$D$4:$D$803)))</f>
        <v/>
      </c>
      <c r="AD59" s="8" t="str">
        <f>IF($B59="","",IF(COUNTIF('Competency Event Log'!$U$4:$U$803,$B59&amp;"|"&amp;AD$5)=0,"",SUMIF('Competency Event Log'!$U$4:$U$803,$B59&amp;"|"&amp;AD$5,'Competency Event Log'!$D$4:$D$803)))</f>
        <v/>
      </c>
      <c r="AE59" s="8" t="str">
        <f>IF($B59="","",IF(COUNTIF('Competency Event Log'!$U$4:$U$803,$B59&amp;"|"&amp;AE$5)=0,"",SUMIF('Competency Event Log'!$U$4:$U$803,$B59&amp;"|"&amp;AE$5,'Competency Event Log'!$D$4:$D$803)))</f>
        <v/>
      </c>
      <c r="AF59" s="8" t="str">
        <f>IF($B59="","",IF(COUNTIF('Competency Event Log'!$U$4:$U$803,$B59&amp;"|"&amp;AF$5)=0,"",SUMIF('Competency Event Log'!$U$4:$U$803,$B59&amp;"|"&amp;AF$5,'Competency Event Log'!$D$4:$D$803)))</f>
        <v/>
      </c>
      <c r="AG59" s="8" t="str">
        <f>IF($B59="","",IF(COUNTIF('Competency Event Log'!$U$4:$U$803,$B59&amp;"|"&amp;AG$5)=0,"",SUMIF('Competency Event Log'!$U$4:$U$803,$B59&amp;"|"&amp;AG$5,'Competency Event Log'!$D$4:$D$803)))</f>
        <v/>
      </c>
      <c r="AH59" s="8" t="str">
        <f>IF($B59="","",IF(COUNTIF('Competency Event Log'!$U$4:$U$803,$B59&amp;"|"&amp;AH$5)=0,"",SUMIF('Competency Event Log'!$U$4:$U$803,$B59&amp;"|"&amp;AH$5,'Competency Event Log'!$D$4:$D$803)))</f>
        <v/>
      </c>
      <c r="AI59" s="8" t="str">
        <f>IF($B59="","",IF(COUNTIF('Competency Event Log'!$U$4:$U$803,$B59&amp;"|"&amp;AI$5)=0,"",SUMIF('Competency Event Log'!$U$4:$U$803,$B59&amp;"|"&amp;AI$5,'Competency Event Log'!$D$4:$D$803)))</f>
        <v/>
      </c>
      <c r="AJ59" s="8" t="str">
        <f>IF($B59="","",IF(COUNTIF('Competency Event Log'!$U$4:$U$803,$B59&amp;"|"&amp;AJ$5)=0,"",SUMIF('Competency Event Log'!$U$4:$U$803,$B59&amp;"|"&amp;AJ$5,'Competency Event Log'!$D$4:$D$803)))</f>
        <v/>
      </c>
      <c r="AK59" s="8" t="str">
        <f>IF($B59="","",IF(COUNTIF('Competency Event Log'!$U$4:$U$803,$B59&amp;"|"&amp;AK$5)=0,"",SUMIF('Competency Event Log'!$U$4:$U$803,$B59&amp;"|"&amp;AK$5,'Competency Event Log'!$D$4:$D$803)))</f>
        <v/>
      </c>
      <c r="AL59" s="8" t="str">
        <f>IF($B59="","",IF(COUNTIF('Competency Event Log'!$U$4:$U$803,$B59&amp;"|"&amp;AL$5)=0,"",SUMIF('Competency Event Log'!$U$4:$U$803,$B59&amp;"|"&amp;AL$5,'Competency Event Log'!$D$4:$D$803)))</f>
        <v/>
      </c>
      <c r="AM59" s="8" t="str">
        <f>IF($B59="","",IF(COUNTIF('Competency Event Log'!$U$4:$U$803,$B59&amp;"|"&amp;AM$5)=0,"",SUMIF('Competency Event Log'!$U$4:$U$803,$B59&amp;"|"&amp;AM$5,'Competency Event Log'!$D$4:$D$803)))</f>
        <v/>
      </c>
      <c r="AN59" s="8" t="str">
        <f>IF($B59="","",IF(COUNTIF('Competency Event Log'!$U$4:$U$803,$B59&amp;"|"&amp;AN$5)=0,"",SUMIF('Competency Event Log'!$U$4:$U$803,$B59&amp;"|"&amp;AN$5,'Competency Event Log'!$D$4:$D$803)))</f>
        <v/>
      </c>
      <c r="AO59" s="8" t="str">
        <f>IF($B59="","",IF(COUNTIF('Competency Event Log'!$U$4:$U$803,$B59&amp;"|"&amp;AO$5)=0,"",SUMIF('Competency Event Log'!$U$4:$U$803,$B59&amp;"|"&amp;AO$5,'Competency Event Log'!$D$4:$D$803)))</f>
        <v/>
      </c>
      <c r="AP59" s="8" t="str">
        <f>IF($B59="","",IF(COUNTIF('Competency Event Log'!$U$4:$U$803,$B59&amp;"|"&amp;AP$5)=0,"",SUMIF('Competency Event Log'!$U$4:$U$803,$B59&amp;"|"&amp;AP$5,'Competency Event Log'!$D$4:$D$803)))</f>
        <v/>
      </c>
      <c r="AQ59" s="8" t="str">
        <f>IF($B59="","",IF(COUNTIF('Competency Event Log'!$U$4:$U$803,$B59&amp;"|"&amp;AQ$5)=0,"",SUMIF('Competency Event Log'!$U$4:$U$803,$B59&amp;"|"&amp;AQ$5,'Competency Event Log'!$D$4:$D$803)))</f>
        <v/>
      </c>
      <c r="AR59" s="8" t="str">
        <f>IF($B59="","",IF(COUNTIF('Competency Event Log'!$U$4:$U$803,$B59&amp;"|"&amp;AR$5)=0,"",SUMIF('Competency Event Log'!$U$4:$U$803,$B59&amp;"|"&amp;AR$5,'Competency Event Log'!$D$4:$D$803)))</f>
        <v/>
      </c>
      <c r="AS59" s="8" t="str">
        <f>IF($B59="","",IF(COUNTIF('Competency Event Log'!$U$4:$U$803,$B59&amp;"|"&amp;AS$5)=0,"",SUMIF('Competency Event Log'!$U$4:$U$803,$B59&amp;"|"&amp;AS$5,'Competency Event Log'!$D$4:$D$803)))</f>
        <v/>
      </c>
      <c r="AT59" s="8" t="str">
        <f>IF($B59="","",IF(COUNTIF('Competency Event Log'!$U$4:$U$803,$B59&amp;"|"&amp;AT$5)=0,"",SUMIF('Competency Event Log'!$U$4:$U$803,$B59&amp;"|"&amp;AT$5,'Competency Event Log'!$D$4:$D$803)))</f>
        <v/>
      </c>
      <c r="AU59" s="8" t="str">
        <f>IF($B59="","",IF(COUNTIF('Competency Event Log'!$U$4:$U$803,$B59&amp;"|"&amp;AU$5)=0,"",SUMIF('Competency Event Log'!$U$4:$U$803,$B59&amp;"|"&amp;AU$5,'Competency Event Log'!$D$4:$D$803)))</f>
        <v/>
      </c>
      <c r="AV59" s="8" t="str">
        <f>IF($B59="","",IF(COUNTIF('Competency Event Log'!$U$4:$U$803,$B59&amp;"|"&amp;AV$5)=0,"",SUMIF('Competency Event Log'!$U$4:$U$803,$B59&amp;"|"&amp;AV$5,'Competency Event Log'!$D$4:$D$803)))</f>
        <v/>
      </c>
      <c r="AW59" s="8" t="str">
        <f>IF($B59="","",IF(COUNTIF('Competency Event Log'!$U$4:$U$803,$B59&amp;"|"&amp;AW$5)=0,"",SUMIF('Competency Event Log'!$U$4:$U$803,$B59&amp;"|"&amp;AW$5,'Competency Event Log'!$D$4:$D$803)))</f>
        <v/>
      </c>
      <c r="AX59" s="8" t="str">
        <f>IF($B59="","",IF(COUNTIF('Competency Event Log'!$U$4:$U$803,$B59&amp;"|"&amp;AX$5)=0,"",SUMIF('Competency Event Log'!$U$4:$U$803,$B59&amp;"|"&amp;AX$5,'Competency Event Log'!$D$4:$D$803)))</f>
        <v/>
      </c>
      <c r="AY59" s="8" t="str">
        <f>IF($B59="","",IF(COUNTIF('Competency Event Log'!$U$4:$U$803,$B59&amp;"|"&amp;AY$5)=0,"",SUMIF('Competency Event Log'!$U$4:$U$803,$B59&amp;"|"&amp;AY$5,'Competency Event Log'!$D$4:$D$803)))</f>
        <v/>
      </c>
      <c r="AZ59" s="8" t="str">
        <f>IF($B59="","",IF(COUNTIF('Competency Event Log'!$U$4:$U$803,$B59&amp;"|"&amp;AZ$5)=0,"",SUMIF('Competency Event Log'!$U$4:$U$803,$B59&amp;"|"&amp;AZ$5,'Competency Event Log'!$D$4:$D$803)))</f>
        <v/>
      </c>
      <c r="BA59" s="8" t="str">
        <f>IF($B59="","",IF(COUNTIF('Competency Event Log'!$U$4:$U$803,$B59&amp;"|"&amp;BA$5)=0,"",SUMIF('Competency Event Log'!$U$4:$U$803,$B59&amp;"|"&amp;BA$5,'Competency Event Log'!$D$4:$D$803)))</f>
        <v/>
      </c>
      <c r="BB59" s="8" t="str">
        <f>IF($B59="","",IF(COUNTIF('Competency Event Log'!$U$4:$U$803,$B59&amp;"|"&amp;BB$5)=0,"",SUMIF('Competency Event Log'!$U$4:$U$803,$B59&amp;"|"&amp;BB$5,'Competency Event Log'!$D$4:$D$803)))</f>
        <v/>
      </c>
      <c r="BC59" s="8" t="str">
        <f>IF($B59="","",IF(COUNTIF('Competency Event Log'!$U$4:$U$803,$B59&amp;"|"&amp;BC$5)=0,"",SUMIF('Competency Event Log'!$U$4:$U$803,$B59&amp;"|"&amp;BC$5,'Competency Event Log'!$D$4:$D$803)))</f>
        <v/>
      </c>
      <c r="BD59" s="8" t="str">
        <f>IF($B59="","",IF(COUNTIF('Competency Event Log'!$U$4:$U$803,$B59&amp;"|"&amp;BD$5)=0,"",SUMIF('Competency Event Log'!$U$4:$U$803,$B59&amp;"|"&amp;BD$5,'Competency Event Log'!$D$4:$D$803)))</f>
        <v/>
      </c>
      <c r="BE59" s="8" t="str">
        <f>IF($B59="","",IF(COUNTIF('Competency Event Log'!$U$4:$U$803,$B59&amp;"|"&amp;BE$5)=0,"",SUMIF('Competency Event Log'!$U$4:$U$803,$B59&amp;"|"&amp;BE$5,'Competency Event Log'!$D$4:$D$803)))</f>
        <v/>
      </c>
      <c r="BF59" s="8" t="str">
        <f>IF($B59="","",IF(COUNTIF('Competency Event Log'!$U$4:$U$803,$B59&amp;"|"&amp;BF$5)=0,"",SUMIF('Competency Event Log'!$U$4:$U$803,$B59&amp;"|"&amp;BF$5,'Competency Event Log'!$D$4:$D$803)))</f>
        <v/>
      </c>
      <c r="BG59" s="8" t="str">
        <f>IF($B59="","",IF(COUNTIF('Competency Event Log'!$U$4:$U$803,$B59&amp;"|"&amp;BG$5)=0,"",SUMIF('Competency Event Log'!$U$4:$U$803,$B59&amp;"|"&amp;BG$5,'Competency Event Log'!$D$4:$D$803)))</f>
        <v/>
      </c>
      <c r="BH59" s="8" t="str">
        <f>IF($B59="","",IF(COUNTIF('Competency Event Log'!$U$4:$U$803,$B59&amp;"|"&amp;BH$5)=0,"",SUMIF('Competency Event Log'!$U$4:$U$803,$B59&amp;"|"&amp;BH$5,'Competency Event Log'!$D$4:$D$803)))</f>
        <v/>
      </c>
      <c r="BI59" s="8" t="str">
        <f>IF($B59="","",IF(COUNTIF('Competency Event Log'!$U$4:$U$803,$B59&amp;"|"&amp;BI$5)=0,"",SUMIF('Competency Event Log'!$U$4:$U$803,$B59&amp;"|"&amp;BI$5,'Competency Event Log'!$D$4:$D$803)))</f>
        <v/>
      </c>
      <c r="BJ59" s="8" t="str">
        <f>IF($B59="","",IF(COUNTIF('Competency Event Log'!$U$4:$U$803,$B59&amp;"|"&amp;BJ$5)=0,"",SUMIF('Competency Event Log'!$U$4:$U$803,$B59&amp;"|"&amp;BJ$5,'Competency Event Log'!$D$4:$D$803)))</f>
        <v/>
      </c>
      <c r="BK59" s="8" t="str">
        <f>IF($B59="","",IF(COUNTIF('Competency Event Log'!$U$4:$U$803,$B59&amp;"|"&amp;BK$5)=0,"",SUMIF('Competency Event Log'!$U$4:$U$803,$B59&amp;"|"&amp;BK$5,'Competency Event Log'!$D$4:$D$803)))</f>
        <v/>
      </c>
      <c r="BL59" s="8" t="str">
        <f>IF($B59="","",IF(COUNTIF('Competency Event Log'!$U$4:$U$803,$B59&amp;"|"&amp;BL$5)=0,"",SUMIF('Competency Event Log'!$U$4:$U$803,$B59&amp;"|"&amp;BL$5,'Competency Event Log'!$D$4:$D$803)))</f>
        <v/>
      </c>
      <c r="BM59" s="8" t="str">
        <f>IF($B59="","",IF(COUNTIF('Competency Event Log'!$U$4:$U$803,$B59&amp;"|"&amp;BM$5)=0,"",SUMIF('Competency Event Log'!$U$4:$U$803,$B59&amp;"|"&amp;BM$5,'Competency Event Log'!$D$4:$D$803)))</f>
        <v/>
      </c>
      <c r="BN59" s="8" t="str">
        <f>IF($B59="","",IF(COUNTIF('Competency Event Log'!$U$4:$U$803,$B59&amp;"|"&amp;BN$5)=0,"",SUMIF('Competency Event Log'!$U$4:$U$803,$B59&amp;"|"&amp;BN$5,'Competency Event Log'!$D$4:$D$803)))</f>
        <v/>
      </c>
      <c r="BO59" s="8" t="str">
        <f>IF($B59="","",IF(COUNTIF('Competency Event Log'!$U$4:$U$803,$B59&amp;"|"&amp;BO$5)=0,"",SUMIF('Competency Event Log'!$U$4:$U$803,$B59&amp;"|"&amp;BO$5,'Competency Event Log'!$D$4:$D$803)))</f>
        <v/>
      </c>
      <c r="BP59" s="8" t="str">
        <f>IF($B59="","",IF(COUNTIF('Competency Event Log'!$U$4:$U$803,$B59&amp;"|"&amp;BP$5)=0,"",SUMIF('Competency Event Log'!$U$4:$U$803,$B59&amp;"|"&amp;BP$5,'Competency Event Log'!$D$4:$D$803)))</f>
        <v/>
      </c>
      <c r="BQ59" s="8" t="str">
        <f>IF($B59="","",IF(COUNTIF('Competency Event Log'!$U$4:$U$803,$B59&amp;"|"&amp;BQ$5)=0,"",SUMIF('Competency Event Log'!$U$4:$U$803,$B59&amp;"|"&amp;BQ$5,'Competency Event Log'!$D$4:$D$803)))</f>
        <v/>
      </c>
      <c r="BR59" s="8" t="str">
        <f>IF($B59="","",IF(COUNTIF('Competency Event Log'!$U$4:$U$803,$B59&amp;"|"&amp;BR$5)=0,"",SUMIF('Competency Event Log'!$U$4:$U$803,$B59&amp;"|"&amp;BR$5,'Competency Event Log'!$D$4:$D$803)))</f>
        <v/>
      </c>
      <c r="BS59" s="8" t="str">
        <f>IF($B59="","",IF(COUNTIF('Competency Event Log'!$U$4:$U$803,$B59&amp;"|"&amp;BS$5)=0,"",SUMIF('Competency Event Log'!$U$4:$U$803,$B59&amp;"|"&amp;BS$5,'Competency Event Log'!$D$4:$D$803)))</f>
        <v/>
      </c>
      <c r="BT59" s="8" t="str">
        <f>IF($B59="","",IF(COUNTIF('Competency Event Log'!$U$4:$U$803,$B59&amp;"|"&amp;BT$5)=0,"",SUMIF('Competency Event Log'!$U$4:$U$803,$B59&amp;"|"&amp;BT$5,'Competency Event Log'!$D$4:$D$803)))</f>
        <v/>
      </c>
      <c r="BU59" s="8" t="str">
        <f>IF($B59="","",IF(COUNTIF('Competency Event Log'!$U$4:$U$803,$B59&amp;"|"&amp;BU$5)=0,"",SUMIF('Competency Event Log'!$U$4:$U$803,$B59&amp;"|"&amp;BU$5,'Competency Event Log'!$D$4:$D$803)))</f>
        <v/>
      </c>
      <c r="BV59" s="8" t="str">
        <f>IF($B59="","",IF(COUNTIF('Competency Event Log'!$U$4:$U$803,$B59&amp;"|"&amp;BV$5)=0,"",SUMIF('Competency Event Log'!$U$4:$U$803,$B59&amp;"|"&amp;BV$5,'Competency Event Log'!$D$4:$D$803)))</f>
        <v/>
      </c>
      <c r="BW59" s="8" t="str">
        <f>IF($B59="","",IF(COUNTIF('Competency Event Log'!$U$4:$U$803,$B59&amp;"|"&amp;BW$5)=0,"",SUMIF('Competency Event Log'!$U$4:$U$803,$B59&amp;"|"&amp;BW$5,'Competency Event Log'!$D$4:$D$803)))</f>
        <v/>
      </c>
      <c r="BX59" s="8" t="str">
        <f>IF($B59="","",IF(COUNTIF('Competency Event Log'!$U$4:$U$803,$B59&amp;"|"&amp;BX$5)=0,"",SUMIF('Competency Event Log'!$U$4:$U$803,$B59&amp;"|"&amp;BX$5,'Competency Event Log'!$D$4:$D$803)))</f>
        <v/>
      </c>
      <c r="BY59" s="8" t="str">
        <f>IF($B59="","",IF(COUNTIF('Competency Event Log'!$U$4:$U$803,$B59&amp;"|"&amp;BY$5)=0,"",SUMIF('Competency Event Log'!$U$4:$U$803,$B59&amp;"|"&amp;BY$5,'Competency Event Log'!$D$4:$D$803)))</f>
        <v/>
      </c>
      <c r="BZ59" s="8" t="str">
        <f>IF($B59="","",IF(COUNTIF('Competency Event Log'!$U$4:$U$803,$B59&amp;"|"&amp;BZ$5)=0,"",SUMIF('Competency Event Log'!$U$4:$U$803,$B59&amp;"|"&amp;BZ$5,'Competency Event Log'!$D$4:$D$803)))</f>
        <v/>
      </c>
      <c r="CA59" s="8" t="str">
        <f>IF($B59="","",IF(COUNTIF('Competency Event Log'!$U$4:$U$803,$B59&amp;"|"&amp;CA$5)=0,"",SUMIF('Competency Event Log'!$U$4:$U$803,$B59&amp;"|"&amp;CA$5,'Competency Event Log'!$D$4:$D$803)))</f>
        <v/>
      </c>
      <c r="CB59" s="8" t="str">
        <f>IF($B59="","",IF(COUNTIF('Competency Event Log'!$U$4:$U$803,$B59&amp;"|"&amp;CB$5)=0,"",SUMIF('Competency Event Log'!$U$4:$U$803,$B59&amp;"|"&amp;CB$5,'Competency Event Log'!$D$4:$D$803)))</f>
        <v/>
      </c>
      <c r="CC59" s="8" t="str">
        <f>IF($B59="","",IF(COUNTIF('Competency Event Log'!$U$4:$U$803,$B59&amp;"|"&amp;CC$5)=0,"",SUMIF('Competency Event Log'!$U$4:$U$803,$B59&amp;"|"&amp;CC$5,'Competency Event Log'!$D$4:$D$803)))</f>
        <v/>
      </c>
      <c r="CD59" s="8" t="str">
        <f>IF($B59="","",IF(COUNTIF('Competency Event Log'!$U$4:$U$803,$B59&amp;"|"&amp;CD$5)=0,"",SUMIF('Competency Event Log'!$U$4:$U$803,$B59&amp;"|"&amp;CD$5,'Competency Event Log'!$D$4:$D$803)))</f>
        <v/>
      </c>
      <c r="CE59" s="8" t="str">
        <f>IF($B59="","",IF(COUNTIF('Competency Event Log'!$U$4:$U$803,$B59&amp;"|"&amp;CE$5)=0,"",SUMIF('Competency Event Log'!$U$4:$U$803,$B59&amp;"|"&amp;CE$5,'Competency Event Log'!$D$4:$D$803)))</f>
        <v/>
      </c>
      <c r="CF59" s="8" t="str">
        <f>IF($B59="","",IF(COUNTIF('Competency Event Log'!$U$4:$U$803,$B59&amp;"|"&amp;CF$5)=0,"",SUMIF('Competency Event Log'!$U$4:$U$803,$B59&amp;"|"&amp;CF$5,'Competency Event Log'!$D$4:$D$803)))</f>
        <v/>
      </c>
      <c r="CG59" s="8" t="str">
        <f>IF($B59="","",IF(COUNTIF('Competency Event Log'!$U$4:$U$803,$B59&amp;"|"&amp;CG$5)=0,"",SUMIF('Competency Event Log'!$U$4:$U$803,$B59&amp;"|"&amp;CG$5,'Competency Event Log'!$D$4:$D$803)))</f>
        <v/>
      </c>
      <c r="CH59" s="8" t="str">
        <f>IF($B59="","",IF(COUNTIF('Competency Event Log'!$U$4:$U$803,$B59&amp;"|"&amp;CH$5)=0,"",SUMIF('Competency Event Log'!$U$4:$U$803,$B59&amp;"|"&amp;CH$5,'Competency Event Log'!$D$4:$D$803)))</f>
        <v/>
      </c>
      <c r="CI59" s="8" t="str">
        <f>IF($B59="","",IF(COUNTIF('Competency Event Log'!$U$4:$U$803,$B59&amp;"|"&amp;CI$5)=0,"",SUMIF('Competency Event Log'!$U$4:$U$803,$B59&amp;"|"&amp;CI$5,'Competency Event Log'!$D$4:$D$803)))</f>
        <v/>
      </c>
      <c r="CJ59" s="8" t="str">
        <f>IF($B59="","",IF(COUNTIF('Competency Event Log'!$U$4:$U$803,$B59&amp;"|"&amp;CJ$5)=0,"",SUMIF('Competency Event Log'!$U$4:$U$803,$B59&amp;"|"&amp;CJ$5,'Competency Event Log'!$D$4:$D$803)))</f>
        <v/>
      </c>
      <c r="CK59" s="8" t="str">
        <f>IF($B59="","",IF(COUNTIF('Competency Event Log'!$U$4:$U$803,$B59&amp;"|"&amp;CK$5)=0,"",SUMIF('Competency Event Log'!$U$4:$U$803,$B59&amp;"|"&amp;CK$5,'Competency Event Log'!$D$4:$D$803)))</f>
        <v/>
      </c>
      <c r="CL59" s="8" t="str">
        <f>IF($B59="","",IF(COUNTIF('Competency Event Log'!$U$4:$U$803,$B59&amp;"|"&amp;CL$5)=0,"",SUMIF('Competency Event Log'!$U$4:$U$803,$B59&amp;"|"&amp;CL$5,'Competency Event Log'!$D$4:$D$803)))</f>
        <v/>
      </c>
      <c r="CM59" s="8" t="str">
        <f>IF($B59="","",IF(COUNTIF('Competency Event Log'!$U$4:$U$803,$B59&amp;"|"&amp;CM$5)=0,"",SUMIF('Competency Event Log'!$U$4:$U$803,$B59&amp;"|"&amp;CM$5,'Competency Event Log'!$D$4:$D$803)))</f>
        <v/>
      </c>
      <c r="CN59" s="8" t="str">
        <f>IF($B59="","",IF(COUNTIF('Competency Event Log'!$U$4:$U$803,$B59&amp;"|"&amp;CN$5)=0,"",SUMIF('Competency Event Log'!$U$4:$U$803,$B59&amp;"|"&amp;CN$5,'Competency Event Log'!$D$4:$D$803)))</f>
        <v/>
      </c>
      <c r="CO59" s="8" t="str">
        <f>IF($B59="","",IF(COUNTIF('Competency Event Log'!$U$4:$U$803,$B59&amp;"|"&amp;CO$5)=0,"",SUMIF('Competency Event Log'!$U$4:$U$803,$B59&amp;"|"&amp;CO$5,'Competency Event Log'!$D$4:$D$803)))</f>
        <v/>
      </c>
      <c r="CP59" s="8" t="str">
        <f>IF($B59="","",IF(COUNTIF('Competency Event Log'!$U$4:$U$803,$B59&amp;"|"&amp;CP$5)=0,"",SUMIF('Competency Event Log'!$U$4:$U$803,$B59&amp;"|"&amp;CP$5,'Competency Event Log'!$D$4:$D$803)))</f>
        <v/>
      </c>
      <c r="CQ59" s="8" t="str">
        <f>IF($B59="","",IF(COUNTIF('Competency Event Log'!$U$4:$U$803,$B59&amp;"|"&amp;CQ$5)=0,"",SUMIF('Competency Event Log'!$U$4:$U$803,$B59&amp;"|"&amp;CQ$5,'Competency Event Log'!$D$4:$D$803)))</f>
        <v/>
      </c>
      <c r="CR59" s="8" t="str">
        <f>IF($B59="","",IF(COUNTIF('Competency Event Log'!$U$4:$U$803,$B59&amp;"|"&amp;CR$5)=0,"",SUMIF('Competency Event Log'!$U$4:$U$803,$B59&amp;"|"&amp;CR$5,'Competency Event Log'!$D$4:$D$803)))</f>
        <v/>
      </c>
      <c r="CS59" s="8" t="str">
        <f>IF($B59="","",IF(COUNTIF('Competency Event Log'!$U$4:$U$803,$B59&amp;"|"&amp;CS$5)=0,"",SUMIF('Competency Event Log'!$U$4:$U$803,$B59&amp;"|"&amp;CS$5,'Competency Event Log'!$D$4:$D$803)))</f>
        <v/>
      </c>
      <c r="CT59" s="8" t="str">
        <f>IF($B59="","",IF(COUNTIF('Competency Event Log'!$U$4:$U$803,$B59&amp;"|"&amp;CT$5)=0,"",SUMIF('Competency Event Log'!$U$4:$U$803,$B59&amp;"|"&amp;CT$5,'Competency Event Log'!$D$4:$D$803)))</f>
        <v/>
      </c>
      <c r="CU59" s="8" t="str">
        <f>IF($B59="","",IF(COUNTIF('Competency Event Log'!$U$4:$U$803,$B59&amp;"|"&amp;CU$5)=0,"",SUMIF('Competency Event Log'!$U$4:$U$803,$B59&amp;"|"&amp;CU$5,'Competency Event Log'!$D$4:$D$803)))</f>
        <v/>
      </c>
      <c r="CV59" s="8" t="str">
        <f>IF($B59="","",IF(COUNTIF('Competency Event Log'!$U$4:$U$803,$B59&amp;"|"&amp;CV$5)=0,"",SUMIF('Competency Event Log'!$U$4:$U$803,$B59&amp;"|"&amp;CV$5,'Competency Event Log'!$D$4:$D$803)))</f>
        <v/>
      </c>
      <c r="CW59" s="8" t="str">
        <f>IF($B59="","",IF(COUNTIF('Competency Event Log'!$U$4:$U$803,$B59&amp;"|"&amp;CW$5)=0,"",SUMIF('Competency Event Log'!$U$4:$U$803,$B59&amp;"|"&amp;CW$5,'Competency Event Log'!$D$4:$D$803)))</f>
        <v/>
      </c>
      <c r="CX59" s="8" t="str">
        <f>IF($B59="","",IF(COUNTIF('Competency Event Log'!$U$4:$U$803,$B59&amp;"|"&amp;CX$5)=0,"",SUMIF('Competency Event Log'!$U$4:$U$803,$B59&amp;"|"&amp;CX$5,'Competency Event Log'!$D$4:$D$803)))</f>
        <v/>
      </c>
      <c r="CY59" s="8" t="str">
        <f>IF($B59="","",IF(COUNTIF('Competency Event Log'!$U$4:$U$803,$B59&amp;"|"&amp;CY$5)=0,"",SUMIF('Competency Event Log'!$U$4:$U$803,$B59&amp;"|"&amp;CY$5,'Competency Event Log'!$D$4:$D$803)))</f>
        <v/>
      </c>
      <c r="CZ59" s="8" t="str">
        <f>IF($B59="","",IF(COUNTIF('Competency Event Log'!$U$4:$U$803,$B59&amp;"|"&amp;CZ$5)=0,"",SUMIF('Competency Event Log'!$U$4:$U$803,$B59&amp;"|"&amp;CZ$5,'Competency Event Log'!$D$4:$D$803)))</f>
        <v/>
      </c>
      <c r="DA59" s="8" t="str">
        <f>IF($B59="","",IF(COUNTIF('Competency Event Log'!$U$4:$U$803,$B59&amp;"|"&amp;DA$5)=0,"",SUMIF('Competency Event Log'!$U$4:$U$803,$B59&amp;"|"&amp;DA$5,'Competency Event Log'!$D$4:$D$803)))</f>
        <v/>
      </c>
      <c r="DB59" s="8" t="str">
        <f>IF($B59="","",IF(COUNTIF('Competency Event Log'!$U$4:$U$803,$B59&amp;"|"&amp;DB$5)=0,"",SUMIF('Competency Event Log'!$U$4:$U$803,$B59&amp;"|"&amp;DB$5,'Competency Event Log'!$D$4:$D$803)))</f>
        <v/>
      </c>
      <c r="DC59" s="8" t="str">
        <f>IF($B59="","",IF(COUNTIF('Competency Event Log'!$U$4:$U$803,$B59&amp;"|"&amp;DC$5)=0,"",SUMIF('Competency Event Log'!$U$4:$U$803,$B59&amp;"|"&amp;DC$5,'Competency Event Log'!$D$4:$D$803)))</f>
        <v/>
      </c>
      <c r="DD59" s="8" t="str">
        <f>IF($B59="","",IF(COUNTIF('Competency Event Log'!$U$4:$U$803,$B59&amp;"|"&amp;DD$5)=0,"",SUMIF('Competency Event Log'!$U$4:$U$803,$B59&amp;"|"&amp;DD$5,'Competency Event Log'!$D$4:$D$803)))</f>
        <v/>
      </c>
      <c r="DE59" s="8" t="str">
        <f>IF($B59="","",IF(COUNTIF('Competency Event Log'!$U$4:$U$803,$B59&amp;"|"&amp;DE$5)=0,"",SUMIF('Competency Event Log'!$U$4:$U$803,$B59&amp;"|"&amp;DE$5,'Competency Event Log'!$D$4:$D$803)))</f>
        <v/>
      </c>
      <c r="DF59" s="8" t="str">
        <f t="shared" si="4"/>
        <v/>
      </c>
      <c r="DG59" s="8" t="str">
        <f t="shared" si="5"/>
        <v/>
      </c>
      <c r="DH59" s="8" t="str">
        <f t="shared" si="6"/>
        <v/>
      </c>
      <c r="DI59" s="11" t="str">
        <f t="shared" si="7"/>
        <v/>
      </c>
    </row>
    <row r="60" spans="1:113">
      <c r="A60" s="7"/>
      <c r="B60" s="7"/>
      <c r="C60" s="8"/>
      <c r="D60" s="9"/>
      <c r="E60" s="10"/>
      <c r="F60" s="8"/>
      <c r="G60" s="8" t="str">
        <f>IF($B60="","",IF(COUNTIF('Competency Event Log'!$U$4:$U$803,$B60&amp;"|"&amp;G$5)=0,"",SUMIF('Competency Event Log'!$U$4:$U$803,$B60&amp;"|"&amp;G$5,'Competency Event Log'!$D$4:$D$803)))</f>
        <v/>
      </c>
      <c r="H60" s="8" t="str">
        <f>IF($B60="","",IF(COUNTIF('Competency Event Log'!$U$4:$U$803,$B60&amp;"|"&amp;H$5)=0,"",SUMIF('Competency Event Log'!$U$4:$U$803,$B60&amp;"|"&amp;H$5,'Competency Event Log'!$D$4:$D$803)))</f>
        <v/>
      </c>
      <c r="I60" s="8" t="str">
        <f>IF($B60="","",IF(COUNTIF('Competency Event Log'!$U$4:$U$803,$B60&amp;"|"&amp;I$5)=0,"",SUMIF('Competency Event Log'!$U$4:$U$803,$B60&amp;"|"&amp;I$5,'Competency Event Log'!$D$4:$D$803)))</f>
        <v/>
      </c>
      <c r="J60" s="8" t="str">
        <f>IF($B60="","",IF(COUNTIF('Competency Event Log'!$U$4:$U$803,$B60&amp;"|"&amp;J$5)=0,"",SUMIF('Competency Event Log'!$U$4:$U$803,$B60&amp;"|"&amp;J$5,'Competency Event Log'!$D$4:$D$803)))</f>
        <v/>
      </c>
      <c r="K60" s="8" t="str">
        <f>IF($B60="","",IF(COUNTIF('Competency Event Log'!$U$4:$U$803,$B60&amp;"|"&amp;K$5)=0,"",SUMIF('Competency Event Log'!$U$4:$U$803,$B60&amp;"|"&amp;K$5,'Competency Event Log'!$D$4:$D$803)))</f>
        <v/>
      </c>
      <c r="L60" s="8" t="str">
        <f>IF($B60="","",IF(COUNTIF('Competency Event Log'!$U$4:$U$803,$B60&amp;"|"&amp;L$5)=0,"",SUMIF('Competency Event Log'!$U$4:$U$803,$B60&amp;"|"&amp;L$5,'Competency Event Log'!$D$4:$D$803)))</f>
        <v/>
      </c>
      <c r="M60" s="8" t="str">
        <f>IF($B60="","",IF(COUNTIF('Competency Event Log'!$U$4:$U$803,$B60&amp;"|"&amp;M$5)=0,"",SUMIF('Competency Event Log'!$U$4:$U$803,$B60&amp;"|"&amp;M$5,'Competency Event Log'!$D$4:$D$803)))</f>
        <v/>
      </c>
      <c r="N60" s="8" t="str">
        <f>IF($B60="","",IF(COUNTIF('Competency Event Log'!$U$4:$U$803,$B60&amp;"|"&amp;N$5)=0,"",SUMIF('Competency Event Log'!$U$4:$U$803,$B60&amp;"|"&amp;N$5,'Competency Event Log'!$D$4:$D$803)))</f>
        <v/>
      </c>
      <c r="O60" s="8" t="str">
        <f>IF($B60="","",IF(COUNTIF('Competency Event Log'!$U$4:$U$803,$B60&amp;"|"&amp;O$5)=0,"",SUMIF('Competency Event Log'!$U$4:$U$803,$B60&amp;"|"&amp;O$5,'Competency Event Log'!$D$4:$D$803)))</f>
        <v/>
      </c>
      <c r="P60" s="8" t="str">
        <f>IF($B60="","",IF(COUNTIF('Competency Event Log'!$U$4:$U$803,$B60&amp;"|"&amp;P$5)=0,"",SUMIF('Competency Event Log'!$U$4:$U$803,$B60&amp;"|"&amp;P$5,'Competency Event Log'!$D$4:$D$803)))</f>
        <v/>
      </c>
      <c r="Q60" s="8" t="str">
        <f>IF($B60="","",IF(COUNTIF('Competency Event Log'!$U$4:$U$803,$B60&amp;"|"&amp;Q$5)=0,"",SUMIF('Competency Event Log'!$U$4:$U$803,$B60&amp;"|"&amp;Q$5,'Competency Event Log'!$D$4:$D$803)))</f>
        <v/>
      </c>
      <c r="R60" s="8" t="str">
        <f>IF($B60="","",IF(COUNTIF('Competency Event Log'!$U$4:$U$803,$B60&amp;"|"&amp;R$5)=0,"",SUMIF('Competency Event Log'!$U$4:$U$803,$B60&amp;"|"&amp;R$5,'Competency Event Log'!$D$4:$D$803)))</f>
        <v/>
      </c>
      <c r="S60" s="8" t="str">
        <f>IF($B60="","",IF(COUNTIF('Competency Event Log'!$U$4:$U$803,$B60&amp;"|"&amp;S$5)=0,"",SUMIF('Competency Event Log'!$U$4:$U$803,$B60&amp;"|"&amp;S$5,'Competency Event Log'!$D$4:$D$803)))</f>
        <v/>
      </c>
      <c r="T60" s="8" t="str">
        <f>IF($B60="","",IF(COUNTIF('Competency Event Log'!$U$4:$U$803,$B60&amp;"|"&amp;T$5)=0,"",SUMIF('Competency Event Log'!$U$4:$U$803,$B60&amp;"|"&amp;T$5,'Competency Event Log'!$D$4:$D$803)))</f>
        <v/>
      </c>
      <c r="U60" s="8" t="str">
        <f>IF($B60="","",IF(COUNTIF('Competency Event Log'!$U$4:$U$803,$B60&amp;"|"&amp;U$5)=0,"",SUMIF('Competency Event Log'!$U$4:$U$803,$B60&amp;"|"&amp;U$5,'Competency Event Log'!$D$4:$D$803)))</f>
        <v/>
      </c>
      <c r="V60" s="8" t="str">
        <f>IF($B60="","",IF(COUNTIF('Competency Event Log'!$U$4:$U$803,$B60&amp;"|"&amp;V$5)=0,"",SUMIF('Competency Event Log'!$U$4:$U$803,$B60&amp;"|"&amp;V$5,'Competency Event Log'!$D$4:$D$803)))</f>
        <v/>
      </c>
      <c r="W60" s="8" t="str">
        <f>IF($B60="","",IF(COUNTIF('Competency Event Log'!$U$4:$U$803,$B60&amp;"|"&amp;W$5)=0,"",SUMIF('Competency Event Log'!$U$4:$U$803,$B60&amp;"|"&amp;W$5,'Competency Event Log'!$D$4:$D$803)))</f>
        <v/>
      </c>
      <c r="X60" s="8" t="str">
        <f>IF($B60="","",IF(COUNTIF('Competency Event Log'!$U$4:$U$803,$B60&amp;"|"&amp;X$5)=0,"",SUMIF('Competency Event Log'!$U$4:$U$803,$B60&amp;"|"&amp;X$5,'Competency Event Log'!$D$4:$D$803)))</f>
        <v/>
      </c>
      <c r="Y60" s="8" t="str">
        <f>IF($B60="","",IF(COUNTIF('Competency Event Log'!$U$4:$U$803,$B60&amp;"|"&amp;Y$5)=0,"",SUMIF('Competency Event Log'!$U$4:$U$803,$B60&amp;"|"&amp;Y$5,'Competency Event Log'!$D$4:$D$803)))</f>
        <v/>
      </c>
      <c r="Z60" s="8" t="str">
        <f>IF($B60="","",IF(COUNTIF('Competency Event Log'!$U$4:$U$803,$B60&amp;"|"&amp;Z$5)=0,"",SUMIF('Competency Event Log'!$U$4:$U$803,$B60&amp;"|"&amp;Z$5,'Competency Event Log'!$D$4:$D$803)))</f>
        <v/>
      </c>
      <c r="AA60" s="8" t="str">
        <f>IF($B60="","",IF(COUNTIF('Competency Event Log'!$U$4:$U$803,$B60&amp;"|"&amp;AA$5)=0,"",SUMIF('Competency Event Log'!$U$4:$U$803,$B60&amp;"|"&amp;AA$5,'Competency Event Log'!$D$4:$D$803)))</f>
        <v/>
      </c>
      <c r="AB60" s="8" t="str">
        <f>IF($B60="","",IF(COUNTIF('Competency Event Log'!$U$4:$U$803,$B60&amp;"|"&amp;AB$5)=0,"",SUMIF('Competency Event Log'!$U$4:$U$803,$B60&amp;"|"&amp;AB$5,'Competency Event Log'!$D$4:$D$803)))</f>
        <v/>
      </c>
      <c r="AC60" s="8" t="str">
        <f>IF($B60="","",IF(COUNTIF('Competency Event Log'!$U$4:$U$803,$B60&amp;"|"&amp;AC$5)=0,"",SUMIF('Competency Event Log'!$U$4:$U$803,$B60&amp;"|"&amp;AC$5,'Competency Event Log'!$D$4:$D$803)))</f>
        <v/>
      </c>
      <c r="AD60" s="8" t="str">
        <f>IF($B60="","",IF(COUNTIF('Competency Event Log'!$U$4:$U$803,$B60&amp;"|"&amp;AD$5)=0,"",SUMIF('Competency Event Log'!$U$4:$U$803,$B60&amp;"|"&amp;AD$5,'Competency Event Log'!$D$4:$D$803)))</f>
        <v/>
      </c>
      <c r="AE60" s="8" t="str">
        <f>IF($B60="","",IF(COUNTIF('Competency Event Log'!$U$4:$U$803,$B60&amp;"|"&amp;AE$5)=0,"",SUMIF('Competency Event Log'!$U$4:$U$803,$B60&amp;"|"&amp;AE$5,'Competency Event Log'!$D$4:$D$803)))</f>
        <v/>
      </c>
      <c r="AF60" s="8" t="str">
        <f>IF($B60="","",IF(COUNTIF('Competency Event Log'!$U$4:$U$803,$B60&amp;"|"&amp;AF$5)=0,"",SUMIF('Competency Event Log'!$U$4:$U$803,$B60&amp;"|"&amp;AF$5,'Competency Event Log'!$D$4:$D$803)))</f>
        <v/>
      </c>
      <c r="AG60" s="8" t="str">
        <f>IF($B60="","",IF(COUNTIF('Competency Event Log'!$U$4:$U$803,$B60&amp;"|"&amp;AG$5)=0,"",SUMIF('Competency Event Log'!$U$4:$U$803,$B60&amp;"|"&amp;AG$5,'Competency Event Log'!$D$4:$D$803)))</f>
        <v/>
      </c>
      <c r="AH60" s="8" t="str">
        <f>IF($B60="","",IF(COUNTIF('Competency Event Log'!$U$4:$U$803,$B60&amp;"|"&amp;AH$5)=0,"",SUMIF('Competency Event Log'!$U$4:$U$803,$B60&amp;"|"&amp;AH$5,'Competency Event Log'!$D$4:$D$803)))</f>
        <v/>
      </c>
      <c r="AI60" s="8" t="str">
        <f>IF($B60="","",IF(COUNTIF('Competency Event Log'!$U$4:$U$803,$B60&amp;"|"&amp;AI$5)=0,"",SUMIF('Competency Event Log'!$U$4:$U$803,$B60&amp;"|"&amp;AI$5,'Competency Event Log'!$D$4:$D$803)))</f>
        <v/>
      </c>
      <c r="AJ60" s="8" t="str">
        <f>IF($B60="","",IF(COUNTIF('Competency Event Log'!$U$4:$U$803,$B60&amp;"|"&amp;AJ$5)=0,"",SUMIF('Competency Event Log'!$U$4:$U$803,$B60&amp;"|"&amp;AJ$5,'Competency Event Log'!$D$4:$D$803)))</f>
        <v/>
      </c>
      <c r="AK60" s="8" t="str">
        <f>IF($B60="","",IF(COUNTIF('Competency Event Log'!$U$4:$U$803,$B60&amp;"|"&amp;AK$5)=0,"",SUMIF('Competency Event Log'!$U$4:$U$803,$B60&amp;"|"&amp;AK$5,'Competency Event Log'!$D$4:$D$803)))</f>
        <v/>
      </c>
      <c r="AL60" s="8" t="str">
        <f>IF($B60="","",IF(COUNTIF('Competency Event Log'!$U$4:$U$803,$B60&amp;"|"&amp;AL$5)=0,"",SUMIF('Competency Event Log'!$U$4:$U$803,$B60&amp;"|"&amp;AL$5,'Competency Event Log'!$D$4:$D$803)))</f>
        <v/>
      </c>
      <c r="AM60" s="8" t="str">
        <f>IF($B60="","",IF(COUNTIF('Competency Event Log'!$U$4:$U$803,$B60&amp;"|"&amp;AM$5)=0,"",SUMIF('Competency Event Log'!$U$4:$U$803,$B60&amp;"|"&amp;AM$5,'Competency Event Log'!$D$4:$D$803)))</f>
        <v/>
      </c>
      <c r="AN60" s="8" t="str">
        <f>IF($B60="","",IF(COUNTIF('Competency Event Log'!$U$4:$U$803,$B60&amp;"|"&amp;AN$5)=0,"",SUMIF('Competency Event Log'!$U$4:$U$803,$B60&amp;"|"&amp;AN$5,'Competency Event Log'!$D$4:$D$803)))</f>
        <v/>
      </c>
      <c r="AO60" s="8" t="str">
        <f>IF($B60="","",IF(COUNTIF('Competency Event Log'!$U$4:$U$803,$B60&amp;"|"&amp;AO$5)=0,"",SUMIF('Competency Event Log'!$U$4:$U$803,$B60&amp;"|"&amp;AO$5,'Competency Event Log'!$D$4:$D$803)))</f>
        <v/>
      </c>
      <c r="AP60" s="8" t="str">
        <f>IF($B60="","",IF(COUNTIF('Competency Event Log'!$U$4:$U$803,$B60&amp;"|"&amp;AP$5)=0,"",SUMIF('Competency Event Log'!$U$4:$U$803,$B60&amp;"|"&amp;AP$5,'Competency Event Log'!$D$4:$D$803)))</f>
        <v/>
      </c>
      <c r="AQ60" s="8" t="str">
        <f>IF($B60="","",IF(COUNTIF('Competency Event Log'!$U$4:$U$803,$B60&amp;"|"&amp;AQ$5)=0,"",SUMIF('Competency Event Log'!$U$4:$U$803,$B60&amp;"|"&amp;AQ$5,'Competency Event Log'!$D$4:$D$803)))</f>
        <v/>
      </c>
      <c r="AR60" s="8" t="str">
        <f>IF($B60="","",IF(COUNTIF('Competency Event Log'!$U$4:$U$803,$B60&amp;"|"&amp;AR$5)=0,"",SUMIF('Competency Event Log'!$U$4:$U$803,$B60&amp;"|"&amp;AR$5,'Competency Event Log'!$D$4:$D$803)))</f>
        <v/>
      </c>
      <c r="AS60" s="8" t="str">
        <f>IF($B60="","",IF(COUNTIF('Competency Event Log'!$U$4:$U$803,$B60&amp;"|"&amp;AS$5)=0,"",SUMIF('Competency Event Log'!$U$4:$U$803,$B60&amp;"|"&amp;AS$5,'Competency Event Log'!$D$4:$D$803)))</f>
        <v/>
      </c>
      <c r="AT60" s="8" t="str">
        <f>IF($B60="","",IF(COUNTIF('Competency Event Log'!$U$4:$U$803,$B60&amp;"|"&amp;AT$5)=0,"",SUMIF('Competency Event Log'!$U$4:$U$803,$B60&amp;"|"&amp;AT$5,'Competency Event Log'!$D$4:$D$803)))</f>
        <v/>
      </c>
      <c r="AU60" s="8" t="str">
        <f>IF($B60="","",IF(COUNTIF('Competency Event Log'!$U$4:$U$803,$B60&amp;"|"&amp;AU$5)=0,"",SUMIF('Competency Event Log'!$U$4:$U$803,$B60&amp;"|"&amp;AU$5,'Competency Event Log'!$D$4:$D$803)))</f>
        <v/>
      </c>
      <c r="AV60" s="8" t="str">
        <f>IF($B60="","",IF(COUNTIF('Competency Event Log'!$U$4:$U$803,$B60&amp;"|"&amp;AV$5)=0,"",SUMIF('Competency Event Log'!$U$4:$U$803,$B60&amp;"|"&amp;AV$5,'Competency Event Log'!$D$4:$D$803)))</f>
        <v/>
      </c>
      <c r="AW60" s="8" t="str">
        <f>IF($B60="","",IF(COUNTIF('Competency Event Log'!$U$4:$U$803,$B60&amp;"|"&amp;AW$5)=0,"",SUMIF('Competency Event Log'!$U$4:$U$803,$B60&amp;"|"&amp;AW$5,'Competency Event Log'!$D$4:$D$803)))</f>
        <v/>
      </c>
      <c r="AX60" s="8" t="str">
        <f>IF($B60="","",IF(COUNTIF('Competency Event Log'!$U$4:$U$803,$B60&amp;"|"&amp;AX$5)=0,"",SUMIF('Competency Event Log'!$U$4:$U$803,$B60&amp;"|"&amp;AX$5,'Competency Event Log'!$D$4:$D$803)))</f>
        <v/>
      </c>
      <c r="AY60" s="8" t="str">
        <f>IF($B60="","",IF(COUNTIF('Competency Event Log'!$U$4:$U$803,$B60&amp;"|"&amp;AY$5)=0,"",SUMIF('Competency Event Log'!$U$4:$U$803,$B60&amp;"|"&amp;AY$5,'Competency Event Log'!$D$4:$D$803)))</f>
        <v/>
      </c>
      <c r="AZ60" s="8" t="str">
        <f>IF($B60="","",IF(COUNTIF('Competency Event Log'!$U$4:$U$803,$B60&amp;"|"&amp;AZ$5)=0,"",SUMIF('Competency Event Log'!$U$4:$U$803,$B60&amp;"|"&amp;AZ$5,'Competency Event Log'!$D$4:$D$803)))</f>
        <v/>
      </c>
      <c r="BA60" s="8" t="str">
        <f>IF($B60="","",IF(COUNTIF('Competency Event Log'!$U$4:$U$803,$B60&amp;"|"&amp;BA$5)=0,"",SUMIF('Competency Event Log'!$U$4:$U$803,$B60&amp;"|"&amp;BA$5,'Competency Event Log'!$D$4:$D$803)))</f>
        <v/>
      </c>
      <c r="BB60" s="8" t="str">
        <f>IF($B60="","",IF(COUNTIF('Competency Event Log'!$U$4:$U$803,$B60&amp;"|"&amp;BB$5)=0,"",SUMIF('Competency Event Log'!$U$4:$U$803,$B60&amp;"|"&amp;BB$5,'Competency Event Log'!$D$4:$D$803)))</f>
        <v/>
      </c>
      <c r="BC60" s="8" t="str">
        <f>IF($B60="","",IF(COUNTIF('Competency Event Log'!$U$4:$U$803,$B60&amp;"|"&amp;BC$5)=0,"",SUMIF('Competency Event Log'!$U$4:$U$803,$B60&amp;"|"&amp;BC$5,'Competency Event Log'!$D$4:$D$803)))</f>
        <v/>
      </c>
      <c r="BD60" s="8" t="str">
        <f>IF($B60="","",IF(COUNTIF('Competency Event Log'!$U$4:$U$803,$B60&amp;"|"&amp;BD$5)=0,"",SUMIF('Competency Event Log'!$U$4:$U$803,$B60&amp;"|"&amp;BD$5,'Competency Event Log'!$D$4:$D$803)))</f>
        <v/>
      </c>
      <c r="BE60" s="8" t="str">
        <f>IF($B60="","",IF(COUNTIF('Competency Event Log'!$U$4:$U$803,$B60&amp;"|"&amp;BE$5)=0,"",SUMIF('Competency Event Log'!$U$4:$U$803,$B60&amp;"|"&amp;BE$5,'Competency Event Log'!$D$4:$D$803)))</f>
        <v/>
      </c>
      <c r="BF60" s="8" t="str">
        <f>IF($B60="","",IF(COUNTIF('Competency Event Log'!$U$4:$U$803,$B60&amp;"|"&amp;BF$5)=0,"",SUMIF('Competency Event Log'!$U$4:$U$803,$B60&amp;"|"&amp;BF$5,'Competency Event Log'!$D$4:$D$803)))</f>
        <v/>
      </c>
      <c r="BG60" s="8" t="str">
        <f>IF($B60="","",IF(COUNTIF('Competency Event Log'!$U$4:$U$803,$B60&amp;"|"&amp;BG$5)=0,"",SUMIF('Competency Event Log'!$U$4:$U$803,$B60&amp;"|"&amp;BG$5,'Competency Event Log'!$D$4:$D$803)))</f>
        <v/>
      </c>
      <c r="BH60" s="8" t="str">
        <f>IF($B60="","",IF(COUNTIF('Competency Event Log'!$U$4:$U$803,$B60&amp;"|"&amp;BH$5)=0,"",SUMIF('Competency Event Log'!$U$4:$U$803,$B60&amp;"|"&amp;BH$5,'Competency Event Log'!$D$4:$D$803)))</f>
        <v/>
      </c>
      <c r="BI60" s="8" t="str">
        <f>IF($B60="","",IF(COUNTIF('Competency Event Log'!$U$4:$U$803,$B60&amp;"|"&amp;BI$5)=0,"",SUMIF('Competency Event Log'!$U$4:$U$803,$B60&amp;"|"&amp;BI$5,'Competency Event Log'!$D$4:$D$803)))</f>
        <v/>
      </c>
      <c r="BJ60" s="8" t="str">
        <f>IF($B60="","",IF(COUNTIF('Competency Event Log'!$U$4:$U$803,$B60&amp;"|"&amp;BJ$5)=0,"",SUMIF('Competency Event Log'!$U$4:$U$803,$B60&amp;"|"&amp;BJ$5,'Competency Event Log'!$D$4:$D$803)))</f>
        <v/>
      </c>
      <c r="BK60" s="8" t="str">
        <f>IF($B60="","",IF(COUNTIF('Competency Event Log'!$U$4:$U$803,$B60&amp;"|"&amp;BK$5)=0,"",SUMIF('Competency Event Log'!$U$4:$U$803,$B60&amp;"|"&amp;BK$5,'Competency Event Log'!$D$4:$D$803)))</f>
        <v/>
      </c>
      <c r="BL60" s="8" t="str">
        <f>IF($B60="","",IF(COUNTIF('Competency Event Log'!$U$4:$U$803,$B60&amp;"|"&amp;BL$5)=0,"",SUMIF('Competency Event Log'!$U$4:$U$803,$B60&amp;"|"&amp;BL$5,'Competency Event Log'!$D$4:$D$803)))</f>
        <v/>
      </c>
      <c r="BM60" s="8" t="str">
        <f>IF($B60="","",IF(COUNTIF('Competency Event Log'!$U$4:$U$803,$B60&amp;"|"&amp;BM$5)=0,"",SUMIF('Competency Event Log'!$U$4:$U$803,$B60&amp;"|"&amp;BM$5,'Competency Event Log'!$D$4:$D$803)))</f>
        <v/>
      </c>
      <c r="BN60" s="8" t="str">
        <f>IF($B60="","",IF(COUNTIF('Competency Event Log'!$U$4:$U$803,$B60&amp;"|"&amp;BN$5)=0,"",SUMIF('Competency Event Log'!$U$4:$U$803,$B60&amp;"|"&amp;BN$5,'Competency Event Log'!$D$4:$D$803)))</f>
        <v/>
      </c>
      <c r="BO60" s="8" t="str">
        <f>IF($B60="","",IF(COUNTIF('Competency Event Log'!$U$4:$U$803,$B60&amp;"|"&amp;BO$5)=0,"",SUMIF('Competency Event Log'!$U$4:$U$803,$B60&amp;"|"&amp;BO$5,'Competency Event Log'!$D$4:$D$803)))</f>
        <v/>
      </c>
      <c r="BP60" s="8" t="str">
        <f>IF($B60="","",IF(COUNTIF('Competency Event Log'!$U$4:$U$803,$B60&amp;"|"&amp;BP$5)=0,"",SUMIF('Competency Event Log'!$U$4:$U$803,$B60&amp;"|"&amp;BP$5,'Competency Event Log'!$D$4:$D$803)))</f>
        <v/>
      </c>
      <c r="BQ60" s="8" t="str">
        <f>IF($B60="","",IF(COUNTIF('Competency Event Log'!$U$4:$U$803,$B60&amp;"|"&amp;BQ$5)=0,"",SUMIF('Competency Event Log'!$U$4:$U$803,$B60&amp;"|"&amp;BQ$5,'Competency Event Log'!$D$4:$D$803)))</f>
        <v/>
      </c>
      <c r="BR60" s="8" t="str">
        <f>IF($B60="","",IF(COUNTIF('Competency Event Log'!$U$4:$U$803,$B60&amp;"|"&amp;BR$5)=0,"",SUMIF('Competency Event Log'!$U$4:$U$803,$B60&amp;"|"&amp;BR$5,'Competency Event Log'!$D$4:$D$803)))</f>
        <v/>
      </c>
      <c r="BS60" s="8" t="str">
        <f>IF($B60="","",IF(COUNTIF('Competency Event Log'!$U$4:$U$803,$B60&amp;"|"&amp;BS$5)=0,"",SUMIF('Competency Event Log'!$U$4:$U$803,$B60&amp;"|"&amp;BS$5,'Competency Event Log'!$D$4:$D$803)))</f>
        <v/>
      </c>
      <c r="BT60" s="8" t="str">
        <f>IF($B60="","",IF(COUNTIF('Competency Event Log'!$U$4:$U$803,$B60&amp;"|"&amp;BT$5)=0,"",SUMIF('Competency Event Log'!$U$4:$U$803,$B60&amp;"|"&amp;BT$5,'Competency Event Log'!$D$4:$D$803)))</f>
        <v/>
      </c>
      <c r="BU60" s="8" t="str">
        <f>IF($B60="","",IF(COUNTIF('Competency Event Log'!$U$4:$U$803,$B60&amp;"|"&amp;BU$5)=0,"",SUMIF('Competency Event Log'!$U$4:$U$803,$B60&amp;"|"&amp;BU$5,'Competency Event Log'!$D$4:$D$803)))</f>
        <v/>
      </c>
      <c r="BV60" s="8" t="str">
        <f>IF($B60="","",IF(COUNTIF('Competency Event Log'!$U$4:$U$803,$B60&amp;"|"&amp;BV$5)=0,"",SUMIF('Competency Event Log'!$U$4:$U$803,$B60&amp;"|"&amp;BV$5,'Competency Event Log'!$D$4:$D$803)))</f>
        <v/>
      </c>
      <c r="BW60" s="8" t="str">
        <f>IF($B60="","",IF(COUNTIF('Competency Event Log'!$U$4:$U$803,$B60&amp;"|"&amp;BW$5)=0,"",SUMIF('Competency Event Log'!$U$4:$U$803,$B60&amp;"|"&amp;BW$5,'Competency Event Log'!$D$4:$D$803)))</f>
        <v/>
      </c>
      <c r="BX60" s="8" t="str">
        <f>IF($B60="","",IF(COUNTIF('Competency Event Log'!$U$4:$U$803,$B60&amp;"|"&amp;BX$5)=0,"",SUMIF('Competency Event Log'!$U$4:$U$803,$B60&amp;"|"&amp;BX$5,'Competency Event Log'!$D$4:$D$803)))</f>
        <v/>
      </c>
      <c r="BY60" s="8" t="str">
        <f>IF($B60="","",IF(COUNTIF('Competency Event Log'!$U$4:$U$803,$B60&amp;"|"&amp;BY$5)=0,"",SUMIF('Competency Event Log'!$U$4:$U$803,$B60&amp;"|"&amp;BY$5,'Competency Event Log'!$D$4:$D$803)))</f>
        <v/>
      </c>
      <c r="BZ60" s="8" t="str">
        <f>IF($B60="","",IF(COUNTIF('Competency Event Log'!$U$4:$U$803,$B60&amp;"|"&amp;BZ$5)=0,"",SUMIF('Competency Event Log'!$U$4:$U$803,$B60&amp;"|"&amp;BZ$5,'Competency Event Log'!$D$4:$D$803)))</f>
        <v/>
      </c>
      <c r="CA60" s="8" t="str">
        <f>IF($B60="","",IF(COUNTIF('Competency Event Log'!$U$4:$U$803,$B60&amp;"|"&amp;CA$5)=0,"",SUMIF('Competency Event Log'!$U$4:$U$803,$B60&amp;"|"&amp;CA$5,'Competency Event Log'!$D$4:$D$803)))</f>
        <v/>
      </c>
      <c r="CB60" s="8" t="str">
        <f>IF($B60="","",IF(COUNTIF('Competency Event Log'!$U$4:$U$803,$B60&amp;"|"&amp;CB$5)=0,"",SUMIF('Competency Event Log'!$U$4:$U$803,$B60&amp;"|"&amp;CB$5,'Competency Event Log'!$D$4:$D$803)))</f>
        <v/>
      </c>
      <c r="CC60" s="8" t="str">
        <f>IF($B60="","",IF(COUNTIF('Competency Event Log'!$U$4:$U$803,$B60&amp;"|"&amp;CC$5)=0,"",SUMIF('Competency Event Log'!$U$4:$U$803,$B60&amp;"|"&amp;CC$5,'Competency Event Log'!$D$4:$D$803)))</f>
        <v/>
      </c>
      <c r="CD60" s="8" t="str">
        <f>IF($B60="","",IF(COUNTIF('Competency Event Log'!$U$4:$U$803,$B60&amp;"|"&amp;CD$5)=0,"",SUMIF('Competency Event Log'!$U$4:$U$803,$B60&amp;"|"&amp;CD$5,'Competency Event Log'!$D$4:$D$803)))</f>
        <v/>
      </c>
      <c r="CE60" s="8" t="str">
        <f>IF($B60="","",IF(COUNTIF('Competency Event Log'!$U$4:$U$803,$B60&amp;"|"&amp;CE$5)=0,"",SUMIF('Competency Event Log'!$U$4:$U$803,$B60&amp;"|"&amp;CE$5,'Competency Event Log'!$D$4:$D$803)))</f>
        <v/>
      </c>
      <c r="CF60" s="8" t="str">
        <f>IF($B60="","",IF(COUNTIF('Competency Event Log'!$U$4:$U$803,$B60&amp;"|"&amp;CF$5)=0,"",SUMIF('Competency Event Log'!$U$4:$U$803,$B60&amp;"|"&amp;CF$5,'Competency Event Log'!$D$4:$D$803)))</f>
        <v/>
      </c>
      <c r="CG60" s="8" t="str">
        <f>IF($B60="","",IF(COUNTIF('Competency Event Log'!$U$4:$U$803,$B60&amp;"|"&amp;CG$5)=0,"",SUMIF('Competency Event Log'!$U$4:$U$803,$B60&amp;"|"&amp;CG$5,'Competency Event Log'!$D$4:$D$803)))</f>
        <v/>
      </c>
      <c r="CH60" s="8" t="str">
        <f>IF($B60="","",IF(COUNTIF('Competency Event Log'!$U$4:$U$803,$B60&amp;"|"&amp;CH$5)=0,"",SUMIF('Competency Event Log'!$U$4:$U$803,$B60&amp;"|"&amp;CH$5,'Competency Event Log'!$D$4:$D$803)))</f>
        <v/>
      </c>
      <c r="CI60" s="8" t="str">
        <f>IF($B60="","",IF(COUNTIF('Competency Event Log'!$U$4:$U$803,$B60&amp;"|"&amp;CI$5)=0,"",SUMIF('Competency Event Log'!$U$4:$U$803,$B60&amp;"|"&amp;CI$5,'Competency Event Log'!$D$4:$D$803)))</f>
        <v/>
      </c>
      <c r="CJ60" s="8" t="str">
        <f>IF($B60="","",IF(COUNTIF('Competency Event Log'!$U$4:$U$803,$B60&amp;"|"&amp;CJ$5)=0,"",SUMIF('Competency Event Log'!$U$4:$U$803,$B60&amp;"|"&amp;CJ$5,'Competency Event Log'!$D$4:$D$803)))</f>
        <v/>
      </c>
      <c r="CK60" s="8" t="str">
        <f>IF($B60="","",IF(COUNTIF('Competency Event Log'!$U$4:$U$803,$B60&amp;"|"&amp;CK$5)=0,"",SUMIF('Competency Event Log'!$U$4:$U$803,$B60&amp;"|"&amp;CK$5,'Competency Event Log'!$D$4:$D$803)))</f>
        <v/>
      </c>
      <c r="CL60" s="8" t="str">
        <f>IF($B60="","",IF(COUNTIF('Competency Event Log'!$U$4:$U$803,$B60&amp;"|"&amp;CL$5)=0,"",SUMIF('Competency Event Log'!$U$4:$U$803,$B60&amp;"|"&amp;CL$5,'Competency Event Log'!$D$4:$D$803)))</f>
        <v/>
      </c>
      <c r="CM60" s="8" t="str">
        <f>IF($B60="","",IF(COUNTIF('Competency Event Log'!$U$4:$U$803,$B60&amp;"|"&amp;CM$5)=0,"",SUMIF('Competency Event Log'!$U$4:$U$803,$B60&amp;"|"&amp;CM$5,'Competency Event Log'!$D$4:$D$803)))</f>
        <v/>
      </c>
      <c r="CN60" s="8" t="str">
        <f>IF($B60="","",IF(COUNTIF('Competency Event Log'!$U$4:$U$803,$B60&amp;"|"&amp;CN$5)=0,"",SUMIF('Competency Event Log'!$U$4:$U$803,$B60&amp;"|"&amp;CN$5,'Competency Event Log'!$D$4:$D$803)))</f>
        <v/>
      </c>
      <c r="CO60" s="8" t="str">
        <f>IF($B60="","",IF(COUNTIF('Competency Event Log'!$U$4:$U$803,$B60&amp;"|"&amp;CO$5)=0,"",SUMIF('Competency Event Log'!$U$4:$U$803,$B60&amp;"|"&amp;CO$5,'Competency Event Log'!$D$4:$D$803)))</f>
        <v/>
      </c>
      <c r="CP60" s="8" t="str">
        <f>IF($B60="","",IF(COUNTIF('Competency Event Log'!$U$4:$U$803,$B60&amp;"|"&amp;CP$5)=0,"",SUMIF('Competency Event Log'!$U$4:$U$803,$B60&amp;"|"&amp;CP$5,'Competency Event Log'!$D$4:$D$803)))</f>
        <v/>
      </c>
      <c r="CQ60" s="8" t="str">
        <f>IF($B60="","",IF(COUNTIF('Competency Event Log'!$U$4:$U$803,$B60&amp;"|"&amp;CQ$5)=0,"",SUMIF('Competency Event Log'!$U$4:$U$803,$B60&amp;"|"&amp;CQ$5,'Competency Event Log'!$D$4:$D$803)))</f>
        <v/>
      </c>
      <c r="CR60" s="8" t="str">
        <f>IF($B60="","",IF(COUNTIF('Competency Event Log'!$U$4:$U$803,$B60&amp;"|"&amp;CR$5)=0,"",SUMIF('Competency Event Log'!$U$4:$U$803,$B60&amp;"|"&amp;CR$5,'Competency Event Log'!$D$4:$D$803)))</f>
        <v/>
      </c>
      <c r="CS60" s="8" t="str">
        <f>IF($B60="","",IF(COUNTIF('Competency Event Log'!$U$4:$U$803,$B60&amp;"|"&amp;CS$5)=0,"",SUMIF('Competency Event Log'!$U$4:$U$803,$B60&amp;"|"&amp;CS$5,'Competency Event Log'!$D$4:$D$803)))</f>
        <v/>
      </c>
      <c r="CT60" s="8" t="str">
        <f>IF($B60="","",IF(COUNTIF('Competency Event Log'!$U$4:$U$803,$B60&amp;"|"&amp;CT$5)=0,"",SUMIF('Competency Event Log'!$U$4:$U$803,$B60&amp;"|"&amp;CT$5,'Competency Event Log'!$D$4:$D$803)))</f>
        <v/>
      </c>
      <c r="CU60" s="8" t="str">
        <f>IF($B60="","",IF(COUNTIF('Competency Event Log'!$U$4:$U$803,$B60&amp;"|"&amp;CU$5)=0,"",SUMIF('Competency Event Log'!$U$4:$U$803,$B60&amp;"|"&amp;CU$5,'Competency Event Log'!$D$4:$D$803)))</f>
        <v/>
      </c>
      <c r="CV60" s="8" t="str">
        <f>IF($B60="","",IF(COUNTIF('Competency Event Log'!$U$4:$U$803,$B60&amp;"|"&amp;CV$5)=0,"",SUMIF('Competency Event Log'!$U$4:$U$803,$B60&amp;"|"&amp;CV$5,'Competency Event Log'!$D$4:$D$803)))</f>
        <v/>
      </c>
      <c r="CW60" s="8" t="str">
        <f>IF($B60="","",IF(COUNTIF('Competency Event Log'!$U$4:$U$803,$B60&amp;"|"&amp;CW$5)=0,"",SUMIF('Competency Event Log'!$U$4:$U$803,$B60&amp;"|"&amp;CW$5,'Competency Event Log'!$D$4:$D$803)))</f>
        <v/>
      </c>
      <c r="CX60" s="8" t="str">
        <f>IF($B60="","",IF(COUNTIF('Competency Event Log'!$U$4:$U$803,$B60&amp;"|"&amp;CX$5)=0,"",SUMIF('Competency Event Log'!$U$4:$U$803,$B60&amp;"|"&amp;CX$5,'Competency Event Log'!$D$4:$D$803)))</f>
        <v/>
      </c>
      <c r="CY60" s="8" t="str">
        <f>IF($B60="","",IF(COUNTIF('Competency Event Log'!$U$4:$U$803,$B60&amp;"|"&amp;CY$5)=0,"",SUMIF('Competency Event Log'!$U$4:$U$803,$B60&amp;"|"&amp;CY$5,'Competency Event Log'!$D$4:$D$803)))</f>
        <v/>
      </c>
      <c r="CZ60" s="8" t="str">
        <f>IF($B60="","",IF(COUNTIF('Competency Event Log'!$U$4:$U$803,$B60&amp;"|"&amp;CZ$5)=0,"",SUMIF('Competency Event Log'!$U$4:$U$803,$B60&amp;"|"&amp;CZ$5,'Competency Event Log'!$D$4:$D$803)))</f>
        <v/>
      </c>
      <c r="DA60" s="8" t="str">
        <f>IF($B60="","",IF(COUNTIF('Competency Event Log'!$U$4:$U$803,$B60&amp;"|"&amp;DA$5)=0,"",SUMIF('Competency Event Log'!$U$4:$U$803,$B60&amp;"|"&amp;DA$5,'Competency Event Log'!$D$4:$D$803)))</f>
        <v/>
      </c>
      <c r="DB60" s="8" t="str">
        <f>IF($B60="","",IF(COUNTIF('Competency Event Log'!$U$4:$U$803,$B60&amp;"|"&amp;DB$5)=0,"",SUMIF('Competency Event Log'!$U$4:$U$803,$B60&amp;"|"&amp;DB$5,'Competency Event Log'!$D$4:$D$803)))</f>
        <v/>
      </c>
      <c r="DC60" s="8" t="str">
        <f>IF($B60="","",IF(COUNTIF('Competency Event Log'!$U$4:$U$803,$B60&amp;"|"&amp;DC$5)=0,"",SUMIF('Competency Event Log'!$U$4:$U$803,$B60&amp;"|"&amp;DC$5,'Competency Event Log'!$D$4:$D$803)))</f>
        <v/>
      </c>
      <c r="DD60" s="8" t="str">
        <f>IF($B60="","",IF(COUNTIF('Competency Event Log'!$U$4:$U$803,$B60&amp;"|"&amp;DD$5)=0,"",SUMIF('Competency Event Log'!$U$4:$U$803,$B60&amp;"|"&amp;DD$5,'Competency Event Log'!$D$4:$D$803)))</f>
        <v/>
      </c>
      <c r="DE60" s="8" t="str">
        <f>IF($B60="","",IF(COUNTIF('Competency Event Log'!$U$4:$U$803,$B60&amp;"|"&amp;DE$5)=0,"",SUMIF('Competency Event Log'!$U$4:$U$803,$B60&amp;"|"&amp;DE$5,'Competency Event Log'!$D$4:$D$803)))</f>
        <v/>
      </c>
      <c r="DF60" s="8" t="str">
        <f t="shared" si="4"/>
        <v/>
      </c>
      <c r="DG60" s="8" t="str">
        <f t="shared" si="5"/>
        <v/>
      </c>
      <c r="DH60" s="8" t="str">
        <f t="shared" si="6"/>
        <v/>
      </c>
      <c r="DI60" s="11" t="str">
        <f t="shared" si="7"/>
        <v/>
      </c>
    </row>
    <row r="61" spans="1:113">
      <c r="A61" s="7"/>
      <c r="B61" s="7"/>
      <c r="C61" s="8"/>
      <c r="D61" s="9"/>
      <c r="E61" s="10"/>
      <c r="F61" s="8"/>
      <c r="G61" s="8" t="str">
        <f>IF($B61="","",IF(COUNTIF('Competency Event Log'!$U$4:$U$803,$B61&amp;"|"&amp;G$5)=0,"",SUMIF('Competency Event Log'!$U$4:$U$803,$B61&amp;"|"&amp;G$5,'Competency Event Log'!$D$4:$D$803)))</f>
        <v/>
      </c>
      <c r="H61" s="8" t="str">
        <f>IF($B61="","",IF(COUNTIF('Competency Event Log'!$U$4:$U$803,$B61&amp;"|"&amp;H$5)=0,"",SUMIF('Competency Event Log'!$U$4:$U$803,$B61&amp;"|"&amp;H$5,'Competency Event Log'!$D$4:$D$803)))</f>
        <v/>
      </c>
      <c r="I61" s="8" t="str">
        <f>IF($B61="","",IF(COUNTIF('Competency Event Log'!$U$4:$U$803,$B61&amp;"|"&amp;I$5)=0,"",SUMIF('Competency Event Log'!$U$4:$U$803,$B61&amp;"|"&amp;I$5,'Competency Event Log'!$D$4:$D$803)))</f>
        <v/>
      </c>
      <c r="J61" s="8" t="str">
        <f>IF($B61="","",IF(COUNTIF('Competency Event Log'!$U$4:$U$803,$B61&amp;"|"&amp;J$5)=0,"",SUMIF('Competency Event Log'!$U$4:$U$803,$B61&amp;"|"&amp;J$5,'Competency Event Log'!$D$4:$D$803)))</f>
        <v/>
      </c>
      <c r="K61" s="8" t="str">
        <f>IF($B61="","",IF(COUNTIF('Competency Event Log'!$U$4:$U$803,$B61&amp;"|"&amp;K$5)=0,"",SUMIF('Competency Event Log'!$U$4:$U$803,$B61&amp;"|"&amp;K$5,'Competency Event Log'!$D$4:$D$803)))</f>
        <v/>
      </c>
      <c r="L61" s="8" t="str">
        <f>IF($B61="","",IF(COUNTIF('Competency Event Log'!$U$4:$U$803,$B61&amp;"|"&amp;L$5)=0,"",SUMIF('Competency Event Log'!$U$4:$U$803,$B61&amp;"|"&amp;L$5,'Competency Event Log'!$D$4:$D$803)))</f>
        <v/>
      </c>
      <c r="M61" s="8" t="str">
        <f>IF($B61="","",IF(COUNTIF('Competency Event Log'!$U$4:$U$803,$B61&amp;"|"&amp;M$5)=0,"",SUMIF('Competency Event Log'!$U$4:$U$803,$B61&amp;"|"&amp;M$5,'Competency Event Log'!$D$4:$D$803)))</f>
        <v/>
      </c>
      <c r="N61" s="8" t="str">
        <f>IF($B61="","",IF(COUNTIF('Competency Event Log'!$U$4:$U$803,$B61&amp;"|"&amp;N$5)=0,"",SUMIF('Competency Event Log'!$U$4:$U$803,$B61&amp;"|"&amp;N$5,'Competency Event Log'!$D$4:$D$803)))</f>
        <v/>
      </c>
      <c r="O61" s="8" t="str">
        <f>IF($B61="","",IF(COUNTIF('Competency Event Log'!$U$4:$U$803,$B61&amp;"|"&amp;O$5)=0,"",SUMIF('Competency Event Log'!$U$4:$U$803,$B61&amp;"|"&amp;O$5,'Competency Event Log'!$D$4:$D$803)))</f>
        <v/>
      </c>
      <c r="P61" s="8" t="str">
        <f>IF($B61="","",IF(COUNTIF('Competency Event Log'!$U$4:$U$803,$B61&amp;"|"&amp;P$5)=0,"",SUMIF('Competency Event Log'!$U$4:$U$803,$B61&amp;"|"&amp;P$5,'Competency Event Log'!$D$4:$D$803)))</f>
        <v/>
      </c>
      <c r="Q61" s="8" t="str">
        <f>IF($B61="","",IF(COUNTIF('Competency Event Log'!$U$4:$U$803,$B61&amp;"|"&amp;Q$5)=0,"",SUMIF('Competency Event Log'!$U$4:$U$803,$B61&amp;"|"&amp;Q$5,'Competency Event Log'!$D$4:$D$803)))</f>
        <v/>
      </c>
      <c r="R61" s="8" t="str">
        <f>IF($B61="","",IF(COUNTIF('Competency Event Log'!$U$4:$U$803,$B61&amp;"|"&amp;R$5)=0,"",SUMIF('Competency Event Log'!$U$4:$U$803,$B61&amp;"|"&amp;R$5,'Competency Event Log'!$D$4:$D$803)))</f>
        <v/>
      </c>
      <c r="S61" s="8" t="str">
        <f>IF($B61="","",IF(COUNTIF('Competency Event Log'!$U$4:$U$803,$B61&amp;"|"&amp;S$5)=0,"",SUMIF('Competency Event Log'!$U$4:$U$803,$B61&amp;"|"&amp;S$5,'Competency Event Log'!$D$4:$D$803)))</f>
        <v/>
      </c>
      <c r="T61" s="8" t="str">
        <f>IF($B61="","",IF(COUNTIF('Competency Event Log'!$U$4:$U$803,$B61&amp;"|"&amp;T$5)=0,"",SUMIF('Competency Event Log'!$U$4:$U$803,$B61&amp;"|"&amp;T$5,'Competency Event Log'!$D$4:$D$803)))</f>
        <v/>
      </c>
      <c r="U61" s="8" t="str">
        <f>IF($B61="","",IF(COUNTIF('Competency Event Log'!$U$4:$U$803,$B61&amp;"|"&amp;U$5)=0,"",SUMIF('Competency Event Log'!$U$4:$U$803,$B61&amp;"|"&amp;U$5,'Competency Event Log'!$D$4:$D$803)))</f>
        <v/>
      </c>
      <c r="V61" s="8" t="str">
        <f>IF($B61="","",IF(COUNTIF('Competency Event Log'!$U$4:$U$803,$B61&amp;"|"&amp;V$5)=0,"",SUMIF('Competency Event Log'!$U$4:$U$803,$B61&amp;"|"&amp;V$5,'Competency Event Log'!$D$4:$D$803)))</f>
        <v/>
      </c>
      <c r="W61" s="8" t="str">
        <f>IF($B61="","",IF(COUNTIF('Competency Event Log'!$U$4:$U$803,$B61&amp;"|"&amp;W$5)=0,"",SUMIF('Competency Event Log'!$U$4:$U$803,$B61&amp;"|"&amp;W$5,'Competency Event Log'!$D$4:$D$803)))</f>
        <v/>
      </c>
      <c r="X61" s="8" t="str">
        <f>IF($B61="","",IF(COUNTIF('Competency Event Log'!$U$4:$U$803,$B61&amp;"|"&amp;X$5)=0,"",SUMIF('Competency Event Log'!$U$4:$U$803,$B61&amp;"|"&amp;X$5,'Competency Event Log'!$D$4:$D$803)))</f>
        <v/>
      </c>
      <c r="Y61" s="8" t="str">
        <f>IF($B61="","",IF(COUNTIF('Competency Event Log'!$U$4:$U$803,$B61&amp;"|"&amp;Y$5)=0,"",SUMIF('Competency Event Log'!$U$4:$U$803,$B61&amp;"|"&amp;Y$5,'Competency Event Log'!$D$4:$D$803)))</f>
        <v/>
      </c>
      <c r="Z61" s="8" t="str">
        <f>IF($B61="","",IF(COUNTIF('Competency Event Log'!$U$4:$U$803,$B61&amp;"|"&amp;Z$5)=0,"",SUMIF('Competency Event Log'!$U$4:$U$803,$B61&amp;"|"&amp;Z$5,'Competency Event Log'!$D$4:$D$803)))</f>
        <v/>
      </c>
      <c r="AA61" s="8" t="str">
        <f>IF($B61="","",IF(COUNTIF('Competency Event Log'!$U$4:$U$803,$B61&amp;"|"&amp;AA$5)=0,"",SUMIF('Competency Event Log'!$U$4:$U$803,$B61&amp;"|"&amp;AA$5,'Competency Event Log'!$D$4:$D$803)))</f>
        <v/>
      </c>
      <c r="AB61" s="8" t="str">
        <f>IF($B61="","",IF(COUNTIF('Competency Event Log'!$U$4:$U$803,$B61&amp;"|"&amp;AB$5)=0,"",SUMIF('Competency Event Log'!$U$4:$U$803,$B61&amp;"|"&amp;AB$5,'Competency Event Log'!$D$4:$D$803)))</f>
        <v/>
      </c>
      <c r="AC61" s="8" t="str">
        <f>IF($B61="","",IF(COUNTIF('Competency Event Log'!$U$4:$U$803,$B61&amp;"|"&amp;AC$5)=0,"",SUMIF('Competency Event Log'!$U$4:$U$803,$B61&amp;"|"&amp;AC$5,'Competency Event Log'!$D$4:$D$803)))</f>
        <v/>
      </c>
      <c r="AD61" s="8" t="str">
        <f>IF($B61="","",IF(COUNTIF('Competency Event Log'!$U$4:$U$803,$B61&amp;"|"&amp;AD$5)=0,"",SUMIF('Competency Event Log'!$U$4:$U$803,$B61&amp;"|"&amp;AD$5,'Competency Event Log'!$D$4:$D$803)))</f>
        <v/>
      </c>
      <c r="AE61" s="8" t="str">
        <f>IF($B61="","",IF(COUNTIF('Competency Event Log'!$U$4:$U$803,$B61&amp;"|"&amp;AE$5)=0,"",SUMIF('Competency Event Log'!$U$4:$U$803,$B61&amp;"|"&amp;AE$5,'Competency Event Log'!$D$4:$D$803)))</f>
        <v/>
      </c>
      <c r="AF61" s="8" t="str">
        <f>IF($B61="","",IF(COUNTIF('Competency Event Log'!$U$4:$U$803,$B61&amp;"|"&amp;AF$5)=0,"",SUMIF('Competency Event Log'!$U$4:$U$803,$B61&amp;"|"&amp;AF$5,'Competency Event Log'!$D$4:$D$803)))</f>
        <v/>
      </c>
      <c r="AG61" s="8" t="str">
        <f>IF($B61="","",IF(COUNTIF('Competency Event Log'!$U$4:$U$803,$B61&amp;"|"&amp;AG$5)=0,"",SUMIF('Competency Event Log'!$U$4:$U$803,$B61&amp;"|"&amp;AG$5,'Competency Event Log'!$D$4:$D$803)))</f>
        <v/>
      </c>
      <c r="AH61" s="8" t="str">
        <f>IF($B61="","",IF(COUNTIF('Competency Event Log'!$U$4:$U$803,$B61&amp;"|"&amp;AH$5)=0,"",SUMIF('Competency Event Log'!$U$4:$U$803,$B61&amp;"|"&amp;AH$5,'Competency Event Log'!$D$4:$D$803)))</f>
        <v/>
      </c>
      <c r="AI61" s="8" t="str">
        <f>IF($B61="","",IF(COUNTIF('Competency Event Log'!$U$4:$U$803,$B61&amp;"|"&amp;AI$5)=0,"",SUMIF('Competency Event Log'!$U$4:$U$803,$B61&amp;"|"&amp;AI$5,'Competency Event Log'!$D$4:$D$803)))</f>
        <v/>
      </c>
      <c r="AJ61" s="8" t="str">
        <f>IF($B61="","",IF(COUNTIF('Competency Event Log'!$U$4:$U$803,$B61&amp;"|"&amp;AJ$5)=0,"",SUMIF('Competency Event Log'!$U$4:$U$803,$B61&amp;"|"&amp;AJ$5,'Competency Event Log'!$D$4:$D$803)))</f>
        <v/>
      </c>
      <c r="AK61" s="8" t="str">
        <f>IF($B61="","",IF(COUNTIF('Competency Event Log'!$U$4:$U$803,$B61&amp;"|"&amp;AK$5)=0,"",SUMIF('Competency Event Log'!$U$4:$U$803,$B61&amp;"|"&amp;AK$5,'Competency Event Log'!$D$4:$D$803)))</f>
        <v/>
      </c>
      <c r="AL61" s="8" t="str">
        <f>IF($B61="","",IF(COUNTIF('Competency Event Log'!$U$4:$U$803,$B61&amp;"|"&amp;AL$5)=0,"",SUMIF('Competency Event Log'!$U$4:$U$803,$B61&amp;"|"&amp;AL$5,'Competency Event Log'!$D$4:$D$803)))</f>
        <v/>
      </c>
      <c r="AM61" s="8" t="str">
        <f>IF($B61="","",IF(COUNTIF('Competency Event Log'!$U$4:$U$803,$B61&amp;"|"&amp;AM$5)=0,"",SUMIF('Competency Event Log'!$U$4:$U$803,$B61&amp;"|"&amp;AM$5,'Competency Event Log'!$D$4:$D$803)))</f>
        <v/>
      </c>
      <c r="AN61" s="8" t="str">
        <f>IF($B61="","",IF(COUNTIF('Competency Event Log'!$U$4:$U$803,$B61&amp;"|"&amp;AN$5)=0,"",SUMIF('Competency Event Log'!$U$4:$U$803,$B61&amp;"|"&amp;AN$5,'Competency Event Log'!$D$4:$D$803)))</f>
        <v/>
      </c>
      <c r="AO61" s="8" t="str">
        <f>IF($B61="","",IF(COUNTIF('Competency Event Log'!$U$4:$U$803,$B61&amp;"|"&amp;AO$5)=0,"",SUMIF('Competency Event Log'!$U$4:$U$803,$B61&amp;"|"&amp;AO$5,'Competency Event Log'!$D$4:$D$803)))</f>
        <v/>
      </c>
      <c r="AP61" s="8" t="str">
        <f>IF($B61="","",IF(COUNTIF('Competency Event Log'!$U$4:$U$803,$B61&amp;"|"&amp;AP$5)=0,"",SUMIF('Competency Event Log'!$U$4:$U$803,$B61&amp;"|"&amp;AP$5,'Competency Event Log'!$D$4:$D$803)))</f>
        <v/>
      </c>
      <c r="AQ61" s="8" t="str">
        <f>IF($B61="","",IF(COUNTIF('Competency Event Log'!$U$4:$U$803,$B61&amp;"|"&amp;AQ$5)=0,"",SUMIF('Competency Event Log'!$U$4:$U$803,$B61&amp;"|"&amp;AQ$5,'Competency Event Log'!$D$4:$D$803)))</f>
        <v/>
      </c>
      <c r="AR61" s="8" t="str">
        <f>IF($B61="","",IF(COUNTIF('Competency Event Log'!$U$4:$U$803,$B61&amp;"|"&amp;AR$5)=0,"",SUMIF('Competency Event Log'!$U$4:$U$803,$B61&amp;"|"&amp;AR$5,'Competency Event Log'!$D$4:$D$803)))</f>
        <v/>
      </c>
      <c r="AS61" s="8" t="str">
        <f>IF($B61="","",IF(COUNTIF('Competency Event Log'!$U$4:$U$803,$B61&amp;"|"&amp;AS$5)=0,"",SUMIF('Competency Event Log'!$U$4:$U$803,$B61&amp;"|"&amp;AS$5,'Competency Event Log'!$D$4:$D$803)))</f>
        <v/>
      </c>
      <c r="AT61" s="8" t="str">
        <f>IF($B61="","",IF(COUNTIF('Competency Event Log'!$U$4:$U$803,$B61&amp;"|"&amp;AT$5)=0,"",SUMIF('Competency Event Log'!$U$4:$U$803,$B61&amp;"|"&amp;AT$5,'Competency Event Log'!$D$4:$D$803)))</f>
        <v/>
      </c>
      <c r="AU61" s="8" t="str">
        <f>IF($B61="","",IF(COUNTIF('Competency Event Log'!$U$4:$U$803,$B61&amp;"|"&amp;AU$5)=0,"",SUMIF('Competency Event Log'!$U$4:$U$803,$B61&amp;"|"&amp;AU$5,'Competency Event Log'!$D$4:$D$803)))</f>
        <v/>
      </c>
      <c r="AV61" s="8" t="str">
        <f>IF($B61="","",IF(COUNTIF('Competency Event Log'!$U$4:$U$803,$B61&amp;"|"&amp;AV$5)=0,"",SUMIF('Competency Event Log'!$U$4:$U$803,$B61&amp;"|"&amp;AV$5,'Competency Event Log'!$D$4:$D$803)))</f>
        <v/>
      </c>
      <c r="AW61" s="8" t="str">
        <f>IF($B61="","",IF(COUNTIF('Competency Event Log'!$U$4:$U$803,$B61&amp;"|"&amp;AW$5)=0,"",SUMIF('Competency Event Log'!$U$4:$U$803,$B61&amp;"|"&amp;AW$5,'Competency Event Log'!$D$4:$D$803)))</f>
        <v/>
      </c>
      <c r="AX61" s="8" t="str">
        <f>IF($B61="","",IF(COUNTIF('Competency Event Log'!$U$4:$U$803,$B61&amp;"|"&amp;AX$5)=0,"",SUMIF('Competency Event Log'!$U$4:$U$803,$B61&amp;"|"&amp;AX$5,'Competency Event Log'!$D$4:$D$803)))</f>
        <v/>
      </c>
      <c r="AY61" s="8" t="str">
        <f>IF($B61="","",IF(COUNTIF('Competency Event Log'!$U$4:$U$803,$B61&amp;"|"&amp;AY$5)=0,"",SUMIF('Competency Event Log'!$U$4:$U$803,$B61&amp;"|"&amp;AY$5,'Competency Event Log'!$D$4:$D$803)))</f>
        <v/>
      </c>
      <c r="AZ61" s="8" t="str">
        <f>IF($B61="","",IF(COUNTIF('Competency Event Log'!$U$4:$U$803,$B61&amp;"|"&amp;AZ$5)=0,"",SUMIF('Competency Event Log'!$U$4:$U$803,$B61&amp;"|"&amp;AZ$5,'Competency Event Log'!$D$4:$D$803)))</f>
        <v/>
      </c>
      <c r="BA61" s="8" t="str">
        <f>IF($B61="","",IF(COUNTIF('Competency Event Log'!$U$4:$U$803,$B61&amp;"|"&amp;BA$5)=0,"",SUMIF('Competency Event Log'!$U$4:$U$803,$B61&amp;"|"&amp;BA$5,'Competency Event Log'!$D$4:$D$803)))</f>
        <v/>
      </c>
      <c r="BB61" s="8" t="str">
        <f>IF($B61="","",IF(COUNTIF('Competency Event Log'!$U$4:$U$803,$B61&amp;"|"&amp;BB$5)=0,"",SUMIF('Competency Event Log'!$U$4:$U$803,$B61&amp;"|"&amp;BB$5,'Competency Event Log'!$D$4:$D$803)))</f>
        <v/>
      </c>
      <c r="BC61" s="8" t="str">
        <f>IF($B61="","",IF(COUNTIF('Competency Event Log'!$U$4:$U$803,$B61&amp;"|"&amp;BC$5)=0,"",SUMIF('Competency Event Log'!$U$4:$U$803,$B61&amp;"|"&amp;BC$5,'Competency Event Log'!$D$4:$D$803)))</f>
        <v/>
      </c>
      <c r="BD61" s="8" t="str">
        <f>IF($B61="","",IF(COUNTIF('Competency Event Log'!$U$4:$U$803,$B61&amp;"|"&amp;BD$5)=0,"",SUMIF('Competency Event Log'!$U$4:$U$803,$B61&amp;"|"&amp;BD$5,'Competency Event Log'!$D$4:$D$803)))</f>
        <v/>
      </c>
      <c r="BE61" s="8" t="str">
        <f>IF($B61="","",IF(COUNTIF('Competency Event Log'!$U$4:$U$803,$B61&amp;"|"&amp;BE$5)=0,"",SUMIF('Competency Event Log'!$U$4:$U$803,$B61&amp;"|"&amp;BE$5,'Competency Event Log'!$D$4:$D$803)))</f>
        <v/>
      </c>
      <c r="BF61" s="8" t="str">
        <f>IF($B61="","",IF(COUNTIF('Competency Event Log'!$U$4:$U$803,$B61&amp;"|"&amp;BF$5)=0,"",SUMIF('Competency Event Log'!$U$4:$U$803,$B61&amp;"|"&amp;BF$5,'Competency Event Log'!$D$4:$D$803)))</f>
        <v/>
      </c>
      <c r="BG61" s="8" t="str">
        <f>IF($B61="","",IF(COUNTIF('Competency Event Log'!$U$4:$U$803,$B61&amp;"|"&amp;BG$5)=0,"",SUMIF('Competency Event Log'!$U$4:$U$803,$B61&amp;"|"&amp;BG$5,'Competency Event Log'!$D$4:$D$803)))</f>
        <v/>
      </c>
      <c r="BH61" s="8" t="str">
        <f>IF($B61="","",IF(COUNTIF('Competency Event Log'!$U$4:$U$803,$B61&amp;"|"&amp;BH$5)=0,"",SUMIF('Competency Event Log'!$U$4:$U$803,$B61&amp;"|"&amp;BH$5,'Competency Event Log'!$D$4:$D$803)))</f>
        <v/>
      </c>
      <c r="BI61" s="8" t="str">
        <f>IF($B61="","",IF(COUNTIF('Competency Event Log'!$U$4:$U$803,$B61&amp;"|"&amp;BI$5)=0,"",SUMIF('Competency Event Log'!$U$4:$U$803,$B61&amp;"|"&amp;BI$5,'Competency Event Log'!$D$4:$D$803)))</f>
        <v/>
      </c>
      <c r="BJ61" s="8" t="str">
        <f>IF($B61="","",IF(COUNTIF('Competency Event Log'!$U$4:$U$803,$B61&amp;"|"&amp;BJ$5)=0,"",SUMIF('Competency Event Log'!$U$4:$U$803,$B61&amp;"|"&amp;BJ$5,'Competency Event Log'!$D$4:$D$803)))</f>
        <v/>
      </c>
      <c r="BK61" s="8" t="str">
        <f>IF($B61="","",IF(COUNTIF('Competency Event Log'!$U$4:$U$803,$B61&amp;"|"&amp;BK$5)=0,"",SUMIF('Competency Event Log'!$U$4:$U$803,$B61&amp;"|"&amp;BK$5,'Competency Event Log'!$D$4:$D$803)))</f>
        <v/>
      </c>
      <c r="BL61" s="8" t="str">
        <f>IF($B61="","",IF(COUNTIF('Competency Event Log'!$U$4:$U$803,$B61&amp;"|"&amp;BL$5)=0,"",SUMIF('Competency Event Log'!$U$4:$U$803,$B61&amp;"|"&amp;BL$5,'Competency Event Log'!$D$4:$D$803)))</f>
        <v/>
      </c>
      <c r="BM61" s="8" t="str">
        <f>IF($B61="","",IF(COUNTIF('Competency Event Log'!$U$4:$U$803,$B61&amp;"|"&amp;BM$5)=0,"",SUMIF('Competency Event Log'!$U$4:$U$803,$B61&amp;"|"&amp;BM$5,'Competency Event Log'!$D$4:$D$803)))</f>
        <v/>
      </c>
      <c r="BN61" s="8" t="str">
        <f>IF($B61="","",IF(COUNTIF('Competency Event Log'!$U$4:$U$803,$B61&amp;"|"&amp;BN$5)=0,"",SUMIF('Competency Event Log'!$U$4:$U$803,$B61&amp;"|"&amp;BN$5,'Competency Event Log'!$D$4:$D$803)))</f>
        <v/>
      </c>
      <c r="BO61" s="8" t="str">
        <f>IF($B61="","",IF(COUNTIF('Competency Event Log'!$U$4:$U$803,$B61&amp;"|"&amp;BO$5)=0,"",SUMIF('Competency Event Log'!$U$4:$U$803,$B61&amp;"|"&amp;BO$5,'Competency Event Log'!$D$4:$D$803)))</f>
        <v/>
      </c>
      <c r="BP61" s="8" t="str">
        <f>IF($B61="","",IF(COUNTIF('Competency Event Log'!$U$4:$U$803,$B61&amp;"|"&amp;BP$5)=0,"",SUMIF('Competency Event Log'!$U$4:$U$803,$B61&amp;"|"&amp;BP$5,'Competency Event Log'!$D$4:$D$803)))</f>
        <v/>
      </c>
      <c r="BQ61" s="8" t="str">
        <f>IF($B61="","",IF(COUNTIF('Competency Event Log'!$U$4:$U$803,$B61&amp;"|"&amp;BQ$5)=0,"",SUMIF('Competency Event Log'!$U$4:$U$803,$B61&amp;"|"&amp;BQ$5,'Competency Event Log'!$D$4:$D$803)))</f>
        <v/>
      </c>
      <c r="BR61" s="8" t="str">
        <f>IF($B61="","",IF(COUNTIF('Competency Event Log'!$U$4:$U$803,$B61&amp;"|"&amp;BR$5)=0,"",SUMIF('Competency Event Log'!$U$4:$U$803,$B61&amp;"|"&amp;BR$5,'Competency Event Log'!$D$4:$D$803)))</f>
        <v/>
      </c>
      <c r="BS61" s="8" t="str">
        <f>IF($B61="","",IF(COUNTIF('Competency Event Log'!$U$4:$U$803,$B61&amp;"|"&amp;BS$5)=0,"",SUMIF('Competency Event Log'!$U$4:$U$803,$B61&amp;"|"&amp;BS$5,'Competency Event Log'!$D$4:$D$803)))</f>
        <v/>
      </c>
      <c r="BT61" s="8" t="str">
        <f>IF($B61="","",IF(COUNTIF('Competency Event Log'!$U$4:$U$803,$B61&amp;"|"&amp;BT$5)=0,"",SUMIF('Competency Event Log'!$U$4:$U$803,$B61&amp;"|"&amp;BT$5,'Competency Event Log'!$D$4:$D$803)))</f>
        <v/>
      </c>
      <c r="BU61" s="8" t="str">
        <f>IF($B61="","",IF(COUNTIF('Competency Event Log'!$U$4:$U$803,$B61&amp;"|"&amp;BU$5)=0,"",SUMIF('Competency Event Log'!$U$4:$U$803,$B61&amp;"|"&amp;BU$5,'Competency Event Log'!$D$4:$D$803)))</f>
        <v/>
      </c>
      <c r="BV61" s="8" t="str">
        <f>IF($B61="","",IF(COUNTIF('Competency Event Log'!$U$4:$U$803,$B61&amp;"|"&amp;BV$5)=0,"",SUMIF('Competency Event Log'!$U$4:$U$803,$B61&amp;"|"&amp;BV$5,'Competency Event Log'!$D$4:$D$803)))</f>
        <v/>
      </c>
      <c r="BW61" s="8" t="str">
        <f>IF($B61="","",IF(COUNTIF('Competency Event Log'!$U$4:$U$803,$B61&amp;"|"&amp;BW$5)=0,"",SUMIF('Competency Event Log'!$U$4:$U$803,$B61&amp;"|"&amp;BW$5,'Competency Event Log'!$D$4:$D$803)))</f>
        <v/>
      </c>
      <c r="BX61" s="8" t="str">
        <f>IF($B61="","",IF(COUNTIF('Competency Event Log'!$U$4:$U$803,$B61&amp;"|"&amp;BX$5)=0,"",SUMIF('Competency Event Log'!$U$4:$U$803,$B61&amp;"|"&amp;BX$5,'Competency Event Log'!$D$4:$D$803)))</f>
        <v/>
      </c>
      <c r="BY61" s="8" t="str">
        <f>IF($B61="","",IF(COUNTIF('Competency Event Log'!$U$4:$U$803,$B61&amp;"|"&amp;BY$5)=0,"",SUMIF('Competency Event Log'!$U$4:$U$803,$B61&amp;"|"&amp;BY$5,'Competency Event Log'!$D$4:$D$803)))</f>
        <v/>
      </c>
      <c r="BZ61" s="8" t="str">
        <f>IF($B61="","",IF(COUNTIF('Competency Event Log'!$U$4:$U$803,$B61&amp;"|"&amp;BZ$5)=0,"",SUMIF('Competency Event Log'!$U$4:$U$803,$B61&amp;"|"&amp;BZ$5,'Competency Event Log'!$D$4:$D$803)))</f>
        <v/>
      </c>
      <c r="CA61" s="8" t="str">
        <f>IF($B61="","",IF(COUNTIF('Competency Event Log'!$U$4:$U$803,$B61&amp;"|"&amp;CA$5)=0,"",SUMIF('Competency Event Log'!$U$4:$U$803,$B61&amp;"|"&amp;CA$5,'Competency Event Log'!$D$4:$D$803)))</f>
        <v/>
      </c>
      <c r="CB61" s="8" t="str">
        <f>IF($B61="","",IF(COUNTIF('Competency Event Log'!$U$4:$U$803,$B61&amp;"|"&amp;CB$5)=0,"",SUMIF('Competency Event Log'!$U$4:$U$803,$B61&amp;"|"&amp;CB$5,'Competency Event Log'!$D$4:$D$803)))</f>
        <v/>
      </c>
      <c r="CC61" s="8" t="str">
        <f>IF($B61="","",IF(COUNTIF('Competency Event Log'!$U$4:$U$803,$B61&amp;"|"&amp;CC$5)=0,"",SUMIF('Competency Event Log'!$U$4:$U$803,$B61&amp;"|"&amp;CC$5,'Competency Event Log'!$D$4:$D$803)))</f>
        <v/>
      </c>
      <c r="CD61" s="8" t="str">
        <f>IF($B61="","",IF(COUNTIF('Competency Event Log'!$U$4:$U$803,$B61&amp;"|"&amp;CD$5)=0,"",SUMIF('Competency Event Log'!$U$4:$U$803,$B61&amp;"|"&amp;CD$5,'Competency Event Log'!$D$4:$D$803)))</f>
        <v/>
      </c>
      <c r="CE61" s="8" t="str">
        <f>IF($B61="","",IF(COUNTIF('Competency Event Log'!$U$4:$U$803,$B61&amp;"|"&amp;CE$5)=0,"",SUMIF('Competency Event Log'!$U$4:$U$803,$B61&amp;"|"&amp;CE$5,'Competency Event Log'!$D$4:$D$803)))</f>
        <v/>
      </c>
      <c r="CF61" s="8" t="str">
        <f>IF($B61="","",IF(COUNTIF('Competency Event Log'!$U$4:$U$803,$B61&amp;"|"&amp;CF$5)=0,"",SUMIF('Competency Event Log'!$U$4:$U$803,$B61&amp;"|"&amp;CF$5,'Competency Event Log'!$D$4:$D$803)))</f>
        <v/>
      </c>
      <c r="CG61" s="8" t="str">
        <f>IF($B61="","",IF(COUNTIF('Competency Event Log'!$U$4:$U$803,$B61&amp;"|"&amp;CG$5)=0,"",SUMIF('Competency Event Log'!$U$4:$U$803,$B61&amp;"|"&amp;CG$5,'Competency Event Log'!$D$4:$D$803)))</f>
        <v/>
      </c>
      <c r="CH61" s="8" t="str">
        <f>IF($B61="","",IF(COUNTIF('Competency Event Log'!$U$4:$U$803,$B61&amp;"|"&amp;CH$5)=0,"",SUMIF('Competency Event Log'!$U$4:$U$803,$B61&amp;"|"&amp;CH$5,'Competency Event Log'!$D$4:$D$803)))</f>
        <v/>
      </c>
      <c r="CI61" s="8" t="str">
        <f>IF($B61="","",IF(COUNTIF('Competency Event Log'!$U$4:$U$803,$B61&amp;"|"&amp;CI$5)=0,"",SUMIF('Competency Event Log'!$U$4:$U$803,$B61&amp;"|"&amp;CI$5,'Competency Event Log'!$D$4:$D$803)))</f>
        <v/>
      </c>
      <c r="CJ61" s="8" t="str">
        <f>IF($B61="","",IF(COUNTIF('Competency Event Log'!$U$4:$U$803,$B61&amp;"|"&amp;CJ$5)=0,"",SUMIF('Competency Event Log'!$U$4:$U$803,$B61&amp;"|"&amp;CJ$5,'Competency Event Log'!$D$4:$D$803)))</f>
        <v/>
      </c>
      <c r="CK61" s="8" t="str">
        <f>IF($B61="","",IF(COUNTIF('Competency Event Log'!$U$4:$U$803,$B61&amp;"|"&amp;CK$5)=0,"",SUMIF('Competency Event Log'!$U$4:$U$803,$B61&amp;"|"&amp;CK$5,'Competency Event Log'!$D$4:$D$803)))</f>
        <v/>
      </c>
      <c r="CL61" s="8" t="str">
        <f>IF($B61="","",IF(COUNTIF('Competency Event Log'!$U$4:$U$803,$B61&amp;"|"&amp;CL$5)=0,"",SUMIF('Competency Event Log'!$U$4:$U$803,$B61&amp;"|"&amp;CL$5,'Competency Event Log'!$D$4:$D$803)))</f>
        <v/>
      </c>
      <c r="CM61" s="8" t="str">
        <f>IF($B61="","",IF(COUNTIF('Competency Event Log'!$U$4:$U$803,$B61&amp;"|"&amp;CM$5)=0,"",SUMIF('Competency Event Log'!$U$4:$U$803,$B61&amp;"|"&amp;CM$5,'Competency Event Log'!$D$4:$D$803)))</f>
        <v/>
      </c>
      <c r="CN61" s="8" t="str">
        <f>IF($B61="","",IF(COUNTIF('Competency Event Log'!$U$4:$U$803,$B61&amp;"|"&amp;CN$5)=0,"",SUMIF('Competency Event Log'!$U$4:$U$803,$B61&amp;"|"&amp;CN$5,'Competency Event Log'!$D$4:$D$803)))</f>
        <v/>
      </c>
      <c r="CO61" s="8" t="str">
        <f>IF($B61="","",IF(COUNTIF('Competency Event Log'!$U$4:$U$803,$B61&amp;"|"&amp;CO$5)=0,"",SUMIF('Competency Event Log'!$U$4:$U$803,$B61&amp;"|"&amp;CO$5,'Competency Event Log'!$D$4:$D$803)))</f>
        <v/>
      </c>
      <c r="CP61" s="8" t="str">
        <f>IF($B61="","",IF(COUNTIF('Competency Event Log'!$U$4:$U$803,$B61&amp;"|"&amp;CP$5)=0,"",SUMIF('Competency Event Log'!$U$4:$U$803,$B61&amp;"|"&amp;CP$5,'Competency Event Log'!$D$4:$D$803)))</f>
        <v/>
      </c>
      <c r="CQ61" s="8" t="str">
        <f>IF($B61="","",IF(COUNTIF('Competency Event Log'!$U$4:$U$803,$B61&amp;"|"&amp;CQ$5)=0,"",SUMIF('Competency Event Log'!$U$4:$U$803,$B61&amp;"|"&amp;CQ$5,'Competency Event Log'!$D$4:$D$803)))</f>
        <v/>
      </c>
      <c r="CR61" s="8" t="str">
        <f>IF($B61="","",IF(COUNTIF('Competency Event Log'!$U$4:$U$803,$B61&amp;"|"&amp;CR$5)=0,"",SUMIF('Competency Event Log'!$U$4:$U$803,$B61&amp;"|"&amp;CR$5,'Competency Event Log'!$D$4:$D$803)))</f>
        <v/>
      </c>
      <c r="CS61" s="8" t="str">
        <f>IF($B61="","",IF(COUNTIF('Competency Event Log'!$U$4:$U$803,$B61&amp;"|"&amp;CS$5)=0,"",SUMIF('Competency Event Log'!$U$4:$U$803,$B61&amp;"|"&amp;CS$5,'Competency Event Log'!$D$4:$D$803)))</f>
        <v/>
      </c>
      <c r="CT61" s="8" t="str">
        <f>IF($B61="","",IF(COUNTIF('Competency Event Log'!$U$4:$U$803,$B61&amp;"|"&amp;CT$5)=0,"",SUMIF('Competency Event Log'!$U$4:$U$803,$B61&amp;"|"&amp;CT$5,'Competency Event Log'!$D$4:$D$803)))</f>
        <v/>
      </c>
      <c r="CU61" s="8" t="str">
        <f>IF($B61="","",IF(COUNTIF('Competency Event Log'!$U$4:$U$803,$B61&amp;"|"&amp;CU$5)=0,"",SUMIF('Competency Event Log'!$U$4:$U$803,$B61&amp;"|"&amp;CU$5,'Competency Event Log'!$D$4:$D$803)))</f>
        <v/>
      </c>
      <c r="CV61" s="8" t="str">
        <f>IF($B61="","",IF(COUNTIF('Competency Event Log'!$U$4:$U$803,$B61&amp;"|"&amp;CV$5)=0,"",SUMIF('Competency Event Log'!$U$4:$U$803,$B61&amp;"|"&amp;CV$5,'Competency Event Log'!$D$4:$D$803)))</f>
        <v/>
      </c>
      <c r="CW61" s="8" t="str">
        <f>IF($B61="","",IF(COUNTIF('Competency Event Log'!$U$4:$U$803,$B61&amp;"|"&amp;CW$5)=0,"",SUMIF('Competency Event Log'!$U$4:$U$803,$B61&amp;"|"&amp;CW$5,'Competency Event Log'!$D$4:$D$803)))</f>
        <v/>
      </c>
      <c r="CX61" s="8" t="str">
        <f>IF($B61="","",IF(COUNTIF('Competency Event Log'!$U$4:$U$803,$B61&amp;"|"&amp;CX$5)=0,"",SUMIF('Competency Event Log'!$U$4:$U$803,$B61&amp;"|"&amp;CX$5,'Competency Event Log'!$D$4:$D$803)))</f>
        <v/>
      </c>
      <c r="CY61" s="8" t="str">
        <f>IF($B61="","",IF(COUNTIF('Competency Event Log'!$U$4:$U$803,$B61&amp;"|"&amp;CY$5)=0,"",SUMIF('Competency Event Log'!$U$4:$U$803,$B61&amp;"|"&amp;CY$5,'Competency Event Log'!$D$4:$D$803)))</f>
        <v/>
      </c>
      <c r="CZ61" s="8" t="str">
        <f>IF($B61="","",IF(COUNTIF('Competency Event Log'!$U$4:$U$803,$B61&amp;"|"&amp;CZ$5)=0,"",SUMIF('Competency Event Log'!$U$4:$U$803,$B61&amp;"|"&amp;CZ$5,'Competency Event Log'!$D$4:$D$803)))</f>
        <v/>
      </c>
      <c r="DA61" s="8" t="str">
        <f>IF($B61="","",IF(COUNTIF('Competency Event Log'!$U$4:$U$803,$B61&amp;"|"&amp;DA$5)=0,"",SUMIF('Competency Event Log'!$U$4:$U$803,$B61&amp;"|"&amp;DA$5,'Competency Event Log'!$D$4:$D$803)))</f>
        <v/>
      </c>
      <c r="DB61" s="8" t="str">
        <f>IF($B61="","",IF(COUNTIF('Competency Event Log'!$U$4:$U$803,$B61&amp;"|"&amp;DB$5)=0,"",SUMIF('Competency Event Log'!$U$4:$U$803,$B61&amp;"|"&amp;DB$5,'Competency Event Log'!$D$4:$D$803)))</f>
        <v/>
      </c>
      <c r="DC61" s="8" t="str">
        <f>IF($B61="","",IF(COUNTIF('Competency Event Log'!$U$4:$U$803,$B61&amp;"|"&amp;DC$5)=0,"",SUMIF('Competency Event Log'!$U$4:$U$803,$B61&amp;"|"&amp;DC$5,'Competency Event Log'!$D$4:$D$803)))</f>
        <v/>
      </c>
      <c r="DD61" s="8" t="str">
        <f>IF($B61="","",IF(COUNTIF('Competency Event Log'!$U$4:$U$803,$B61&amp;"|"&amp;DD$5)=0,"",SUMIF('Competency Event Log'!$U$4:$U$803,$B61&amp;"|"&amp;DD$5,'Competency Event Log'!$D$4:$D$803)))</f>
        <v/>
      </c>
      <c r="DE61" s="8" t="str">
        <f>IF($B61="","",IF(COUNTIF('Competency Event Log'!$U$4:$U$803,$B61&amp;"|"&amp;DE$5)=0,"",SUMIF('Competency Event Log'!$U$4:$U$803,$B61&amp;"|"&amp;DE$5,'Competency Event Log'!$D$4:$D$803)))</f>
        <v/>
      </c>
      <c r="DF61" s="8" t="str">
        <f t="shared" si="4"/>
        <v/>
      </c>
      <c r="DG61" s="8" t="str">
        <f t="shared" si="5"/>
        <v/>
      </c>
      <c r="DH61" s="8" t="str">
        <f t="shared" si="6"/>
        <v/>
      </c>
      <c r="DI61" s="11" t="str">
        <f t="shared" si="7"/>
        <v/>
      </c>
    </row>
    <row r="62" spans="1:113">
      <c r="A62" s="7"/>
      <c r="B62" s="7"/>
      <c r="C62" s="8"/>
      <c r="D62" s="9"/>
      <c r="E62" s="10"/>
      <c r="F62" s="8"/>
      <c r="G62" s="8" t="str">
        <f>IF($B62="","",IF(COUNTIF('Competency Event Log'!$U$4:$U$803,$B62&amp;"|"&amp;G$5)=0,"",SUMIF('Competency Event Log'!$U$4:$U$803,$B62&amp;"|"&amp;G$5,'Competency Event Log'!$D$4:$D$803)))</f>
        <v/>
      </c>
      <c r="H62" s="8" t="str">
        <f>IF($B62="","",IF(COUNTIF('Competency Event Log'!$U$4:$U$803,$B62&amp;"|"&amp;H$5)=0,"",SUMIF('Competency Event Log'!$U$4:$U$803,$B62&amp;"|"&amp;H$5,'Competency Event Log'!$D$4:$D$803)))</f>
        <v/>
      </c>
      <c r="I62" s="8" t="str">
        <f>IF($B62="","",IF(COUNTIF('Competency Event Log'!$U$4:$U$803,$B62&amp;"|"&amp;I$5)=0,"",SUMIF('Competency Event Log'!$U$4:$U$803,$B62&amp;"|"&amp;I$5,'Competency Event Log'!$D$4:$D$803)))</f>
        <v/>
      </c>
      <c r="J62" s="8" t="str">
        <f>IF($B62="","",IF(COUNTIF('Competency Event Log'!$U$4:$U$803,$B62&amp;"|"&amp;J$5)=0,"",SUMIF('Competency Event Log'!$U$4:$U$803,$B62&amp;"|"&amp;J$5,'Competency Event Log'!$D$4:$D$803)))</f>
        <v/>
      </c>
      <c r="K62" s="8" t="str">
        <f>IF($B62="","",IF(COUNTIF('Competency Event Log'!$U$4:$U$803,$B62&amp;"|"&amp;K$5)=0,"",SUMIF('Competency Event Log'!$U$4:$U$803,$B62&amp;"|"&amp;K$5,'Competency Event Log'!$D$4:$D$803)))</f>
        <v/>
      </c>
      <c r="L62" s="8" t="str">
        <f>IF($B62="","",IF(COUNTIF('Competency Event Log'!$U$4:$U$803,$B62&amp;"|"&amp;L$5)=0,"",SUMIF('Competency Event Log'!$U$4:$U$803,$B62&amp;"|"&amp;L$5,'Competency Event Log'!$D$4:$D$803)))</f>
        <v/>
      </c>
      <c r="M62" s="8" t="str">
        <f>IF($B62="","",IF(COUNTIF('Competency Event Log'!$U$4:$U$803,$B62&amp;"|"&amp;M$5)=0,"",SUMIF('Competency Event Log'!$U$4:$U$803,$B62&amp;"|"&amp;M$5,'Competency Event Log'!$D$4:$D$803)))</f>
        <v/>
      </c>
      <c r="N62" s="8" t="str">
        <f>IF($B62="","",IF(COUNTIF('Competency Event Log'!$U$4:$U$803,$B62&amp;"|"&amp;N$5)=0,"",SUMIF('Competency Event Log'!$U$4:$U$803,$B62&amp;"|"&amp;N$5,'Competency Event Log'!$D$4:$D$803)))</f>
        <v/>
      </c>
      <c r="O62" s="8" t="str">
        <f>IF($B62="","",IF(COUNTIF('Competency Event Log'!$U$4:$U$803,$B62&amp;"|"&amp;O$5)=0,"",SUMIF('Competency Event Log'!$U$4:$U$803,$B62&amp;"|"&amp;O$5,'Competency Event Log'!$D$4:$D$803)))</f>
        <v/>
      </c>
      <c r="P62" s="8" t="str">
        <f>IF($B62="","",IF(COUNTIF('Competency Event Log'!$U$4:$U$803,$B62&amp;"|"&amp;P$5)=0,"",SUMIF('Competency Event Log'!$U$4:$U$803,$B62&amp;"|"&amp;P$5,'Competency Event Log'!$D$4:$D$803)))</f>
        <v/>
      </c>
      <c r="Q62" s="8" t="str">
        <f>IF($B62="","",IF(COUNTIF('Competency Event Log'!$U$4:$U$803,$B62&amp;"|"&amp;Q$5)=0,"",SUMIF('Competency Event Log'!$U$4:$U$803,$B62&amp;"|"&amp;Q$5,'Competency Event Log'!$D$4:$D$803)))</f>
        <v/>
      </c>
      <c r="R62" s="8" t="str">
        <f>IF($B62="","",IF(COUNTIF('Competency Event Log'!$U$4:$U$803,$B62&amp;"|"&amp;R$5)=0,"",SUMIF('Competency Event Log'!$U$4:$U$803,$B62&amp;"|"&amp;R$5,'Competency Event Log'!$D$4:$D$803)))</f>
        <v/>
      </c>
      <c r="S62" s="8" t="str">
        <f>IF($B62="","",IF(COUNTIF('Competency Event Log'!$U$4:$U$803,$B62&amp;"|"&amp;S$5)=0,"",SUMIF('Competency Event Log'!$U$4:$U$803,$B62&amp;"|"&amp;S$5,'Competency Event Log'!$D$4:$D$803)))</f>
        <v/>
      </c>
      <c r="T62" s="8" t="str">
        <f>IF($B62="","",IF(COUNTIF('Competency Event Log'!$U$4:$U$803,$B62&amp;"|"&amp;T$5)=0,"",SUMIF('Competency Event Log'!$U$4:$U$803,$B62&amp;"|"&amp;T$5,'Competency Event Log'!$D$4:$D$803)))</f>
        <v/>
      </c>
      <c r="U62" s="8" t="str">
        <f>IF($B62="","",IF(COUNTIF('Competency Event Log'!$U$4:$U$803,$B62&amp;"|"&amp;U$5)=0,"",SUMIF('Competency Event Log'!$U$4:$U$803,$B62&amp;"|"&amp;U$5,'Competency Event Log'!$D$4:$D$803)))</f>
        <v/>
      </c>
      <c r="V62" s="8" t="str">
        <f>IF($B62="","",IF(COUNTIF('Competency Event Log'!$U$4:$U$803,$B62&amp;"|"&amp;V$5)=0,"",SUMIF('Competency Event Log'!$U$4:$U$803,$B62&amp;"|"&amp;V$5,'Competency Event Log'!$D$4:$D$803)))</f>
        <v/>
      </c>
      <c r="W62" s="8" t="str">
        <f>IF($B62="","",IF(COUNTIF('Competency Event Log'!$U$4:$U$803,$B62&amp;"|"&amp;W$5)=0,"",SUMIF('Competency Event Log'!$U$4:$U$803,$B62&amp;"|"&amp;W$5,'Competency Event Log'!$D$4:$D$803)))</f>
        <v/>
      </c>
      <c r="X62" s="8" t="str">
        <f>IF($B62="","",IF(COUNTIF('Competency Event Log'!$U$4:$U$803,$B62&amp;"|"&amp;X$5)=0,"",SUMIF('Competency Event Log'!$U$4:$U$803,$B62&amp;"|"&amp;X$5,'Competency Event Log'!$D$4:$D$803)))</f>
        <v/>
      </c>
      <c r="Y62" s="8" t="str">
        <f>IF($B62="","",IF(COUNTIF('Competency Event Log'!$U$4:$U$803,$B62&amp;"|"&amp;Y$5)=0,"",SUMIF('Competency Event Log'!$U$4:$U$803,$B62&amp;"|"&amp;Y$5,'Competency Event Log'!$D$4:$D$803)))</f>
        <v/>
      </c>
      <c r="Z62" s="8" t="str">
        <f>IF($B62="","",IF(COUNTIF('Competency Event Log'!$U$4:$U$803,$B62&amp;"|"&amp;Z$5)=0,"",SUMIF('Competency Event Log'!$U$4:$U$803,$B62&amp;"|"&amp;Z$5,'Competency Event Log'!$D$4:$D$803)))</f>
        <v/>
      </c>
      <c r="AA62" s="8" t="str">
        <f>IF($B62="","",IF(COUNTIF('Competency Event Log'!$U$4:$U$803,$B62&amp;"|"&amp;AA$5)=0,"",SUMIF('Competency Event Log'!$U$4:$U$803,$B62&amp;"|"&amp;AA$5,'Competency Event Log'!$D$4:$D$803)))</f>
        <v/>
      </c>
      <c r="AB62" s="8" t="str">
        <f>IF($B62="","",IF(COUNTIF('Competency Event Log'!$U$4:$U$803,$B62&amp;"|"&amp;AB$5)=0,"",SUMIF('Competency Event Log'!$U$4:$U$803,$B62&amp;"|"&amp;AB$5,'Competency Event Log'!$D$4:$D$803)))</f>
        <v/>
      </c>
      <c r="AC62" s="8" t="str">
        <f>IF($B62="","",IF(COUNTIF('Competency Event Log'!$U$4:$U$803,$B62&amp;"|"&amp;AC$5)=0,"",SUMIF('Competency Event Log'!$U$4:$U$803,$B62&amp;"|"&amp;AC$5,'Competency Event Log'!$D$4:$D$803)))</f>
        <v/>
      </c>
      <c r="AD62" s="8" t="str">
        <f>IF($B62="","",IF(COUNTIF('Competency Event Log'!$U$4:$U$803,$B62&amp;"|"&amp;AD$5)=0,"",SUMIF('Competency Event Log'!$U$4:$U$803,$B62&amp;"|"&amp;AD$5,'Competency Event Log'!$D$4:$D$803)))</f>
        <v/>
      </c>
      <c r="AE62" s="8" t="str">
        <f>IF($B62="","",IF(COUNTIF('Competency Event Log'!$U$4:$U$803,$B62&amp;"|"&amp;AE$5)=0,"",SUMIF('Competency Event Log'!$U$4:$U$803,$B62&amp;"|"&amp;AE$5,'Competency Event Log'!$D$4:$D$803)))</f>
        <v/>
      </c>
      <c r="AF62" s="8" t="str">
        <f>IF($B62="","",IF(COUNTIF('Competency Event Log'!$U$4:$U$803,$B62&amp;"|"&amp;AF$5)=0,"",SUMIF('Competency Event Log'!$U$4:$U$803,$B62&amp;"|"&amp;AF$5,'Competency Event Log'!$D$4:$D$803)))</f>
        <v/>
      </c>
      <c r="AG62" s="8" t="str">
        <f>IF($B62="","",IF(COUNTIF('Competency Event Log'!$U$4:$U$803,$B62&amp;"|"&amp;AG$5)=0,"",SUMIF('Competency Event Log'!$U$4:$U$803,$B62&amp;"|"&amp;AG$5,'Competency Event Log'!$D$4:$D$803)))</f>
        <v/>
      </c>
      <c r="AH62" s="8" t="str">
        <f>IF($B62="","",IF(COUNTIF('Competency Event Log'!$U$4:$U$803,$B62&amp;"|"&amp;AH$5)=0,"",SUMIF('Competency Event Log'!$U$4:$U$803,$B62&amp;"|"&amp;AH$5,'Competency Event Log'!$D$4:$D$803)))</f>
        <v/>
      </c>
      <c r="AI62" s="8" t="str">
        <f>IF($B62="","",IF(COUNTIF('Competency Event Log'!$U$4:$U$803,$B62&amp;"|"&amp;AI$5)=0,"",SUMIF('Competency Event Log'!$U$4:$U$803,$B62&amp;"|"&amp;AI$5,'Competency Event Log'!$D$4:$D$803)))</f>
        <v/>
      </c>
      <c r="AJ62" s="8" t="str">
        <f>IF($B62="","",IF(COUNTIF('Competency Event Log'!$U$4:$U$803,$B62&amp;"|"&amp;AJ$5)=0,"",SUMIF('Competency Event Log'!$U$4:$U$803,$B62&amp;"|"&amp;AJ$5,'Competency Event Log'!$D$4:$D$803)))</f>
        <v/>
      </c>
      <c r="AK62" s="8" t="str">
        <f>IF($B62="","",IF(COUNTIF('Competency Event Log'!$U$4:$U$803,$B62&amp;"|"&amp;AK$5)=0,"",SUMIF('Competency Event Log'!$U$4:$U$803,$B62&amp;"|"&amp;AK$5,'Competency Event Log'!$D$4:$D$803)))</f>
        <v/>
      </c>
      <c r="AL62" s="8" t="str">
        <f>IF($B62="","",IF(COUNTIF('Competency Event Log'!$U$4:$U$803,$B62&amp;"|"&amp;AL$5)=0,"",SUMIF('Competency Event Log'!$U$4:$U$803,$B62&amp;"|"&amp;AL$5,'Competency Event Log'!$D$4:$D$803)))</f>
        <v/>
      </c>
      <c r="AM62" s="8" t="str">
        <f>IF($B62="","",IF(COUNTIF('Competency Event Log'!$U$4:$U$803,$B62&amp;"|"&amp;AM$5)=0,"",SUMIF('Competency Event Log'!$U$4:$U$803,$B62&amp;"|"&amp;AM$5,'Competency Event Log'!$D$4:$D$803)))</f>
        <v/>
      </c>
      <c r="AN62" s="8" t="str">
        <f>IF($B62="","",IF(COUNTIF('Competency Event Log'!$U$4:$U$803,$B62&amp;"|"&amp;AN$5)=0,"",SUMIF('Competency Event Log'!$U$4:$U$803,$B62&amp;"|"&amp;AN$5,'Competency Event Log'!$D$4:$D$803)))</f>
        <v/>
      </c>
      <c r="AO62" s="8" t="str">
        <f>IF($B62="","",IF(COUNTIF('Competency Event Log'!$U$4:$U$803,$B62&amp;"|"&amp;AO$5)=0,"",SUMIF('Competency Event Log'!$U$4:$U$803,$B62&amp;"|"&amp;AO$5,'Competency Event Log'!$D$4:$D$803)))</f>
        <v/>
      </c>
      <c r="AP62" s="8" t="str">
        <f>IF($B62="","",IF(COUNTIF('Competency Event Log'!$U$4:$U$803,$B62&amp;"|"&amp;AP$5)=0,"",SUMIF('Competency Event Log'!$U$4:$U$803,$B62&amp;"|"&amp;AP$5,'Competency Event Log'!$D$4:$D$803)))</f>
        <v/>
      </c>
      <c r="AQ62" s="8" t="str">
        <f>IF($B62="","",IF(COUNTIF('Competency Event Log'!$U$4:$U$803,$B62&amp;"|"&amp;AQ$5)=0,"",SUMIF('Competency Event Log'!$U$4:$U$803,$B62&amp;"|"&amp;AQ$5,'Competency Event Log'!$D$4:$D$803)))</f>
        <v/>
      </c>
      <c r="AR62" s="8" t="str">
        <f>IF($B62="","",IF(COUNTIF('Competency Event Log'!$U$4:$U$803,$B62&amp;"|"&amp;AR$5)=0,"",SUMIF('Competency Event Log'!$U$4:$U$803,$B62&amp;"|"&amp;AR$5,'Competency Event Log'!$D$4:$D$803)))</f>
        <v/>
      </c>
      <c r="AS62" s="8" t="str">
        <f>IF($B62="","",IF(COUNTIF('Competency Event Log'!$U$4:$U$803,$B62&amp;"|"&amp;AS$5)=0,"",SUMIF('Competency Event Log'!$U$4:$U$803,$B62&amp;"|"&amp;AS$5,'Competency Event Log'!$D$4:$D$803)))</f>
        <v/>
      </c>
      <c r="AT62" s="8" t="str">
        <f>IF($B62="","",IF(COUNTIF('Competency Event Log'!$U$4:$U$803,$B62&amp;"|"&amp;AT$5)=0,"",SUMIF('Competency Event Log'!$U$4:$U$803,$B62&amp;"|"&amp;AT$5,'Competency Event Log'!$D$4:$D$803)))</f>
        <v/>
      </c>
      <c r="AU62" s="8" t="str">
        <f>IF($B62="","",IF(COUNTIF('Competency Event Log'!$U$4:$U$803,$B62&amp;"|"&amp;AU$5)=0,"",SUMIF('Competency Event Log'!$U$4:$U$803,$B62&amp;"|"&amp;AU$5,'Competency Event Log'!$D$4:$D$803)))</f>
        <v/>
      </c>
      <c r="AV62" s="8" t="str">
        <f>IF($B62="","",IF(COUNTIF('Competency Event Log'!$U$4:$U$803,$B62&amp;"|"&amp;AV$5)=0,"",SUMIF('Competency Event Log'!$U$4:$U$803,$B62&amp;"|"&amp;AV$5,'Competency Event Log'!$D$4:$D$803)))</f>
        <v/>
      </c>
      <c r="AW62" s="8" t="str">
        <f>IF($B62="","",IF(COUNTIF('Competency Event Log'!$U$4:$U$803,$B62&amp;"|"&amp;AW$5)=0,"",SUMIF('Competency Event Log'!$U$4:$U$803,$B62&amp;"|"&amp;AW$5,'Competency Event Log'!$D$4:$D$803)))</f>
        <v/>
      </c>
      <c r="AX62" s="8" t="str">
        <f>IF($B62="","",IF(COUNTIF('Competency Event Log'!$U$4:$U$803,$B62&amp;"|"&amp;AX$5)=0,"",SUMIF('Competency Event Log'!$U$4:$U$803,$B62&amp;"|"&amp;AX$5,'Competency Event Log'!$D$4:$D$803)))</f>
        <v/>
      </c>
      <c r="AY62" s="8" t="str">
        <f>IF($B62="","",IF(COUNTIF('Competency Event Log'!$U$4:$U$803,$B62&amp;"|"&amp;AY$5)=0,"",SUMIF('Competency Event Log'!$U$4:$U$803,$B62&amp;"|"&amp;AY$5,'Competency Event Log'!$D$4:$D$803)))</f>
        <v/>
      </c>
      <c r="AZ62" s="8" t="str">
        <f>IF($B62="","",IF(COUNTIF('Competency Event Log'!$U$4:$U$803,$B62&amp;"|"&amp;AZ$5)=0,"",SUMIF('Competency Event Log'!$U$4:$U$803,$B62&amp;"|"&amp;AZ$5,'Competency Event Log'!$D$4:$D$803)))</f>
        <v/>
      </c>
      <c r="BA62" s="8" t="str">
        <f>IF($B62="","",IF(COUNTIF('Competency Event Log'!$U$4:$U$803,$B62&amp;"|"&amp;BA$5)=0,"",SUMIF('Competency Event Log'!$U$4:$U$803,$B62&amp;"|"&amp;BA$5,'Competency Event Log'!$D$4:$D$803)))</f>
        <v/>
      </c>
      <c r="BB62" s="8" t="str">
        <f>IF($B62="","",IF(COUNTIF('Competency Event Log'!$U$4:$U$803,$B62&amp;"|"&amp;BB$5)=0,"",SUMIF('Competency Event Log'!$U$4:$U$803,$B62&amp;"|"&amp;BB$5,'Competency Event Log'!$D$4:$D$803)))</f>
        <v/>
      </c>
      <c r="BC62" s="8" t="str">
        <f>IF($B62="","",IF(COUNTIF('Competency Event Log'!$U$4:$U$803,$B62&amp;"|"&amp;BC$5)=0,"",SUMIF('Competency Event Log'!$U$4:$U$803,$B62&amp;"|"&amp;BC$5,'Competency Event Log'!$D$4:$D$803)))</f>
        <v/>
      </c>
      <c r="BD62" s="8" t="str">
        <f>IF($B62="","",IF(COUNTIF('Competency Event Log'!$U$4:$U$803,$B62&amp;"|"&amp;BD$5)=0,"",SUMIF('Competency Event Log'!$U$4:$U$803,$B62&amp;"|"&amp;BD$5,'Competency Event Log'!$D$4:$D$803)))</f>
        <v/>
      </c>
      <c r="BE62" s="8" t="str">
        <f>IF($B62="","",IF(COUNTIF('Competency Event Log'!$U$4:$U$803,$B62&amp;"|"&amp;BE$5)=0,"",SUMIF('Competency Event Log'!$U$4:$U$803,$B62&amp;"|"&amp;BE$5,'Competency Event Log'!$D$4:$D$803)))</f>
        <v/>
      </c>
      <c r="BF62" s="8" t="str">
        <f>IF($B62="","",IF(COUNTIF('Competency Event Log'!$U$4:$U$803,$B62&amp;"|"&amp;BF$5)=0,"",SUMIF('Competency Event Log'!$U$4:$U$803,$B62&amp;"|"&amp;BF$5,'Competency Event Log'!$D$4:$D$803)))</f>
        <v/>
      </c>
      <c r="BG62" s="8" t="str">
        <f>IF($B62="","",IF(COUNTIF('Competency Event Log'!$U$4:$U$803,$B62&amp;"|"&amp;BG$5)=0,"",SUMIF('Competency Event Log'!$U$4:$U$803,$B62&amp;"|"&amp;BG$5,'Competency Event Log'!$D$4:$D$803)))</f>
        <v/>
      </c>
      <c r="BH62" s="8" t="str">
        <f>IF($B62="","",IF(COUNTIF('Competency Event Log'!$U$4:$U$803,$B62&amp;"|"&amp;BH$5)=0,"",SUMIF('Competency Event Log'!$U$4:$U$803,$B62&amp;"|"&amp;BH$5,'Competency Event Log'!$D$4:$D$803)))</f>
        <v/>
      </c>
      <c r="BI62" s="8" t="str">
        <f>IF($B62="","",IF(COUNTIF('Competency Event Log'!$U$4:$U$803,$B62&amp;"|"&amp;BI$5)=0,"",SUMIF('Competency Event Log'!$U$4:$U$803,$B62&amp;"|"&amp;BI$5,'Competency Event Log'!$D$4:$D$803)))</f>
        <v/>
      </c>
      <c r="BJ62" s="8" t="str">
        <f>IF($B62="","",IF(COUNTIF('Competency Event Log'!$U$4:$U$803,$B62&amp;"|"&amp;BJ$5)=0,"",SUMIF('Competency Event Log'!$U$4:$U$803,$B62&amp;"|"&amp;BJ$5,'Competency Event Log'!$D$4:$D$803)))</f>
        <v/>
      </c>
      <c r="BK62" s="8" t="str">
        <f>IF($B62="","",IF(COUNTIF('Competency Event Log'!$U$4:$U$803,$B62&amp;"|"&amp;BK$5)=0,"",SUMIF('Competency Event Log'!$U$4:$U$803,$B62&amp;"|"&amp;BK$5,'Competency Event Log'!$D$4:$D$803)))</f>
        <v/>
      </c>
      <c r="BL62" s="8" t="str">
        <f>IF($B62="","",IF(COUNTIF('Competency Event Log'!$U$4:$U$803,$B62&amp;"|"&amp;BL$5)=0,"",SUMIF('Competency Event Log'!$U$4:$U$803,$B62&amp;"|"&amp;BL$5,'Competency Event Log'!$D$4:$D$803)))</f>
        <v/>
      </c>
      <c r="BM62" s="8" t="str">
        <f>IF($B62="","",IF(COUNTIF('Competency Event Log'!$U$4:$U$803,$B62&amp;"|"&amp;BM$5)=0,"",SUMIF('Competency Event Log'!$U$4:$U$803,$B62&amp;"|"&amp;BM$5,'Competency Event Log'!$D$4:$D$803)))</f>
        <v/>
      </c>
      <c r="BN62" s="8" t="str">
        <f>IF($B62="","",IF(COUNTIF('Competency Event Log'!$U$4:$U$803,$B62&amp;"|"&amp;BN$5)=0,"",SUMIF('Competency Event Log'!$U$4:$U$803,$B62&amp;"|"&amp;BN$5,'Competency Event Log'!$D$4:$D$803)))</f>
        <v/>
      </c>
      <c r="BO62" s="8" t="str">
        <f>IF($B62="","",IF(COUNTIF('Competency Event Log'!$U$4:$U$803,$B62&amp;"|"&amp;BO$5)=0,"",SUMIF('Competency Event Log'!$U$4:$U$803,$B62&amp;"|"&amp;BO$5,'Competency Event Log'!$D$4:$D$803)))</f>
        <v/>
      </c>
      <c r="BP62" s="8" t="str">
        <f>IF($B62="","",IF(COUNTIF('Competency Event Log'!$U$4:$U$803,$B62&amp;"|"&amp;BP$5)=0,"",SUMIF('Competency Event Log'!$U$4:$U$803,$B62&amp;"|"&amp;BP$5,'Competency Event Log'!$D$4:$D$803)))</f>
        <v/>
      </c>
      <c r="BQ62" s="8" t="str">
        <f>IF($B62="","",IF(COUNTIF('Competency Event Log'!$U$4:$U$803,$B62&amp;"|"&amp;BQ$5)=0,"",SUMIF('Competency Event Log'!$U$4:$U$803,$B62&amp;"|"&amp;BQ$5,'Competency Event Log'!$D$4:$D$803)))</f>
        <v/>
      </c>
      <c r="BR62" s="8" t="str">
        <f>IF($B62="","",IF(COUNTIF('Competency Event Log'!$U$4:$U$803,$B62&amp;"|"&amp;BR$5)=0,"",SUMIF('Competency Event Log'!$U$4:$U$803,$B62&amp;"|"&amp;BR$5,'Competency Event Log'!$D$4:$D$803)))</f>
        <v/>
      </c>
      <c r="BS62" s="8" t="str">
        <f>IF($B62="","",IF(COUNTIF('Competency Event Log'!$U$4:$U$803,$B62&amp;"|"&amp;BS$5)=0,"",SUMIF('Competency Event Log'!$U$4:$U$803,$B62&amp;"|"&amp;BS$5,'Competency Event Log'!$D$4:$D$803)))</f>
        <v/>
      </c>
      <c r="BT62" s="8" t="str">
        <f>IF($B62="","",IF(COUNTIF('Competency Event Log'!$U$4:$U$803,$B62&amp;"|"&amp;BT$5)=0,"",SUMIF('Competency Event Log'!$U$4:$U$803,$B62&amp;"|"&amp;BT$5,'Competency Event Log'!$D$4:$D$803)))</f>
        <v/>
      </c>
      <c r="BU62" s="8" t="str">
        <f>IF($B62="","",IF(COUNTIF('Competency Event Log'!$U$4:$U$803,$B62&amp;"|"&amp;BU$5)=0,"",SUMIF('Competency Event Log'!$U$4:$U$803,$B62&amp;"|"&amp;BU$5,'Competency Event Log'!$D$4:$D$803)))</f>
        <v/>
      </c>
      <c r="BV62" s="8" t="str">
        <f>IF($B62="","",IF(COUNTIF('Competency Event Log'!$U$4:$U$803,$B62&amp;"|"&amp;BV$5)=0,"",SUMIF('Competency Event Log'!$U$4:$U$803,$B62&amp;"|"&amp;BV$5,'Competency Event Log'!$D$4:$D$803)))</f>
        <v/>
      </c>
      <c r="BW62" s="8" t="str">
        <f>IF($B62="","",IF(COUNTIF('Competency Event Log'!$U$4:$U$803,$B62&amp;"|"&amp;BW$5)=0,"",SUMIF('Competency Event Log'!$U$4:$U$803,$B62&amp;"|"&amp;BW$5,'Competency Event Log'!$D$4:$D$803)))</f>
        <v/>
      </c>
      <c r="BX62" s="8" t="str">
        <f>IF($B62="","",IF(COUNTIF('Competency Event Log'!$U$4:$U$803,$B62&amp;"|"&amp;BX$5)=0,"",SUMIF('Competency Event Log'!$U$4:$U$803,$B62&amp;"|"&amp;BX$5,'Competency Event Log'!$D$4:$D$803)))</f>
        <v/>
      </c>
      <c r="BY62" s="8" t="str">
        <f>IF($B62="","",IF(COUNTIF('Competency Event Log'!$U$4:$U$803,$B62&amp;"|"&amp;BY$5)=0,"",SUMIF('Competency Event Log'!$U$4:$U$803,$B62&amp;"|"&amp;BY$5,'Competency Event Log'!$D$4:$D$803)))</f>
        <v/>
      </c>
      <c r="BZ62" s="8" t="str">
        <f>IF($B62="","",IF(COUNTIF('Competency Event Log'!$U$4:$U$803,$B62&amp;"|"&amp;BZ$5)=0,"",SUMIF('Competency Event Log'!$U$4:$U$803,$B62&amp;"|"&amp;BZ$5,'Competency Event Log'!$D$4:$D$803)))</f>
        <v/>
      </c>
      <c r="CA62" s="8" t="str">
        <f>IF($B62="","",IF(COUNTIF('Competency Event Log'!$U$4:$U$803,$B62&amp;"|"&amp;CA$5)=0,"",SUMIF('Competency Event Log'!$U$4:$U$803,$B62&amp;"|"&amp;CA$5,'Competency Event Log'!$D$4:$D$803)))</f>
        <v/>
      </c>
      <c r="CB62" s="8" t="str">
        <f>IF($B62="","",IF(COUNTIF('Competency Event Log'!$U$4:$U$803,$B62&amp;"|"&amp;CB$5)=0,"",SUMIF('Competency Event Log'!$U$4:$U$803,$B62&amp;"|"&amp;CB$5,'Competency Event Log'!$D$4:$D$803)))</f>
        <v/>
      </c>
      <c r="CC62" s="8" t="str">
        <f>IF($B62="","",IF(COUNTIF('Competency Event Log'!$U$4:$U$803,$B62&amp;"|"&amp;CC$5)=0,"",SUMIF('Competency Event Log'!$U$4:$U$803,$B62&amp;"|"&amp;CC$5,'Competency Event Log'!$D$4:$D$803)))</f>
        <v/>
      </c>
      <c r="CD62" s="8" t="str">
        <f>IF($B62="","",IF(COUNTIF('Competency Event Log'!$U$4:$U$803,$B62&amp;"|"&amp;CD$5)=0,"",SUMIF('Competency Event Log'!$U$4:$U$803,$B62&amp;"|"&amp;CD$5,'Competency Event Log'!$D$4:$D$803)))</f>
        <v/>
      </c>
      <c r="CE62" s="8" t="str">
        <f>IF($B62="","",IF(COUNTIF('Competency Event Log'!$U$4:$U$803,$B62&amp;"|"&amp;CE$5)=0,"",SUMIF('Competency Event Log'!$U$4:$U$803,$B62&amp;"|"&amp;CE$5,'Competency Event Log'!$D$4:$D$803)))</f>
        <v/>
      </c>
      <c r="CF62" s="8" t="str">
        <f>IF($B62="","",IF(COUNTIF('Competency Event Log'!$U$4:$U$803,$B62&amp;"|"&amp;CF$5)=0,"",SUMIF('Competency Event Log'!$U$4:$U$803,$B62&amp;"|"&amp;CF$5,'Competency Event Log'!$D$4:$D$803)))</f>
        <v/>
      </c>
      <c r="CG62" s="8" t="str">
        <f>IF($B62="","",IF(COUNTIF('Competency Event Log'!$U$4:$U$803,$B62&amp;"|"&amp;CG$5)=0,"",SUMIF('Competency Event Log'!$U$4:$U$803,$B62&amp;"|"&amp;CG$5,'Competency Event Log'!$D$4:$D$803)))</f>
        <v/>
      </c>
      <c r="CH62" s="8" t="str">
        <f>IF($B62="","",IF(COUNTIF('Competency Event Log'!$U$4:$U$803,$B62&amp;"|"&amp;CH$5)=0,"",SUMIF('Competency Event Log'!$U$4:$U$803,$B62&amp;"|"&amp;CH$5,'Competency Event Log'!$D$4:$D$803)))</f>
        <v/>
      </c>
      <c r="CI62" s="8" t="str">
        <f>IF($B62="","",IF(COUNTIF('Competency Event Log'!$U$4:$U$803,$B62&amp;"|"&amp;CI$5)=0,"",SUMIF('Competency Event Log'!$U$4:$U$803,$B62&amp;"|"&amp;CI$5,'Competency Event Log'!$D$4:$D$803)))</f>
        <v/>
      </c>
      <c r="CJ62" s="8" t="str">
        <f>IF($B62="","",IF(COUNTIF('Competency Event Log'!$U$4:$U$803,$B62&amp;"|"&amp;CJ$5)=0,"",SUMIF('Competency Event Log'!$U$4:$U$803,$B62&amp;"|"&amp;CJ$5,'Competency Event Log'!$D$4:$D$803)))</f>
        <v/>
      </c>
      <c r="CK62" s="8" t="str">
        <f>IF($B62="","",IF(COUNTIF('Competency Event Log'!$U$4:$U$803,$B62&amp;"|"&amp;CK$5)=0,"",SUMIF('Competency Event Log'!$U$4:$U$803,$B62&amp;"|"&amp;CK$5,'Competency Event Log'!$D$4:$D$803)))</f>
        <v/>
      </c>
      <c r="CL62" s="8" t="str">
        <f>IF($B62="","",IF(COUNTIF('Competency Event Log'!$U$4:$U$803,$B62&amp;"|"&amp;CL$5)=0,"",SUMIF('Competency Event Log'!$U$4:$U$803,$B62&amp;"|"&amp;CL$5,'Competency Event Log'!$D$4:$D$803)))</f>
        <v/>
      </c>
      <c r="CM62" s="8" t="str">
        <f>IF($B62="","",IF(COUNTIF('Competency Event Log'!$U$4:$U$803,$B62&amp;"|"&amp;CM$5)=0,"",SUMIF('Competency Event Log'!$U$4:$U$803,$B62&amp;"|"&amp;CM$5,'Competency Event Log'!$D$4:$D$803)))</f>
        <v/>
      </c>
      <c r="CN62" s="8" t="str">
        <f>IF($B62="","",IF(COUNTIF('Competency Event Log'!$U$4:$U$803,$B62&amp;"|"&amp;CN$5)=0,"",SUMIF('Competency Event Log'!$U$4:$U$803,$B62&amp;"|"&amp;CN$5,'Competency Event Log'!$D$4:$D$803)))</f>
        <v/>
      </c>
      <c r="CO62" s="8" t="str">
        <f>IF($B62="","",IF(COUNTIF('Competency Event Log'!$U$4:$U$803,$B62&amp;"|"&amp;CO$5)=0,"",SUMIF('Competency Event Log'!$U$4:$U$803,$B62&amp;"|"&amp;CO$5,'Competency Event Log'!$D$4:$D$803)))</f>
        <v/>
      </c>
      <c r="CP62" s="8" t="str">
        <f>IF($B62="","",IF(COUNTIF('Competency Event Log'!$U$4:$U$803,$B62&amp;"|"&amp;CP$5)=0,"",SUMIF('Competency Event Log'!$U$4:$U$803,$B62&amp;"|"&amp;CP$5,'Competency Event Log'!$D$4:$D$803)))</f>
        <v/>
      </c>
      <c r="CQ62" s="8" t="str">
        <f>IF($B62="","",IF(COUNTIF('Competency Event Log'!$U$4:$U$803,$B62&amp;"|"&amp;CQ$5)=0,"",SUMIF('Competency Event Log'!$U$4:$U$803,$B62&amp;"|"&amp;CQ$5,'Competency Event Log'!$D$4:$D$803)))</f>
        <v/>
      </c>
      <c r="CR62" s="8" t="str">
        <f>IF($B62="","",IF(COUNTIF('Competency Event Log'!$U$4:$U$803,$B62&amp;"|"&amp;CR$5)=0,"",SUMIF('Competency Event Log'!$U$4:$U$803,$B62&amp;"|"&amp;CR$5,'Competency Event Log'!$D$4:$D$803)))</f>
        <v/>
      </c>
      <c r="CS62" s="8" t="str">
        <f>IF($B62="","",IF(COUNTIF('Competency Event Log'!$U$4:$U$803,$B62&amp;"|"&amp;CS$5)=0,"",SUMIF('Competency Event Log'!$U$4:$U$803,$B62&amp;"|"&amp;CS$5,'Competency Event Log'!$D$4:$D$803)))</f>
        <v/>
      </c>
      <c r="CT62" s="8" t="str">
        <f>IF($B62="","",IF(COUNTIF('Competency Event Log'!$U$4:$U$803,$B62&amp;"|"&amp;CT$5)=0,"",SUMIF('Competency Event Log'!$U$4:$U$803,$B62&amp;"|"&amp;CT$5,'Competency Event Log'!$D$4:$D$803)))</f>
        <v/>
      </c>
      <c r="CU62" s="8" t="str">
        <f>IF($B62="","",IF(COUNTIF('Competency Event Log'!$U$4:$U$803,$B62&amp;"|"&amp;CU$5)=0,"",SUMIF('Competency Event Log'!$U$4:$U$803,$B62&amp;"|"&amp;CU$5,'Competency Event Log'!$D$4:$D$803)))</f>
        <v/>
      </c>
      <c r="CV62" s="8" t="str">
        <f>IF($B62="","",IF(COUNTIF('Competency Event Log'!$U$4:$U$803,$B62&amp;"|"&amp;CV$5)=0,"",SUMIF('Competency Event Log'!$U$4:$U$803,$B62&amp;"|"&amp;CV$5,'Competency Event Log'!$D$4:$D$803)))</f>
        <v/>
      </c>
      <c r="CW62" s="8" t="str">
        <f>IF($B62="","",IF(COUNTIF('Competency Event Log'!$U$4:$U$803,$B62&amp;"|"&amp;CW$5)=0,"",SUMIF('Competency Event Log'!$U$4:$U$803,$B62&amp;"|"&amp;CW$5,'Competency Event Log'!$D$4:$D$803)))</f>
        <v/>
      </c>
      <c r="CX62" s="8" t="str">
        <f>IF($B62="","",IF(COUNTIF('Competency Event Log'!$U$4:$U$803,$B62&amp;"|"&amp;CX$5)=0,"",SUMIF('Competency Event Log'!$U$4:$U$803,$B62&amp;"|"&amp;CX$5,'Competency Event Log'!$D$4:$D$803)))</f>
        <v/>
      </c>
      <c r="CY62" s="8" t="str">
        <f>IF($B62="","",IF(COUNTIF('Competency Event Log'!$U$4:$U$803,$B62&amp;"|"&amp;CY$5)=0,"",SUMIF('Competency Event Log'!$U$4:$U$803,$B62&amp;"|"&amp;CY$5,'Competency Event Log'!$D$4:$D$803)))</f>
        <v/>
      </c>
      <c r="CZ62" s="8" t="str">
        <f>IF($B62="","",IF(COUNTIF('Competency Event Log'!$U$4:$U$803,$B62&amp;"|"&amp;CZ$5)=0,"",SUMIF('Competency Event Log'!$U$4:$U$803,$B62&amp;"|"&amp;CZ$5,'Competency Event Log'!$D$4:$D$803)))</f>
        <v/>
      </c>
      <c r="DA62" s="8" t="str">
        <f>IF($B62="","",IF(COUNTIF('Competency Event Log'!$U$4:$U$803,$B62&amp;"|"&amp;DA$5)=0,"",SUMIF('Competency Event Log'!$U$4:$U$803,$B62&amp;"|"&amp;DA$5,'Competency Event Log'!$D$4:$D$803)))</f>
        <v/>
      </c>
      <c r="DB62" s="8" t="str">
        <f>IF($B62="","",IF(COUNTIF('Competency Event Log'!$U$4:$U$803,$B62&amp;"|"&amp;DB$5)=0,"",SUMIF('Competency Event Log'!$U$4:$U$803,$B62&amp;"|"&amp;DB$5,'Competency Event Log'!$D$4:$D$803)))</f>
        <v/>
      </c>
      <c r="DC62" s="8" t="str">
        <f>IF($B62="","",IF(COUNTIF('Competency Event Log'!$U$4:$U$803,$B62&amp;"|"&amp;DC$5)=0,"",SUMIF('Competency Event Log'!$U$4:$U$803,$B62&amp;"|"&amp;DC$5,'Competency Event Log'!$D$4:$D$803)))</f>
        <v/>
      </c>
      <c r="DD62" s="8" t="str">
        <f>IF($B62="","",IF(COUNTIF('Competency Event Log'!$U$4:$U$803,$B62&amp;"|"&amp;DD$5)=0,"",SUMIF('Competency Event Log'!$U$4:$U$803,$B62&amp;"|"&amp;DD$5,'Competency Event Log'!$D$4:$D$803)))</f>
        <v/>
      </c>
      <c r="DE62" s="8" t="str">
        <f>IF($B62="","",IF(COUNTIF('Competency Event Log'!$U$4:$U$803,$B62&amp;"|"&amp;DE$5)=0,"",SUMIF('Competency Event Log'!$U$4:$U$803,$B62&amp;"|"&amp;DE$5,'Competency Event Log'!$D$4:$D$803)))</f>
        <v/>
      </c>
      <c r="DF62" s="8" t="str">
        <f t="shared" si="4"/>
        <v/>
      </c>
      <c r="DG62" s="8" t="str">
        <f t="shared" si="5"/>
        <v/>
      </c>
      <c r="DH62" s="8" t="str">
        <f t="shared" si="6"/>
        <v/>
      </c>
      <c r="DI62" s="11" t="str">
        <f t="shared" si="7"/>
        <v/>
      </c>
    </row>
    <row r="63" spans="1:113">
      <c r="A63" s="7"/>
      <c r="B63" s="7"/>
      <c r="C63" s="8"/>
      <c r="D63" s="9"/>
      <c r="E63" s="10"/>
      <c r="F63" s="8"/>
      <c r="G63" s="8" t="str">
        <f>IF($B63="","",IF(COUNTIF('Competency Event Log'!$U$4:$U$803,$B63&amp;"|"&amp;G$5)=0,"",SUMIF('Competency Event Log'!$U$4:$U$803,$B63&amp;"|"&amp;G$5,'Competency Event Log'!$D$4:$D$803)))</f>
        <v/>
      </c>
      <c r="H63" s="8" t="str">
        <f>IF($B63="","",IF(COUNTIF('Competency Event Log'!$U$4:$U$803,$B63&amp;"|"&amp;H$5)=0,"",SUMIF('Competency Event Log'!$U$4:$U$803,$B63&amp;"|"&amp;H$5,'Competency Event Log'!$D$4:$D$803)))</f>
        <v/>
      </c>
      <c r="I63" s="8" t="str">
        <f>IF($B63="","",IF(COUNTIF('Competency Event Log'!$U$4:$U$803,$B63&amp;"|"&amp;I$5)=0,"",SUMIF('Competency Event Log'!$U$4:$U$803,$B63&amp;"|"&amp;I$5,'Competency Event Log'!$D$4:$D$803)))</f>
        <v/>
      </c>
      <c r="J63" s="8" t="str">
        <f>IF($B63="","",IF(COUNTIF('Competency Event Log'!$U$4:$U$803,$B63&amp;"|"&amp;J$5)=0,"",SUMIF('Competency Event Log'!$U$4:$U$803,$B63&amp;"|"&amp;J$5,'Competency Event Log'!$D$4:$D$803)))</f>
        <v/>
      </c>
      <c r="K63" s="8" t="str">
        <f>IF($B63="","",IF(COUNTIF('Competency Event Log'!$U$4:$U$803,$B63&amp;"|"&amp;K$5)=0,"",SUMIF('Competency Event Log'!$U$4:$U$803,$B63&amp;"|"&amp;K$5,'Competency Event Log'!$D$4:$D$803)))</f>
        <v/>
      </c>
      <c r="L63" s="8" t="str">
        <f>IF($B63="","",IF(COUNTIF('Competency Event Log'!$U$4:$U$803,$B63&amp;"|"&amp;L$5)=0,"",SUMIF('Competency Event Log'!$U$4:$U$803,$B63&amp;"|"&amp;L$5,'Competency Event Log'!$D$4:$D$803)))</f>
        <v/>
      </c>
      <c r="M63" s="8" t="str">
        <f>IF($B63="","",IF(COUNTIF('Competency Event Log'!$U$4:$U$803,$B63&amp;"|"&amp;M$5)=0,"",SUMIF('Competency Event Log'!$U$4:$U$803,$B63&amp;"|"&amp;M$5,'Competency Event Log'!$D$4:$D$803)))</f>
        <v/>
      </c>
      <c r="N63" s="8" t="str">
        <f>IF($B63="","",IF(COUNTIF('Competency Event Log'!$U$4:$U$803,$B63&amp;"|"&amp;N$5)=0,"",SUMIF('Competency Event Log'!$U$4:$U$803,$B63&amp;"|"&amp;N$5,'Competency Event Log'!$D$4:$D$803)))</f>
        <v/>
      </c>
      <c r="O63" s="8" t="str">
        <f>IF($B63="","",IF(COUNTIF('Competency Event Log'!$U$4:$U$803,$B63&amp;"|"&amp;O$5)=0,"",SUMIF('Competency Event Log'!$U$4:$U$803,$B63&amp;"|"&amp;O$5,'Competency Event Log'!$D$4:$D$803)))</f>
        <v/>
      </c>
      <c r="P63" s="8" t="str">
        <f>IF($B63="","",IF(COUNTIF('Competency Event Log'!$U$4:$U$803,$B63&amp;"|"&amp;P$5)=0,"",SUMIF('Competency Event Log'!$U$4:$U$803,$B63&amp;"|"&amp;P$5,'Competency Event Log'!$D$4:$D$803)))</f>
        <v/>
      </c>
      <c r="Q63" s="8" t="str">
        <f>IF($B63="","",IF(COUNTIF('Competency Event Log'!$U$4:$U$803,$B63&amp;"|"&amp;Q$5)=0,"",SUMIF('Competency Event Log'!$U$4:$U$803,$B63&amp;"|"&amp;Q$5,'Competency Event Log'!$D$4:$D$803)))</f>
        <v/>
      </c>
      <c r="R63" s="8" t="str">
        <f>IF($B63="","",IF(COUNTIF('Competency Event Log'!$U$4:$U$803,$B63&amp;"|"&amp;R$5)=0,"",SUMIF('Competency Event Log'!$U$4:$U$803,$B63&amp;"|"&amp;R$5,'Competency Event Log'!$D$4:$D$803)))</f>
        <v/>
      </c>
      <c r="S63" s="8" t="str">
        <f>IF($B63="","",IF(COUNTIF('Competency Event Log'!$U$4:$U$803,$B63&amp;"|"&amp;S$5)=0,"",SUMIF('Competency Event Log'!$U$4:$U$803,$B63&amp;"|"&amp;S$5,'Competency Event Log'!$D$4:$D$803)))</f>
        <v/>
      </c>
      <c r="T63" s="8" t="str">
        <f>IF($B63="","",IF(COUNTIF('Competency Event Log'!$U$4:$U$803,$B63&amp;"|"&amp;T$5)=0,"",SUMIF('Competency Event Log'!$U$4:$U$803,$B63&amp;"|"&amp;T$5,'Competency Event Log'!$D$4:$D$803)))</f>
        <v/>
      </c>
      <c r="U63" s="8" t="str">
        <f>IF($B63="","",IF(COUNTIF('Competency Event Log'!$U$4:$U$803,$B63&amp;"|"&amp;U$5)=0,"",SUMIF('Competency Event Log'!$U$4:$U$803,$B63&amp;"|"&amp;U$5,'Competency Event Log'!$D$4:$D$803)))</f>
        <v/>
      </c>
      <c r="V63" s="8" t="str">
        <f>IF($B63="","",IF(COUNTIF('Competency Event Log'!$U$4:$U$803,$B63&amp;"|"&amp;V$5)=0,"",SUMIF('Competency Event Log'!$U$4:$U$803,$B63&amp;"|"&amp;V$5,'Competency Event Log'!$D$4:$D$803)))</f>
        <v/>
      </c>
      <c r="W63" s="8" t="str">
        <f>IF($B63="","",IF(COUNTIF('Competency Event Log'!$U$4:$U$803,$B63&amp;"|"&amp;W$5)=0,"",SUMIF('Competency Event Log'!$U$4:$U$803,$B63&amp;"|"&amp;W$5,'Competency Event Log'!$D$4:$D$803)))</f>
        <v/>
      </c>
      <c r="X63" s="8" t="str">
        <f>IF($B63="","",IF(COUNTIF('Competency Event Log'!$U$4:$U$803,$B63&amp;"|"&amp;X$5)=0,"",SUMIF('Competency Event Log'!$U$4:$U$803,$B63&amp;"|"&amp;X$5,'Competency Event Log'!$D$4:$D$803)))</f>
        <v/>
      </c>
      <c r="Y63" s="8" t="str">
        <f>IF($B63="","",IF(COUNTIF('Competency Event Log'!$U$4:$U$803,$B63&amp;"|"&amp;Y$5)=0,"",SUMIF('Competency Event Log'!$U$4:$U$803,$B63&amp;"|"&amp;Y$5,'Competency Event Log'!$D$4:$D$803)))</f>
        <v/>
      </c>
      <c r="Z63" s="8" t="str">
        <f>IF($B63="","",IF(COUNTIF('Competency Event Log'!$U$4:$U$803,$B63&amp;"|"&amp;Z$5)=0,"",SUMIF('Competency Event Log'!$U$4:$U$803,$B63&amp;"|"&amp;Z$5,'Competency Event Log'!$D$4:$D$803)))</f>
        <v/>
      </c>
      <c r="AA63" s="8" t="str">
        <f>IF($B63="","",IF(COUNTIF('Competency Event Log'!$U$4:$U$803,$B63&amp;"|"&amp;AA$5)=0,"",SUMIF('Competency Event Log'!$U$4:$U$803,$B63&amp;"|"&amp;AA$5,'Competency Event Log'!$D$4:$D$803)))</f>
        <v/>
      </c>
      <c r="AB63" s="8" t="str">
        <f>IF($B63="","",IF(COUNTIF('Competency Event Log'!$U$4:$U$803,$B63&amp;"|"&amp;AB$5)=0,"",SUMIF('Competency Event Log'!$U$4:$U$803,$B63&amp;"|"&amp;AB$5,'Competency Event Log'!$D$4:$D$803)))</f>
        <v/>
      </c>
      <c r="AC63" s="8" t="str">
        <f>IF($B63="","",IF(COUNTIF('Competency Event Log'!$U$4:$U$803,$B63&amp;"|"&amp;AC$5)=0,"",SUMIF('Competency Event Log'!$U$4:$U$803,$B63&amp;"|"&amp;AC$5,'Competency Event Log'!$D$4:$D$803)))</f>
        <v/>
      </c>
      <c r="AD63" s="8" t="str">
        <f>IF($B63="","",IF(COUNTIF('Competency Event Log'!$U$4:$U$803,$B63&amp;"|"&amp;AD$5)=0,"",SUMIF('Competency Event Log'!$U$4:$U$803,$B63&amp;"|"&amp;AD$5,'Competency Event Log'!$D$4:$D$803)))</f>
        <v/>
      </c>
      <c r="AE63" s="8" t="str">
        <f>IF($B63="","",IF(COUNTIF('Competency Event Log'!$U$4:$U$803,$B63&amp;"|"&amp;AE$5)=0,"",SUMIF('Competency Event Log'!$U$4:$U$803,$B63&amp;"|"&amp;AE$5,'Competency Event Log'!$D$4:$D$803)))</f>
        <v/>
      </c>
      <c r="AF63" s="8" t="str">
        <f>IF($B63="","",IF(COUNTIF('Competency Event Log'!$U$4:$U$803,$B63&amp;"|"&amp;AF$5)=0,"",SUMIF('Competency Event Log'!$U$4:$U$803,$B63&amp;"|"&amp;AF$5,'Competency Event Log'!$D$4:$D$803)))</f>
        <v/>
      </c>
      <c r="AG63" s="8" t="str">
        <f>IF($B63="","",IF(COUNTIF('Competency Event Log'!$U$4:$U$803,$B63&amp;"|"&amp;AG$5)=0,"",SUMIF('Competency Event Log'!$U$4:$U$803,$B63&amp;"|"&amp;AG$5,'Competency Event Log'!$D$4:$D$803)))</f>
        <v/>
      </c>
      <c r="AH63" s="8" t="str">
        <f>IF($B63="","",IF(COUNTIF('Competency Event Log'!$U$4:$U$803,$B63&amp;"|"&amp;AH$5)=0,"",SUMIF('Competency Event Log'!$U$4:$U$803,$B63&amp;"|"&amp;AH$5,'Competency Event Log'!$D$4:$D$803)))</f>
        <v/>
      </c>
      <c r="AI63" s="8" t="str">
        <f>IF($B63="","",IF(COUNTIF('Competency Event Log'!$U$4:$U$803,$B63&amp;"|"&amp;AI$5)=0,"",SUMIF('Competency Event Log'!$U$4:$U$803,$B63&amp;"|"&amp;AI$5,'Competency Event Log'!$D$4:$D$803)))</f>
        <v/>
      </c>
      <c r="AJ63" s="8" t="str">
        <f>IF($B63="","",IF(COUNTIF('Competency Event Log'!$U$4:$U$803,$B63&amp;"|"&amp;AJ$5)=0,"",SUMIF('Competency Event Log'!$U$4:$U$803,$B63&amp;"|"&amp;AJ$5,'Competency Event Log'!$D$4:$D$803)))</f>
        <v/>
      </c>
      <c r="AK63" s="8" t="str">
        <f>IF($B63="","",IF(COUNTIF('Competency Event Log'!$U$4:$U$803,$B63&amp;"|"&amp;AK$5)=0,"",SUMIF('Competency Event Log'!$U$4:$U$803,$B63&amp;"|"&amp;AK$5,'Competency Event Log'!$D$4:$D$803)))</f>
        <v/>
      </c>
      <c r="AL63" s="8" t="str">
        <f>IF($B63="","",IF(COUNTIF('Competency Event Log'!$U$4:$U$803,$B63&amp;"|"&amp;AL$5)=0,"",SUMIF('Competency Event Log'!$U$4:$U$803,$B63&amp;"|"&amp;AL$5,'Competency Event Log'!$D$4:$D$803)))</f>
        <v/>
      </c>
      <c r="AM63" s="8" t="str">
        <f>IF($B63="","",IF(COUNTIF('Competency Event Log'!$U$4:$U$803,$B63&amp;"|"&amp;AM$5)=0,"",SUMIF('Competency Event Log'!$U$4:$U$803,$B63&amp;"|"&amp;AM$5,'Competency Event Log'!$D$4:$D$803)))</f>
        <v/>
      </c>
      <c r="AN63" s="8" t="str">
        <f>IF($B63="","",IF(COUNTIF('Competency Event Log'!$U$4:$U$803,$B63&amp;"|"&amp;AN$5)=0,"",SUMIF('Competency Event Log'!$U$4:$U$803,$B63&amp;"|"&amp;AN$5,'Competency Event Log'!$D$4:$D$803)))</f>
        <v/>
      </c>
      <c r="AO63" s="8" t="str">
        <f>IF($B63="","",IF(COUNTIF('Competency Event Log'!$U$4:$U$803,$B63&amp;"|"&amp;AO$5)=0,"",SUMIF('Competency Event Log'!$U$4:$U$803,$B63&amp;"|"&amp;AO$5,'Competency Event Log'!$D$4:$D$803)))</f>
        <v/>
      </c>
      <c r="AP63" s="8" t="str">
        <f>IF($B63="","",IF(COUNTIF('Competency Event Log'!$U$4:$U$803,$B63&amp;"|"&amp;AP$5)=0,"",SUMIF('Competency Event Log'!$U$4:$U$803,$B63&amp;"|"&amp;AP$5,'Competency Event Log'!$D$4:$D$803)))</f>
        <v/>
      </c>
      <c r="AQ63" s="8" t="str">
        <f>IF($B63="","",IF(COUNTIF('Competency Event Log'!$U$4:$U$803,$B63&amp;"|"&amp;AQ$5)=0,"",SUMIF('Competency Event Log'!$U$4:$U$803,$B63&amp;"|"&amp;AQ$5,'Competency Event Log'!$D$4:$D$803)))</f>
        <v/>
      </c>
      <c r="AR63" s="8" t="str">
        <f>IF($B63="","",IF(COUNTIF('Competency Event Log'!$U$4:$U$803,$B63&amp;"|"&amp;AR$5)=0,"",SUMIF('Competency Event Log'!$U$4:$U$803,$B63&amp;"|"&amp;AR$5,'Competency Event Log'!$D$4:$D$803)))</f>
        <v/>
      </c>
      <c r="AS63" s="8" t="str">
        <f>IF($B63="","",IF(COUNTIF('Competency Event Log'!$U$4:$U$803,$B63&amp;"|"&amp;AS$5)=0,"",SUMIF('Competency Event Log'!$U$4:$U$803,$B63&amp;"|"&amp;AS$5,'Competency Event Log'!$D$4:$D$803)))</f>
        <v/>
      </c>
      <c r="AT63" s="8" t="str">
        <f>IF($B63="","",IF(COUNTIF('Competency Event Log'!$U$4:$U$803,$B63&amp;"|"&amp;AT$5)=0,"",SUMIF('Competency Event Log'!$U$4:$U$803,$B63&amp;"|"&amp;AT$5,'Competency Event Log'!$D$4:$D$803)))</f>
        <v/>
      </c>
      <c r="AU63" s="8" t="str">
        <f>IF($B63="","",IF(COUNTIF('Competency Event Log'!$U$4:$U$803,$B63&amp;"|"&amp;AU$5)=0,"",SUMIF('Competency Event Log'!$U$4:$U$803,$B63&amp;"|"&amp;AU$5,'Competency Event Log'!$D$4:$D$803)))</f>
        <v/>
      </c>
      <c r="AV63" s="8" t="str">
        <f>IF($B63="","",IF(COUNTIF('Competency Event Log'!$U$4:$U$803,$B63&amp;"|"&amp;AV$5)=0,"",SUMIF('Competency Event Log'!$U$4:$U$803,$B63&amp;"|"&amp;AV$5,'Competency Event Log'!$D$4:$D$803)))</f>
        <v/>
      </c>
      <c r="AW63" s="8" t="str">
        <f>IF($B63="","",IF(COUNTIF('Competency Event Log'!$U$4:$U$803,$B63&amp;"|"&amp;AW$5)=0,"",SUMIF('Competency Event Log'!$U$4:$U$803,$B63&amp;"|"&amp;AW$5,'Competency Event Log'!$D$4:$D$803)))</f>
        <v/>
      </c>
      <c r="AX63" s="8" t="str">
        <f>IF($B63="","",IF(COUNTIF('Competency Event Log'!$U$4:$U$803,$B63&amp;"|"&amp;AX$5)=0,"",SUMIF('Competency Event Log'!$U$4:$U$803,$B63&amp;"|"&amp;AX$5,'Competency Event Log'!$D$4:$D$803)))</f>
        <v/>
      </c>
      <c r="AY63" s="8" t="str">
        <f>IF($B63="","",IF(COUNTIF('Competency Event Log'!$U$4:$U$803,$B63&amp;"|"&amp;AY$5)=0,"",SUMIF('Competency Event Log'!$U$4:$U$803,$B63&amp;"|"&amp;AY$5,'Competency Event Log'!$D$4:$D$803)))</f>
        <v/>
      </c>
      <c r="AZ63" s="8" t="str">
        <f>IF($B63="","",IF(COUNTIF('Competency Event Log'!$U$4:$U$803,$B63&amp;"|"&amp;AZ$5)=0,"",SUMIF('Competency Event Log'!$U$4:$U$803,$B63&amp;"|"&amp;AZ$5,'Competency Event Log'!$D$4:$D$803)))</f>
        <v/>
      </c>
      <c r="BA63" s="8" t="str">
        <f>IF($B63="","",IF(COUNTIF('Competency Event Log'!$U$4:$U$803,$B63&amp;"|"&amp;BA$5)=0,"",SUMIF('Competency Event Log'!$U$4:$U$803,$B63&amp;"|"&amp;BA$5,'Competency Event Log'!$D$4:$D$803)))</f>
        <v/>
      </c>
      <c r="BB63" s="8" t="str">
        <f>IF($B63="","",IF(COUNTIF('Competency Event Log'!$U$4:$U$803,$B63&amp;"|"&amp;BB$5)=0,"",SUMIF('Competency Event Log'!$U$4:$U$803,$B63&amp;"|"&amp;BB$5,'Competency Event Log'!$D$4:$D$803)))</f>
        <v/>
      </c>
      <c r="BC63" s="8" t="str">
        <f>IF($B63="","",IF(COUNTIF('Competency Event Log'!$U$4:$U$803,$B63&amp;"|"&amp;BC$5)=0,"",SUMIF('Competency Event Log'!$U$4:$U$803,$B63&amp;"|"&amp;BC$5,'Competency Event Log'!$D$4:$D$803)))</f>
        <v/>
      </c>
      <c r="BD63" s="8" t="str">
        <f>IF($B63="","",IF(COUNTIF('Competency Event Log'!$U$4:$U$803,$B63&amp;"|"&amp;BD$5)=0,"",SUMIF('Competency Event Log'!$U$4:$U$803,$B63&amp;"|"&amp;BD$5,'Competency Event Log'!$D$4:$D$803)))</f>
        <v/>
      </c>
      <c r="BE63" s="8" t="str">
        <f>IF($B63="","",IF(COUNTIF('Competency Event Log'!$U$4:$U$803,$B63&amp;"|"&amp;BE$5)=0,"",SUMIF('Competency Event Log'!$U$4:$U$803,$B63&amp;"|"&amp;BE$5,'Competency Event Log'!$D$4:$D$803)))</f>
        <v/>
      </c>
      <c r="BF63" s="8" t="str">
        <f>IF($B63="","",IF(COUNTIF('Competency Event Log'!$U$4:$U$803,$B63&amp;"|"&amp;BF$5)=0,"",SUMIF('Competency Event Log'!$U$4:$U$803,$B63&amp;"|"&amp;BF$5,'Competency Event Log'!$D$4:$D$803)))</f>
        <v/>
      </c>
      <c r="BG63" s="8" t="str">
        <f>IF($B63="","",IF(COUNTIF('Competency Event Log'!$U$4:$U$803,$B63&amp;"|"&amp;BG$5)=0,"",SUMIF('Competency Event Log'!$U$4:$U$803,$B63&amp;"|"&amp;BG$5,'Competency Event Log'!$D$4:$D$803)))</f>
        <v/>
      </c>
      <c r="BH63" s="8" t="str">
        <f>IF($B63="","",IF(COUNTIF('Competency Event Log'!$U$4:$U$803,$B63&amp;"|"&amp;BH$5)=0,"",SUMIF('Competency Event Log'!$U$4:$U$803,$B63&amp;"|"&amp;BH$5,'Competency Event Log'!$D$4:$D$803)))</f>
        <v/>
      </c>
      <c r="BI63" s="8" t="str">
        <f>IF($B63="","",IF(COUNTIF('Competency Event Log'!$U$4:$U$803,$B63&amp;"|"&amp;BI$5)=0,"",SUMIF('Competency Event Log'!$U$4:$U$803,$B63&amp;"|"&amp;BI$5,'Competency Event Log'!$D$4:$D$803)))</f>
        <v/>
      </c>
      <c r="BJ63" s="8" t="str">
        <f>IF($B63="","",IF(COUNTIF('Competency Event Log'!$U$4:$U$803,$B63&amp;"|"&amp;BJ$5)=0,"",SUMIF('Competency Event Log'!$U$4:$U$803,$B63&amp;"|"&amp;BJ$5,'Competency Event Log'!$D$4:$D$803)))</f>
        <v/>
      </c>
      <c r="BK63" s="8" t="str">
        <f>IF($B63="","",IF(COUNTIF('Competency Event Log'!$U$4:$U$803,$B63&amp;"|"&amp;BK$5)=0,"",SUMIF('Competency Event Log'!$U$4:$U$803,$B63&amp;"|"&amp;BK$5,'Competency Event Log'!$D$4:$D$803)))</f>
        <v/>
      </c>
      <c r="BL63" s="8" t="str">
        <f>IF($B63="","",IF(COUNTIF('Competency Event Log'!$U$4:$U$803,$B63&amp;"|"&amp;BL$5)=0,"",SUMIF('Competency Event Log'!$U$4:$U$803,$B63&amp;"|"&amp;BL$5,'Competency Event Log'!$D$4:$D$803)))</f>
        <v/>
      </c>
      <c r="BM63" s="8" t="str">
        <f>IF($B63="","",IF(COUNTIF('Competency Event Log'!$U$4:$U$803,$B63&amp;"|"&amp;BM$5)=0,"",SUMIF('Competency Event Log'!$U$4:$U$803,$B63&amp;"|"&amp;BM$5,'Competency Event Log'!$D$4:$D$803)))</f>
        <v/>
      </c>
      <c r="BN63" s="8" t="str">
        <f>IF($B63="","",IF(COUNTIF('Competency Event Log'!$U$4:$U$803,$B63&amp;"|"&amp;BN$5)=0,"",SUMIF('Competency Event Log'!$U$4:$U$803,$B63&amp;"|"&amp;BN$5,'Competency Event Log'!$D$4:$D$803)))</f>
        <v/>
      </c>
      <c r="BO63" s="8" t="str">
        <f>IF($B63="","",IF(COUNTIF('Competency Event Log'!$U$4:$U$803,$B63&amp;"|"&amp;BO$5)=0,"",SUMIF('Competency Event Log'!$U$4:$U$803,$B63&amp;"|"&amp;BO$5,'Competency Event Log'!$D$4:$D$803)))</f>
        <v/>
      </c>
      <c r="BP63" s="8" t="str">
        <f>IF($B63="","",IF(COUNTIF('Competency Event Log'!$U$4:$U$803,$B63&amp;"|"&amp;BP$5)=0,"",SUMIF('Competency Event Log'!$U$4:$U$803,$B63&amp;"|"&amp;BP$5,'Competency Event Log'!$D$4:$D$803)))</f>
        <v/>
      </c>
      <c r="BQ63" s="8" t="str">
        <f>IF($B63="","",IF(COUNTIF('Competency Event Log'!$U$4:$U$803,$B63&amp;"|"&amp;BQ$5)=0,"",SUMIF('Competency Event Log'!$U$4:$U$803,$B63&amp;"|"&amp;BQ$5,'Competency Event Log'!$D$4:$D$803)))</f>
        <v/>
      </c>
      <c r="BR63" s="8" t="str">
        <f>IF($B63="","",IF(COUNTIF('Competency Event Log'!$U$4:$U$803,$B63&amp;"|"&amp;BR$5)=0,"",SUMIF('Competency Event Log'!$U$4:$U$803,$B63&amp;"|"&amp;BR$5,'Competency Event Log'!$D$4:$D$803)))</f>
        <v/>
      </c>
      <c r="BS63" s="8" t="str">
        <f>IF($B63="","",IF(COUNTIF('Competency Event Log'!$U$4:$U$803,$B63&amp;"|"&amp;BS$5)=0,"",SUMIF('Competency Event Log'!$U$4:$U$803,$B63&amp;"|"&amp;BS$5,'Competency Event Log'!$D$4:$D$803)))</f>
        <v/>
      </c>
      <c r="BT63" s="8" t="str">
        <f>IF($B63="","",IF(COUNTIF('Competency Event Log'!$U$4:$U$803,$B63&amp;"|"&amp;BT$5)=0,"",SUMIF('Competency Event Log'!$U$4:$U$803,$B63&amp;"|"&amp;BT$5,'Competency Event Log'!$D$4:$D$803)))</f>
        <v/>
      </c>
      <c r="BU63" s="8" t="str">
        <f>IF($B63="","",IF(COUNTIF('Competency Event Log'!$U$4:$U$803,$B63&amp;"|"&amp;BU$5)=0,"",SUMIF('Competency Event Log'!$U$4:$U$803,$B63&amp;"|"&amp;BU$5,'Competency Event Log'!$D$4:$D$803)))</f>
        <v/>
      </c>
      <c r="BV63" s="8" t="str">
        <f>IF($B63="","",IF(COUNTIF('Competency Event Log'!$U$4:$U$803,$B63&amp;"|"&amp;BV$5)=0,"",SUMIF('Competency Event Log'!$U$4:$U$803,$B63&amp;"|"&amp;BV$5,'Competency Event Log'!$D$4:$D$803)))</f>
        <v/>
      </c>
      <c r="BW63" s="8" t="str">
        <f>IF($B63="","",IF(COUNTIF('Competency Event Log'!$U$4:$U$803,$B63&amp;"|"&amp;BW$5)=0,"",SUMIF('Competency Event Log'!$U$4:$U$803,$B63&amp;"|"&amp;BW$5,'Competency Event Log'!$D$4:$D$803)))</f>
        <v/>
      </c>
      <c r="BX63" s="8" t="str">
        <f>IF($B63="","",IF(COUNTIF('Competency Event Log'!$U$4:$U$803,$B63&amp;"|"&amp;BX$5)=0,"",SUMIF('Competency Event Log'!$U$4:$U$803,$B63&amp;"|"&amp;BX$5,'Competency Event Log'!$D$4:$D$803)))</f>
        <v/>
      </c>
      <c r="BY63" s="8" t="str">
        <f>IF($B63="","",IF(COUNTIF('Competency Event Log'!$U$4:$U$803,$B63&amp;"|"&amp;BY$5)=0,"",SUMIF('Competency Event Log'!$U$4:$U$803,$B63&amp;"|"&amp;BY$5,'Competency Event Log'!$D$4:$D$803)))</f>
        <v/>
      </c>
      <c r="BZ63" s="8" t="str">
        <f>IF($B63="","",IF(COUNTIF('Competency Event Log'!$U$4:$U$803,$B63&amp;"|"&amp;BZ$5)=0,"",SUMIF('Competency Event Log'!$U$4:$U$803,$B63&amp;"|"&amp;BZ$5,'Competency Event Log'!$D$4:$D$803)))</f>
        <v/>
      </c>
      <c r="CA63" s="8" t="str">
        <f>IF($B63="","",IF(COUNTIF('Competency Event Log'!$U$4:$U$803,$B63&amp;"|"&amp;CA$5)=0,"",SUMIF('Competency Event Log'!$U$4:$U$803,$B63&amp;"|"&amp;CA$5,'Competency Event Log'!$D$4:$D$803)))</f>
        <v/>
      </c>
      <c r="CB63" s="8" t="str">
        <f>IF($B63="","",IF(COUNTIF('Competency Event Log'!$U$4:$U$803,$B63&amp;"|"&amp;CB$5)=0,"",SUMIF('Competency Event Log'!$U$4:$U$803,$B63&amp;"|"&amp;CB$5,'Competency Event Log'!$D$4:$D$803)))</f>
        <v/>
      </c>
      <c r="CC63" s="8" t="str">
        <f>IF($B63="","",IF(COUNTIF('Competency Event Log'!$U$4:$U$803,$B63&amp;"|"&amp;CC$5)=0,"",SUMIF('Competency Event Log'!$U$4:$U$803,$B63&amp;"|"&amp;CC$5,'Competency Event Log'!$D$4:$D$803)))</f>
        <v/>
      </c>
      <c r="CD63" s="8" t="str">
        <f>IF($B63="","",IF(COUNTIF('Competency Event Log'!$U$4:$U$803,$B63&amp;"|"&amp;CD$5)=0,"",SUMIF('Competency Event Log'!$U$4:$U$803,$B63&amp;"|"&amp;CD$5,'Competency Event Log'!$D$4:$D$803)))</f>
        <v/>
      </c>
      <c r="CE63" s="8" t="str">
        <f>IF($B63="","",IF(COUNTIF('Competency Event Log'!$U$4:$U$803,$B63&amp;"|"&amp;CE$5)=0,"",SUMIF('Competency Event Log'!$U$4:$U$803,$B63&amp;"|"&amp;CE$5,'Competency Event Log'!$D$4:$D$803)))</f>
        <v/>
      </c>
      <c r="CF63" s="8" t="str">
        <f>IF($B63="","",IF(COUNTIF('Competency Event Log'!$U$4:$U$803,$B63&amp;"|"&amp;CF$5)=0,"",SUMIF('Competency Event Log'!$U$4:$U$803,$B63&amp;"|"&amp;CF$5,'Competency Event Log'!$D$4:$D$803)))</f>
        <v/>
      </c>
      <c r="CG63" s="8" t="str">
        <f>IF($B63="","",IF(COUNTIF('Competency Event Log'!$U$4:$U$803,$B63&amp;"|"&amp;CG$5)=0,"",SUMIF('Competency Event Log'!$U$4:$U$803,$B63&amp;"|"&amp;CG$5,'Competency Event Log'!$D$4:$D$803)))</f>
        <v/>
      </c>
      <c r="CH63" s="8" t="str">
        <f>IF($B63="","",IF(COUNTIF('Competency Event Log'!$U$4:$U$803,$B63&amp;"|"&amp;CH$5)=0,"",SUMIF('Competency Event Log'!$U$4:$U$803,$B63&amp;"|"&amp;CH$5,'Competency Event Log'!$D$4:$D$803)))</f>
        <v/>
      </c>
      <c r="CI63" s="8" t="str">
        <f>IF($B63="","",IF(COUNTIF('Competency Event Log'!$U$4:$U$803,$B63&amp;"|"&amp;CI$5)=0,"",SUMIF('Competency Event Log'!$U$4:$U$803,$B63&amp;"|"&amp;CI$5,'Competency Event Log'!$D$4:$D$803)))</f>
        <v/>
      </c>
      <c r="CJ63" s="8" t="str">
        <f>IF($B63="","",IF(COUNTIF('Competency Event Log'!$U$4:$U$803,$B63&amp;"|"&amp;CJ$5)=0,"",SUMIF('Competency Event Log'!$U$4:$U$803,$B63&amp;"|"&amp;CJ$5,'Competency Event Log'!$D$4:$D$803)))</f>
        <v/>
      </c>
      <c r="CK63" s="8" t="str">
        <f>IF($B63="","",IF(COUNTIF('Competency Event Log'!$U$4:$U$803,$B63&amp;"|"&amp;CK$5)=0,"",SUMIF('Competency Event Log'!$U$4:$U$803,$B63&amp;"|"&amp;CK$5,'Competency Event Log'!$D$4:$D$803)))</f>
        <v/>
      </c>
      <c r="CL63" s="8" t="str">
        <f>IF($B63="","",IF(COUNTIF('Competency Event Log'!$U$4:$U$803,$B63&amp;"|"&amp;CL$5)=0,"",SUMIF('Competency Event Log'!$U$4:$U$803,$B63&amp;"|"&amp;CL$5,'Competency Event Log'!$D$4:$D$803)))</f>
        <v/>
      </c>
      <c r="CM63" s="8" t="str">
        <f>IF($B63="","",IF(COUNTIF('Competency Event Log'!$U$4:$U$803,$B63&amp;"|"&amp;CM$5)=0,"",SUMIF('Competency Event Log'!$U$4:$U$803,$B63&amp;"|"&amp;CM$5,'Competency Event Log'!$D$4:$D$803)))</f>
        <v/>
      </c>
      <c r="CN63" s="8" t="str">
        <f>IF($B63="","",IF(COUNTIF('Competency Event Log'!$U$4:$U$803,$B63&amp;"|"&amp;CN$5)=0,"",SUMIF('Competency Event Log'!$U$4:$U$803,$B63&amp;"|"&amp;CN$5,'Competency Event Log'!$D$4:$D$803)))</f>
        <v/>
      </c>
      <c r="CO63" s="8" t="str">
        <f>IF($B63="","",IF(COUNTIF('Competency Event Log'!$U$4:$U$803,$B63&amp;"|"&amp;CO$5)=0,"",SUMIF('Competency Event Log'!$U$4:$U$803,$B63&amp;"|"&amp;CO$5,'Competency Event Log'!$D$4:$D$803)))</f>
        <v/>
      </c>
      <c r="CP63" s="8" t="str">
        <f>IF($B63="","",IF(COUNTIF('Competency Event Log'!$U$4:$U$803,$B63&amp;"|"&amp;CP$5)=0,"",SUMIF('Competency Event Log'!$U$4:$U$803,$B63&amp;"|"&amp;CP$5,'Competency Event Log'!$D$4:$D$803)))</f>
        <v/>
      </c>
      <c r="CQ63" s="8" t="str">
        <f>IF($B63="","",IF(COUNTIF('Competency Event Log'!$U$4:$U$803,$B63&amp;"|"&amp;CQ$5)=0,"",SUMIF('Competency Event Log'!$U$4:$U$803,$B63&amp;"|"&amp;CQ$5,'Competency Event Log'!$D$4:$D$803)))</f>
        <v/>
      </c>
      <c r="CR63" s="8" t="str">
        <f>IF($B63="","",IF(COUNTIF('Competency Event Log'!$U$4:$U$803,$B63&amp;"|"&amp;CR$5)=0,"",SUMIF('Competency Event Log'!$U$4:$U$803,$B63&amp;"|"&amp;CR$5,'Competency Event Log'!$D$4:$D$803)))</f>
        <v/>
      </c>
      <c r="CS63" s="8" t="str">
        <f>IF($B63="","",IF(COUNTIF('Competency Event Log'!$U$4:$U$803,$B63&amp;"|"&amp;CS$5)=0,"",SUMIF('Competency Event Log'!$U$4:$U$803,$B63&amp;"|"&amp;CS$5,'Competency Event Log'!$D$4:$D$803)))</f>
        <v/>
      </c>
      <c r="CT63" s="8" t="str">
        <f>IF($B63="","",IF(COUNTIF('Competency Event Log'!$U$4:$U$803,$B63&amp;"|"&amp;CT$5)=0,"",SUMIF('Competency Event Log'!$U$4:$U$803,$B63&amp;"|"&amp;CT$5,'Competency Event Log'!$D$4:$D$803)))</f>
        <v/>
      </c>
      <c r="CU63" s="8" t="str">
        <f>IF($B63="","",IF(COUNTIF('Competency Event Log'!$U$4:$U$803,$B63&amp;"|"&amp;CU$5)=0,"",SUMIF('Competency Event Log'!$U$4:$U$803,$B63&amp;"|"&amp;CU$5,'Competency Event Log'!$D$4:$D$803)))</f>
        <v/>
      </c>
      <c r="CV63" s="8" t="str">
        <f>IF($B63="","",IF(COUNTIF('Competency Event Log'!$U$4:$U$803,$B63&amp;"|"&amp;CV$5)=0,"",SUMIF('Competency Event Log'!$U$4:$U$803,$B63&amp;"|"&amp;CV$5,'Competency Event Log'!$D$4:$D$803)))</f>
        <v/>
      </c>
      <c r="CW63" s="8" t="str">
        <f>IF($B63="","",IF(COUNTIF('Competency Event Log'!$U$4:$U$803,$B63&amp;"|"&amp;CW$5)=0,"",SUMIF('Competency Event Log'!$U$4:$U$803,$B63&amp;"|"&amp;CW$5,'Competency Event Log'!$D$4:$D$803)))</f>
        <v/>
      </c>
      <c r="CX63" s="8" t="str">
        <f>IF($B63="","",IF(COUNTIF('Competency Event Log'!$U$4:$U$803,$B63&amp;"|"&amp;CX$5)=0,"",SUMIF('Competency Event Log'!$U$4:$U$803,$B63&amp;"|"&amp;CX$5,'Competency Event Log'!$D$4:$D$803)))</f>
        <v/>
      </c>
      <c r="CY63" s="8" t="str">
        <f>IF($B63="","",IF(COUNTIF('Competency Event Log'!$U$4:$U$803,$B63&amp;"|"&amp;CY$5)=0,"",SUMIF('Competency Event Log'!$U$4:$U$803,$B63&amp;"|"&amp;CY$5,'Competency Event Log'!$D$4:$D$803)))</f>
        <v/>
      </c>
      <c r="CZ63" s="8" t="str">
        <f>IF($B63="","",IF(COUNTIF('Competency Event Log'!$U$4:$U$803,$B63&amp;"|"&amp;CZ$5)=0,"",SUMIF('Competency Event Log'!$U$4:$U$803,$B63&amp;"|"&amp;CZ$5,'Competency Event Log'!$D$4:$D$803)))</f>
        <v/>
      </c>
      <c r="DA63" s="8" t="str">
        <f>IF($B63="","",IF(COUNTIF('Competency Event Log'!$U$4:$U$803,$B63&amp;"|"&amp;DA$5)=0,"",SUMIF('Competency Event Log'!$U$4:$U$803,$B63&amp;"|"&amp;DA$5,'Competency Event Log'!$D$4:$D$803)))</f>
        <v/>
      </c>
      <c r="DB63" s="8" t="str">
        <f>IF($B63="","",IF(COUNTIF('Competency Event Log'!$U$4:$U$803,$B63&amp;"|"&amp;DB$5)=0,"",SUMIF('Competency Event Log'!$U$4:$U$803,$B63&amp;"|"&amp;DB$5,'Competency Event Log'!$D$4:$D$803)))</f>
        <v/>
      </c>
      <c r="DC63" s="8" t="str">
        <f>IF($B63="","",IF(COUNTIF('Competency Event Log'!$U$4:$U$803,$B63&amp;"|"&amp;DC$5)=0,"",SUMIF('Competency Event Log'!$U$4:$U$803,$B63&amp;"|"&amp;DC$5,'Competency Event Log'!$D$4:$D$803)))</f>
        <v/>
      </c>
      <c r="DD63" s="8" t="str">
        <f>IF($B63="","",IF(COUNTIF('Competency Event Log'!$U$4:$U$803,$B63&amp;"|"&amp;DD$5)=0,"",SUMIF('Competency Event Log'!$U$4:$U$803,$B63&amp;"|"&amp;DD$5,'Competency Event Log'!$D$4:$D$803)))</f>
        <v/>
      </c>
      <c r="DE63" s="8" t="str">
        <f>IF($B63="","",IF(COUNTIF('Competency Event Log'!$U$4:$U$803,$B63&amp;"|"&amp;DE$5)=0,"",SUMIF('Competency Event Log'!$U$4:$U$803,$B63&amp;"|"&amp;DE$5,'Competency Event Log'!$D$4:$D$803)))</f>
        <v/>
      </c>
      <c r="DF63" s="8" t="str">
        <f t="shared" si="4"/>
        <v/>
      </c>
      <c r="DG63" s="8" t="str">
        <f t="shared" si="5"/>
        <v/>
      </c>
      <c r="DH63" s="8" t="str">
        <f t="shared" si="6"/>
        <v/>
      </c>
      <c r="DI63" s="11" t="str">
        <f t="shared" si="7"/>
        <v/>
      </c>
    </row>
    <row r="64" spans="1:113">
      <c r="A64" s="7"/>
      <c r="B64" s="7"/>
      <c r="C64" s="8"/>
      <c r="D64" s="9"/>
      <c r="E64" s="10"/>
      <c r="F64" s="8"/>
      <c r="G64" s="8" t="str">
        <f>IF($B64="","",IF(COUNTIF('Competency Event Log'!$U$4:$U$803,$B64&amp;"|"&amp;G$5)=0,"",SUMIF('Competency Event Log'!$U$4:$U$803,$B64&amp;"|"&amp;G$5,'Competency Event Log'!$D$4:$D$803)))</f>
        <v/>
      </c>
      <c r="H64" s="8" t="str">
        <f>IF($B64="","",IF(COUNTIF('Competency Event Log'!$U$4:$U$803,$B64&amp;"|"&amp;H$5)=0,"",SUMIF('Competency Event Log'!$U$4:$U$803,$B64&amp;"|"&amp;H$5,'Competency Event Log'!$D$4:$D$803)))</f>
        <v/>
      </c>
      <c r="I64" s="8" t="str">
        <f>IF($B64="","",IF(COUNTIF('Competency Event Log'!$U$4:$U$803,$B64&amp;"|"&amp;I$5)=0,"",SUMIF('Competency Event Log'!$U$4:$U$803,$B64&amp;"|"&amp;I$5,'Competency Event Log'!$D$4:$D$803)))</f>
        <v/>
      </c>
      <c r="J64" s="8" t="str">
        <f>IF($B64="","",IF(COUNTIF('Competency Event Log'!$U$4:$U$803,$B64&amp;"|"&amp;J$5)=0,"",SUMIF('Competency Event Log'!$U$4:$U$803,$B64&amp;"|"&amp;J$5,'Competency Event Log'!$D$4:$D$803)))</f>
        <v/>
      </c>
      <c r="K64" s="8" t="str">
        <f>IF($B64="","",IF(COUNTIF('Competency Event Log'!$U$4:$U$803,$B64&amp;"|"&amp;K$5)=0,"",SUMIF('Competency Event Log'!$U$4:$U$803,$B64&amp;"|"&amp;K$5,'Competency Event Log'!$D$4:$D$803)))</f>
        <v/>
      </c>
      <c r="L64" s="8" t="str">
        <f>IF($B64="","",IF(COUNTIF('Competency Event Log'!$U$4:$U$803,$B64&amp;"|"&amp;L$5)=0,"",SUMIF('Competency Event Log'!$U$4:$U$803,$B64&amp;"|"&amp;L$5,'Competency Event Log'!$D$4:$D$803)))</f>
        <v/>
      </c>
      <c r="M64" s="8" t="str">
        <f>IF($B64="","",IF(COUNTIF('Competency Event Log'!$U$4:$U$803,$B64&amp;"|"&amp;M$5)=0,"",SUMIF('Competency Event Log'!$U$4:$U$803,$B64&amp;"|"&amp;M$5,'Competency Event Log'!$D$4:$D$803)))</f>
        <v/>
      </c>
      <c r="N64" s="8" t="str">
        <f>IF($B64="","",IF(COUNTIF('Competency Event Log'!$U$4:$U$803,$B64&amp;"|"&amp;N$5)=0,"",SUMIF('Competency Event Log'!$U$4:$U$803,$B64&amp;"|"&amp;N$5,'Competency Event Log'!$D$4:$D$803)))</f>
        <v/>
      </c>
      <c r="O64" s="8" t="str">
        <f>IF($B64="","",IF(COUNTIF('Competency Event Log'!$U$4:$U$803,$B64&amp;"|"&amp;O$5)=0,"",SUMIF('Competency Event Log'!$U$4:$U$803,$B64&amp;"|"&amp;O$5,'Competency Event Log'!$D$4:$D$803)))</f>
        <v/>
      </c>
      <c r="P64" s="8" t="str">
        <f>IF($B64="","",IF(COUNTIF('Competency Event Log'!$U$4:$U$803,$B64&amp;"|"&amp;P$5)=0,"",SUMIF('Competency Event Log'!$U$4:$U$803,$B64&amp;"|"&amp;P$5,'Competency Event Log'!$D$4:$D$803)))</f>
        <v/>
      </c>
      <c r="Q64" s="8" t="str">
        <f>IF($B64="","",IF(COUNTIF('Competency Event Log'!$U$4:$U$803,$B64&amp;"|"&amp;Q$5)=0,"",SUMIF('Competency Event Log'!$U$4:$U$803,$B64&amp;"|"&amp;Q$5,'Competency Event Log'!$D$4:$D$803)))</f>
        <v/>
      </c>
      <c r="R64" s="8" t="str">
        <f>IF($B64="","",IF(COUNTIF('Competency Event Log'!$U$4:$U$803,$B64&amp;"|"&amp;R$5)=0,"",SUMIF('Competency Event Log'!$U$4:$U$803,$B64&amp;"|"&amp;R$5,'Competency Event Log'!$D$4:$D$803)))</f>
        <v/>
      </c>
      <c r="S64" s="8" t="str">
        <f>IF($B64="","",IF(COUNTIF('Competency Event Log'!$U$4:$U$803,$B64&amp;"|"&amp;S$5)=0,"",SUMIF('Competency Event Log'!$U$4:$U$803,$B64&amp;"|"&amp;S$5,'Competency Event Log'!$D$4:$D$803)))</f>
        <v/>
      </c>
      <c r="T64" s="8" t="str">
        <f>IF($B64="","",IF(COUNTIF('Competency Event Log'!$U$4:$U$803,$B64&amp;"|"&amp;T$5)=0,"",SUMIF('Competency Event Log'!$U$4:$U$803,$B64&amp;"|"&amp;T$5,'Competency Event Log'!$D$4:$D$803)))</f>
        <v/>
      </c>
      <c r="U64" s="8" t="str">
        <f>IF($B64="","",IF(COUNTIF('Competency Event Log'!$U$4:$U$803,$B64&amp;"|"&amp;U$5)=0,"",SUMIF('Competency Event Log'!$U$4:$U$803,$B64&amp;"|"&amp;U$5,'Competency Event Log'!$D$4:$D$803)))</f>
        <v/>
      </c>
      <c r="V64" s="8" t="str">
        <f>IF($B64="","",IF(COUNTIF('Competency Event Log'!$U$4:$U$803,$B64&amp;"|"&amp;V$5)=0,"",SUMIF('Competency Event Log'!$U$4:$U$803,$B64&amp;"|"&amp;V$5,'Competency Event Log'!$D$4:$D$803)))</f>
        <v/>
      </c>
      <c r="W64" s="8" t="str">
        <f>IF($B64="","",IF(COUNTIF('Competency Event Log'!$U$4:$U$803,$B64&amp;"|"&amp;W$5)=0,"",SUMIF('Competency Event Log'!$U$4:$U$803,$B64&amp;"|"&amp;W$5,'Competency Event Log'!$D$4:$D$803)))</f>
        <v/>
      </c>
      <c r="X64" s="8" t="str">
        <f>IF($B64="","",IF(COUNTIF('Competency Event Log'!$U$4:$U$803,$B64&amp;"|"&amp;X$5)=0,"",SUMIF('Competency Event Log'!$U$4:$U$803,$B64&amp;"|"&amp;X$5,'Competency Event Log'!$D$4:$D$803)))</f>
        <v/>
      </c>
      <c r="Y64" s="8" t="str">
        <f>IF($B64="","",IF(COUNTIF('Competency Event Log'!$U$4:$U$803,$B64&amp;"|"&amp;Y$5)=0,"",SUMIF('Competency Event Log'!$U$4:$U$803,$B64&amp;"|"&amp;Y$5,'Competency Event Log'!$D$4:$D$803)))</f>
        <v/>
      </c>
      <c r="Z64" s="8" t="str">
        <f>IF($B64="","",IF(COUNTIF('Competency Event Log'!$U$4:$U$803,$B64&amp;"|"&amp;Z$5)=0,"",SUMIF('Competency Event Log'!$U$4:$U$803,$B64&amp;"|"&amp;Z$5,'Competency Event Log'!$D$4:$D$803)))</f>
        <v/>
      </c>
      <c r="AA64" s="8" t="str">
        <f>IF($B64="","",IF(COUNTIF('Competency Event Log'!$U$4:$U$803,$B64&amp;"|"&amp;AA$5)=0,"",SUMIF('Competency Event Log'!$U$4:$U$803,$B64&amp;"|"&amp;AA$5,'Competency Event Log'!$D$4:$D$803)))</f>
        <v/>
      </c>
      <c r="AB64" s="8" t="str">
        <f>IF($B64="","",IF(COUNTIF('Competency Event Log'!$U$4:$U$803,$B64&amp;"|"&amp;AB$5)=0,"",SUMIF('Competency Event Log'!$U$4:$U$803,$B64&amp;"|"&amp;AB$5,'Competency Event Log'!$D$4:$D$803)))</f>
        <v/>
      </c>
      <c r="AC64" s="8" t="str">
        <f>IF($B64="","",IF(COUNTIF('Competency Event Log'!$U$4:$U$803,$B64&amp;"|"&amp;AC$5)=0,"",SUMIF('Competency Event Log'!$U$4:$U$803,$B64&amp;"|"&amp;AC$5,'Competency Event Log'!$D$4:$D$803)))</f>
        <v/>
      </c>
      <c r="AD64" s="8" t="str">
        <f>IF($B64="","",IF(COUNTIF('Competency Event Log'!$U$4:$U$803,$B64&amp;"|"&amp;AD$5)=0,"",SUMIF('Competency Event Log'!$U$4:$U$803,$B64&amp;"|"&amp;AD$5,'Competency Event Log'!$D$4:$D$803)))</f>
        <v/>
      </c>
      <c r="AE64" s="8" t="str">
        <f>IF($B64="","",IF(COUNTIF('Competency Event Log'!$U$4:$U$803,$B64&amp;"|"&amp;AE$5)=0,"",SUMIF('Competency Event Log'!$U$4:$U$803,$B64&amp;"|"&amp;AE$5,'Competency Event Log'!$D$4:$D$803)))</f>
        <v/>
      </c>
      <c r="AF64" s="8" t="str">
        <f>IF($B64="","",IF(COUNTIF('Competency Event Log'!$U$4:$U$803,$B64&amp;"|"&amp;AF$5)=0,"",SUMIF('Competency Event Log'!$U$4:$U$803,$B64&amp;"|"&amp;AF$5,'Competency Event Log'!$D$4:$D$803)))</f>
        <v/>
      </c>
      <c r="AG64" s="8" t="str">
        <f>IF($B64="","",IF(COUNTIF('Competency Event Log'!$U$4:$U$803,$B64&amp;"|"&amp;AG$5)=0,"",SUMIF('Competency Event Log'!$U$4:$U$803,$B64&amp;"|"&amp;AG$5,'Competency Event Log'!$D$4:$D$803)))</f>
        <v/>
      </c>
      <c r="AH64" s="8" t="str">
        <f>IF($B64="","",IF(COUNTIF('Competency Event Log'!$U$4:$U$803,$B64&amp;"|"&amp;AH$5)=0,"",SUMIF('Competency Event Log'!$U$4:$U$803,$B64&amp;"|"&amp;AH$5,'Competency Event Log'!$D$4:$D$803)))</f>
        <v/>
      </c>
      <c r="AI64" s="8" t="str">
        <f>IF($B64="","",IF(COUNTIF('Competency Event Log'!$U$4:$U$803,$B64&amp;"|"&amp;AI$5)=0,"",SUMIF('Competency Event Log'!$U$4:$U$803,$B64&amp;"|"&amp;AI$5,'Competency Event Log'!$D$4:$D$803)))</f>
        <v/>
      </c>
      <c r="AJ64" s="8" t="str">
        <f>IF($B64="","",IF(COUNTIF('Competency Event Log'!$U$4:$U$803,$B64&amp;"|"&amp;AJ$5)=0,"",SUMIF('Competency Event Log'!$U$4:$U$803,$B64&amp;"|"&amp;AJ$5,'Competency Event Log'!$D$4:$D$803)))</f>
        <v/>
      </c>
      <c r="AK64" s="8" t="str">
        <f>IF($B64="","",IF(COUNTIF('Competency Event Log'!$U$4:$U$803,$B64&amp;"|"&amp;AK$5)=0,"",SUMIF('Competency Event Log'!$U$4:$U$803,$B64&amp;"|"&amp;AK$5,'Competency Event Log'!$D$4:$D$803)))</f>
        <v/>
      </c>
      <c r="AL64" s="8" t="str">
        <f>IF($B64="","",IF(COUNTIF('Competency Event Log'!$U$4:$U$803,$B64&amp;"|"&amp;AL$5)=0,"",SUMIF('Competency Event Log'!$U$4:$U$803,$B64&amp;"|"&amp;AL$5,'Competency Event Log'!$D$4:$D$803)))</f>
        <v/>
      </c>
      <c r="AM64" s="8" t="str">
        <f>IF($B64="","",IF(COUNTIF('Competency Event Log'!$U$4:$U$803,$B64&amp;"|"&amp;AM$5)=0,"",SUMIF('Competency Event Log'!$U$4:$U$803,$B64&amp;"|"&amp;AM$5,'Competency Event Log'!$D$4:$D$803)))</f>
        <v/>
      </c>
      <c r="AN64" s="8" t="str">
        <f>IF($B64="","",IF(COUNTIF('Competency Event Log'!$U$4:$U$803,$B64&amp;"|"&amp;AN$5)=0,"",SUMIF('Competency Event Log'!$U$4:$U$803,$B64&amp;"|"&amp;AN$5,'Competency Event Log'!$D$4:$D$803)))</f>
        <v/>
      </c>
      <c r="AO64" s="8" t="str">
        <f>IF($B64="","",IF(COUNTIF('Competency Event Log'!$U$4:$U$803,$B64&amp;"|"&amp;AO$5)=0,"",SUMIF('Competency Event Log'!$U$4:$U$803,$B64&amp;"|"&amp;AO$5,'Competency Event Log'!$D$4:$D$803)))</f>
        <v/>
      </c>
      <c r="AP64" s="8" t="str">
        <f>IF($B64="","",IF(COUNTIF('Competency Event Log'!$U$4:$U$803,$B64&amp;"|"&amp;AP$5)=0,"",SUMIF('Competency Event Log'!$U$4:$U$803,$B64&amp;"|"&amp;AP$5,'Competency Event Log'!$D$4:$D$803)))</f>
        <v/>
      </c>
      <c r="AQ64" s="8" t="str">
        <f>IF($B64="","",IF(COUNTIF('Competency Event Log'!$U$4:$U$803,$B64&amp;"|"&amp;AQ$5)=0,"",SUMIF('Competency Event Log'!$U$4:$U$803,$B64&amp;"|"&amp;AQ$5,'Competency Event Log'!$D$4:$D$803)))</f>
        <v/>
      </c>
      <c r="AR64" s="8" t="str">
        <f>IF($B64="","",IF(COUNTIF('Competency Event Log'!$U$4:$U$803,$B64&amp;"|"&amp;AR$5)=0,"",SUMIF('Competency Event Log'!$U$4:$U$803,$B64&amp;"|"&amp;AR$5,'Competency Event Log'!$D$4:$D$803)))</f>
        <v/>
      </c>
      <c r="AS64" s="8" t="str">
        <f>IF($B64="","",IF(COUNTIF('Competency Event Log'!$U$4:$U$803,$B64&amp;"|"&amp;AS$5)=0,"",SUMIF('Competency Event Log'!$U$4:$U$803,$B64&amp;"|"&amp;AS$5,'Competency Event Log'!$D$4:$D$803)))</f>
        <v/>
      </c>
      <c r="AT64" s="8" t="str">
        <f>IF($B64="","",IF(COUNTIF('Competency Event Log'!$U$4:$U$803,$B64&amp;"|"&amp;AT$5)=0,"",SUMIF('Competency Event Log'!$U$4:$U$803,$B64&amp;"|"&amp;AT$5,'Competency Event Log'!$D$4:$D$803)))</f>
        <v/>
      </c>
      <c r="AU64" s="8" t="str">
        <f>IF($B64="","",IF(COUNTIF('Competency Event Log'!$U$4:$U$803,$B64&amp;"|"&amp;AU$5)=0,"",SUMIF('Competency Event Log'!$U$4:$U$803,$B64&amp;"|"&amp;AU$5,'Competency Event Log'!$D$4:$D$803)))</f>
        <v/>
      </c>
      <c r="AV64" s="8" t="str">
        <f>IF($B64="","",IF(COUNTIF('Competency Event Log'!$U$4:$U$803,$B64&amp;"|"&amp;AV$5)=0,"",SUMIF('Competency Event Log'!$U$4:$U$803,$B64&amp;"|"&amp;AV$5,'Competency Event Log'!$D$4:$D$803)))</f>
        <v/>
      </c>
      <c r="AW64" s="8" t="str">
        <f>IF($B64="","",IF(COUNTIF('Competency Event Log'!$U$4:$U$803,$B64&amp;"|"&amp;AW$5)=0,"",SUMIF('Competency Event Log'!$U$4:$U$803,$B64&amp;"|"&amp;AW$5,'Competency Event Log'!$D$4:$D$803)))</f>
        <v/>
      </c>
      <c r="AX64" s="8" t="str">
        <f>IF($B64="","",IF(COUNTIF('Competency Event Log'!$U$4:$U$803,$B64&amp;"|"&amp;AX$5)=0,"",SUMIF('Competency Event Log'!$U$4:$U$803,$B64&amp;"|"&amp;AX$5,'Competency Event Log'!$D$4:$D$803)))</f>
        <v/>
      </c>
      <c r="AY64" s="8" t="str">
        <f>IF($B64="","",IF(COUNTIF('Competency Event Log'!$U$4:$U$803,$B64&amp;"|"&amp;AY$5)=0,"",SUMIF('Competency Event Log'!$U$4:$U$803,$B64&amp;"|"&amp;AY$5,'Competency Event Log'!$D$4:$D$803)))</f>
        <v/>
      </c>
      <c r="AZ64" s="8" t="str">
        <f>IF($B64="","",IF(COUNTIF('Competency Event Log'!$U$4:$U$803,$B64&amp;"|"&amp;AZ$5)=0,"",SUMIF('Competency Event Log'!$U$4:$U$803,$B64&amp;"|"&amp;AZ$5,'Competency Event Log'!$D$4:$D$803)))</f>
        <v/>
      </c>
      <c r="BA64" s="8" t="str">
        <f>IF($B64="","",IF(COUNTIF('Competency Event Log'!$U$4:$U$803,$B64&amp;"|"&amp;BA$5)=0,"",SUMIF('Competency Event Log'!$U$4:$U$803,$B64&amp;"|"&amp;BA$5,'Competency Event Log'!$D$4:$D$803)))</f>
        <v/>
      </c>
      <c r="BB64" s="8" t="str">
        <f>IF($B64="","",IF(COUNTIF('Competency Event Log'!$U$4:$U$803,$B64&amp;"|"&amp;BB$5)=0,"",SUMIF('Competency Event Log'!$U$4:$U$803,$B64&amp;"|"&amp;BB$5,'Competency Event Log'!$D$4:$D$803)))</f>
        <v/>
      </c>
      <c r="BC64" s="8" t="str">
        <f>IF($B64="","",IF(COUNTIF('Competency Event Log'!$U$4:$U$803,$B64&amp;"|"&amp;BC$5)=0,"",SUMIF('Competency Event Log'!$U$4:$U$803,$B64&amp;"|"&amp;BC$5,'Competency Event Log'!$D$4:$D$803)))</f>
        <v/>
      </c>
      <c r="BD64" s="8" t="str">
        <f>IF($B64="","",IF(COUNTIF('Competency Event Log'!$U$4:$U$803,$B64&amp;"|"&amp;BD$5)=0,"",SUMIF('Competency Event Log'!$U$4:$U$803,$B64&amp;"|"&amp;BD$5,'Competency Event Log'!$D$4:$D$803)))</f>
        <v/>
      </c>
      <c r="BE64" s="8" t="str">
        <f>IF($B64="","",IF(COUNTIF('Competency Event Log'!$U$4:$U$803,$B64&amp;"|"&amp;BE$5)=0,"",SUMIF('Competency Event Log'!$U$4:$U$803,$B64&amp;"|"&amp;BE$5,'Competency Event Log'!$D$4:$D$803)))</f>
        <v/>
      </c>
      <c r="BF64" s="8" t="str">
        <f>IF($B64="","",IF(COUNTIF('Competency Event Log'!$U$4:$U$803,$B64&amp;"|"&amp;BF$5)=0,"",SUMIF('Competency Event Log'!$U$4:$U$803,$B64&amp;"|"&amp;BF$5,'Competency Event Log'!$D$4:$D$803)))</f>
        <v/>
      </c>
      <c r="BG64" s="8" t="str">
        <f>IF($B64="","",IF(COUNTIF('Competency Event Log'!$U$4:$U$803,$B64&amp;"|"&amp;BG$5)=0,"",SUMIF('Competency Event Log'!$U$4:$U$803,$B64&amp;"|"&amp;BG$5,'Competency Event Log'!$D$4:$D$803)))</f>
        <v/>
      </c>
      <c r="BH64" s="8" t="str">
        <f>IF($B64="","",IF(COUNTIF('Competency Event Log'!$U$4:$U$803,$B64&amp;"|"&amp;BH$5)=0,"",SUMIF('Competency Event Log'!$U$4:$U$803,$B64&amp;"|"&amp;BH$5,'Competency Event Log'!$D$4:$D$803)))</f>
        <v/>
      </c>
      <c r="BI64" s="8" t="str">
        <f>IF($B64="","",IF(COUNTIF('Competency Event Log'!$U$4:$U$803,$B64&amp;"|"&amp;BI$5)=0,"",SUMIF('Competency Event Log'!$U$4:$U$803,$B64&amp;"|"&amp;BI$5,'Competency Event Log'!$D$4:$D$803)))</f>
        <v/>
      </c>
      <c r="BJ64" s="8" t="str">
        <f>IF($B64="","",IF(COUNTIF('Competency Event Log'!$U$4:$U$803,$B64&amp;"|"&amp;BJ$5)=0,"",SUMIF('Competency Event Log'!$U$4:$U$803,$B64&amp;"|"&amp;BJ$5,'Competency Event Log'!$D$4:$D$803)))</f>
        <v/>
      </c>
      <c r="BK64" s="8" t="str">
        <f>IF($B64="","",IF(COUNTIF('Competency Event Log'!$U$4:$U$803,$B64&amp;"|"&amp;BK$5)=0,"",SUMIF('Competency Event Log'!$U$4:$U$803,$B64&amp;"|"&amp;BK$5,'Competency Event Log'!$D$4:$D$803)))</f>
        <v/>
      </c>
      <c r="BL64" s="8" t="str">
        <f>IF($B64="","",IF(COUNTIF('Competency Event Log'!$U$4:$U$803,$B64&amp;"|"&amp;BL$5)=0,"",SUMIF('Competency Event Log'!$U$4:$U$803,$B64&amp;"|"&amp;BL$5,'Competency Event Log'!$D$4:$D$803)))</f>
        <v/>
      </c>
      <c r="BM64" s="8" t="str">
        <f>IF($B64="","",IF(COUNTIF('Competency Event Log'!$U$4:$U$803,$B64&amp;"|"&amp;BM$5)=0,"",SUMIF('Competency Event Log'!$U$4:$U$803,$B64&amp;"|"&amp;BM$5,'Competency Event Log'!$D$4:$D$803)))</f>
        <v/>
      </c>
      <c r="BN64" s="8" t="str">
        <f>IF($B64="","",IF(COUNTIF('Competency Event Log'!$U$4:$U$803,$B64&amp;"|"&amp;BN$5)=0,"",SUMIF('Competency Event Log'!$U$4:$U$803,$B64&amp;"|"&amp;BN$5,'Competency Event Log'!$D$4:$D$803)))</f>
        <v/>
      </c>
      <c r="BO64" s="8" t="str">
        <f>IF($B64="","",IF(COUNTIF('Competency Event Log'!$U$4:$U$803,$B64&amp;"|"&amp;BO$5)=0,"",SUMIF('Competency Event Log'!$U$4:$U$803,$B64&amp;"|"&amp;BO$5,'Competency Event Log'!$D$4:$D$803)))</f>
        <v/>
      </c>
      <c r="BP64" s="8" t="str">
        <f>IF($B64="","",IF(COUNTIF('Competency Event Log'!$U$4:$U$803,$B64&amp;"|"&amp;BP$5)=0,"",SUMIF('Competency Event Log'!$U$4:$U$803,$B64&amp;"|"&amp;BP$5,'Competency Event Log'!$D$4:$D$803)))</f>
        <v/>
      </c>
      <c r="BQ64" s="8" t="str">
        <f>IF($B64="","",IF(COUNTIF('Competency Event Log'!$U$4:$U$803,$B64&amp;"|"&amp;BQ$5)=0,"",SUMIF('Competency Event Log'!$U$4:$U$803,$B64&amp;"|"&amp;BQ$5,'Competency Event Log'!$D$4:$D$803)))</f>
        <v/>
      </c>
      <c r="BR64" s="8" t="str">
        <f>IF($B64="","",IF(COUNTIF('Competency Event Log'!$U$4:$U$803,$B64&amp;"|"&amp;BR$5)=0,"",SUMIF('Competency Event Log'!$U$4:$U$803,$B64&amp;"|"&amp;BR$5,'Competency Event Log'!$D$4:$D$803)))</f>
        <v/>
      </c>
      <c r="BS64" s="8" t="str">
        <f>IF($B64="","",IF(COUNTIF('Competency Event Log'!$U$4:$U$803,$B64&amp;"|"&amp;BS$5)=0,"",SUMIF('Competency Event Log'!$U$4:$U$803,$B64&amp;"|"&amp;BS$5,'Competency Event Log'!$D$4:$D$803)))</f>
        <v/>
      </c>
      <c r="BT64" s="8" t="str">
        <f>IF($B64="","",IF(COUNTIF('Competency Event Log'!$U$4:$U$803,$B64&amp;"|"&amp;BT$5)=0,"",SUMIF('Competency Event Log'!$U$4:$U$803,$B64&amp;"|"&amp;BT$5,'Competency Event Log'!$D$4:$D$803)))</f>
        <v/>
      </c>
      <c r="BU64" s="8" t="str">
        <f>IF($B64="","",IF(COUNTIF('Competency Event Log'!$U$4:$U$803,$B64&amp;"|"&amp;BU$5)=0,"",SUMIF('Competency Event Log'!$U$4:$U$803,$B64&amp;"|"&amp;BU$5,'Competency Event Log'!$D$4:$D$803)))</f>
        <v/>
      </c>
      <c r="BV64" s="8" t="str">
        <f>IF($B64="","",IF(COUNTIF('Competency Event Log'!$U$4:$U$803,$B64&amp;"|"&amp;BV$5)=0,"",SUMIF('Competency Event Log'!$U$4:$U$803,$B64&amp;"|"&amp;BV$5,'Competency Event Log'!$D$4:$D$803)))</f>
        <v/>
      </c>
      <c r="BW64" s="8" t="str">
        <f>IF($B64="","",IF(COUNTIF('Competency Event Log'!$U$4:$U$803,$B64&amp;"|"&amp;BW$5)=0,"",SUMIF('Competency Event Log'!$U$4:$U$803,$B64&amp;"|"&amp;BW$5,'Competency Event Log'!$D$4:$D$803)))</f>
        <v/>
      </c>
      <c r="BX64" s="8" t="str">
        <f>IF($B64="","",IF(COUNTIF('Competency Event Log'!$U$4:$U$803,$B64&amp;"|"&amp;BX$5)=0,"",SUMIF('Competency Event Log'!$U$4:$U$803,$B64&amp;"|"&amp;BX$5,'Competency Event Log'!$D$4:$D$803)))</f>
        <v/>
      </c>
      <c r="BY64" s="8" t="str">
        <f>IF($B64="","",IF(COUNTIF('Competency Event Log'!$U$4:$U$803,$B64&amp;"|"&amp;BY$5)=0,"",SUMIF('Competency Event Log'!$U$4:$U$803,$B64&amp;"|"&amp;BY$5,'Competency Event Log'!$D$4:$D$803)))</f>
        <v/>
      </c>
      <c r="BZ64" s="8" t="str">
        <f>IF($B64="","",IF(COUNTIF('Competency Event Log'!$U$4:$U$803,$B64&amp;"|"&amp;BZ$5)=0,"",SUMIF('Competency Event Log'!$U$4:$U$803,$B64&amp;"|"&amp;BZ$5,'Competency Event Log'!$D$4:$D$803)))</f>
        <v/>
      </c>
      <c r="CA64" s="8" t="str">
        <f>IF($B64="","",IF(COUNTIF('Competency Event Log'!$U$4:$U$803,$B64&amp;"|"&amp;CA$5)=0,"",SUMIF('Competency Event Log'!$U$4:$U$803,$B64&amp;"|"&amp;CA$5,'Competency Event Log'!$D$4:$D$803)))</f>
        <v/>
      </c>
      <c r="CB64" s="8" t="str">
        <f>IF($B64="","",IF(COUNTIF('Competency Event Log'!$U$4:$U$803,$B64&amp;"|"&amp;CB$5)=0,"",SUMIF('Competency Event Log'!$U$4:$U$803,$B64&amp;"|"&amp;CB$5,'Competency Event Log'!$D$4:$D$803)))</f>
        <v/>
      </c>
      <c r="CC64" s="8" t="str">
        <f>IF($B64="","",IF(COUNTIF('Competency Event Log'!$U$4:$U$803,$B64&amp;"|"&amp;CC$5)=0,"",SUMIF('Competency Event Log'!$U$4:$U$803,$B64&amp;"|"&amp;CC$5,'Competency Event Log'!$D$4:$D$803)))</f>
        <v/>
      </c>
      <c r="CD64" s="8" t="str">
        <f>IF($B64="","",IF(COUNTIF('Competency Event Log'!$U$4:$U$803,$B64&amp;"|"&amp;CD$5)=0,"",SUMIF('Competency Event Log'!$U$4:$U$803,$B64&amp;"|"&amp;CD$5,'Competency Event Log'!$D$4:$D$803)))</f>
        <v/>
      </c>
      <c r="CE64" s="8" t="str">
        <f>IF($B64="","",IF(COUNTIF('Competency Event Log'!$U$4:$U$803,$B64&amp;"|"&amp;CE$5)=0,"",SUMIF('Competency Event Log'!$U$4:$U$803,$B64&amp;"|"&amp;CE$5,'Competency Event Log'!$D$4:$D$803)))</f>
        <v/>
      </c>
      <c r="CF64" s="8" t="str">
        <f>IF($B64="","",IF(COUNTIF('Competency Event Log'!$U$4:$U$803,$B64&amp;"|"&amp;CF$5)=0,"",SUMIF('Competency Event Log'!$U$4:$U$803,$B64&amp;"|"&amp;CF$5,'Competency Event Log'!$D$4:$D$803)))</f>
        <v/>
      </c>
      <c r="CG64" s="8" t="str">
        <f>IF($B64="","",IF(COUNTIF('Competency Event Log'!$U$4:$U$803,$B64&amp;"|"&amp;CG$5)=0,"",SUMIF('Competency Event Log'!$U$4:$U$803,$B64&amp;"|"&amp;CG$5,'Competency Event Log'!$D$4:$D$803)))</f>
        <v/>
      </c>
      <c r="CH64" s="8" t="str">
        <f>IF($B64="","",IF(COUNTIF('Competency Event Log'!$U$4:$U$803,$B64&amp;"|"&amp;CH$5)=0,"",SUMIF('Competency Event Log'!$U$4:$U$803,$B64&amp;"|"&amp;CH$5,'Competency Event Log'!$D$4:$D$803)))</f>
        <v/>
      </c>
      <c r="CI64" s="8" t="str">
        <f>IF($B64="","",IF(COUNTIF('Competency Event Log'!$U$4:$U$803,$B64&amp;"|"&amp;CI$5)=0,"",SUMIF('Competency Event Log'!$U$4:$U$803,$B64&amp;"|"&amp;CI$5,'Competency Event Log'!$D$4:$D$803)))</f>
        <v/>
      </c>
      <c r="CJ64" s="8" t="str">
        <f>IF($B64="","",IF(COUNTIF('Competency Event Log'!$U$4:$U$803,$B64&amp;"|"&amp;CJ$5)=0,"",SUMIF('Competency Event Log'!$U$4:$U$803,$B64&amp;"|"&amp;CJ$5,'Competency Event Log'!$D$4:$D$803)))</f>
        <v/>
      </c>
      <c r="CK64" s="8" t="str">
        <f>IF($B64="","",IF(COUNTIF('Competency Event Log'!$U$4:$U$803,$B64&amp;"|"&amp;CK$5)=0,"",SUMIF('Competency Event Log'!$U$4:$U$803,$B64&amp;"|"&amp;CK$5,'Competency Event Log'!$D$4:$D$803)))</f>
        <v/>
      </c>
      <c r="CL64" s="8" t="str">
        <f>IF($B64="","",IF(COUNTIF('Competency Event Log'!$U$4:$U$803,$B64&amp;"|"&amp;CL$5)=0,"",SUMIF('Competency Event Log'!$U$4:$U$803,$B64&amp;"|"&amp;CL$5,'Competency Event Log'!$D$4:$D$803)))</f>
        <v/>
      </c>
      <c r="CM64" s="8" t="str">
        <f>IF($B64="","",IF(COUNTIF('Competency Event Log'!$U$4:$U$803,$B64&amp;"|"&amp;CM$5)=0,"",SUMIF('Competency Event Log'!$U$4:$U$803,$B64&amp;"|"&amp;CM$5,'Competency Event Log'!$D$4:$D$803)))</f>
        <v/>
      </c>
      <c r="CN64" s="8" t="str">
        <f>IF($B64="","",IF(COUNTIF('Competency Event Log'!$U$4:$U$803,$B64&amp;"|"&amp;CN$5)=0,"",SUMIF('Competency Event Log'!$U$4:$U$803,$B64&amp;"|"&amp;CN$5,'Competency Event Log'!$D$4:$D$803)))</f>
        <v/>
      </c>
      <c r="CO64" s="8" t="str">
        <f>IF($B64="","",IF(COUNTIF('Competency Event Log'!$U$4:$U$803,$B64&amp;"|"&amp;CO$5)=0,"",SUMIF('Competency Event Log'!$U$4:$U$803,$B64&amp;"|"&amp;CO$5,'Competency Event Log'!$D$4:$D$803)))</f>
        <v/>
      </c>
      <c r="CP64" s="8" t="str">
        <f>IF($B64="","",IF(COUNTIF('Competency Event Log'!$U$4:$U$803,$B64&amp;"|"&amp;CP$5)=0,"",SUMIF('Competency Event Log'!$U$4:$U$803,$B64&amp;"|"&amp;CP$5,'Competency Event Log'!$D$4:$D$803)))</f>
        <v/>
      </c>
      <c r="CQ64" s="8" t="str">
        <f>IF($B64="","",IF(COUNTIF('Competency Event Log'!$U$4:$U$803,$B64&amp;"|"&amp;CQ$5)=0,"",SUMIF('Competency Event Log'!$U$4:$U$803,$B64&amp;"|"&amp;CQ$5,'Competency Event Log'!$D$4:$D$803)))</f>
        <v/>
      </c>
      <c r="CR64" s="8" t="str">
        <f>IF($B64="","",IF(COUNTIF('Competency Event Log'!$U$4:$U$803,$B64&amp;"|"&amp;CR$5)=0,"",SUMIF('Competency Event Log'!$U$4:$U$803,$B64&amp;"|"&amp;CR$5,'Competency Event Log'!$D$4:$D$803)))</f>
        <v/>
      </c>
      <c r="CS64" s="8" t="str">
        <f>IF($B64="","",IF(COUNTIF('Competency Event Log'!$U$4:$U$803,$B64&amp;"|"&amp;CS$5)=0,"",SUMIF('Competency Event Log'!$U$4:$U$803,$B64&amp;"|"&amp;CS$5,'Competency Event Log'!$D$4:$D$803)))</f>
        <v/>
      </c>
      <c r="CT64" s="8" t="str">
        <f>IF($B64="","",IF(COUNTIF('Competency Event Log'!$U$4:$U$803,$B64&amp;"|"&amp;CT$5)=0,"",SUMIF('Competency Event Log'!$U$4:$U$803,$B64&amp;"|"&amp;CT$5,'Competency Event Log'!$D$4:$D$803)))</f>
        <v/>
      </c>
      <c r="CU64" s="8" t="str">
        <f>IF($B64="","",IF(COUNTIF('Competency Event Log'!$U$4:$U$803,$B64&amp;"|"&amp;CU$5)=0,"",SUMIF('Competency Event Log'!$U$4:$U$803,$B64&amp;"|"&amp;CU$5,'Competency Event Log'!$D$4:$D$803)))</f>
        <v/>
      </c>
      <c r="CV64" s="8" t="str">
        <f>IF($B64="","",IF(COUNTIF('Competency Event Log'!$U$4:$U$803,$B64&amp;"|"&amp;CV$5)=0,"",SUMIF('Competency Event Log'!$U$4:$U$803,$B64&amp;"|"&amp;CV$5,'Competency Event Log'!$D$4:$D$803)))</f>
        <v/>
      </c>
      <c r="CW64" s="8" t="str">
        <f>IF($B64="","",IF(COUNTIF('Competency Event Log'!$U$4:$U$803,$B64&amp;"|"&amp;CW$5)=0,"",SUMIF('Competency Event Log'!$U$4:$U$803,$B64&amp;"|"&amp;CW$5,'Competency Event Log'!$D$4:$D$803)))</f>
        <v/>
      </c>
      <c r="CX64" s="8" t="str">
        <f>IF($B64="","",IF(COUNTIF('Competency Event Log'!$U$4:$U$803,$B64&amp;"|"&amp;CX$5)=0,"",SUMIF('Competency Event Log'!$U$4:$U$803,$B64&amp;"|"&amp;CX$5,'Competency Event Log'!$D$4:$D$803)))</f>
        <v/>
      </c>
      <c r="CY64" s="8" t="str">
        <f>IF($B64="","",IF(COUNTIF('Competency Event Log'!$U$4:$U$803,$B64&amp;"|"&amp;CY$5)=0,"",SUMIF('Competency Event Log'!$U$4:$U$803,$B64&amp;"|"&amp;CY$5,'Competency Event Log'!$D$4:$D$803)))</f>
        <v/>
      </c>
      <c r="CZ64" s="8" t="str">
        <f>IF($B64="","",IF(COUNTIF('Competency Event Log'!$U$4:$U$803,$B64&amp;"|"&amp;CZ$5)=0,"",SUMIF('Competency Event Log'!$U$4:$U$803,$B64&amp;"|"&amp;CZ$5,'Competency Event Log'!$D$4:$D$803)))</f>
        <v/>
      </c>
      <c r="DA64" s="8" t="str">
        <f>IF($B64="","",IF(COUNTIF('Competency Event Log'!$U$4:$U$803,$B64&amp;"|"&amp;DA$5)=0,"",SUMIF('Competency Event Log'!$U$4:$U$803,$B64&amp;"|"&amp;DA$5,'Competency Event Log'!$D$4:$D$803)))</f>
        <v/>
      </c>
      <c r="DB64" s="8" t="str">
        <f>IF($B64="","",IF(COUNTIF('Competency Event Log'!$U$4:$U$803,$B64&amp;"|"&amp;DB$5)=0,"",SUMIF('Competency Event Log'!$U$4:$U$803,$B64&amp;"|"&amp;DB$5,'Competency Event Log'!$D$4:$D$803)))</f>
        <v/>
      </c>
      <c r="DC64" s="8" t="str">
        <f>IF($B64="","",IF(COUNTIF('Competency Event Log'!$U$4:$U$803,$B64&amp;"|"&amp;DC$5)=0,"",SUMIF('Competency Event Log'!$U$4:$U$803,$B64&amp;"|"&amp;DC$5,'Competency Event Log'!$D$4:$D$803)))</f>
        <v/>
      </c>
      <c r="DD64" s="8" t="str">
        <f>IF($B64="","",IF(COUNTIF('Competency Event Log'!$U$4:$U$803,$B64&amp;"|"&amp;DD$5)=0,"",SUMIF('Competency Event Log'!$U$4:$U$803,$B64&amp;"|"&amp;DD$5,'Competency Event Log'!$D$4:$D$803)))</f>
        <v/>
      </c>
      <c r="DE64" s="8" t="str">
        <f>IF($B64="","",IF(COUNTIF('Competency Event Log'!$U$4:$U$803,$B64&amp;"|"&amp;DE$5)=0,"",SUMIF('Competency Event Log'!$U$4:$U$803,$B64&amp;"|"&amp;DE$5,'Competency Event Log'!$D$4:$D$803)))</f>
        <v/>
      </c>
      <c r="DF64" s="8" t="str">
        <f t="shared" si="4"/>
        <v/>
      </c>
      <c r="DG64" s="8" t="str">
        <f t="shared" si="5"/>
        <v/>
      </c>
      <c r="DH64" s="8" t="str">
        <f t="shared" si="6"/>
        <v/>
      </c>
      <c r="DI64" s="11" t="str">
        <f t="shared" si="7"/>
        <v/>
      </c>
    </row>
    <row r="65" spans="1:113">
      <c r="A65" s="7"/>
      <c r="B65" s="7"/>
      <c r="C65" s="8"/>
      <c r="D65" s="9"/>
      <c r="E65" s="10"/>
      <c r="F65" s="8"/>
      <c r="G65" s="8" t="str">
        <f>IF($B65="","",IF(COUNTIF('Competency Event Log'!$U$4:$U$803,$B65&amp;"|"&amp;G$5)=0,"",SUMIF('Competency Event Log'!$U$4:$U$803,$B65&amp;"|"&amp;G$5,'Competency Event Log'!$D$4:$D$803)))</f>
        <v/>
      </c>
      <c r="H65" s="8" t="str">
        <f>IF($B65="","",IF(COUNTIF('Competency Event Log'!$U$4:$U$803,$B65&amp;"|"&amp;H$5)=0,"",SUMIF('Competency Event Log'!$U$4:$U$803,$B65&amp;"|"&amp;H$5,'Competency Event Log'!$D$4:$D$803)))</f>
        <v/>
      </c>
      <c r="I65" s="8" t="str">
        <f>IF($B65="","",IF(COUNTIF('Competency Event Log'!$U$4:$U$803,$B65&amp;"|"&amp;I$5)=0,"",SUMIF('Competency Event Log'!$U$4:$U$803,$B65&amp;"|"&amp;I$5,'Competency Event Log'!$D$4:$D$803)))</f>
        <v/>
      </c>
      <c r="J65" s="8" t="str">
        <f>IF($B65="","",IF(COUNTIF('Competency Event Log'!$U$4:$U$803,$B65&amp;"|"&amp;J$5)=0,"",SUMIF('Competency Event Log'!$U$4:$U$803,$B65&amp;"|"&amp;J$5,'Competency Event Log'!$D$4:$D$803)))</f>
        <v/>
      </c>
      <c r="K65" s="8" t="str">
        <f>IF($B65="","",IF(COUNTIF('Competency Event Log'!$U$4:$U$803,$B65&amp;"|"&amp;K$5)=0,"",SUMIF('Competency Event Log'!$U$4:$U$803,$B65&amp;"|"&amp;K$5,'Competency Event Log'!$D$4:$D$803)))</f>
        <v/>
      </c>
      <c r="L65" s="8" t="str">
        <f>IF($B65="","",IF(COUNTIF('Competency Event Log'!$U$4:$U$803,$B65&amp;"|"&amp;L$5)=0,"",SUMIF('Competency Event Log'!$U$4:$U$803,$B65&amp;"|"&amp;L$5,'Competency Event Log'!$D$4:$D$803)))</f>
        <v/>
      </c>
      <c r="M65" s="8" t="str">
        <f>IF($B65="","",IF(COUNTIF('Competency Event Log'!$U$4:$U$803,$B65&amp;"|"&amp;M$5)=0,"",SUMIF('Competency Event Log'!$U$4:$U$803,$B65&amp;"|"&amp;M$5,'Competency Event Log'!$D$4:$D$803)))</f>
        <v/>
      </c>
      <c r="N65" s="8" t="str">
        <f>IF($B65="","",IF(COUNTIF('Competency Event Log'!$U$4:$U$803,$B65&amp;"|"&amp;N$5)=0,"",SUMIF('Competency Event Log'!$U$4:$U$803,$B65&amp;"|"&amp;N$5,'Competency Event Log'!$D$4:$D$803)))</f>
        <v/>
      </c>
      <c r="O65" s="8" t="str">
        <f>IF($B65="","",IF(COUNTIF('Competency Event Log'!$U$4:$U$803,$B65&amp;"|"&amp;O$5)=0,"",SUMIF('Competency Event Log'!$U$4:$U$803,$B65&amp;"|"&amp;O$5,'Competency Event Log'!$D$4:$D$803)))</f>
        <v/>
      </c>
      <c r="P65" s="8" t="str">
        <f>IF($B65="","",IF(COUNTIF('Competency Event Log'!$U$4:$U$803,$B65&amp;"|"&amp;P$5)=0,"",SUMIF('Competency Event Log'!$U$4:$U$803,$B65&amp;"|"&amp;P$5,'Competency Event Log'!$D$4:$D$803)))</f>
        <v/>
      </c>
      <c r="Q65" s="8" t="str">
        <f>IF($B65="","",IF(COUNTIF('Competency Event Log'!$U$4:$U$803,$B65&amp;"|"&amp;Q$5)=0,"",SUMIF('Competency Event Log'!$U$4:$U$803,$B65&amp;"|"&amp;Q$5,'Competency Event Log'!$D$4:$D$803)))</f>
        <v/>
      </c>
      <c r="R65" s="8" t="str">
        <f>IF($B65="","",IF(COUNTIF('Competency Event Log'!$U$4:$U$803,$B65&amp;"|"&amp;R$5)=0,"",SUMIF('Competency Event Log'!$U$4:$U$803,$B65&amp;"|"&amp;R$5,'Competency Event Log'!$D$4:$D$803)))</f>
        <v/>
      </c>
      <c r="S65" s="8" t="str">
        <f>IF($B65="","",IF(COUNTIF('Competency Event Log'!$U$4:$U$803,$B65&amp;"|"&amp;S$5)=0,"",SUMIF('Competency Event Log'!$U$4:$U$803,$B65&amp;"|"&amp;S$5,'Competency Event Log'!$D$4:$D$803)))</f>
        <v/>
      </c>
      <c r="T65" s="8" t="str">
        <f>IF($B65="","",IF(COUNTIF('Competency Event Log'!$U$4:$U$803,$B65&amp;"|"&amp;T$5)=0,"",SUMIF('Competency Event Log'!$U$4:$U$803,$B65&amp;"|"&amp;T$5,'Competency Event Log'!$D$4:$D$803)))</f>
        <v/>
      </c>
      <c r="U65" s="8" t="str">
        <f>IF($B65="","",IF(COUNTIF('Competency Event Log'!$U$4:$U$803,$B65&amp;"|"&amp;U$5)=0,"",SUMIF('Competency Event Log'!$U$4:$U$803,$B65&amp;"|"&amp;U$5,'Competency Event Log'!$D$4:$D$803)))</f>
        <v/>
      </c>
      <c r="V65" s="8" t="str">
        <f>IF($B65="","",IF(COUNTIF('Competency Event Log'!$U$4:$U$803,$B65&amp;"|"&amp;V$5)=0,"",SUMIF('Competency Event Log'!$U$4:$U$803,$B65&amp;"|"&amp;V$5,'Competency Event Log'!$D$4:$D$803)))</f>
        <v/>
      </c>
      <c r="W65" s="8" t="str">
        <f>IF($B65="","",IF(COUNTIF('Competency Event Log'!$U$4:$U$803,$B65&amp;"|"&amp;W$5)=0,"",SUMIF('Competency Event Log'!$U$4:$U$803,$B65&amp;"|"&amp;W$5,'Competency Event Log'!$D$4:$D$803)))</f>
        <v/>
      </c>
      <c r="X65" s="8" t="str">
        <f>IF($B65="","",IF(COUNTIF('Competency Event Log'!$U$4:$U$803,$B65&amp;"|"&amp;X$5)=0,"",SUMIF('Competency Event Log'!$U$4:$U$803,$B65&amp;"|"&amp;X$5,'Competency Event Log'!$D$4:$D$803)))</f>
        <v/>
      </c>
      <c r="Y65" s="8" t="str">
        <f>IF($B65="","",IF(COUNTIF('Competency Event Log'!$U$4:$U$803,$B65&amp;"|"&amp;Y$5)=0,"",SUMIF('Competency Event Log'!$U$4:$U$803,$B65&amp;"|"&amp;Y$5,'Competency Event Log'!$D$4:$D$803)))</f>
        <v/>
      </c>
      <c r="Z65" s="8" t="str">
        <f>IF($B65="","",IF(COUNTIF('Competency Event Log'!$U$4:$U$803,$B65&amp;"|"&amp;Z$5)=0,"",SUMIF('Competency Event Log'!$U$4:$U$803,$B65&amp;"|"&amp;Z$5,'Competency Event Log'!$D$4:$D$803)))</f>
        <v/>
      </c>
      <c r="AA65" s="8" t="str">
        <f>IF($B65="","",IF(COUNTIF('Competency Event Log'!$U$4:$U$803,$B65&amp;"|"&amp;AA$5)=0,"",SUMIF('Competency Event Log'!$U$4:$U$803,$B65&amp;"|"&amp;AA$5,'Competency Event Log'!$D$4:$D$803)))</f>
        <v/>
      </c>
      <c r="AB65" s="8" t="str">
        <f>IF($B65="","",IF(COUNTIF('Competency Event Log'!$U$4:$U$803,$B65&amp;"|"&amp;AB$5)=0,"",SUMIF('Competency Event Log'!$U$4:$U$803,$B65&amp;"|"&amp;AB$5,'Competency Event Log'!$D$4:$D$803)))</f>
        <v/>
      </c>
      <c r="AC65" s="8" t="str">
        <f>IF($B65="","",IF(COUNTIF('Competency Event Log'!$U$4:$U$803,$B65&amp;"|"&amp;AC$5)=0,"",SUMIF('Competency Event Log'!$U$4:$U$803,$B65&amp;"|"&amp;AC$5,'Competency Event Log'!$D$4:$D$803)))</f>
        <v/>
      </c>
      <c r="AD65" s="8" t="str">
        <f>IF($B65="","",IF(COUNTIF('Competency Event Log'!$U$4:$U$803,$B65&amp;"|"&amp;AD$5)=0,"",SUMIF('Competency Event Log'!$U$4:$U$803,$B65&amp;"|"&amp;AD$5,'Competency Event Log'!$D$4:$D$803)))</f>
        <v/>
      </c>
      <c r="AE65" s="8" t="str">
        <f>IF($B65="","",IF(COUNTIF('Competency Event Log'!$U$4:$U$803,$B65&amp;"|"&amp;AE$5)=0,"",SUMIF('Competency Event Log'!$U$4:$U$803,$B65&amp;"|"&amp;AE$5,'Competency Event Log'!$D$4:$D$803)))</f>
        <v/>
      </c>
      <c r="AF65" s="8" t="str">
        <f>IF($B65="","",IF(COUNTIF('Competency Event Log'!$U$4:$U$803,$B65&amp;"|"&amp;AF$5)=0,"",SUMIF('Competency Event Log'!$U$4:$U$803,$B65&amp;"|"&amp;AF$5,'Competency Event Log'!$D$4:$D$803)))</f>
        <v/>
      </c>
      <c r="AG65" s="8" t="str">
        <f>IF($B65="","",IF(COUNTIF('Competency Event Log'!$U$4:$U$803,$B65&amp;"|"&amp;AG$5)=0,"",SUMIF('Competency Event Log'!$U$4:$U$803,$B65&amp;"|"&amp;AG$5,'Competency Event Log'!$D$4:$D$803)))</f>
        <v/>
      </c>
      <c r="AH65" s="8" t="str">
        <f>IF($B65="","",IF(COUNTIF('Competency Event Log'!$U$4:$U$803,$B65&amp;"|"&amp;AH$5)=0,"",SUMIF('Competency Event Log'!$U$4:$U$803,$B65&amp;"|"&amp;AH$5,'Competency Event Log'!$D$4:$D$803)))</f>
        <v/>
      </c>
      <c r="AI65" s="8" t="str">
        <f>IF($B65="","",IF(COUNTIF('Competency Event Log'!$U$4:$U$803,$B65&amp;"|"&amp;AI$5)=0,"",SUMIF('Competency Event Log'!$U$4:$U$803,$B65&amp;"|"&amp;AI$5,'Competency Event Log'!$D$4:$D$803)))</f>
        <v/>
      </c>
      <c r="AJ65" s="8" t="str">
        <f>IF($B65="","",IF(COUNTIF('Competency Event Log'!$U$4:$U$803,$B65&amp;"|"&amp;AJ$5)=0,"",SUMIF('Competency Event Log'!$U$4:$U$803,$B65&amp;"|"&amp;AJ$5,'Competency Event Log'!$D$4:$D$803)))</f>
        <v/>
      </c>
      <c r="AK65" s="8" t="str">
        <f>IF($B65="","",IF(COUNTIF('Competency Event Log'!$U$4:$U$803,$B65&amp;"|"&amp;AK$5)=0,"",SUMIF('Competency Event Log'!$U$4:$U$803,$B65&amp;"|"&amp;AK$5,'Competency Event Log'!$D$4:$D$803)))</f>
        <v/>
      </c>
      <c r="AL65" s="8" t="str">
        <f>IF($B65="","",IF(COUNTIF('Competency Event Log'!$U$4:$U$803,$B65&amp;"|"&amp;AL$5)=0,"",SUMIF('Competency Event Log'!$U$4:$U$803,$B65&amp;"|"&amp;AL$5,'Competency Event Log'!$D$4:$D$803)))</f>
        <v/>
      </c>
      <c r="AM65" s="8" t="str">
        <f>IF($B65="","",IF(COUNTIF('Competency Event Log'!$U$4:$U$803,$B65&amp;"|"&amp;AM$5)=0,"",SUMIF('Competency Event Log'!$U$4:$U$803,$B65&amp;"|"&amp;AM$5,'Competency Event Log'!$D$4:$D$803)))</f>
        <v/>
      </c>
      <c r="AN65" s="8" t="str">
        <f>IF($B65="","",IF(COUNTIF('Competency Event Log'!$U$4:$U$803,$B65&amp;"|"&amp;AN$5)=0,"",SUMIF('Competency Event Log'!$U$4:$U$803,$B65&amp;"|"&amp;AN$5,'Competency Event Log'!$D$4:$D$803)))</f>
        <v/>
      </c>
      <c r="AO65" s="8" t="str">
        <f>IF($B65="","",IF(COUNTIF('Competency Event Log'!$U$4:$U$803,$B65&amp;"|"&amp;AO$5)=0,"",SUMIF('Competency Event Log'!$U$4:$U$803,$B65&amp;"|"&amp;AO$5,'Competency Event Log'!$D$4:$D$803)))</f>
        <v/>
      </c>
      <c r="AP65" s="8" t="str">
        <f>IF($B65="","",IF(COUNTIF('Competency Event Log'!$U$4:$U$803,$B65&amp;"|"&amp;AP$5)=0,"",SUMIF('Competency Event Log'!$U$4:$U$803,$B65&amp;"|"&amp;AP$5,'Competency Event Log'!$D$4:$D$803)))</f>
        <v/>
      </c>
      <c r="AQ65" s="8" t="str">
        <f>IF($B65="","",IF(COUNTIF('Competency Event Log'!$U$4:$U$803,$B65&amp;"|"&amp;AQ$5)=0,"",SUMIF('Competency Event Log'!$U$4:$U$803,$B65&amp;"|"&amp;AQ$5,'Competency Event Log'!$D$4:$D$803)))</f>
        <v/>
      </c>
      <c r="AR65" s="8" t="str">
        <f>IF($B65="","",IF(COUNTIF('Competency Event Log'!$U$4:$U$803,$B65&amp;"|"&amp;AR$5)=0,"",SUMIF('Competency Event Log'!$U$4:$U$803,$B65&amp;"|"&amp;AR$5,'Competency Event Log'!$D$4:$D$803)))</f>
        <v/>
      </c>
      <c r="AS65" s="8" t="str">
        <f>IF($B65="","",IF(COUNTIF('Competency Event Log'!$U$4:$U$803,$B65&amp;"|"&amp;AS$5)=0,"",SUMIF('Competency Event Log'!$U$4:$U$803,$B65&amp;"|"&amp;AS$5,'Competency Event Log'!$D$4:$D$803)))</f>
        <v/>
      </c>
      <c r="AT65" s="8" t="str">
        <f>IF($B65="","",IF(COUNTIF('Competency Event Log'!$U$4:$U$803,$B65&amp;"|"&amp;AT$5)=0,"",SUMIF('Competency Event Log'!$U$4:$U$803,$B65&amp;"|"&amp;AT$5,'Competency Event Log'!$D$4:$D$803)))</f>
        <v/>
      </c>
      <c r="AU65" s="8" t="str">
        <f>IF($B65="","",IF(COUNTIF('Competency Event Log'!$U$4:$U$803,$B65&amp;"|"&amp;AU$5)=0,"",SUMIF('Competency Event Log'!$U$4:$U$803,$B65&amp;"|"&amp;AU$5,'Competency Event Log'!$D$4:$D$803)))</f>
        <v/>
      </c>
      <c r="AV65" s="8" t="str">
        <f>IF($B65="","",IF(COUNTIF('Competency Event Log'!$U$4:$U$803,$B65&amp;"|"&amp;AV$5)=0,"",SUMIF('Competency Event Log'!$U$4:$U$803,$B65&amp;"|"&amp;AV$5,'Competency Event Log'!$D$4:$D$803)))</f>
        <v/>
      </c>
      <c r="AW65" s="8" t="str">
        <f>IF($B65="","",IF(COUNTIF('Competency Event Log'!$U$4:$U$803,$B65&amp;"|"&amp;AW$5)=0,"",SUMIF('Competency Event Log'!$U$4:$U$803,$B65&amp;"|"&amp;AW$5,'Competency Event Log'!$D$4:$D$803)))</f>
        <v/>
      </c>
      <c r="AX65" s="8" t="str">
        <f>IF($B65="","",IF(COUNTIF('Competency Event Log'!$U$4:$U$803,$B65&amp;"|"&amp;AX$5)=0,"",SUMIF('Competency Event Log'!$U$4:$U$803,$B65&amp;"|"&amp;AX$5,'Competency Event Log'!$D$4:$D$803)))</f>
        <v/>
      </c>
      <c r="AY65" s="8" t="str">
        <f>IF($B65="","",IF(COUNTIF('Competency Event Log'!$U$4:$U$803,$B65&amp;"|"&amp;AY$5)=0,"",SUMIF('Competency Event Log'!$U$4:$U$803,$B65&amp;"|"&amp;AY$5,'Competency Event Log'!$D$4:$D$803)))</f>
        <v/>
      </c>
      <c r="AZ65" s="8" t="str">
        <f>IF($B65="","",IF(COUNTIF('Competency Event Log'!$U$4:$U$803,$B65&amp;"|"&amp;AZ$5)=0,"",SUMIF('Competency Event Log'!$U$4:$U$803,$B65&amp;"|"&amp;AZ$5,'Competency Event Log'!$D$4:$D$803)))</f>
        <v/>
      </c>
      <c r="BA65" s="8" t="str">
        <f>IF($B65="","",IF(COUNTIF('Competency Event Log'!$U$4:$U$803,$B65&amp;"|"&amp;BA$5)=0,"",SUMIF('Competency Event Log'!$U$4:$U$803,$B65&amp;"|"&amp;BA$5,'Competency Event Log'!$D$4:$D$803)))</f>
        <v/>
      </c>
      <c r="BB65" s="8" t="str">
        <f>IF($B65="","",IF(COUNTIF('Competency Event Log'!$U$4:$U$803,$B65&amp;"|"&amp;BB$5)=0,"",SUMIF('Competency Event Log'!$U$4:$U$803,$B65&amp;"|"&amp;BB$5,'Competency Event Log'!$D$4:$D$803)))</f>
        <v/>
      </c>
      <c r="BC65" s="8" t="str">
        <f>IF($B65="","",IF(COUNTIF('Competency Event Log'!$U$4:$U$803,$B65&amp;"|"&amp;BC$5)=0,"",SUMIF('Competency Event Log'!$U$4:$U$803,$B65&amp;"|"&amp;BC$5,'Competency Event Log'!$D$4:$D$803)))</f>
        <v/>
      </c>
      <c r="BD65" s="8" t="str">
        <f>IF($B65="","",IF(COUNTIF('Competency Event Log'!$U$4:$U$803,$B65&amp;"|"&amp;BD$5)=0,"",SUMIF('Competency Event Log'!$U$4:$U$803,$B65&amp;"|"&amp;BD$5,'Competency Event Log'!$D$4:$D$803)))</f>
        <v/>
      </c>
      <c r="BE65" s="8" t="str">
        <f>IF($B65="","",IF(COUNTIF('Competency Event Log'!$U$4:$U$803,$B65&amp;"|"&amp;BE$5)=0,"",SUMIF('Competency Event Log'!$U$4:$U$803,$B65&amp;"|"&amp;BE$5,'Competency Event Log'!$D$4:$D$803)))</f>
        <v/>
      </c>
      <c r="BF65" s="8" t="str">
        <f>IF($B65="","",IF(COUNTIF('Competency Event Log'!$U$4:$U$803,$B65&amp;"|"&amp;BF$5)=0,"",SUMIF('Competency Event Log'!$U$4:$U$803,$B65&amp;"|"&amp;BF$5,'Competency Event Log'!$D$4:$D$803)))</f>
        <v/>
      </c>
      <c r="BG65" s="8" t="str">
        <f>IF($B65="","",IF(COUNTIF('Competency Event Log'!$U$4:$U$803,$B65&amp;"|"&amp;BG$5)=0,"",SUMIF('Competency Event Log'!$U$4:$U$803,$B65&amp;"|"&amp;BG$5,'Competency Event Log'!$D$4:$D$803)))</f>
        <v/>
      </c>
      <c r="BH65" s="8" t="str">
        <f>IF($B65="","",IF(COUNTIF('Competency Event Log'!$U$4:$U$803,$B65&amp;"|"&amp;BH$5)=0,"",SUMIF('Competency Event Log'!$U$4:$U$803,$B65&amp;"|"&amp;BH$5,'Competency Event Log'!$D$4:$D$803)))</f>
        <v/>
      </c>
      <c r="BI65" s="8" t="str">
        <f>IF($B65="","",IF(COUNTIF('Competency Event Log'!$U$4:$U$803,$B65&amp;"|"&amp;BI$5)=0,"",SUMIF('Competency Event Log'!$U$4:$U$803,$B65&amp;"|"&amp;BI$5,'Competency Event Log'!$D$4:$D$803)))</f>
        <v/>
      </c>
      <c r="BJ65" s="8" t="str">
        <f>IF($B65="","",IF(COUNTIF('Competency Event Log'!$U$4:$U$803,$B65&amp;"|"&amp;BJ$5)=0,"",SUMIF('Competency Event Log'!$U$4:$U$803,$B65&amp;"|"&amp;BJ$5,'Competency Event Log'!$D$4:$D$803)))</f>
        <v/>
      </c>
      <c r="BK65" s="8" t="str">
        <f>IF($B65="","",IF(COUNTIF('Competency Event Log'!$U$4:$U$803,$B65&amp;"|"&amp;BK$5)=0,"",SUMIF('Competency Event Log'!$U$4:$U$803,$B65&amp;"|"&amp;BK$5,'Competency Event Log'!$D$4:$D$803)))</f>
        <v/>
      </c>
      <c r="BL65" s="8" t="str">
        <f>IF($B65="","",IF(COUNTIF('Competency Event Log'!$U$4:$U$803,$B65&amp;"|"&amp;BL$5)=0,"",SUMIF('Competency Event Log'!$U$4:$U$803,$B65&amp;"|"&amp;BL$5,'Competency Event Log'!$D$4:$D$803)))</f>
        <v/>
      </c>
      <c r="BM65" s="8" t="str">
        <f>IF($B65="","",IF(COUNTIF('Competency Event Log'!$U$4:$U$803,$B65&amp;"|"&amp;BM$5)=0,"",SUMIF('Competency Event Log'!$U$4:$U$803,$B65&amp;"|"&amp;BM$5,'Competency Event Log'!$D$4:$D$803)))</f>
        <v/>
      </c>
      <c r="BN65" s="8" t="str">
        <f>IF($B65="","",IF(COUNTIF('Competency Event Log'!$U$4:$U$803,$B65&amp;"|"&amp;BN$5)=0,"",SUMIF('Competency Event Log'!$U$4:$U$803,$B65&amp;"|"&amp;BN$5,'Competency Event Log'!$D$4:$D$803)))</f>
        <v/>
      </c>
      <c r="BO65" s="8" t="str">
        <f>IF($B65="","",IF(COUNTIF('Competency Event Log'!$U$4:$U$803,$B65&amp;"|"&amp;BO$5)=0,"",SUMIF('Competency Event Log'!$U$4:$U$803,$B65&amp;"|"&amp;BO$5,'Competency Event Log'!$D$4:$D$803)))</f>
        <v/>
      </c>
      <c r="BP65" s="8" t="str">
        <f>IF($B65="","",IF(COUNTIF('Competency Event Log'!$U$4:$U$803,$B65&amp;"|"&amp;BP$5)=0,"",SUMIF('Competency Event Log'!$U$4:$U$803,$B65&amp;"|"&amp;BP$5,'Competency Event Log'!$D$4:$D$803)))</f>
        <v/>
      </c>
      <c r="BQ65" s="8" t="str">
        <f>IF($B65="","",IF(COUNTIF('Competency Event Log'!$U$4:$U$803,$B65&amp;"|"&amp;BQ$5)=0,"",SUMIF('Competency Event Log'!$U$4:$U$803,$B65&amp;"|"&amp;BQ$5,'Competency Event Log'!$D$4:$D$803)))</f>
        <v/>
      </c>
      <c r="BR65" s="8" t="str">
        <f>IF($B65="","",IF(COUNTIF('Competency Event Log'!$U$4:$U$803,$B65&amp;"|"&amp;BR$5)=0,"",SUMIF('Competency Event Log'!$U$4:$U$803,$B65&amp;"|"&amp;BR$5,'Competency Event Log'!$D$4:$D$803)))</f>
        <v/>
      </c>
      <c r="BS65" s="8" t="str">
        <f>IF($B65="","",IF(COUNTIF('Competency Event Log'!$U$4:$U$803,$B65&amp;"|"&amp;BS$5)=0,"",SUMIF('Competency Event Log'!$U$4:$U$803,$B65&amp;"|"&amp;BS$5,'Competency Event Log'!$D$4:$D$803)))</f>
        <v/>
      </c>
      <c r="BT65" s="8" t="str">
        <f>IF($B65="","",IF(COUNTIF('Competency Event Log'!$U$4:$U$803,$B65&amp;"|"&amp;BT$5)=0,"",SUMIF('Competency Event Log'!$U$4:$U$803,$B65&amp;"|"&amp;BT$5,'Competency Event Log'!$D$4:$D$803)))</f>
        <v/>
      </c>
      <c r="BU65" s="8" t="str">
        <f>IF($B65="","",IF(COUNTIF('Competency Event Log'!$U$4:$U$803,$B65&amp;"|"&amp;BU$5)=0,"",SUMIF('Competency Event Log'!$U$4:$U$803,$B65&amp;"|"&amp;BU$5,'Competency Event Log'!$D$4:$D$803)))</f>
        <v/>
      </c>
      <c r="BV65" s="8" t="str">
        <f>IF($B65="","",IF(COUNTIF('Competency Event Log'!$U$4:$U$803,$B65&amp;"|"&amp;BV$5)=0,"",SUMIF('Competency Event Log'!$U$4:$U$803,$B65&amp;"|"&amp;BV$5,'Competency Event Log'!$D$4:$D$803)))</f>
        <v/>
      </c>
      <c r="BW65" s="8" t="str">
        <f>IF($B65="","",IF(COUNTIF('Competency Event Log'!$U$4:$U$803,$B65&amp;"|"&amp;BW$5)=0,"",SUMIF('Competency Event Log'!$U$4:$U$803,$B65&amp;"|"&amp;BW$5,'Competency Event Log'!$D$4:$D$803)))</f>
        <v/>
      </c>
      <c r="BX65" s="8" t="str">
        <f>IF($B65="","",IF(COUNTIF('Competency Event Log'!$U$4:$U$803,$B65&amp;"|"&amp;BX$5)=0,"",SUMIF('Competency Event Log'!$U$4:$U$803,$B65&amp;"|"&amp;BX$5,'Competency Event Log'!$D$4:$D$803)))</f>
        <v/>
      </c>
      <c r="BY65" s="8" t="str">
        <f>IF($B65="","",IF(COUNTIF('Competency Event Log'!$U$4:$U$803,$B65&amp;"|"&amp;BY$5)=0,"",SUMIF('Competency Event Log'!$U$4:$U$803,$B65&amp;"|"&amp;BY$5,'Competency Event Log'!$D$4:$D$803)))</f>
        <v/>
      </c>
      <c r="BZ65" s="8" t="str">
        <f>IF($B65="","",IF(COUNTIF('Competency Event Log'!$U$4:$U$803,$B65&amp;"|"&amp;BZ$5)=0,"",SUMIF('Competency Event Log'!$U$4:$U$803,$B65&amp;"|"&amp;BZ$5,'Competency Event Log'!$D$4:$D$803)))</f>
        <v/>
      </c>
      <c r="CA65" s="8" t="str">
        <f>IF($B65="","",IF(COUNTIF('Competency Event Log'!$U$4:$U$803,$B65&amp;"|"&amp;CA$5)=0,"",SUMIF('Competency Event Log'!$U$4:$U$803,$B65&amp;"|"&amp;CA$5,'Competency Event Log'!$D$4:$D$803)))</f>
        <v/>
      </c>
      <c r="CB65" s="8" t="str">
        <f>IF($B65="","",IF(COUNTIF('Competency Event Log'!$U$4:$U$803,$B65&amp;"|"&amp;CB$5)=0,"",SUMIF('Competency Event Log'!$U$4:$U$803,$B65&amp;"|"&amp;CB$5,'Competency Event Log'!$D$4:$D$803)))</f>
        <v/>
      </c>
      <c r="CC65" s="8" t="str">
        <f>IF($B65="","",IF(COUNTIF('Competency Event Log'!$U$4:$U$803,$B65&amp;"|"&amp;CC$5)=0,"",SUMIF('Competency Event Log'!$U$4:$U$803,$B65&amp;"|"&amp;CC$5,'Competency Event Log'!$D$4:$D$803)))</f>
        <v/>
      </c>
      <c r="CD65" s="8" t="str">
        <f>IF($B65="","",IF(COUNTIF('Competency Event Log'!$U$4:$U$803,$B65&amp;"|"&amp;CD$5)=0,"",SUMIF('Competency Event Log'!$U$4:$U$803,$B65&amp;"|"&amp;CD$5,'Competency Event Log'!$D$4:$D$803)))</f>
        <v/>
      </c>
      <c r="CE65" s="8" t="str">
        <f>IF($B65="","",IF(COUNTIF('Competency Event Log'!$U$4:$U$803,$B65&amp;"|"&amp;CE$5)=0,"",SUMIF('Competency Event Log'!$U$4:$U$803,$B65&amp;"|"&amp;CE$5,'Competency Event Log'!$D$4:$D$803)))</f>
        <v/>
      </c>
      <c r="CF65" s="8" t="str">
        <f>IF($B65="","",IF(COUNTIF('Competency Event Log'!$U$4:$U$803,$B65&amp;"|"&amp;CF$5)=0,"",SUMIF('Competency Event Log'!$U$4:$U$803,$B65&amp;"|"&amp;CF$5,'Competency Event Log'!$D$4:$D$803)))</f>
        <v/>
      </c>
      <c r="CG65" s="8" t="str">
        <f>IF($B65="","",IF(COUNTIF('Competency Event Log'!$U$4:$U$803,$B65&amp;"|"&amp;CG$5)=0,"",SUMIF('Competency Event Log'!$U$4:$U$803,$B65&amp;"|"&amp;CG$5,'Competency Event Log'!$D$4:$D$803)))</f>
        <v/>
      </c>
      <c r="CH65" s="8" t="str">
        <f>IF($B65="","",IF(COUNTIF('Competency Event Log'!$U$4:$U$803,$B65&amp;"|"&amp;CH$5)=0,"",SUMIF('Competency Event Log'!$U$4:$U$803,$B65&amp;"|"&amp;CH$5,'Competency Event Log'!$D$4:$D$803)))</f>
        <v/>
      </c>
      <c r="CI65" s="8" t="str">
        <f>IF($B65="","",IF(COUNTIF('Competency Event Log'!$U$4:$U$803,$B65&amp;"|"&amp;CI$5)=0,"",SUMIF('Competency Event Log'!$U$4:$U$803,$B65&amp;"|"&amp;CI$5,'Competency Event Log'!$D$4:$D$803)))</f>
        <v/>
      </c>
      <c r="CJ65" s="8" t="str">
        <f>IF($B65="","",IF(COUNTIF('Competency Event Log'!$U$4:$U$803,$B65&amp;"|"&amp;CJ$5)=0,"",SUMIF('Competency Event Log'!$U$4:$U$803,$B65&amp;"|"&amp;CJ$5,'Competency Event Log'!$D$4:$D$803)))</f>
        <v/>
      </c>
      <c r="CK65" s="8" t="str">
        <f>IF($B65="","",IF(COUNTIF('Competency Event Log'!$U$4:$U$803,$B65&amp;"|"&amp;CK$5)=0,"",SUMIF('Competency Event Log'!$U$4:$U$803,$B65&amp;"|"&amp;CK$5,'Competency Event Log'!$D$4:$D$803)))</f>
        <v/>
      </c>
      <c r="CL65" s="8" t="str">
        <f>IF($B65="","",IF(COUNTIF('Competency Event Log'!$U$4:$U$803,$B65&amp;"|"&amp;CL$5)=0,"",SUMIF('Competency Event Log'!$U$4:$U$803,$B65&amp;"|"&amp;CL$5,'Competency Event Log'!$D$4:$D$803)))</f>
        <v/>
      </c>
      <c r="CM65" s="8" t="str">
        <f>IF($B65="","",IF(COUNTIF('Competency Event Log'!$U$4:$U$803,$B65&amp;"|"&amp;CM$5)=0,"",SUMIF('Competency Event Log'!$U$4:$U$803,$B65&amp;"|"&amp;CM$5,'Competency Event Log'!$D$4:$D$803)))</f>
        <v/>
      </c>
      <c r="CN65" s="8" t="str">
        <f>IF($B65="","",IF(COUNTIF('Competency Event Log'!$U$4:$U$803,$B65&amp;"|"&amp;CN$5)=0,"",SUMIF('Competency Event Log'!$U$4:$U$803,$B65&amp;"|"&amp;CN$5,'Competency Event Log'!$D$4:$D$803)))</f>
        <v/>
      </c>
      <c r="CO65" s="8" t="str">
        <f>IF($B65="","",IF(COUNTIF('Competency Event Log'!$U$4:$U$803,$B65&amp;"|"&amp;CO$5)=0,"",SUMIF('Competency Event Log'!$U$4:$U$803,$B65&amp;"|"&amp;CO$5,'Competency Event Log'!$D$4:$D$803)))</f>
        <v/>
      </c>
      <c r="CP65" s="8" t="str">
        <f>IF($B65="","",IF(COUNTIF('Competency Event Log'!$U$4:$U$803,$B65&amp;"|"&amp;CP$5)=0,"",SUMIF('Competency Event Log'!$U$4:$U$803,$B65&amp;"|"&amp;CP$5,'Competency Event Log'!$D$4:$D$803)))</f>
        <v/>
      </c>
      <c r="CQ65" s="8" t="str">
        <f>IF($B65="","",IF(COUNTIF('Competency Event Log'!$U$4:$U$803,$B65&amp;"|"&amp;CQ$5)=0,"",SUMIF('Competency Event Log'!$U$4:$U$803,$B65&amp;"|"&amp;CQ$5,'Competency Event Log'!$D$4:$D$803)))</f>
        <v/>
      </c>
      <c r="CR65" s="8" t="str">
        <f>IF($B65="","",IF(COUNTIF('Competency Event Log'!$U$4:$U$803,$B65&amp;"|"&amp;CR$5)=0,"",SUMIF('Competency Event Log'!$U$4:$U$803,$B65&amp;"|"&amp;CR$5,'Competency Event Log'!$D$4:$D$803)))</f>
        <v/>
      </c>
      <c r="CS65" s="8" t="str">
        <f>IF($B65="","",IF(COUNTIF('Competency Event Log'!$U$4:$U$803,$B65&amp;"|"&amp;CS$5)=0,"",SUMIF('Competency Event Log'!$U$4:$U$803,$B65&amp;"|"&amp;CS$5,'Competency Event Log'!$D$4:$D$803)))</f>
        <v/>
      </c>
      <c r="CT65" s="8" t="str">
        <f>IF($B65="","",IF(COUNTIF('Competency Event Log'!$U$4:$U$803,$B65&amp;"|"&amp;CT$5)=0,"",SUMIF('Competency Event Log'!$U$4:$U$803,$B65&amp;"|"&amp;CT$5,'Competency Event Log'!$D$4:$D$803)))</f>
        <v/>
      </c>
      <c r="CU65" s="8" t="str">
        <f>IF($B65="","",IF(COUNTIF('Competency Event Log'!$U$4:$U$803,$B65&amp;"|"&amp;CU$5)=0,"",SUMIF('Competency Event Log'!$U$4:$U$803,$B65&amp;"|"&amp;CU$5,'Competency Event Log'!$D$4:$D$803)))</f>
        <v/>
      </c>
      <c r="CV65" s="8" t="str">
        <f>IF($B65="","",IF(COUNTIF('Competency Event Log'!$U$4:$U$803,$B65&amp;"|"&amp;CV$5)=0,"",SUMIF('Competency Event Log'!$U$4:$U$803,$B65&amp;"|"&amp;CV$5,'Competency Event Log'!$D$4:$D$803)))</f>
        <v/>
      </c>
      <c r="CW65" s="8" t="str">
        <f>IF($B65="","",IF(COUNTIF('Competency Event Log'!$U$4:$U$803,$B65&amp;"|"&amp;CW$5)=0,"",SUMIF('Competency Event Log'!$U$4:$U$803,$B65&amp;"|"&amp;CW$5,'Competency Event Log'!$D$4:$D$803)))</f>
        <v/>
      </c>
      <c r="CX65" s="8" t="str">
        <f>IF($B65="","",IF(COUNTIF('Competency Event Log'!$U$4:$U$803,$B65&amp;"|"&amp;CX$5)=0,"",SUMIF('Competency Event Log'!$U$4:$U$803,$B65&amp;"|"&amp;CX$5,'Competency Event Log'!$D$4:$D$803)))</f>
        <v/>
      </c>
      <c r="CY65" s="8" t="str">
        <f>IF($B65="","",IF(COUNTIF('Competency Event Log'!$U$4:$U$803,$B65&amp;"|"&amp;CY$5)=0,"",SUMIF('Competency Event Log'!$U$4:$U$803,$B65&amp;"|"&amp;CY$5,'Competency Event Log'!$D$4:$D$803)))</f>
        <v/>
      </c>
      <c r="CZ65" s="8" t="str">
        <f>IF($B65="","",IF(COUNTIF('Competency Event Log'!$U$4:$U$803,$B65&amp;"|"&amp;CZ$5)=0,"",SUMIF('Competency Event Log'!$U$4:$U$803,$B65&amp;"|"&amp;CZ$5,'Competency Event Log'!$D$4:$D$803)))</f>
        <v/>
      </c>
      <c r="DA65" s="8" t="str">
        <f>IF($B65="","",IF(COUNTIF('Competency Event Log'!$U$4:$U$803,$B65&amp;"|"&amp;DA$5)=0,"",SUMIF('Competency Event Log'!$U$4:$U$803,$B65&amp;"|"&amp;DA$5,'Competency Event Log'!$D$4:$D$803)))</f>
        <v/>
      </c>
      <c r="DB65" s="8" t="str">
        <f>IF($B65="","",IF(COUNTIF('Competency Event Log'!$U$4:$U$803,$B65&amp;"|"&amp;DB$5)=0,"",SUMIF('Competency Event Log'!$U$4:$U$803,$B65&amp;"|"&amp;DB$5,'Competency Event Log'!$D$4:$D$803)))</f>
        <v/>
      </c>
      <c r="DC65" s="8" t="str">
        <f>IF($B65="","",IF(COUNTIF('Competency Event Log'!$U$4:$U$803,$B65&amp;"|"&amp;DC$5)=0,"",SUMIF('Competency Event Log'!$U$4:$U$803,$B65&amp;"|"&amp;DC$5,'Competency Event Log'!$D$4:$D$803)))</f>
        <v/>
      </c>
      <c r="DD65" s="8" t="str">
        <f>IF($B65="","",IF(COUNTIF('Competency Event Log'!$U$4:$U$803,$B65&amp;"|"&amp;DD$5)=0,"",SUMIF('Competency Event Log'!$U$4:$U$803,$B65&amp;"|"&amp;DD$5,'Competency Event Log'!$D$4:$D$803)))</f>
        <v/>
      </c>
      <c r="DE65" s="8" t="str">
        <f>IF($B65="","",IF(COUNTIF('Competency Event Log'!$U$4:$U$803,$B65&amp;"|"&amp;DE$5)=0,"",SUMIF('Competency Event Log'!$U$4:$U$803,$B65&amp;"|"&amp;DE$5,'Competency Event Log'!$D$4:$D$803)))</f>
        <v/>
      </c>
      <c r="DF65" s="8" t="str">
        <f t="shared" si="4"/>
        <v/>
      </c>
      <c r="DG65" s="8" t="str">
        <f t="shared" si="5"/>
        <v/>
      </c>
      <c r="DH65" s="8" t="str">
        <f t="shared" si="6"/>
        <v/>
      </c>
      <c r="DI65" s="11" t="str">
        <f t="shared" si="7"/>
        <v/>
      </c>
    </row>
    <row r="66" spans="1:113">
      <c r="A66" s="7"/>
      <c r="B66" s="7"/>
      <c r="C66" s="8"/>
      <c r="D66" s="9"/>
      <c r="E66" s="10"/>
      <c r="F66" s="8"/>
      <c r="G66" s="8" t="str">
        <f>IF($B66="","",IF(COUNTIF('Competency Event Log'!$U$4:$U$803,$B66&amp;"|"&amp;G$5)=0,"",SUMIF('Competency Event Log'!$U$4:$U$803,$B66&amp;"|"&amp;G$5,'Competency Event Log'!$D$4:$D$803)))</f>
        <v/>
      </c>
      <c r="H66" s="8" t="str">
        <f>IF($B66="","",IF(COUNTIF('Competency Event Log'!$U$4:$U$803,$B66&amp;"|"&amp;H$5)=0,"",SUMIF('Competency Event Log'!$U$4:$U$803,$B66&amp;"|"&amp;H$5,'Competency Event Log'!$D$4:$D$803)))</f>
        <v/>
      </c>
      <c r="I66" s="8" t="str">
        <f>IF($B66="","",IF(COUNTIF('Competency Event Log'!$U$4:$U$803,$B66&amp;"|"&amp;I$5)=0,"",SUMIF('Competency Event Log'!$U$4:$U$803,$B66&amp;"|"&amp;I$5,'Competency Event Log'!$D$4:$D$803)))</f>
        <v/>
      </c>
      <c r="J66" s="8" t="str">
        <f>IF($B66="","",IF(COUNTIF('Competency Event Log'!$U$4:$U$803,$B66&amp;"|"&amp;J$5)=0,"",SUMIF('Competency Event Log'!$U$4:$U$803,$B66&amp;"|"&amp;J$5,'Competency Event Log'!$D$4:$D$803)))</f>
        <v/>
      </c>
      <c r="K66" s="8" t="str">
        <f>IF($B66="","",IF(COUNTIF('Competency Event Log'!$U$4:$U$803,$B66&amp;"|"&amp;K$5)=0,"",SUMIF('Competency Event Log'!$U$4:$U$803,$B66&amp;"|"&amp;K$5,'Competency Event Log'!$D$4:$D$803)))</f>
        <v/>
      </c>
      <c r="L66" s="8" t="str">
        <f>IF($B66="","",IF(COUNTIF('Competency Event Log'!$U$4:$U$803,$B66&amp;"|"&amp;L$5)=0,"",SUMIF('Competency Event Log'!$U$4:$U$803,$B66&amp;"|"&amp;L$5,'Competency Event Log'!$D$4:$D$803)))</f>
        <v/>
      </c>
      <c r="M66" s="8" t="str">
        <f>IF($B66="","",IF(COUNTIF('Competency Event Log'!$U$4:$U$803,$B66&amp;"|"&amp;M$5)=0,"",SUMIF('Competency Event Log'!$U$4:$U$803,$B66&amp;"|"&amp;M$5,'Competency Event Log'!$D$4:$D$803)))</f>
        <v/>
      </c>
      <c r="N66" s="8" t="str">
        <f>IF($B66="","",IF(COUNTIF('Competency Event Log'!$U$4:$U$803,$B66&amp;"|"&amp;N$5)=0,"",SUMIF('Competency Event Log'!$U$4:$U$803,$B66&amp;"|"&amp;N$5,'Competency Event Log'!$D$4:$D$803)))</f>
        <v/>
      </c>
      <c r="O66" s="8" t="str">
        <f>IF($B66="","",IF(COUNTIF('Competency Event Log'!$U$4:$U$803,$B66&amp;"|"&amp;O$5)=0,"",SUMIF('Competency Event Log'!$U$4:$U$803,$B66&amp;"|"&amp;O$5,'Competency Event Log'!$D$4:$D$803)))</f>
        <v/>
      </c>
      <c r="P66" s="8" t="str">
        <f>IF($B66="","",IF(COUNTIF('Competency Event Log'!$U$4:$U$803,$B66&amp;"|"&amp;P$5)=0,"",SUMIF('Competency Event Log'!$U$4:$U$803,$B66&amp;"|"&amp;P$5,'Competency Event Log'!$D$4:$D$803)))</f>
        <v/>
      </c>
      <c r="Q66" s="8" t="str">
        <f>IF($B66="","",IF(COUNTIF('Competency Event Log'!$U$4:$U$803,$B66&amp;"|"&amp;Q$5)=0,"",SUMIF('Competency Event Log'!$U$4:$U$803,$B66&amp;"|"&amp;Q$5,'Competency Event Log'!$D$4:$D$803)))</f>
        <v/>
      </c>
      <c r="R66" s="8" t="str">
        <f>IF($B66="","",IF(COUNTIF('Competency Event Log'!$U$4:$U$803,$B66&amp;"|"&amp;R$5)=0,"",SUMIF('Competency Event Log'!$U$4:$U$803,$B66&amp;"|"&amp;R$5,'Competency Event Log'!$D$4:$D$803)))</f>
        <v/>
      </c>
      <c r="S66" s="8" t="str">
        <f>IF($B66="","",IF(COUNTIF('Competency Event Log'!$U$4:$U$803,$B66&amp;"|"&amp;S$5)=0,"",SUMIF('Competency Event Log'!$U$4:$U$803,$B66&amp;"|"&amp;S$5,'Competency Event Log'!$D$4:$D$803)))</f>
        <v/>
      </c>
      <c r="T66" s="8" t="str">
        <f>IF($B66="","",IF(COUNTIF('Competency Event Log'!$U$4:$U$803,$B66&amp;"|"&amp;T$5)=0,"",SUMIF('Competency Event Log'!$U$4:$U$803,$B66&amp;"|"&amp;T$5,'Competency Event Log'!$D$4:$D$803)))</f>
        <v/>
      </c>
      <c r="U66" s="8" t="str">
        <f>IF($B66="","",IF(COUNTIF('Competency Event Log'!$U$4:$U$803,$B66&amp;"|"&amp;U$5)=0,"",SUMIF('Competency Event Log'!$U$4:$U$803,$B66&amp;"|"&amp;U$5,'Competency Event Log'!$D$4:$D$803)))</f>
        <v/>
      </c>
      <c r="V66" s="8" t="str">
        <f>IF($B66="","",IF(COUNTIF('Competency Event Log'!$U$4:$U$803,$B66&amp;"|"&amp;V$5)=0,"",SUMIF('Competency Event Log'!$U$4:$U$803,$B66&amp;"|"&amp;V$5,'Competency Event Log'!$D$4:$D$803)))</f>
        <v/>
      </c>
      <c r="W66" s="8" t="str">
        <f>IF($B66="","",IF(COUNTIF('Competency Event Log'!$U$4:$U$803,$B66&amp;"|"&amp;W$5)=0,"",SUMIF('Competency Event Log'!$U$4:$U$803,$B66&amp;"|"&amp;W$5,'Competency Event Log'!$D$4:$D$803)))</f>
        <v/>
      </c>
      <c r="X66" s="8" t="str">
        <f>IF($B66="","",IF(COUNTIF('Competency Event Log'!$U$4:$U$803,$B66&amp;"|"&amp;X$5)=0,"",SUMIF('Competency Event Log'!$U$4:$U$803,$B66&amp;"|"&amp;X$5,'Competency Event Log'!$D$4:$D$803)))</f>
        <v/>
      </c>
      <c r="Y66" s="8" t="str">
        <f>IF($B66="","",IF(COUNTIF('Competency Event Log'!$U$4:$U$803,$B66&amp;"|"&amp;Y$5)=0,"",SUMIF('Competency Event Log'!$U$4:$U$803,$B66&amp;"|"&amp;Y$5,'Competency Event Log'!$D$4:$D$803)))</f>
        <v/>
      </c>
      <c r="Z66" s="8" t="str">
        <f>IF($B66="","",IF(COUNTIF('Competency Event Log'!$U$4:$U$803,$B66&amp;"|"&amp;Z$5)=0,"",SUMIF('Competency Event Log'!$U$4:$U$803,$B66&amp;"|"&amp;Z$5,'Competency Event Log'!$D$4:$D$803)))</f>
        <v/>
      </c>
      <c r="AA66" s="8" t="str">
        <f>IF($B66="","",IF(COUNTIF('Competency Event Log'!$U$4:$U$803,$B66&amp;"|"&amp;AA$5)=0,"",SUMIF('Competency Event Log'!$U$4:$U$803,$B66&amp;"|"&amp;AA$5,'Competency Event Log'!$D$4:$D$803)))</f>
        <v/>
      </c>
      <c r="AB66" s="8" t="str">
        <f>IF($B66="","",IF(COUNTIF('Competency Event Log'!$U$4:$U$803,$B66&amp;"|"&amp;AB$5)=0,"",SUMIF('Competency Event Log'!$U$4:$U$803,$B66&amp;"|"&amp;AB$5,'Competency Event Log'!$D$4:$D$803)))</f>
        <v/>
      </c>
      <c r="AC66" s="8" t="str">
        <f>IF($B66="","",IF(COUNTIF('Competency Event Log'!$U$4:$U$803,$B66&amp;"|"&amp;AC$5)=0,"",SUMIF('Competency Event Log'!$U$4:$U$803,$B66&amp;"|"&amp;AC$5,'Competency Event Log'!$D$4:$D$803)))</f>
        <v/>
      </c>
      <c r="AD66" s="8" t="str">
        <f>IF($B66="","",IF(COUNTIF('Competency Event Log'!$U$4:$U$803,$B66&amp;"|"&amp;AD$5)=0,"",SUMIF('Competency Event Log'!$U$4:$U$803,$B66&amp;"|"&amp;AD$5,'Competency Event Log'!$D$4:$D$803)))</f>
        <v/>
      </c>
      <c r="AE66" s="8" t="str">
        <f>IF($B66="","",IF(COUNTIF('Competency Event Log'!$U$4:$U$803,$B66&amp;"|"&amp;AE$5)=0,"",SUMIF('Competency Event Log'!$U$4:$U$803,$B66&amp;"|"&amp;AE$5,'Competency Event Log'!$D$4:$D$803)))</f>
        <v/>
      </c>
      <c r="AF66" s="8" t="str">
        <f>IF($B66="","",IF(COUNTIF('Competency Event Log'!$U$4:$U$803,$B66&amp;"|"&amp;AF$5)=0,"",SUMIF('Competency Event Log'!$U$4:$U$803,$B66&amp;"|"&amp;AF$5,'Competency Event Log'!$D$4:$D$803)))</f>
        <v/>
      </c>
      <c r="AG66" s="8" t="str">
        <f>IF($B66="","",IF(COUNTIF('Competency Event Log'!$U$4:$U$803,$B66&amp;"|"&amp;AG$5)=0,"",SUMIF('Competency Event Log'!$U$4:$U$803,$B66&amp;"|"&amp;AG$5,'Competency Event Log'!$D$4:$D$803)))</f>
        <v/>
      </c>
      <c r="AH66" s="8" t="str">
        <f>IF($B66="","",IF(COUNTIF('Competency Event Log'!$U$4:$U$803,$B66&amp;"|"&amp;AH$5)=0,"",SUMIF('Competency Event Log'!$U$4:$U$803,$B66&amp;"|"&amp;AH$5,'Competency Event Log'!$D$4:$D$803)))</f>
        <v/>
      </c>
      <c r="AI66" s="8" t="str">
        <f>IF($B66="","",IF(COUNTIF('Competency Event Log'!$U$4:$U$803,$B66&amp;"|"&amp;AI$5)=0,"",SUMIF('Competency Event Log'!$U$4:$U$803,$B66&amp;"|"&amp;AI$5,'Competency Event Log'!$D$4:$D$803)))</f>
        <v/>
      </c>
      <c r="AJ66" s="8" t="str">
        <f>IF($B66="","",IF(COUNTIF('Competency Event Log'!$U$4:$U$803,$B66&amp;"|"&amp;AJ$5)=0,"",SUMIF('Competency Event Log'!$U$4:$U$803,$B66&amp;"|"&amp;AJ$5,'Competency Event Log'!$D$4:$D$803)))</f>
        <v/>
      </c>
      <c r="AK66" s="8" t="str">
        <f>IF($B66="","",IF(COUNTIF('Competency Event Log'!$U$4:$U$803,$B66&amp;"|"&amp;AK$5)=0,"",SUMIF('Competency Event Log'!$U$4:$U$803,$B66&amp;"|"&amp;AK$5,'Competency Event Log'!$D$4:$D$803)))</f>
        <v/>
      </c>
      <c r="AL66" s="8" t="str">
        <f>IF($B66="","",IF(COUNTIF('Competency Event Log'!$U$4:$U$803,$B66&amp;"|"&amp;AL$5)=0,"",SUMIF('Competency Event Log'!$U$4:$U$803,$B66&amp;"|"&amp;AL$5,'Competency Event Log'!$D$4:$D$803)))</f>
        <v/>
      </c>
      <c r="AM66" s="8" t="str">
        <f>IF($B66="","",IF(COUNTIF('Competency Event Log'!$U$4:$U$803,$B66&amp;"|"&amp;AM$5)=0,"",SUMIF('Competency Event Log'!$U$4:$U$803,$B66&amp;"|"&amp;AM$5,'Competency Event Log'!$D$4:$D$803)))</f>
        <v/>
      </c>
      <c r="AN66" s="8" t="str">
        <f>IF($B66="","",IF(COUNTIF('Competency Event Log'!$U$4:$U$803,$B66&amp;"|"&amp;AN$5)=0,"",SUMIF('Competency Event Log'!$U$4:$U$803,$B66&amp;"|"&amp;AN$5,'Competency Event Log'!$D$4:$D$803)))</f>
        <v/>
      </c>
      <c r="AO66" s="8" t="str">
        <f>IF($B66="","",IF(COUNTIF('Competency Event Log'!$U$4:$U$803,$B66&amp;"|"&amp;AO$5)=0,"",SUMIF('Competency Event Log'!$U$4:$U$803,$B66&amp;"|"&amp;AO$5,'Competency Event Log'!$D$4:$D$803)))</f>
        <v/>
      </c>
      <c r="AP66" s="8" t="str">
        <f>IF($B66="","",IF(COUNTIF('Competency Event Log'!$U$4:$U$803,$B66&amp;"|"&amp;AP$5)=0,"",SUMIF('Competency Event Log'!$U$4:$U$803,$B66&amp;"|"&amp;AP$5,'Competency Event Log'!$D$4:$D$803)))</f>
        <v/>
      </c>
      <c r="AQ66" s="8" t="str">
        <f>IF($B66="","",IF(COUNTIF('Competency Event Log'!$U$4:$U$803,$B66&amp;"|"&amp;AQ$5)=0,"",SUMIF('Competency Event Log'!$U$4:$U$803,$B66&amp;"|"&amp;AQ$5,'Competency Event Log'!$D$4:$D$803)))</f>
        <v/>
      </c>
      <c r="AR66" s="8" t="str">
        <f>IF($B66="","",IF(COUNTIF('Competency Event Log'!$U$4:$U$803,$B66&amp;"|"&amp;AR$5)=0,"",SUMIF('Competency Event Log'!$U$4:$U$803,$B66&amp;"|"&amp;AR$5,'Competency Event Log'!$D$4:$D$803)))</f>
        <v/>
      </c>
      <c r="AS66" s="8" t="str">
        <f>IF($B66="","",IF(COUNTIF('Competency Event Log'!$U$4:$U$803,$B66&amp;"|"&amp;AS$5)=0,"",SUMIF('Competency Event Log'!$U$4:$U$803,$B66&amp;"|"&amp;AS$5,'Competency Event Log'!$D$4:$D$803)))</f>
        <v/>
      </c>
      <c r="AT66" s="8" t="str">
        <f>IF($B66="","",IF(COUNTIF('Competency Event Log'!$U$4:$U$803,$B66&amp;"|"&amp;AT$5)=0,"",SUMIF('Competency Event Log'!$U$4:$U$803,$B66&amp;"|"&amp;AT$5,'Competency Event Log'!$D$4:$D$803)))</f>
        <v/>
      </c>
      <c r="AU66" s="8" t="str">
        <f>IF($B66="","",IF(COUNTIF('Competency Event Log'!$U$4:$U$803,$B66&amp;"|"&amp;AU$5)=0,"",SUMIF('Competency Event Log'!$U$4:$U$803,$B66&amp;"|"&amp;AU$5,'Competency Event Log'!$D$4:$D$803)))</f>
        <v/>
      </c>
      <c r="AV66" s="8" t="str">
        <f>IF($B66="","",IF(COUNTIF('Competency Event Log'!$U$4:$U$803,$B66&amp;"|"&amp;AV$5)=0,"",SUMIF('Competency Event Log'!$U$4:$U$803,$B66&amp;"|"&amp;AV$5,'Competency Event Log'!$D$4:$D$803)))</f>
        <v/>
      </c>
      <c r="AW66" s="8" t="str">
        <f>IF($B66="","",IF(COUNTIF('Competency Event Log'!$U$4:$U$803,$B66&amp;"|"&amp;AW$5)=0,"",SUMIF('Competency Event Log'!$U$4:$U$803,$B66&amp;"|"&amp;AW$5,'Competency Event Log'!$D$4:$D$803)))</f>
        <v/>
      </c>
      <c r="AX66" s="8" t="str">
        <f>IF($B66="","",IF(COUNTIF('Competency Event Log'!$U$4:$U$803,$B66&amp;"|"&amp;AX$5)=0,"",SUMIF('Competency Event Log'!$U$4:$U$803,$B66&amp;"|"&amp;AX$5,'Competency Event Log'!$D$4:$D$803)))</f>
        <v/>
      </c>
      <c r="AY66" s="8" t="str">
        <f>IF($B66="","",IF(COUNTIF('Competency Event Log'!$U$4:$U$803,$B66&amp;"|"&amp;AY$5)=0,"",SUMIF('Competency Event Log'!$U$4:$U$803,$B66&amp;"|"&amp;AY$5,'Competency Event Log'!$D$4:$D$803)))</f>
        <v/>
      </c>
      <c r="AZ66" s="8" t="str">
        <f>IF($B66="","",IF(COUNTIF('Competency Event Log'!$U$4:$U$803,$B66&amp;"|"&amp;AZ$5)=0,"",SUMIF('Competency Event Log'!$U$4:$U$803,$B66&amp;"|"&amp;AZ$5,'Competency Event Log'!$D$4:$D$803)))</f>
        <v/>
      </c>
      <c r="BA66" s="8" t="str">
        <f>IF($B66="","",IF(COUNTIF('Competency Event Log'!$U$4:$U$803,$B66&amp;"|"&amp;BA$5)=0,"",SUMIF('Competency Event Log'!$U$4:$U$803,$B66&amp;"|"&amp;BA$5,'Competency Event Log'!$D$4:$D$803)))</f>
        <v/>
      </c>
      <c r="BB66" s="8" t="str">
        <f>IF($B66="","",IF(COUNTIF('Competency Event Log'!$U$4:$U$803,$B66&amp;"|"&amp;BB$5)=0,"",SUMIF('Competency Event Log'!$U$4:$U$803,$B66&amp;"|"&amp;BB$5,'Competency Event Log'!$D$4:$D$803)))</f>
        <v/>
      </c>
      <c r="BC66" s="8" t="str">
        <f>IF($B66="","",IF(COUNTIF('Competency Event Log'!$U$4:$U$803,$B66&amp;"|"&amp;BC$5)=0,"",SUMIF('Competency Event Log'!$U$4:$U$803,$B66&amp;"|"&amp;BC$5,'Competency Event Log'!$D$4:$D$803)))</f>
        <v/>
      </c>
      <c r="BD66" s="8" t="str">
        <f>IF($B66="","",IF(COUNTIF('Competency Event Log'!$U$4:$U$803,$B66&amp;"|"&amp;BD$5)=0,"",SUMIF('Competency Event Log'!$U$4:$U$803,$B66&amp;"|"&amp;BD$5,'Competency Event Log'!$D$4:$D$803)))</f>
        <v/>
      </c>
      <c r="BE66" s="8" t="str">
        <f>IF($B66="","",IF(COUNTIF('Competency Event Log'!$U$4:$U$803,$B66&amp;"|"&amp;BE$5)=0,"",SUMIF('Competency Event Log'!$U$4:$U$803,$B66&amp;"|"&amp;BE$5,'Competency Event Log'!$D$4:$D$803)))</f>
        <v/>
      </c>
      <c r="BF66" s="8" t="str">
        <f>IF($B66="","",IF(COUNTIF('Competency Event Log'!$U$4:$U$803,$B66&amp;"|"&amp;BF$5)=0,"",SUMIF('Competency Event Log'!$U$4:$U$803,$B66&amp;"|"&amp;BF$5,'Competency Event Log'!$D$4:$D$803)))</f>
        <v/>
      </c>
      <c r="BG66" s="8" t="str">
        <f>IF($B66="","",IF(COUNTIF('Competency Event Log'!$U$4:$U$803,$B66&amp;"|"&amp;BG$5)=0,"",SUMIF('Competency Event Log'!$U$4:$U$803,$B66&amp;"|"&amp;BG$5,'Competency Event Log'!$D$4:$D$803)))</f>
        <v/>
      </c>
      <c r="BH66" s="8" t="str">
        <f>IF($B66="","",IF(COUNTIF('Competency Event Log'!$U$4:$U$803,$B66&amp;"|"&amp;BH$5)=0,"",SUMIF('Competency Event Log'!$U$4:$U$803,$B66&amp;"|"&amp;BH$5,'Competency Event Log'!$D$4:$D$803)))</f>
        <v/>
      </c>
      <c r="BI66" s="8" t="str">
        <f>IF($B66="","",IF(COUNTIF('Competency Event Log'!$U$4:$U$803,$B66&amp;"|"&amp;BI$5)=0,"",SUMIF('Competency Event Log'!$U$4:$U$803,$B66&amp;"|"&amp;BI$5,'Competency Event Log'!$D$4:$D$803)))</f>
        <v/>
      </c>
      <c r="BJ66" s="8" t="str">
        <f>IF($B66="","",IF(COUNTIF('Competency Event Log'!$U$4:$U$803,$B66&amp;"|"&amp;BJ$5)=0,"",SUMIF('Competency Event Log'!$U$4:$U$803,$B66&amp;"|"&amp;BJ$5,'Competency Event Log'!$D$4:$D$803)))</f>
        <v/>
      </c>
      <c r="BK66" s="8" t="str">
        <f>IF($B66="","",IF(COUNTIF('Competency Event Log'!$U$4:$U$803,$B66&amp;"|"&amp;BK$5)=0,"",SUMIF('Competency Event Log'!$U$4:$U$803,$B66&amp;"|"&amp;BK$5,'Competency Event Log'!$D$4:$D$803)))</f>
        <v/>
      </c>
      <c r="BL66" s="8" t="str">
        <f>IF($B66="","",IF(COUNTIF('Competency Event Log'!$U$4:$U$803,$B66&amp;"|"&amp;BL$5)=0,"",SUMIF('Competency Event Log'!$U$4:$U$803,$B66&amp;"|"&amp;BL$5,'Competency Event Log'!$D$4:$D$803)))</f>
        <v/>
      </c>
      <c r="BM66" s="8" t="str">
        <f>IF($B66="","",IF(COUNTIF('Competency Event Log'!$U$4:$U$803,$B66&amp;"|"&amp;BM$5)=0,"",SUMIF('Competency Event Log'!$U$4:$U$803,$B66&amp;"|"&amp;BM$5,'Competency Event Log'!$D$4:$D$803)))</f>
        <v/>
      </c>
      <c r="BN66" s="8" t="str">
        <f>IF($B66="","",IF(COUNTIF('Competency Event Log'!$U$4:$U$803,$B66&amp;"|"&amp;BN$5)=0,"",SUMIF('Competency Event Log'!$U$4:$U$803,$B66&amp;"|"&amp;BN$5,'Competency Event Log'!$D$4:$D$803)))</f>
        <v/>
      </c>
      <c r="BO66" s="8" t="str">
        <f>IF($B66="","",IF(COUNTIF('Competency Event Log'!$U$4:$U$803,$B66&amp;"|"&amp;BO$5)=0,"",SUMIF('Competency Event Log'!$U$4:$U$803,$B66&amp;"|"&amp;BO$5,'Competency Event Log'!$D$4:$D$803)))</f>
        <v/>
      </c>
      <c r="BP66" s="8" t="str">
        <f>IF($B66="","",IF(COUNTIF('Competency Event Log'!$U$4:$U$803,$B66&amp;"|"&amp;BP$5)=0,"",SUMIF('Competency Event Log'!$U$4:$U$803,$B66&amp;"|"&amp;BP$5,'Competency Event Log'!$D$4:$D$803)))</f>
        <v/>
      </c>
      <c r="BQ66" s="8" t="str">
        <f>IF($B66="","",IF(COUNTIF('Competency Event Log'!$U$4:$U$803,$B66&amp;"|"&amp;BQ$5)=0,"",SUMIF('Competency Event Log'!$U$4:$U$803,$B66&amp;"|"&amp;BQ$5,'Competency Event Log'!$D$4:$D$803)))</f>
        <v/>
      </c>
      <c r="BR66" s="8" t="str">
        <f>IF($B66="","",IF(COUNTIF('Competency Event Log'!$U$4:$U$803,$B66&amp;"|"&amp;BR$5)=0,"",SUMIF('Competency Event Log'!$U$4:$U$803,$B66&amp;"|"&amp;BR$5,'Competency Event Log'!$D$4:$D$803)))</f>
        <v/>
      </c>
      <c r="BS66" s="8" t="str">
        <f>IF($B66="","",IF(COUNTIF('Competency Event Log'!$U$4:$U$803,$B66&amp;"|"&amp;BS$5)=0,"",SUMIF('Competency Event Log'!$U$4:$U$803,$B66&amp;"|"&amp;BS$5,'Competency Event Log'!$D$4:$D$803)))</f>
        <v/>
      </c>
      <c r="BT66" s="8" t="str">
        <f>IF($B66="","",IF(COUNTIF('Competency Event Log'!$U$4:$U$803,$B66&amp;"|"&amp;BT$5)=0,"",SUMIF('Competency Event Log'!$U$4:$U$803,$B66&amp;"|"&amp;BT$5,'Competency Event Log'!$D$4:$D$803)))</f>
        <v/>
      </c>
      <c r="BU66" s="8" t="str">
        <f>IF($B66="","",IF(COUNTIF('Competency Event Log'!$U$4:$U$803,$B66&amp;"|"&amp;BU$5)=0,"",SUMIF('Competency Event Log'!$U$4:$U$803,$B66&amp;"|"&amp;BU$5,'Competency Event Log'!$D$4:$D$803)))</f>
        <v/>
      </c>
      <c r="BV66" s="8" t="str">
        <f>IF($B66="","",IF(COUNTIF('Competency Event Log'!$U$4:$U$803,$B66&amp;"|"&amp;BV$5)=0,"",SUMIF('Competency Event Log'!$U$4:$U$803,$B66&amp;"|"&amp;BV$5,'Competency Event Log'!$D$4:$D$803)))</f>
        <v/>
      </c>
      <c r="BW66" s="8" t="str">
        <f>IF($B66="","",IF(COUNTIF('Competency Event Log'!$U$4:$U$803,$B66&amp;"|"&amp;BW$5)=0,"",SUMIF('Competency Event Log'!$U$4:$U$803,$B66&amp;"|"&amp;BW$5,'Competency Event Log'!$D$4:$D$803)))</f>
        <v/>
      </c>
      <c r="BX66" s="8" t="str">
        <f>IF($B66="","",IF(COUNTIF('Competency Event Log'!$U$4:$U$803,$B66&amp;"|"&amp;BX$5)=0,"",SUMIF('Competency Event Log'!$U$4:$U$803,$B66&amp;"|"&amp;BX$5,'Competency Event Log'!$D$4:$D$803)))</f>
        <v/>
      </c>
      <c r="BY66" s="8" t="str">
        <f>IF($B66="","",IF(COUNTIF('Competency Event Log'!$U$4:$U$803,$B66&amp;"|"&amp;BY$5)=0,"",SUMIF('Competency Event Log'!$U$4:$U$803,$B66&amp;"|"&amp;BY$5,'Competency Event Log'!$D$4:$D$803)))</f>
        <v/>
      </c>
      <c r="BZ66" s="8" t="str">
        <f>IF($B66="","",IF(COUNTIF('Competency Event Log'!$U$4:$U$803,$B66&amp;"|"&amp;BZ$5)=0,"",SUMIF('Competency Event Log'!$U$4:$U$803,$B66&amp;"|"&amp;BZ$5,'Competency Event Log'!$D$4:$D$803)))</f>
        <v/>
      </c>
      <c r="CA66" s="8" t="str">
        <f>IF($B66="","",IF(COUNTIF('Competency Event Log'!$U$4:$U$803,$B66&amp;"|"&amp;CA$5)=0,"",SUMIF('Competency Event Log'!$U$4:$U$803,$B66&amp;"|"&amp;CA$5,'Competency Event Log'!$D$4:$D$803)))</f>
        <v/>
      </c>
      <c r="CB66" s="8" t="str">
        <f>IF($B66="","",IF(COUNTIF('Competency Event Log'!$U$4:$U$803,$B66&amp;"|"&amp;CB$5)=0,"",SUMIF('Competency Event Log'!$U$4:$U$803,$B66&amp;"|"&amp;CB$5,'Competency Event Log'!$D$4:$D$803)))</f>
        <v/>
      </c>
      <c r="CC66" s="8" t="str">
        <f>IF($B66="","",IF(COUNTIF('Competency Event Log'!$U$4:$U$803,$B66&amp;"|"&amp;CC$5)=0,"",SUMIF('Competency Event Log'!$U$4:$U$803,$B66&amp;"|"&amp;CC$5,'Competency Event Log'!$D$4:$D$803)))</f>
        <v/>
      </c>
      <c r="CD66" s="8" t="str">
        <f>IF($B66="","",IF(COUNTIF('Competency Event Log'!$U$4:$U$803,$B66&amp;"|"&amp;CD$5)=0,"",SUMIF('Competency Event Log'!$U$4:$U$803,$B66&amp;"|"&amp;CD$5,'Competency Event Log'!$D$4:$D$803)))</f>
        <v/>
      </c>
      <c r="CE66" s="8" t="str">
        <f>IF($B66="","",IF(COUNTIF('Competency Event Log'!$U$4:$U$803,$B66&amp;"|"&amp;CE$5)=0,"",SUMIF('Competency Event Log'!$U$4:$U$803,$B66&amp;"|"&amp;CE$5,'Competency Event Log'!$D$4:$D$803)))</f>
        <v/>
      </c>
      <c r="CF66" s="8" t="str">
        <f>IF($B66="","",IF(COUNTIF('Competency Event Log'!$U$4:$U$803,$B66&amp;"|"&amp;CF$5)=0,"",SUMIF('Competency Event Log'!$U$4:$U$803,$B66&amp;"|"&amp;CF$5,'Competency Event Log'!$D$4:$D$803)))</f>
        <v/>
      </c>
      <c r="CG66" s="8" t="str">
        <f>IF($B66="","",IF(COUNTIF('Competency Event Log'!$U$4:$U$803,$B66&amp;"|"&amp;CG$5)=0,"",SUMIF('Competency Event Log'!$U$4:$U$803,$B66&amp;"|"&amp;CG$5,'Competency Event Log'!$D$4:$D$803)))</f>
        <v/>
      </c>
      <c r="CH66" s="8" t="str">
        <f>IF($B66="","",IF(COUNTIF('Competency Event Log'!$U$4:$U$803,$B66&amp;"|"&amp;CH$5)=0,"",SUMIF('Competency Event Log'!$U$4:$U$803,$B66&amp;"|"&amp;CH$5,'Competency Event Log'!$D$4:$D$803)))</f>
        <v/>
      </c>
      <c r="CI66" s="8" t="str">
        <f>IF($B66="","",IF(COUNTIF('Competency Event Log'!$U$4:$U$803,$B66&amp;"|"&amp;CI$5)=0,"",SUMIF('Competency Event Log'!$U$4:$U$803,$B66&amp;"|"&amp;CI$5,'Competency Event Log'!$D$4:$D$803)))</f>
        <v/>
      </c>
      <c r="CJ66" s="8" t="str">
        <f>IF($B66="","",IF(COUNTIF('Competency Event Log'!$U$4:$U$803,$B66&amp;"|"&amp;CJ$5)=0,"",SUMIF('Competency Event Log'!$U$4:$U$803,$B66&amp;"|"&amp;CJ$5,'Competency Event Log'!$D$4:$D$803)))</f>
        <v/>
      </c>
      <c r="CK66" s="8" t="str">
        <f>IF($B66="","",IF(COUNTIF('Competency Event Log'!$U$4:$U$803,$B66&amp;"|"&amp;CK$5)=0,"",SUMIF('Competency Event Log'!$U$4:$U$803,$B66&amp;"|"&amp;CK$5,'Competency Event Log'!$D$4:$D$803)))</f>
        <v/>
      </c>
      <c r="CL66" s="8" t="str">
        <f>IF($B66="","",IF(COUNTIF('Competency Event Log'!$U$4:$U$803,$B66&amp;"|"&amp;CL$5)=0,"",SUMIF('Competency Event Log'!$U$4:$U$803,$B66&amp;"|"&amp;CL$5,'Competency Event Log'!$D$4:$D$803)))</f>
        <v/>
      </c>
      <c r="CM66" s="8" t="str">
        <f>IF($B66="","",IF(COUNTIF('Competency Event Log'!$U$4:$U$803,$B66&amp;"|"&amp;CM$5)=0,"",SUMIF('Competency Event Log'!$U$4:$U$803,$B66&amp;"|"&amp;CM$5,'Competency Event Log'!$D$4:$D$803)))</f>
        <v/>
      </c>
      <c r="CN66" s="8" t="str">
        <f>IF($B66="","",IF(COUNTIF('Competency Event Log'!$U$4:$U$803,$B66&amp;"|"&amp;CN$5)=0,"",SUMIF('Competency Event Log'!$U$4:$U$803,$B66&amp;"|"&amp;CN$5,'Competency Event Log'!$D$4:$D$803)))</f>
        <v/>
      </c>
      <c r="CO66" s="8" t="str">
        <f>IF($B66="","",IF(COUNTIF('Competency Event Log'!$U$4:$U$803,$B66&amp;"|"&amp;CO$5)=0,"",SUMIF('Competency Event Log'!$U$4:$U$803,$B66&amp;"|"&amp;CO$5,'Competency Event Log'!$D$4:$D$803)))</f>
        <v/>
      </c>
      <c r="CP66" s="8" t="str">
        <f>IF($B66="","",IF(COUNTIF('Competency Event Log'!$U$4:$U$803,$B66&amp;"|"&amp;CP$5)=0,"",SUMIF('Competency Event Log'!$U$4:$U$803,$B66&amp;"|"&amp;CP$5,'Competency Event Log'!$D$4:$D$803)))</f>
        <v/>
      </c>
      <c r="CQ66" s="8" t="str">
        <f>IF($B66="","",IF(COUNTIF('Competency Event Log'!$U$4:$U$803,$B66&amp;"|"&amp;CQ$5)=0,"",SUMIF('Competency Event Log'!$U$4:$U$803,$B66&amp;"|"&amp;CQ$5,'Competency Event Log'!$D$4:$D$803)))</f>
        <v/>
      </c>
      <c r="CR66" s="8" t="str">
        <f>IF($B66="","",IF(COUNTIF('Competency Event Log'!$U$4:$U$803,$B66&amp;"|"&amp;CR$5)=0,"",SUMIF('Competency Event Log'!$U$4:$U$803,$B66&amp;"|"&amp;CR$5,'Competency Event Log'!$D$4:$D$803)))</f>
        <v/>
      </c>
      <c r="CS66" s="8" t="str">
        <f>IF($B66="","",IF(COUNTIF('Competency Event Log'!$U$4:$U$803,$B66&amp;"|"&amp;CS$5)=0,"",SUMIF('Competency Event Log'!$U$4:$U$803,$B66&amp;"|"&amp;CS$5,'Competency Event Log'!$D$4:$D$803)))</f>
        <v/>
      </c>
      <c r="CT66" s="8" t="str">
        <f>IF($B66="","",IF(COUNTIF('Competency Event Log'!$U$4:$U$803,$B66&amp;"|"&amp;CT$5)=0,"",SUMIF('Competency Event Log'!$U$4:$U$803,$B66&amp;"|"&amp;CT$5,'Competency Event Log'!$D$4:$D$803)))</f>
        <v/>
      </c>
      <c r="CU66" s="8" t="str">
        <f>IF($B66="","",IF(COUNTIF('Competency Event Log'!$U$4:$U$803,$B66&amp;"|"&amp;CU$5)=0,"",SUMIF('Competency Event Log'!$U$4:$U$803,$B66&amp;"|"&amp;CU$5,'Competency Event Log'!$D$4:$D$803)))</f>
        <v/>
      </c>
      <c r="CV66" s="8" t="str">
        <f>IF($B66="","",IF(COUNTIF('Competency Event Log'!$U$4:$U$803,$B66&amp;"|"&amp;CV$5)=0,"",SUMIF('Competency Event Log'!$U$4:$U$803,$B66&amp;"|"&amp;CV$5,'Competency Event Log'!$D$4:$D$803)))</f>
        <v/>
      </c>
      <c r="CW66" s="8" t="str">
        <f>IF($B66="","",IF(COUNTIF('Competency Event Log'!$U$4:$U$803,$B66&amp;"|"&amp;CW$5)=0,"",SUMIF('Competency Event Log'!$U$4:$U$803,$B66&amp;"|"&amp;CW$5,'Competency Event Log'!$D$4:$D$803)))</f>
        <v/>
      </c>
      <c r="CX66" s="8" t="str">
        <f>IF($B66="","",IF(COUNTIF('Competency Event Log'!$U$4:$U$803,$B66&amp;"|"&amp;CX$5)=0,"",SUMIF('Competency Event Log'!$U$4:$U$803,$B66&amp;"|"&amp;CX$5,'Competency Event Log'!$D$4:$D$803)))</f>
        <v/>
      </c>
      <c r="CY66" s="8" t="str">
        <f>IF($B66="","",IF(COUNTIF('Competency Event Log'!$U$4:$U$803,$B66&amp;"|"&amp;CY$5)=0,"",SUMIF('Competency Event Log'!$U$4:$U$803,$B66&amp;"|"&amp;CY$5,'Competency Event Log'!$D$4:$D$803)))</f>
        <v/>
      </c>
      <c r="CZ66" s="8" t="str">
        <f>IF($B66="","",IF(COUNTIF('Competency Event Log'!$U$4:$U$803,$B66&amp;"|"&amp;CZ$5)=0,"",SUMIF('Competency Event Log'!$U$4:$U$803,$B66&amp;"|"&amp;CZ$5,'Competency Event Log'!$D$4:$D$803)))</f>
        <v/>
      </c>
      <c r="DA66" s="8" t="str">
        <f>IF($B66="","",IF(COUNTIF('Competency Event Log'!$U$4:$U$803,$B66&amp;"|"&amp;DA$5)=0,"",SUMIF('Competency Event Log'!$U$4:$U$803,$B66&amp;"|"&amp;DA$5,'Competency Event Log'!$D$4:$D$803)))</f>
        <v/>
      </c>
      <c r="DB66" s="8" t="str">
        <f>IF($B66="","",IF(COUNTIF('Competency Event Log'!$U$4:$U$803,$B66&amp;"|"&amp;DB$5)=0,"",SUMIF('Competency Event Log'!$U$4:$U$803,$B66&amp;"|"&amp;DB$5,'Competency Event Log'!$D$4:$D$803)))</f>
        <v/>
      </c>
      <c r="DC66" s="8" t="str">
        <f>IF($B66="","",IF(COUNTIF('Competency Event Log'!$U$4:$U$803,$B66&amp;"|"&amp;DC$5)=0,"",SUMIF('Competency Event Log'!$U$4:$U$803,$B66&amp;"|"&amp;DC$5,'Competency Event Log'!$D$4:$D$803)))</f>
        <v/>
      </c>
      <c r="DD66" s="8" t="str">
        <f>IF($B66="","",IF(COUNTIF('Competency Event Log'!$U$4:$U$803,$B66&amp;"|"&amp;DD$5)=0,"",SUMIF('Competency Event Log'!$U$4:$U$803,$B66&amp;"|"&amp;DD$5,'Competency Event Log'!$D$4:$D$803)))</f>
        <v/>
      </c>
      <c r="DE66" s="8" t="str">
        <f>IF($B66="","",IF(COUNTIF('Competency Event Log'!$U$4:$U$803,$B66&amp;"|"&amp;DE$5)=0,"",SUMIF('Competency Event Log'!$U$4:$U$803,$B66&amp;"|"&amp;DE$5,'Competency Event Log'!$D$4:$D$803)))</f>
        <v/>
      </c>
      <c r="DF66" s="8" t="str">
        <f t="shared" si="4"/>
        <v/>
      </c>
      <c r="DG66" s="8" t="str">
        <f t="shared" si="5"/>
        <v/>
      </c>
      <c r="DH66" s="8" t="str">
        <f t="shared" si="6"/>
        <v/>
      </c>
      <c r="DI66" s="11" t="str">
        <f t="shared" si="7"/>
        <v/>
      </c>
    </row>
    <row r="67" spans="1:113">
      <c r="A67" s="7"/>
      <c r="B67" s="7"/>
      <c r="C67" s="8"/>
      <c r="D67" s="9"/>
      <c r="E67" s="10"/>
      <c r="F67" s="8"/>
      <c r="G67" s="8" t="str">
        <f>IF($B67="","",IF(COUNTIF('Competency Event Log'!$U$4:$U$803,$B67&amp;"|"&amp;G$5)=0,"",SUMIF('Competency Event Log'!$U$4:$U$803,$B67&amp;"|"&amp;G$5,'Competency Event Log'!$D$4:$D$803)))</f>
        <v/>
      </c>
      <c r="H67" s="8" t="str">
        <f>IF($B67="","",IF(COUNTIF('Competency Event Log'!$U$4:$U$803,$B67&amp;"|"&amp;H$5)=0,"",SUMIF('Competency Event Log'!$U$4:$U$803,$B67&amp;"|"&amp;H$5,'Competency Event Log'!$D$4:$D$803)))</f>
        <v/>
      </c>
      <c r="I67" s="8" t="str">
        <f>IF($B67="","",IF(COUNTIF('Competency Event Log'!$U$4:$U$803,$B67&amp;"|"&amp;I$5)=0,"",SUMIF('Competency Event Log'!$U$4:$U$803,$B67&amp;"|"&amp;I$5,'Competency Event Log'!$D$4:$D$803)))</f>
        <v/>
      </c>
      <c r="J67" s="8" t="str">
        <f>IF($B67="","",IF(COUNTIF('Competency Event Log'!$U$4:$U$803,$B67&amp;"|"&amp;J$5)=0,"",SUMIF('Competency Event Log'!$U$4:$U$803,$B67&amp;"|"&amp;J$5,'Competency Event Log'!$D$4:$D$803)))</f>
        <v/>
      </c>
      <c r="K67" s="8" t="str">
        <f>IF($B67="","",IF(COUNTIF('Competency Event Log'!$U$4:$U$803,$B67&amp;"|"&amp;K$5)=0,"",SUMIF('Competency Event Log'!$U$4:$U$803,$B67&amp;"|"&amp;K$5,'Competency Event Log'!$D$4:$D$803)))</f>
        <v/>
      </c>
      <c r="L67" s="8" t="str">
        <f>IF($B67="","",IF(COUNTIF('Competency Event Log'!$U$4:$U$803,$B67&amp;"|"&amp;L$5)=0,"",SUMIF('Competency Event Log'!$U$4:$U$803,$B67&amp;"|"&amp;L$5,'Competency Event Log'!$D$4:$D$803)))</f>
        <v/>
      </c>
      <c r="M67" s="8" t="str">
        <f>IF($B67="","",IF(COUNTIF('Competency Event Log'!$U$4:$U$803,$B67&amp;"|"&amp;M$5)=0,"",SUMIF('Competency Event Log'!$U$4:$U$803,$B67&amp;"|"&amp;M$5,'Competency Event Log'!$D$4:$D$803)))</f>
        <v/>
      </c>
      <c r="N67" s="8" t="str">
        <f>IF($B67="","",IF(COUNTIF('Competency Event Log'!$U$4:$U$803,$B67&amp;"|"&amp;N$5)=0,"",SUMIF('Competency Event Log'!$U$4:$U$803,$B67&amp;"|"&amp;N$5,'Competency Event Log'!$D$4:$D$803)))</f>
        <v/>
      </c>
      <c r="O67" s="8" t="str">
        <f>IF($B67="","",IF(COUNTIF('Competency Event Log'!$U$4:$U$803,$B67&amp;"|"&amp;O$5)=0,"",SUMIF('Competency Event Log'!$U$4:$U$803,$B67&amp;"|"&amp;O$5,'Competency Event Log'!$D$4:$D$803)))</f>
        <v/>
      </c>
      <c r="P67" s="8" t="str">
        <f>IF($B67="","",IF(COUNTIF('Competency Event Log'!$U$4:$U$803,$B67&amp;"|"&amp;P$5)=0,"",SUMIF('Competency Event Log'!$U$4:$U$803,$B67&amp;"|"&amp;P$5,'Competency Event Log'!$D$4:$D$803)))</f>
        <v/>
      </c>
      <c r="Q67" s="8" t="str">
        <f>IF($B67="","",IF(COUNTIF('Competency Event Log'!$U$4:$U$803,$B67&amp;"|"&amp;Q$5)=0,"",SUMIF('Competency Event Log'!$U$4:$U$803,$B67&amp;"|"&amp;Q$5,'Competency Event Log'!$D$4:$D$803)))</f>
        <v/>
      </c>
      <c r="R67" s="8" t="str">
        <f>IF($B67="","",IF(COUNTIF('Competency Event Log'!$U$4:$U$803,$B67&amp;"|"&amp;R$5)=0,"",SUMIF('Competency Event Log'!$U$4:$U$803,$B67&amp;"|"&amp;R$5,'Competency Event Log'!$D$4:$D$803)))</f>
        <v/>
      </c>
      <c r="S67" s="8" t="str">
        <f>IF($B67="","",IF(COUNTIF('Competency Event Log'!$U$4:$U$803,$B67&amp;"|"&amp;S$5)=0,"",SUMIF('Competency Event Log'!$U$4:$U$803,$B67&amp;"|"&amp;S$5,'Competency Event Log'!$D$4:$D$803)))</f>
        <v/>
      </c>
      <c r="T67" s="8" t="str">
        <f>IF($B67="","",IF(COUNTIF('Competency Event Log'!$U$4:$U$803,$B67&amp;"|"&amp;T$5)=0,"",SUMIF('Competency Event Log'!$U$4:$U$803,$B67&amp;"|"&amp;T$5,'Competency Event Log'!$D$4:$D$803)))</f>
        <v/>
      </c>
      <c r="U67" s="8" t="str">
        <f>IF($B67="","",IF(COUNTIF('Competency Event Log'!$U$4:$U$803,$B67&amp;"|"&amp;U$5)=0,"",SUMIF('Competency Event Log'!$U$4:$U$803,$B67&amp;"|"&amp;U$5,'Competency Event Log'!$D$4:$D$803)))</f>
        <v/>
      </c>
      <c r="V67" s="8" t="str">
        <f>IF($B67="","",IF(COUNTIF('Competency Event Log'!$U$4:$U$803,$B67&amp;"|"&amp;V$5)=0,"",SUMIF('Competency Event Log'!$U$4:$U$803,$B67&amp;"|"&amp;V$5,'Competency Event Log'!$D$4:$D$803)))</f>
        <v/>
      </c>
      <c r="W67" s="8" t="str">
        <f>IF($B67="","",IF(COUNTIF('Competency Event Log'!$U$4:$U$803,$B67&amp;"|"&amp;W$5)=0,"",SUMIF('Competency Event Log'!$U$4:$U$803,$B67&amp;"|"&amp;W$5,'Competency Event Log'!$D$4:$D$803)))</f>
        <v/>
      </c>
      <c r="X67" s="8" t="str">
        <f>IF($B67="","",IF(COUNTIF('Competency Event Log'!$U$4:$U$803,$B67&amp;"|"&amp;X$5)=0,"",SUMIF('Competency Event Log'!$U$4:$U$803,$B67&amp;"|"&amp;X$5,'Competency Event Log'!$D$4:$D$803)))</f>
        <v/>
      </c>
      <c r="Y67" s="8" t="str">
        <f>IF($B67="","",IF(COUNTIF('Competency Event Log'!$U$4:$U$803,$B67&amp;"|"&amp;Y$5)=0,"",SUMIF('Competency Event Log'!$U$4:$U$803,$B67&amp;"|"&amp;Y$5,'Competency Event Log'!$D$4:$D$803)))</f>
        <v/>
      </c>
      <c r="Z67" s="8" t="str">
        <f>IF($B67="","",IF(COUNTIF('Competency Event Log'!$U$4:$U$803,$B67&amp;"|"&amp;Z$5)=0,"",SUMIF('Competency Event Log'!$U$4:$U$803,$B67&amp;"|"&amp;Z$5,'Competency Event Log'!$D$4:$D$803)))</f>
        <v/>
      </c>
      <c r="AA67" s="8" t="str">
        <f>IF($B67="","",IF(COUNTIF('Competency Event Log'!$U$4:$U$803,$B67&amp;"|"&amp;AA$5)=0,"",SUMIF('Competency Event Log'!$U$4:$U$803,$B67&amp;"|"&amp;AA$5,'Competency Event Log'!$D$4:$D$803)))</f>
        <v/>
      </c>
      <c r="AB67" s="8" t="str">
        <f>IF($B67="","",IF(COUNTIF('Competency Event Log'!$U$4:$U$803,$B67&amp;"|"&amp;AB$5)=0,"",SUMIF('Competency Event Log'!$U$4:$U$803,$B67&amp;"|"&amp;AB$5,'Competency Event Log'!$D$4:$D$803)))</f>
        <v/>
      </c>
      <c r="AC67" s="8" t="str">
        <f>IF($B67="","",IF(COUNTIF('Competency Event Log'!$U$4:$U$803,$B67&amp;"|"&amp;AC$5)=0,"",SUMIF('Competency Event Log'!$U$4:$U$803,$B67&amp;"|"&amp;AC$5,'Competency Event Log'!$D$4:$D$803)))</f>
        <v/>
      </c>
      <c r="AD67" s="8" t="str">
        <f>IF($B67="","",IF(COUNTIF('Competency Event Log'!$U$4:$U$803,$B67&amp;"|"&amp;AD$5)=0,"",SUMIF('Competency Event Log'!$U$4:$U$803,$B67&amp;"|"&amp;AD$5,'Competency Event Log'!$D$4:$D$803)))</f>
        <v/>
      </c>
      <c r="AE67" s="8" t="str">
        <f>IF($B67="","",IF(COUNTIF('Competency Event Log'!$U$4:$U$803,$B67&amp;"|"&amp;AE$5)=0,"",SUMIF('Competency Event Log'!$U$4:$U$803,$B67&amp;"|"&amp;AE$5,'Competency Event Log'!$D$4:$D$803)))</f>
        <v/>
      </c>
      <c r="AF67" s="8" t="str">
        <f>IF($B67="","",IF(COUNTIF('Competency Event Log'!$U$4:$U$803,$B67&amp;"|"&amp;AF$5)=0,"",SUMIF('Competency Event Log'!$U$4:$U$803,$B67&amp;"|"&amp;AF$5,'Competency Event Log'!$D$4:$D$803)))</f>
        <v/>
      </c>
      <c r="AG67" s="8" t="str">
        <f>IF($B67="","",IF(COUNTIF('Competency Event Log'!$U$4:$U$803,$B67&amp;"|"&amp;AG$5)=0,"",SUMIF('Competency Event Log'!$U$4:$U$803,$B67&amp;"|"&amp;AG$5,'Competency Event Log'!$D$4:$D$803)))</f>
        <v/>
      </c>
      <c r="AH67" s="8" t="str">
        <f>IF($B67="","",IF(COUNTIF('Competency Event Log'!$U$4:$U$803,$B67&amp;"|"&amp;AH$5)=0,"",SUMIF('Competency Event Log'!$U$4:$U$803,$B67&amp;"|"&amp;AH$5,'Competency Event Log'!$D$4:$D$803)))</f>
        <v/>
      </c>
      <c r="AI67" s="8" t="str">
        <f>IF($B67="","",IF(COUNTIF('Competency Event Log'!$U$4:$U$803,$B67&amp;"|"&amp;AI$5)=0,"",SUMIF('Competency Event Log'!$U$4:$U$803,$B67&amp;"|"&amp;AI$5,'Competency Event Log'!$D$4:$D$803)))</f>
        <v/>
      </c>
      <c r="AJ67" s="8" t="str">
        <f>IF($B67="","",IF(COUNTIF('Competency Event Log'!$U$4:$U$803,$B67&amp;"|"&amp;AJ$5)=0,"",SUMIF('Competency Event Log'!$U$4:$U$803,$B67&amp;"|"&amp;AJ$5,'Competency Event Log'!$D$4:$D$803)))</f>
        <v/>
      </c>
      <c r="AK67" s="8" t="str">
        <f>IF($B67="","",IF(COUNTIF('Competency Event Log'!$U$4:$U$803,$B67&amp;"|"&amp;AK$5)=0,"",SUMIF('Competency Event Log'!$U$4:$U$803,$B67&amp;"|"&amp;AK$5,'Competency Event Log'!$D$4:$D$803)))</f>
        <v/>
      </c>
      <c r="AL67" s="8" t="str">
        <f>IF($B67="","",IF(COUNTIF('Competency Event Log'!$U$4:$U$803,$B67&amp;"|"&amp;AL$5)=0,"",SUMIF('Competency Event Log'!$U$4:$U$803,$B67&amp;"|"&amp;AL$5,'Competency Event Log'!$D$4:$D$803)))</f>
        <v/>
      </c>
      <c r="AM67" s="8" t="str">
        <f>IF($B67="","",IF(COUNTIF('Competency Event Log'!$U$4:$U$803,$B67&amp;"|"&amp;AM$5)=0,"",SUMIF('Competency Event Log'!$U$4:$U$803,$B67&amp;"|"&amp;AM$5,'Competency Event Log'!$D$4:$D$803)))</f>
        <v/>
      </c>
      <c r="AN67" s="8" t="str">
        <f>IF($B67="","",IF(COUNTIF('Competency Event Log'!$U$4:$U$803,$B67&amp;"|"&amp;AN$5)=0,"",SUMIF('Competency Event Log'!$U$4:$U$803,$B67&amp;"|"&amp;AN$5,'Competency Event Log'!$D$4:$D$803)))</f>
        <v/>
      </c>
      <c r="AO67" s="8" t="str">
        <f>IF($B67="","",IF(COUNTIF('Competency Event Log'!$U$4:$U$803,$B67&amp;"|"&amp;AO$5)=0,"",SUMIF('Competency Event Log'!$U$4:$U$803,$B67&amp;"|"&amp;AO$5,'Competency Event Log'!$D$4:$D$803)))</f>
        <v/>
      </c>
      <c r="AP67" s="8" t="str">
        <f>IF($B67="","",IF(COUNTIF('Competency Event Log'!$U$4:$U$803,$B67&amp;"|"&amp;AP$5)=0,"",SUMIF('Competency Event Log'!$U$4:$U$803,$B67&amp;"|"&amp;AP$5,'Competency Event Log'!$D$4:$D$803)))</f>
        <v/>
      </c>
      <c r="AQ67" s="8" t="str">
        <f>IF($B67="","",IF(COUNTIF('Competency Event Log'!$U$4:$U$803,$B67&amp;"|"&amp;AQ$5)=0,"",SUMIF('Competency Event Log'!$U$4:$U$803,$B67&amp;"|"&amp;AQ$5,'Competency Event Log'!$D$4:$D$803)))</f>
        <v/>
      </c>
      <c r="AR67" s="8" t="str">
        <f>IF($B67="","",IF(COUNTIF('Competency Event Log'!$U$4:$U$803,$B67&amp;"|"&amp;AR$5)=0,"",SUMIF('Competency Event Log'!$U$4:$U$803,$B67&amp;"|"&amp;AR$5,'Competency Event Log'!$D$4:$D$803)))</f>
        <v/>
      </c>
      <c r="AS67" s="8" t="str">
        <f>IF($B67="","",IF(COUNTIF('Competency Event Log'!$U$4:$U$803,$B67&amp;"|"&amp;AS$5)=0,"",SUMIF('Competency Event Log'!$U$4:$U$803,$B67&amp;"|"&amp;AS$5,'Competency Event Log'!$D$4:$D$803)))</f>
        <v/>
      </c>
      <c r="AT67" s="8" t="str">
        <f>IF($B67="","",IF(COUNTIF('Competency Event Log'!$U$4:$U$803,$B67&amp;"|"&amp;AT$5)=0,"",SUMIF('Competency Event Log'!$U$4:$U$803,$B67&amp;"|"&amp;AT$5,'Competency Event Log'!$D$4:$D$803)))</f>
        <v/>
      </c>
      <c r="AU67" s="8" t="str">
        <f>IF($B67="","",IF(COUNTIF('Competency Event Log'!$U$4:$U$803,$B67&amp;"|"&amp;AU$5)=0,"",SUMIF('Competency Event Log'!$U$4:$U$803,$B67&amp;"|"&amp;AU$5,'Competency Event Log'!$D$4:$D$803)))</f>
        <v/>
      </c>
      <c r="AV67" s="8" t="str">
        <f>IF($B67="","",IF(COUNTIF('Competency Event Log'!$U$4:$U$803,$B67&amp;"|"&amp;AV$5)=0,"",SUMIF('Competency Event Log'!$U$4:$U$803,$B67&amp;"|"&amp;AV$5,'Competency Event Log'!$D$4:$D$803)))</f>
        <v/>
      </c>
      <c r="AW67" s="8" t="str">
        <f>IF($B67="","",IF(COUNTIF('Competency Event Log'!$U$4:$U$803,$B67&amp;"|"&amp;AW$5)=0,"",SUMIF('Competency Event Log'!$U$4:$U$803,$B67&amp;"|"&amp;AW$5,'Competency Event Log'!$D$4:$D$803)))</f>
        <v/>
      </c>
      <c r="AX67" s="8" t="str">
        <f>IF($B67="","",IF(COUNTIF('Competency Event Log'!$U$4:$U$803,$B67&amp;"|"&amp;AX$5)=0,"",SUMIF('Competency Event Log'!$U$4:$U$803,$B67&amp;"|"&amp;AX$5,'Competency Event Log'!$D$4:$D$803)))</f>
        <v/>
      </c>
      <c r="AY67" s="8" t="str">
        <f>IF($B67="","",IF(COUNTIF('Competency Event Log'!$U$4:$U$803,$B67&amp;"|"&amp;AY$5)=0,"",SUMIF('Competency Event Log'!$U$4:$U$803,$B67&amp;"|"&amp;AY$5,'Competency Event Log'!$D$4:$D$803)))</f>
        <v/>
      </c>
      <c r="AZ67" s="8" t="str">
        <f>IF($B67="","",IF(COUNTIF('Competency Event Log'!$U$4:$U$803,$B67&amp;"|"&amp;AZ$5)=0,"",SUMIF('Competency Event Log'!$U$4:$U$803,$B67&amp;"|"&amp;AZ$5,'Competency Event Log'!$D$4:$D$803)))</f>
        <v/>
      </c>
      <c r="BA67" s="8" t="str">
        <f>IF($B67="","",IF(COUNTIF('Competency Event Log'!$U$4:$U$803,$B67&amp;"|"&amp;BA$5)=0,"",SUMIF('Competency Event Log'!$U$4:$U$803,$B67&amp;"|"&amp;BA$5,'Competency Event Log'!$D$4:$D$803)))</f>
        <v/>
      </c>
      <c r="BB67" s="8" t="str">
        <f>IF($B67="","",IF(COUNTIF('Competency Event Log'!$U$4:$U$803,$B67&amp;"|"&amp;BB$5)=0,"",SUMIF('Competency Event Log'!$U$4:$U$803,$B67&amp;"|"&amp;BB$5,'Competency Event Log'!$D$4:$D$803)))</f>
        <v/>
      </c>
      <c r="BC67" s="8" t="str">
        <f>IF($B67="","",IF(COUNTIF('Competency Event Log'!$U$4:$U$803,$B67&amp;"|"&amp;BC$5)=0,"",SUMIF('Competency Event Log'!$U$4:$U$803,$B67&amp;"|"&amp;BC$5,'Competency Event Log'!$D$4:$D$803)))</f>
        <v/>
      </c>
      <c r="BD67" s="8" t="str">
        <f>IF($B67="","",IF(COUNTIF('Competency Event Log'!$U$4:$U$803,$B67&amp;"|"&amp;BD$5)=0,"",SUMIF('Competency Event Log'!$U$4:$U$803,$B67&amp;"|"&amp;BD$5,'Competency Event Log'!$D$4:$D$803)))</f>
        <v/>
      </c>
      <c r="BE67" s="8" t="str">
        <f>IF($B67="","",IF(COUNTIF('Competency Event Log'!$U$4:$U$803,$B67&amp;"|"&amp;BE$5)=0,"",SUMIF('Competency Event Log'!$U$4:$U$803,$B67&amp;"|"&amp;BE$5,'Competency Event Log'!$D$4:$D$803)))</f>
        <v/>
      </c>
      <c r="BF67" s="8" t="str">
        <f>IF($B67="","",IF(COUNTIF('Competency Event Log'!$U$4:$U$803,$B67&amp;"|"&amp;BF$5)=0,"",SUMIF('Competency Event Log'!$U$4:$U$803,$B67&amp;"|"&amp;BF$5,'Competency Event Log'!$D$4:$D$803)))</f>
        <v/>
      </c>
      <c r="BG67" s="8" t="str">
        <f>IF($B67="","",IF(COUNTIF('Competency Event Log'!$U$4:$U$803,$B67&amp;"|"&amp;BG$5)=0,"",SUMIF('Competency Event Log'!$U$4:$U$803,$B67&amp;"|"&amp;BG$5,'Competency Event Log'!$D$4:$D$803)))</f>
        <v/>
      </c>
      <c r="BH67" s="8" t="str">
        <f>IF($B67="","",IF(COUNTIF('Competency Event Log'!$U$4:$U$803,$B67&amp;"|"&amp;BH$5)=0,"",SUMIF('Competency Event Log'!$U$4:$U$803,$B67&amp;"|"&amp;BH$5,'Competency Event Log'!$D$4:$D$803)))</f>
        <v/>
      </c>
      <c r="BI67" s="8" t="str">
        <f>IF($B67="","",IF(COUNTIF('Competency Event Log'!$U$4:$U$803,$B67&amp;"|"&amp;BI$5)=0,"",SUMIF('Competency Event Log'!$U$4:$U$803,$B67&amp;"|"&amp;BI$5,'Competency Event Log'!$D$4:$D$803)))</f>
        <v/>
      </c>
      <c r="BJ67" s="8" t="str">
        <f>IF($B67="","",IF(COUNTIF('Competency Event Log'!$U$4:$U$803,$B67&amp;"|"&amp;BJ$5)=0,"",SUMIF('Competency Event Log'!$U$4:$U$803,$B67&amp;"|"&amp;BJ$5,'Competency Event Log'!$D$4:$D$803)))</f>
        <v/>
      </c>
      <c r="BK67" s="8" t="str">
        <f>IF($B67="","",IF(COUNTIF('Competency Event Log'!$U$4:$U$803,$B67&amp;"|"&amp;BK$5)=0,"",SUMIF('Competency Event Log'!$U$4:$U$803,$B67&amp;"|"&amp;BK$5,'Competency Event Log'!$D$4:$D$803)))</f>
        <v/>
      </c>
      <c r="BL67" s="8" t="str">
        <f>IF($B67="","",IF(COUNTIF('Competency Event Log'!$U$4:$U$803,$B67&amp;"|"&amp;BL$5)=0,"",SUMIF('Competency Event Log'!$U$4:$U$803,$B67&amp;"|"&amp;BL$5,'Competency Event Log'!$D$4:$D$803)))</f>
        <v/>
      </c>
      <c r="BM67" s="8" t="str">
        <f>IF($B67="","",IF(COUNTIF('Competency Event Log'!$U$4:$U$803,$B67&amp;"|"&amp;BM$5)=0,"",SUMIF('Competency Event Log'!$U$4:$U$803,$B67&amp;"|"&amp;BM$5,'Competency Event Log'!$D$4:$D$803)))</f>
        <v/>
      </c>
      <c r="BN67" s="8" t="str">
        <f>IF($B67="","",IF(COUNTIF('Competency Event Log'!$U$4:$U$803,$B67&amp;"|"&amp;BN$5)=0,"",SUMIF('Competency Event Log'!$U$4:$U$803,$B67&amp;"|"&amp;BN$5,'Competency Event Log'!$D$4:$D$803)))</f>
        <v/>
      </c>
      <c r="BO67" s="8" t="str">
        <f>IF($B67="","",IF(COUNTIF('Competency Event Log'!$U$4:$U$803,$B67&amp;"|"&amp;BO$5)=0,"",SUMIF('Competency Event Log'!$U$4:$U$803,$B67&amp;"|"&amp;BO$5,'Competency Event Log'!$D$4:$D$803)))</f>
        <v/>
      </c>
      <c r="BP67" s="8" t="str">
        <f>IF($B67="","",IF(COUNTIF('Competency Event Log'!$U$4:$U$803,$B67&amp;"|"&amp;BP$5)=0,"",SUMIF('Competency Event Log'!$U$4:$U$803,$B67&amp;"|"&amp;BP$5,'Competency Event Log'!$D$4:$D$803)))</f>
        <v/>
      </c>
      <c r="BQ67" s="8" t="str">
        <f>IF($B67="","",IF(COUNTIF('Competency Event Log'!$U$4:$U$803,$B67&amp;"|"&amp;BQ$5)=0,"",SUMIF('Competency Event Log'!$U$4:$U$803,$B67&amp;"|"&amp;BQ$5,'Competency Event Log'!$D$4:$D$803)))</f>
        <v/>
      </c>
      <c r="BR67" s="8" t="str">
        <f>IF($B67="","",IF(COUNTIF('Competency Event Log'!$U$4:$U$803,$B67&amp;"|"&amp;BR$5)=0,"",SUMIF('Competency Event Log'!$U$4:$U$803,$B67&amp;"|"&amp;BR$5,'Competency Event Log'!$D$4:$D$803)))</f>
        <v/>
      </c>
      <c r="BS67" s="8" t="str">
        <f>IF($B67="","",IF(COUNTIF('Competency Event Log'!$U$4:$U$803,$B67&amp;"|"&amp;BS$5)=0,"",SUMIF('Competency Event Log'!$U$4:$U$803,$B67&amp;"|"&amp;BS$5,'Competency Event Log'!$D$4:$D$803)))</f>
        <v/>
      </c>
      <c r="BT67" s="8" t="str">
        <f>IF($B67="","",IF(COUNTIF('Competency Event Log'!$U$4:$U$803,$B67&amp;"|"&amp;BT$5)=0,"",SUMIF('Competency Event Log'!$U$4:$U$803,$B67&amp;"|"&amp;BT$5,'Competency Event Log'!$D$4:$D$803)))</f>
        <v/>
      </c>
      <c r="BU67" s="8" t="str">
        <f>IF($B67="","",IF(COUNTIF('Competency Event Log'!$U$4:$U$803,$B67&amp;"|"&amp;BU$5)=0,"",SUMIF('Competency Event Log'!$U$4:$U$803,$B67&amp;"|"&amp;BU$5,'Competency Event Log'!$D$4:$D$803)))</f>
        <v/>
      </c>
      <c r="BV67" s="8" t="str">
        <f>IF($B67="","",IF(COUNTIF('Competency Event Log'!$U$4:$U$803,$B67&amp;"|"&amp;BV$5)=0,"",SUMIF('Competency Event Log'!$U$4:$U$803,$B67&amp;"|"&amp;BV$5,'Competency Event Log'!$D$4:$D$803)))</f>
        <v/>
      </c>
      <c r="BW67" s="8" t="str">
        <f>IF($B67="","",IF(COUNTIF('Competency Event Log'!$U$4:$U$803,$B67&amp;"|"&amp;BW$5)=0,"",SUMIF('Competency Event Log'!$U$4:$U$803,$B67&amp;"|"&amp;BW$5,'Competency Event Log'!$D$4:$D$803)))</f>
        <v/>
      </c>
      <c r="BX67" s="8" t="str">
        <f>IF($B67="","",IF(COUNTIF('Competency Event Log'!$U$4:$U$803,$B67&amp;"|"&amp;BX$5)=0,"",SUMIF('Competency Event Log'!$U$4:$U$803,$B67&amp;"|"&amp;BX$5,'Competency Event Log'!$D$4:$D$803)))</f>
        <v/>
      </c>
      <c r="BY67" s="8" t="str">
        <f>IF($B67="","",IF(COUNTIF('Competency Event Log'!$U$4:$U$803,$B67&amp;"|"&amp;BY$5)=0,"",SUMIF('Competency Event Log'!$U$4:$U$803,$B67&amp;"|"&amp;BY$5,'Competency Event Log'!$D$4:$D$803)))</f>
        <v/>
      </c>
      <c r="BZ67" s="8" t="str">
        <f>IF($B67="","",IF(COUNTIF('Competency Event Log'!$U$4:$U$803,$B67&amp;"|"&amp;BZ$5)=0,"",SUMIF('Competency Event Log'!$U$4:$U$803,$B67&amp;"|"&amp;BZ$5,'Competency Event Log'!$D$4:$D$803)))</f>
        <v/>
      </c>
      <c r="CA67" s="8" t="str">
        <f>IF($B67="","",IF(COUNTIF('Competency Event Log'!$U$4:$U$803,$B67&amp;"|"&amp;CA$5)=0,"",SUMIF('Competency Event Log'!$U$4:$U$803,$B67&amp;"|"&amp;CA$5,'Competency Event Log'!$D$4:$D$803)))</f>
        <v/>
      </c>
      <c r="CB67" s="8" t="str">
        <f>IF($B67="","",IF(COUNTIF('Competency Event Log'!$U$4:$U$803,$B67&amp;"|"&amp;CB$5)=0,"",SUMIF('Competency Event Log'!$U$4:$U$803,$B67&amp;"|"&amp;CB$5,'Competency Event Log'!$D$4:$D$803)))</f>
        <v/>
      </c>
      <c r="CC67" s="8" t="str">
        <f>IF($B67="","",IF(COUNTIF('Competency Event Log'!$U$4:$U$803,$B67&amp;"|"&amp;CC$5)=0,"",SUMIF('Competency Event Log'!$U$4:$U$803,$B67&amp;"|"&amp;CC$5,'Competency Event Log'!$D$4:$D$803)))</f>
        <v/>
      </c>
      <c r="CD67" s="8" t="str">
        <f>IF($B67="","",IF(COUNTIF('Competency Event Log'!$U$4:$U$803,$B67&amp;"|"&amp;CD$5)=0,"",SUMIF('Competency Event Log'!$U$4:$U$803,$B67&amp;"|"&amp;CD$5,'Competency Event Log'!$D$4:$D$803)))</f>
        <v/>
      </c>
      <c r="CE67" s="8" t="str">
        <f>IF($B67="","",IF(COUNTIF('Competency Event Log'!$U$4:$U$803,$B67&amp;"|"&amp;CE$5)=0,"",SUMIF('Competency Event Log'!$U$4:$U$803,$B67&amp;"|"&amp;CE$5,'Competency Event Log'!$D$4:$D$803)))</f>
        <v/>
      </c>
      <c r="CF67" s="8" t="str">
        <f>IF($B67="","",IF(COUNTIF('Competency Event Log'!$U$4:$U$803,$B67&amp;"|"&amp;CF$5)=0,"",SUMIF('Competency Event Log'!$U$4:$U$803,$B67&amp;"|"&amp;CF$5,'Competency Event Log'!$D$4:$D$803)))</f>
        <v/>
      </c>
      <c r="CG67" s="8" t="str">
        <f>IF($B67="","",IF(COUNTIF('Competency Event Log'!$U$4:$U$803,$B67&amp;"|"&amp;CG$5)=0,"",SUMIF('Competency Event Log'!$U$4:$U$803,$B67&amp;"|"&amp;CG$5,'Competency Event Log'!$D$4:$D$803)))</f>
        <v/>
      </c>
      <c r="CH67" s="8" t="str">
        <f>IF($B67="","",IF(COUNTIF('Competency Event Log'!$U$4:$U$803,$B67&amp;"|"&amp;CH$5)=0,"",SUMIF('Competency Event Log'!$U$4:$U$803,$B67&amp;"|"&amp;CH$5,'Competency Event Log'!$D$4:$D$803)))</f>
        <v/>
      </c>
      <c r="CI67" s="8" t="str">
        <f>IF($B67="","",IF(COUNTIF('Competency Event Log'!$U$4:$U$803,$B67&amp;"|"&amp;CI$5)=0,"",SUMIF('Competency Event Log'!$U$4:$U$803,$B67&amp;"|"&amp;CI$5,'Competency Event Log'!$D$4:$D$803)))</f>
        <v/>
      </c>
      <c r="CJ67" s="8" t="str">
        <f>IF($B67="","",IF(COUNTIF('Competency Event Log'!$U$4:$U$803,$B67&amp;"|"&amp;CJ$5)=0,"",SUMIF('Competency Event Log'!$U$4:$U$803,$B67&amp;"|"&amp;CJ$5,'Competency Event Log'!$D$4:$D$803)))</f>
        <v/>
      </c>
      <c r="CK67" s="8" t="str">
        <f>IF($B67="","",IF(COUNTIF('Competency Event Log'!$U$4:$U$803,$B67&amp;"|"&amp;CK$5)=0,"",SUMIF('Competency Event Log'!$U$4:$U$803,$B67&amp;"|"&amp;CK$5,'Competency Event Log'!$D$4:$D$803)))</f>
        <v/>
      </c>
      <c r="CL67" s="8" t="str">
        <f>IF($B67="","",IF(COUNTIF('Competency Event Log'!$U$4:$U$803,$B67&amp;"|"&amp;CL$5)=0,"",SUMIF('Competency Event Log'!$U$4:$U$803,$B67&amp;"|"&amp;CL$5,'Competency Event Log'!$D$4:$D$803)))</f>
        <v/>
      </c>
      <c r="CM67" s="8" t="str">
        <f>IF($B67="","",IF(COUNTIF('Competency Event Log'!$U$4:$U$803,$B67&amp;"|"&amp;CM$5)=0,"",SUMIF('Competency Event Log'!$U$4:$U$803,$B67&amp;"|"&amp;CM$5,'Competency Event Log'!$D$4:$D$803)))</f>
        <v/>
      </c>
      <c r="CN67" s="8" t="str">
        <f>IF($B67="","",IF(COUNTIF('Competency Event Log'!$U$4:$U$803,$B67&amp;"|"&amp;CN$5)=0,"",SUMIF('Competency Event Log'!$U$4:$U$803,$B67&amp;"|"&amp;CN$5,'Competency Event Log'!$D$4:$D$803)))</f>
        <v/>
      </c>
      <c r="CO67" s="8" t="str">
        <f>IF($B67="","",IF(COUNTIF('Competency Event Log'!$U$4:$U$803,$B67&amp;"|"&amp;CO$5)=0,"",SUMIF('Competency Event Log'!$U$4:$U$803,$B67&amp;"|"&amp;CO$5,'Competency Event Log'!$D$4:$D$803)))</f>
        <v/>
      </c>
      <c r="CP67" s="8" t="str">
        <f>IF($B67="","",IF(COUNTIF('Competency Event Log'!$U$4:$U$803,$B67&amp;"|"&amp;CP$5)=0,"",SUMIF('Competency Event Log'!$U$4:$U$803,$B67&amp;"|"&amp;CP$5,'Competency Event Log'!$D$4:$D$803)))</f>
        <v/>
      </c>
      <c r="CQ67" s="8" t="str">
        <f>IF($B67="","",IF(COUNTIF('Competency Event Log'!$U$4:$U$803,$B67&amp;"|"&amp;CQ$5)=0,"",SUMIF('Competency Event Log'!$U$4:$U$803,$B67&amp;"|"&amp;CQ$5,'Competency Event Log'!$D$4:$D$803)))</f>
        <v/>
      </c>
      <c r="CR67" s="8" t="str">
        <f>IF($B67="","",IF(COUNTIF('Competency Event Log'!$U$4:$U$803,$B67&amp;"|"&amp;CR$5)=0,"",SUMIF('Competency Event Log'!$U$4:$U$803,$B67&amp;"|"&amp;CR$5,'Competency Event Log'!$D$4:$D$803)))</f>
        <v/>
      </c>
      <c r="CS67" s="8" t="str">
        <f>IF($B67="","",IF(COUNTIF('Competency Event Log'!$U$4:$U$803,$B67&amp;"|"&amp;CS$5)=0,"",SUMIF('Competency Event Log'!$U$4:$U$803,$B67&amp;"|"&amp;CS$5,'Competency Event Log'!$D$4:$D$803)))</f>
        <v/>
      </c>
      <c r="CT67" s="8" t="str">
        <f>IF($B67="","",IF(COUNTIF('Competency Event Log'!$U$4:$U$803,$B67&amp;"|"&amp;CT$5)=0,"",SUMIF('Competency Event Log'!$U$4:$U$803,$B67&amp;"|"&amp;CT$5,'Competency Event Log'!$D$4:$D$803)))</f>
        <v/>
      </c>
      <c r="CU67" s="8" t="str">
        <f>IF($B67="","",IF(COUNTIF('Competency Event Log'!$U$4:$U$803,$B67&amp;"|"&amp;CU$5)=0,"",SUMIF('Competency Event Log'!$U$4:$U$803,$B67&amp;"|"&amp;CU$5,'Competency Event Log'!$D$4:$D$803)))</f>
        <v/>
      </c>
      <c r="CV67" s="8" t="str">
        <f>IF($B67="","",IF(COUNTIF('Competency Event Log'!$U$4:$U$803,$B67&amp;"|"&amp;CV$5)=0,"",SUMIF('Competency Event Log'!$U$4:$U$803,$B67&amp;"|"&amp;CV$5,'Competency Event Log'!$D$4:$D$803)))</f>
        <v/>
      </c>
      <c r="CW67" s="8" t="str">
        <f>IF($B67="","",IF(COUNTIF('Competency Event Log'!$U$4:$U$803,$B67&amp;"|"&amp;CW$5)=0,"",SUMIF('Competency Event Log'!$U$4:$U$803,$B67&amp;"|"&amp;CW$5,'Competency Event Log'!$D$4:$D$803)))</f>
        <v/>
      </c>
      <c r="CX67" s="8" t="str">
        <f>IF($B67="","",IF(COUNTIF('Competency Event Log'!$U$4:$U$803,$B67&amp;"|"&amp;CX$5)=0,"",SUMIF('Competency Event Log'!$U$4:$U$803,$B67&amp;"|"&amp;CX$5,'Competency Event Log'!$D$4:$D$803)))</f>
        <v/>
      </c>
      <c r="CY67" s="8" t="str">
        <f>IF($B67="","",IF(COUNTIF('Competency Event Log'!$U$4:$U$803,$B67&amp;"|"&amp;CY$5)=0,"",SUMIF('Competency Event Log'!$U$4:$U$803,$B67&amp;"|"&amp;CY$5,'Competency Event Log'!$D$4:$D$803)))</f>
        <v/>
      </c>
      <c r="CZ67" s="8" t="str">
        <f>IF($B67="","",IF(COUNTIF('Competency Event Log'!$U$4:$U$803,$B67&amp;"|"&amp;CZ$5)=0,"",SUMIF('Competency Event Log'!$U$4:$U$803,$B67&amp;"|"&amp;CZ$5,'Competency Event Log'!$D$4:$D$803)))</f>
        <v/>
      </c>
      <c r="DA67" s="8" t="str">
        <f>IF($B67="","",IF(COUNTIF('Competency Event Log'!$U$4:$U$803,$B67&amp;"|"&amp;DA$5)=0,"",SUMIF('Competency Event Log'!$U$4:$U$803,$B67&amp;"|"&amp;DA$5,'Competency Event Log'!$D$4:$D$803)))</f>
        <v/>
      </c>
      <c r="DB67" s="8" t="str">
        <f>IF($B67="","",IF(COUNTIF('Competency Event Log'!$U$4:$U$803,$B67&amp;"|"&amp;DB$5)=0,"",SUMIF('Competency Event Log'!$U$4:$U$803,$B67&amp;"|"&amp;DB$5,'Competency Event Log'!$D$4:$D$803)))</f>
        <v/>
      </c>
      <c r="DC67" s="8" t="str">
        <f>IF($B67="","",IF(COUNTIF('Competency Event Log'!$U$4:$U$803,$B67&amp;"|"&amp;DC$5)=0,"",SUMIF('Competency Event Log'!$U$4:$U$803,$B67&amp;"|"&amp;DC$5,'Competency Event Log'!$D$4:$D$803)))</f>
        <v/>
      </c>
      <c r="DD67" s="8" t="str">
        <f>IF($B67="","",IF(COUNTIF('Competency Event Log'!$U$4:$U$803,$B67&amp;"|"&amp;DD$5)=0,"",SUMIF('Competency Event Log'!$U$4:$U$803,$B67&amp;"|"&amp;DD$5,'Competency Event Log'!$D$4:$D$803)))</f>
        <v/>
      </c>
      <c r="DE67" s="8" t="str">
        <f>IF($B67="","",IF(COUNTIF('Competency Event Log'!$U$4:$U$803,$B67&amp;"|"&amp;DE$5)=0,"",SUMIF('Competency Event Log'!$U$4:$U$803,$B67&amp;"|"&amp;DE$5,'Competency Event Log'!$D$4:$D$803)))</f>
        <v/>
      </c>
      <c r="DF67" s="8" t="str">
        <f t="shared" si="4"/>
        <v/>
      </c>
      <c r="DG67" s="8" t="str">
        <f t="shared" si="5"/>
        <v/>
      </c>
      <c r="DH67" s="8" t="str">
        <f t="shared" si="6"/>
        <v/>
      </c>
      <c r="DI67" s="11" t="str">
        <f t="shared" si="7"/>
        <v/>
      </c>
    </row>
    <row r="68" spans="1:113">
      <c r="A68" s="7"/>
      <c r="B68" s="7"/>
      <c r="C68" s="8"/>
      <c r="D68" s="9"/>
      <c r="E68" s="10"/>
      <c r="F68" s="8"/>
      <c r="G68" s="8" t="str">
        <f>IF($B68="","",IF(COUNTIF('Competency Event Log'!$U$4:$U$803,$B68&amp;"|"&amp;G$5)=0,"",SUMIF('Competency Event Log'!$U$4:$U$803,$B68&amp;"|"&amp;G$5,'Competency Event Log'!$D$4:$D$803)))</f>
        <v/>
      </c>
      <c r="H68" s="8" t="str">
        <f>IF($B68="","",IF(COUNTIF('Competency Event Log'!$U$4:$U$803,$B68&amp;"|"&amp;H$5)=0,"",SUMIF('Competency Event Log'!$U$4:$U$803,$B68&amp;"|"&amp;H$5,'Competency Event Log'!$D$4:$D$803)))</f>
        <v/>
      </c>
      <c r="I68" s="8" t="str">
        <f>IF($B68="","",IF(COUNTIF('Competency Event Log'!$U$4:$U$803,$B68&amp;"|"&amp;I$5)=0,"",SUMIF('Competency Event Log'!$U$4:$U$803,$B68&amp;"|"&amp;I$5,'Competency Event Log'!$D$4:$D$803)))</f>
        <v/>
      </c>
      <c r="J68" s="8" t="str">
        <f>IF($B68="","",IF(COUNTIF('Competency Event Log'!$U$4:$U$803,$B68&amp;"|"&amp;J$5)=0,"",SUMIF('Competency Event Log'!$U$4:$U$803,$B68&amp;"|"&amp;J$5,'Competency Event Log'!$D$4:$D$803)))</f>
        <v/>
      </c>
      <c r="K68" s="8" t="str">
        <f>IF($B68="","",IF(COUNTIF('Competency Event Log'!$U$4:$U$803,$B68&amp;"|"&amp;K$5)=0,"",SUMIF('Competency Event Log'!$U$4:$U$803,$B68&amp;"|"&amp;K$5,'Competency Event Log'!$D$4:$D$803)))</f>
        <v/>
      </c>
      <c r="L68" s="8" t="str">
        <f>IF($B68="","",IF(COUNTIF('Competency Event Log'!$U$4:$U$803,$B68&amp;"|"&amp;L$5)=0,"",SUMIF('Competency Event Log'!$U$4:$U$803,$B68&amp;"|"&amp;L$5,'Competency Event Log'!$D$4:$D$803)))</f>
        <v/>
      </c>
      <c r="M68" s="8" t="str">
        <f>IF($B68="","",IF(COUNTIF('Competency Event Log'!$U$4:$U$803,$B68&amp;"|"&amp;M$5)=0,"",SUMIF('Competency Event Log'!$U$4:$U$803,$B68&amp;"|"&amp;M$5,'Competency Event Log'!$D$4:$D$803)))</f>
        <v/>
      </c>
      <c r="N68" s="8" t="str">
        <f>IF($B68="","",IF(COUNTIF('Competency Event Log'!$U$4:$U$803,$B68&amp;"|"&amp;N$5)=0,"",SUMIF('Competency Event Log'!$U$4:$U$803,$B68&amp;"|"&amp;N$5,'Competency Event Log'!$D$4:$D$803)))</f>
        <v/>
      </c>
      <c r="O68" s="8" t="str">
        <f>IF($B68="","",IF(COUNTIF('Competency Event Log'!$U$4:$U$803,$B68&amp;"|"&amp;O$5)=0,"",SUMIF('Competency Event Log'!$U$4:$U$803,$B68&amp;"|"&amp;O$5,'Competency Event Log'!$D$4:$D$803)))</f>
        <v/>
      </c>
      <c r="P68" s="8" t="str">
        <f>IF($B68="","",IF(COUNTIF('Competency Event Log'!$U$4:$U$803,$B68&amp;"|"&amp;P$5)=0,"",SUMIF('Competency Event Log'!$U$4:$U$803,$B68&amp;"|"&amp;P$5,'Competency Event Log'!$D$4:$D$803)))</f>
        <v/>
      </c>
      <c r="Q68" s="8" t="str">
        <f>IF($B68="","",IF(COUNTIF('Competency Event Log'!$U$4:$U$803,$B68&amp;"|"&amp;Q$5)=0,"",SUMIF('Competency Event Log'!$U$4:$U$803,$B68&amp;"|"&amp;Q$5,'Competency Event Log'!$D$4:$D$803)))</f>
        <v/>
      </c>
      <c r="R68" s="8" t="str">
        <f>IF($B68="","",IF(COUNTIF('Competency Event Log'!$U$4:$U$803,$B68&amp;"|"&amp;R$5)=0,"",SUMIF('Competency Event Log'!$U$4:$U$803,$B68&amp;"|"&amp;R$5,'Competency Event Log'!$D$4:$D$803)))</f>
        <v/>
      </c>
      <c r="S68" s="8" t="str">
        <f>IF($B68="","",IF(COUNTIF('Competency Event Log'!$U$4:$U$803,$B68&amp;"|"&amp;S$5)=0,"",SUMIF('Competency Event Log'!$U$4:$U$803,$B68&amp;"|"&amp;S$5,'Competency Event Log'!$D$4:$D$803)))</f>
        <v/>
      </c>
      <c r="T68" s="8" t="str">
        <f>IF($B68="","",IF(COUNTIF('Competency Event Log'!$U$4:$U$803,$B68&amp;"|"&amp;T$5)=0,"",SUMIF('Competency Event Log'!$U$4:$U$803,$B68&amp;"|"&amp;T$5,'Competency Event Log'!$D$4:$D$803)))</f>
        <v/>
      </c>
      <c r="U68" s="8" t="str">
        <f>IF($B68="","",IF(COUNTIF('Competency Event Log'!$U$4:$U$803,$B68&amp;"|"&amp;U$5)=0,"",SUMIF('Competency Event Log'!$U$4:$U$803,$B68&amp;"|"&amp;U$5,'Competency Event Log'!$D$4:$D$803)))</f>
        <v/>
      </c>
      <c r="V68" s="8" t="str">
        <f>IF($B68="","",IF(COUNTIF('Competency Event Log'!$U$4:$U$803,$B68&amp;"|"&amp;V$5)=0,"",SUMIF('Competency Event Log'!$U$4:$U$803,$B68&amp;"|"&amp;V$5,'Competency Event Log'!$D$4:$D$803)))</f>
        <v/>
      </c>
      <c r="W68" s="8" t="str">
        <f>IF($B68="","",IF(COUNTIF('Competency Event Log'!$U$4:$U$803,$B68&amp;"|"&amp;W$5)=0,"",SUMIF('Competency Event Log'!$U$4:$U$803,$B68&amp;"|"&amp;W$5,'Competency Event Log'!$D$4:$D$803)))</f>
        <v/>
      </c>
      <c r="X68" s="8" t="str">
        <f>IF($B68="","",IF(COUNTIF('Competency Event Log'!$U$4:$U$803,$B68&amp;"|"&amp;X$5)=0,"",SUMIF('Competency Event Log'!$U$4:$U$803,$B68&amp;"|"&amp;X$5,'Competency Event Log'!$D$4:$D$803)))</f>
        <v/>
      </c>
      <c r="Y68" s="8" t="str">
        <f>IF($B68="","",IF(COUNTIF('Competency Event Log'!$U$4:$U$803,$B68&amp;"|"&amp;Y$5)=0,"",SUMIF('Competency Event Log'!$U$4:$U$803,$B68&amp;"|"&amp;Y$5,'Competency Event Log'!$D$4:$D$803)))</f>
        <v/>
      </c>
      <c r="Z68" s="8" t="str">
        <f>IF($B68="","",IF(COUNTIF('Competency Event Log'!$U$4:$U$803,$B68&amp;"|"&amp;Z$5)=0,"",SUMIF('Competency Event Log'!$U$4:$U$803,$B68&amp;"|"&amp;Z$5,'Competency Event Log'!$D$4:$D$803)))</f>
        <v/>
      </c>
      <c r="AA68" s="8" t="str">
        <f>IF($B68="","",IF(COUNTIF('Competency Event Log'!$U$4:$U$803,$B68&amp;"|"&amp;AA$5)=0,"",SUMIF('Competency Event Log'!$U$4:$U$803,$B68&amp;"|"&amp;AA$5,'Competency Event Log'!$D$4:$D$803)))</f>
        <v/>
      </c>
      <c r="AB68" s="8" t="str">
        <f>IF($B68="","",IF(COUNTIF('Competency Event Log'!$U$4:$U$803,$B68&amp;"|"&amp;AB$5)=0,"",SUMIF('Competency Event Log'!$U$4:$U$803,$B68&amp;"|"&amp;AB$5,'Competency Event Log'!$D$4:$D$803)))</f>
        <v/>
      </c>
      <c r="AC68" s="8" t="str">
        <f>IF($B68="","",IF(COUNTIF('Competency Event Log'!$U$4:$U$803,$B68&amp;"|"&amp;AC$5)=0,"",SUMIF('Competency Event Log'!$U$4:$U$803,$B68&amp;"|"&amp;AC$5,'Competency Event Log'!$D$4:$D$803)))</f>
        <v/>
      </c>
      <c r="AD68" s="8" t="str">
        <f>IF($B68="","",IF(COUNTIF('Competency Event Log'!$U$4:$U$803,$B68&amp;"|"&amp;AD$5)=0,"",SUMIF('Competency Event Log'!$U$4:$U$803,$B68&amp;"|"&amp;AD$5,'Competency Event Log'!$D$4:$D$803)))</f>
        <v/>
      </c>
      <c r="AE68" s="8" t="str">
        <f>IF($B68="","",IF(COUNTIF('Competency Event Log'!$U$4:$U$803,$B68&amp;"|"&amp;AE$5)=0,"",SUMIF('Competency Event Log'!$U$4:$U$803,$B68&amp;"|"&amp;AE$5,'Competency Event Log'!$D$4:$D$803)))</f>
        <v/>
      </c>
      <c r="AF68" s="8" t="str">
        <f>IF($B68="","",IF(COUNTIF('Competency Event Log'!$U$4:$U$803,$B68&amp;"|"&amp;AF$5)=0,"",SUMIF('Competency Event Log'!$U$4:$U$803,$B68&amp;"|"&amp;AF$5,'Competency Event Log'!$D$4:$D$803)))</f>
        <v/>
      </c>
      <c r="AG68" s="8" t="str">
        <f>IF($B68="","",IF(COUNTIF('Competency Event Log'!$U$4:$U$803,$B68&amp;"|"&amp;AG$5)=0,"",SUMIF('Competency Event Log'!$U$4:$U$803,$B68&amp;"|"&amp;AG$5,'Competency Event Log'!$D$4:$D$803)))</f>
        <v/>
      </c>
      <c r="AH68" s="8" t="str">
        <f>IF($B68="","",IF(COUNTIF('Competency Event Log'!$U$4:$U$803,$B68&amp;"|"&amp;AH$5)=0,"",SUMIF('Competency Event Log'!$U$4:$U$803,$B68&amp;"|"&amp;AH$5,'Competency Event Log'!$D$4:$D$803)))</f>
        <v/>
      </c>
      <c r="AI68" s="8" t="str">
        <f>IF($B68="","",IF(COUNTIF('Competency Event Log'!$U$4:$U$803,$B68&amp;"|"&amp;AI$5)=0,"",SUMIF('Competency Event Log'!$U$4:$U$803,$B68&amp;"|"&amp;AI$5,'Competency Event Log'!$D$4:$D$803)))</f>
        <v/>
      </c>
      <c r="AJ68" s="8" t="str">
        <f>IF($B68="","",IF(COUNTIF('Competency Event Log'!$U$4:$U$803,$B68&amp;"|"&amp;AJ$5)=0,"",SUMIF('Competency Event Log'!$U$4:$U$803,$B68&amp;"|"&amp;AJ$5,'Competency Event Log'!$D$4:$D$803)))</f>
        <v/>
      </c>
      <c r="AK68" s="8" t="str">
        <f>IF($B68="","",IF(COUNTIF('Competency Event Log'!$U$4:$U$803,$B68&amp;"|"&amp;AK$5)=0,"",SUMIF('Competency Event Log'!$U$4:$U$803,$B68&amp;"|"&amp;AK$5,'Competency Event Log'!$D$4:$D$803)))</f>
        <v/>
      </c>
      <c r="AL68" s="8" t="str">
        <f>IF($B68="","",IF(COUNTIF('Competency Event Log'!$U$4:$U$803,$B68&amp;"|"&amp;AL$5)=0,"",SUMIF('Competency Event Log'!$U$4:$U$803,$B68&amp;"|"&amp;AL$5,'Competency Event Log'!$D$4:$D$803)))</f>
        <v/>
      </c>
      <c r="AM68" s="8" t="str">
        <f>IF($B68="","",IF(COUNTIF('Competency Event Log'!$U$4:$U$803,$B68&amp;"|"&amp;AM$5)=0,"",SUMIF('Competency Event Log'!$U$4:$U$803,$B68&amp;"|"&amp;AM$5,'Competency Event Log'!$D$4:$D$803)))</f>
        <v/>
      </c>
      <c r="AN68" s="8" t="str">
        <f>IF($B68="","",IF(COUNTIF('Competency Event Log'!$U$4:$U$803,$B68&amp;"|"&amp;AN$5)=0,"",SUMIF('Competency Event Log'!$U$4:$U$803,$B68&amp;"|"&amp;AN$5,'Competency Event Log'!$D$4:$D$803)))</f>
        <v/>
      </c>
      <c r="AO68" s="8" t="str">
        <f>IF($B68="","",IF(COUNTIF('Competency Event Log'!$U$4:$U$803,$B68&amp;"|"&amp;AO$5)=0,"",SUMIF('Competency Event Log'!$U$4:$U$803,$B68&amp;"|"&amp;AO$5,'Competency Event Log'!$D$4:$D$803)))</f>
        <v/>
      </c>
      <c r="AP68" s="8" t="str">
        <f>IF($B68="","",IF(COUNTIF('Competency Event Log'!$U$4:$U$803,$B68&amp;"|"&amp;AP$5)=0,"",SUMIF('Competency Event Log'!$U$4:$U$803,$B68&amp;"|"&amp;AP$5,'Competency Event Log'!$D$4:$D$803)))</f>
        <v/>
      </c>
      <c r="AQ68" s="8" t="str">
        <f>IF($B68="","",IF(COUNTIF('Competency Event Log'!$U$4:$U$803,$B68&amp;"|"&amp;AQ$5)=0,"",SUMIF('Competency Event Log'!$U$4:$U$803,$B68&amp;"|"&amp;AQ$5,'Competency Event Log'!$D$4:$D$803)))</f>
        <v/>
      </c>
      <c r="AR68" s="8" t="str">
        <f>IF($B68="","",IF(COUNTIF('Competency Event Log'!$U$4:$U$803,$B68&amp;"|"&amp;AR$5)=0,"",SUMIF('Competency Event Log'!$U$4:$U$803,$B68&amp;"|"&amp;AR$5,'Competency Event Log'!$D$4:$D$803)))</f>
        <v/>
      </c>
      <c r="AS68" s="8" t="str">
        <f>IF($B68="","",IF(COUNTIF('Competency Event Log'!$U$4:$U$803,$B68&amp;"|"&amp;AS$5)=0,"",SUMIF('Competency Event Log'!$U$4:$U$803,$B68&amp;"|"&amp;AS$5,'Competency Event Log'!$D$4:$D$803)))</f>
        <v/>
      </c>
      <c r="AT68" s="8" t="str">
        <f>IF($B68="","",IF(COUNTIF('Competency Event Log'!$U$4:$U$803,$B68&amp;"|"&amp;AT$5)=0,"",SUMIF('Competency Event Log'!$U$4:$U$803,$B68&amp;"|"&amp;AT$5,'Competency Event Log'!$D$4:$D$803)))</f>
        <v/>
      </c>
      <c r="AU68" s="8" t="str">
        <f>IF($B68="","",IF(COUNTIF('Competency Event Log'!$U$4:$U$803,$B68&amp;"|"&amp;AU$5)=0,"",SUMIF('Competency Event Log'!$U$4:$U$803,$B68&amp;"|"&amp;AU$5,'Competency Event Log'!$D$4:$D$803)))</f>
        <v/>
      </c>
      <c r="AV68" s="8" t="str">
        <f>IF($B68="","",IF(COUNTIF('Competency Event Log'!$U$4:$U$803,$B68&amp;"|"&amp;AV$5)=0,"",SUMIF('Competency Event Log'!$U$4:$U$803,$B68&amp;"|"&amp;AV$5,'Competency Event Log'!$D$4:$D$803)))</f>
        <v/>
      </c>
      <c r="AW68" s="8" t="str">
        <f>IF($B68="","",IF(COUNTIF('Competency Event Log'!$U$4:$U$803,$B68&amp;"|"&amp;AW$5)=0,"",SUMIF('Competency Event Log'!$U$4:$U$803,$B68&amp;"|"&amp;AW$5,'Competency Event Log'!$D$4:$D$803)))</f>
        <v/>
      </c>
      <c r="AX68" s="8" t="str">
        <f>IF($B68="","",IF(COUNTIF('Competency Event Log'!$U$4:$U$803,$B68&amp;"|"&amp;AX$5)=0,"",SUMIF('Competency Event Log'!$U$4:$U$803,$B68&amp;"|"&amp;AX$5,'Competency Event Log'!$D$4:$D$803)))</f>
        <v/>
      </c>
      <c r="AY68" s="8" t="str">
        <f>IF($B68="","",IF(COUNTIF('Competency Event Log'!$U$4:$U$803,$B68&amp;"|"&amp;AY$5)=0,"",SUMIF('Competency Event Log'!$U$4:$U$803,$B68&amp;"|"&amp;AY$5,'Competency Event Log'!$D$4:$D$803)))</f>
        <v/>
      </c>
      <c r="AZ68" s="8" t="str">
        <f>IF($B68="","",IF(COUNTIF('Competency Event Log'!$U$4:$U$803,$B68&amp;"|"&amp;AZ$5)=0,"",SUMIF('Competency Event Log'!$U$4:$U$803,$B68&amp;"|"&amp;AZ$5,'Competency Event Log'!$D$4:$D$803)))</f>
        <v/>
      </c>
      <c r="BA68" s="8" t="str">
        <f>IF($B68="","",IF(COUNTIF('Competency Event Log'!$U$4:$U$803,$B68&amp;"|"&amp;BA$5)=0,"",SUMIF('Competency Event Log'!$U$4:$U$803,$B68&amp;"|"&amp;BA$5,'Competency Event Log'!$D$4:$D$803)))</f>
        <v/>
      </c>
      <c r="BB68" s="8" t="str">
        <f>IF($B68="","",IF(COUNTIF('Competency Event Log'!$U$4:$U$803,$B68&amp;"|"&amp;BB$5)=0,"",SUMIF('Competency Event Log'!$U$4:$U$803,$B68&amp;"|"&amp;BB$5,'Competency Event Log'!$D$4:$D$803)))</f>
        <v/>
      </c>
      <c r="BC68" s="8" t="str">
        <f>IF($B68="","",IF(COUNTIF('Competency Event Log'!$U$4:$U$803,$B68&amp;"|"&amp;BC$5)=0,"",SUMIF('Competency Event Log'!$U$4:$U$803,$B68&amp;"|"&amp;BC$5,'Competency Event Log'!$D$4:$D$803)))</f>
        <v/>
      </c>
      <c r="BD68" s="8" t="str">
        <f>IF($B68="","",IF(COUNTIF('Competency Event Log'!$U$4:$U$803,$B68&amp;"|"&amp;BD$5)=0,"",SUMIF('Competency Event Log'!$U$4:$U$803,$B68&amp;"|"&amp;BD$5,'Competency Event Log'!$D$4:$D$803)))</f>
        <v/>
      </c>
      <c r="BE68" s="8" t="str">
        <f>IF($B68="","",IF(COUNTIF('Competency Event Log'!$U$4:$U$803,$B68&amp;"|"&amp;BE$5)=0,"",SUMIF('Competency Event Log'!$U$4:$U$803,$B68&amp;"|"&amp;BE$5,'Competency Event Log'!$D$4:$D$803)))</f>
        <v/>
      </c>
      <c r="BF68" s="8" t="str">
        <f>IF($B68="","",IF(COUNTIF('Competency Event Log'!$U$4:$U$803,$B68&amp;"|"&amp;BF$5)=0,"",SUMIF('Competency Event Log'!$U$4:$U$803,$B68&amp;"|"&amp;BF$5,'Competency Event Log'!$D$4:$D$803)))</f>
        <v/>
      </c>
      <c r="BG68" s="8" t="str">
        <f>IF($B68="","",IF(COUNTIF('Competency Event Log'!$U$4:$U$803,$B68&amp;"|"&amp;BG$5)=0,"",SUMIF('Competency Event Log'!$U$4:$U$803,$B68&amp;"|"&amp;BG$5,'Competency Event Log'!$D$4:$D$803)))</f>
        <v/>
      </c>
      <c r="BH68" s="8" t="str">
        <f>IF($B68="","",IF(COUNTIF('Competency Event Log'!$U$4:$U$803,$B68&amp;"|"&amp;BH$5)=0,"",SUMIF('Competency Event Log'!$U$4:$U$803,$B68&amp;"|"&amp;BH$5,'Competency Event Log'!$D$4:$D$803)))</f>
        <v/>
      </c>
      <c r="BI68" s="8" t="str">
        <f>IF($B68="","",IF(COUNTIF('Competency Event Log'!$U$4:$U$803,$B68&amp;"|"&amp;BI$5)=0,"",SUMIF('Competency Event Log'!$U$4:$U$803,$B68&amp;"|"&amp;BI$5,'Competency Event Log'!$D$4:$D$803)))</f>
        <v/>
      </c>
      <c r="BJ68" s="8" t="str">
        <f>IF($B68="","",IF(COUNTIF('Competency Event Log'!$U$4:$U$803,$B68&amp;"|"&amp;BJ$5)=0,"",SUMIF('Competency Event Log'!$U$4:$U$803,$B68&amp;"|"&amp;BJ$5,'Competency Event Log'!$D$4:$D$803)))</f>
        <v/>
      </c>
      <c r="BK68" s="8" t="str">
        <f>IF($B68="","",IF(COUNTIF('Competency Event Log'!$U$4:$U$803,$B68&amp;"|"&amp;BK$5)=0,"",SUMIF('Competency Event Log'!$U$4:$U$803,$B68&amp;"|"&amp;BK$5,'Competency Event Log'!$D$4:$D$803)))</f>
        <v/>
      </c>
      <c r="BL68" s="8" t="str">
        <f>IF($B68="","",IF(COUNTIF('Competency Event Log'!$U$4:$U$803,$B68&amp;"|"&amp;BL$5)=0,"",SUMIF('Competency Event Log'!$U$4:$U$803,$B68&amp;"|"&amp;BL$5,'Competency Event Log'!$D$4:$D$803)))</f>
        <v/>
      </c>
      <c r="BM68" s="8" t="str">
        <f>IF($B68="","",IF(COUNTIF('Competency Event Log'!$U$4:$U$803,$B68&amp;"|"&amp;BM$5)=0,"",SUMIF('Competency Event Log'!$U$4:$U$803,$B68&amp;"|"&amp;BM$5,'Competency Event Log'!$D$4:$D$803)))</f>
        <v/>
      </c>
      <c r="BN68" s="8" t="str">
        <f>IF($B68="","",IF(COUNTIF('Competency Event Log'!$U$4:$U$803,$B68&amp;"|"&amp;BN$5)=0,"",SUMIF('Competency Event Log'!$U$4:$U$803,$B68&amp;"|"&amp;BN$5,'Competency Event Log'!$D$4:$D$803)))</f>
        <v/>
      </c>
      <c r="BO68" s="8" t="str">
        <f>IF($B68="","",IF(COUNTIF('Competency Event Log'!$U$4:$U$803,$B68&amp;"|"&amp;BO$5)=0,"",SUMIF('Competency Event Log'!$U$4:$U$803,$B68&amp;"|"&amp;BO$5,'Competency Event Log'!$D$4:$D$803)))</f>
        <v/>
      </c>
      <c r="BP68" s="8" t="str">
        <f>IF($B68="","",IF(COUNTIF('Competency Event Log'!$U$4:$U$803,$B68&amp;"|"&amp;BP$5)=0,"",SUMIF('Competency Event Log'!$U$4:$U$803,$B68&amp;"|"&amp;BP$5,'Competency Event Log'!$D$4:$D$803)))</f>
        <v/>
      </c>
      <c r="BQ68" s="8" t="str">
        <f>IF($B68="","",IF(COUNTIF('Competency Event Log'!$U$4:$U$803,$B68&amp;"|"&amp;BQ$5)=0,"",SUMIF('Competency Event Log'!$U$4:$U$803,$B68&amp;"|"&amp;BQ$5,'Competency Event Log'!$D$4:$D$803)))</f>
        <v/>
      </c>
      <c r="BR68" s="8" t="str">
        <f>IF($B68="","",IF(COUNTIF('Competency Event Log'!$U$4:$U$803,$B68&amp;"|"&amp;BR$5)=0,"",SUMIF('Competency Event Log'!$U$4:$U$803,$B68&amp;"|"&amp;BR$5,'Competency Event Log'!$D$4:$D$803)))</f>
        <v/>
      </c>
      <c r="BS68" s="8" t="str">
        <f>IF($B68="","",IF(COUNTIF('Competency Event Log'!$U$4:$U$803,$B68&amp;"|"&amp;BS$5)=0,"",SUMIF('Competency Event Log'!$U$4:$U$803,$B68&amp;"|"&amp;BS$5,'Competency Event Log'!$D$4:$D$803)))</f>
        <v/>
      </c>
      <c r="BT68" s="8" t="str">
        <f>IF($B68="","",IF(COUNTIF('Competency Event Log'!$U$4:$U$803,$B68&amp;"|"&amp;BT$5)=0,"",SUMIF('Competency Event Log'!$U$4:$U$803,$B68&amp;"|"&amp;BT$5,'Competency Event Log'!$D$4:$D$803)))</f>
        <v/>
      </c>
      <c r="BU68" s="8" t="str">
        <f>IF($B68="","",IF(COUNTIF('Competency Event Log'!$U$4:$U$803,$B68&amp;"|"&amp;BU$5)=0,"",SUMIF('Competency Event Log'!$U$4:$U$803,$B68&amp;"|"&amp;BU$5,'Competency Event Log'!$D$4:$D$803)))</f>
        <v/>
      </c>
      <c r="BV68" s="8" t="str">
        <f>IF($B68="","",IF(COUNTIF('Competency Event Log'!$U$4:$U$803,$B68&amp;"|"&amp;BV$5)=0,"",SUMIF('Competency Event Log'!$U$4:$U$803,$B68&amp;"|"&amp;BV$5,'Competency Event Log'!$D$4:$D$803)))</f>
        <v/>
      </c>
      <c r="BW68" s="8" t="str">
        <f>IF($B68="","",IF(COUNTIF('Competency Event Log'!$U$4:$U$803,$B68&amp;"|"&amp;BW$5)=0,"",SUMIF('Competency Event Log'!$U$4:$U$803,$B68&amp;"|"&amp;BW$5,'Competency Event Log'!$D$4:$D$803)))</f>
        <v/>
      </c>
      <c r="BX68" s="8" t="str">
        <f>IF($B68="","",IF(COUNTIF('Competency Event Log'!$U$4:$U$803,$B68&amp;"|"&amp;BX$5)=0,"",SUMIF('Competency Event Log'!$U$4:$U$803,$B68&amp;"|"&amp;BX$5,'Competency Event Log'!$D$4:$D$803)))</f>
        <v/>
      </c>
      <c r="BY68" s="8" t="str">
        <f>IF($B68="","",IF(COUNTIF('Competency Event Log'!$U$4:$U$803,$B68&amp;"|"&amp;BY$5)=0,"",SUMIF('Competency Event Log'!$U$4:$U$803,$B68&amp;"|"&amp;BY$5,'Competency Event Log'!$D$4:$D$803)))</f>
        <v/>
      </c>
      <c r="BZ68" s="8" t="str">
        <f>IF($B68="","",IF(COUNTIF('Competency Event Log'!$U$4:$U$803,$B68&amp;"|"&amp;BZ$5)=0,"",SUMIF('Competency Event Log'!$U$4:$U$803,$B68&amp;"|"&amp;BZ$5,'Competency Event Log'!$D$4:$D$803)))</f>
        <v/>
      </c>
      <c r="CA68" s="8" t="str">
        <f>IF($B68="","",IF(COUNTIF('Competency Event Log'!$U$4:$U$803,$B68&amp;"|"&amp;CA$5)=0,"",SUMIF('Competency Event Log'!$U$4:$U$803,$B68&amp;"|"&amp;CA$5,'Competency Event Log'!$D$4:$D$803)))</f>
        <v/>
      </c>
      <c r="CB68" s="8" t="str">
        <f>IF($B68="","",IF(COUNTIF('Competency Event Log'!$U$4:$U$803,$B68&amp;"|"&amp;CB$5)=0,"",SUMIF('Competency Event Log'!$U$4:$U$803,$B68&amp;"|"&amp;CB$5,'Competency Event Log'!$D$4:$D$803)))</f>
        <v/>
      </c>
      <c r="CC68" s="8" t="str">
        <f>IF($B68="","",IF(COUNTIF('Competency Event Log'!$U$4:$U$803,$B68&amp;"|"&amp;CC$5)=0,"",SUMIF('Competency Event Log'!$U$4:$U$803,$B68&amp;"|"&amp;CC$5,'Competency Event Log'!$D$4:$D$803)))</f>
        <v/>
      </c>
      <c r="CD68" s="8" t="str">
        <f>IF($B68="","",IF(COUNTIF('Competency Event Log'!$U$4:$U$803,$B68&amp;"|"&amp;CD$5)=0,"",SUMIF('Competency Event Log'!$U$4:$U$803,$B68&amp;"|"&amp;CD$5,'Competency Event Log'!$D$4:$D$803)))</f>
        <v/>
      </c>
      <c r="CE68" s="8" t="str">
        <f>IF($B68="","",IF(COUNTIF('Competency Event Log'!$U$4:$U$803,$B68&amp;"|"&amp;CE$5)=0,"",SUMIF('Competency Event Log'!$U$4:$U$803,$B68&amp;"|"&amp;CE$5,'Competency Event Log'!$D$4:$D$803)))</f>
        <v/>
      </c>
      <c r="CF68" s="8" t="str">
        <f>IF($B68="","",IF(COUNTIF('Competency Event Log'!$U$4:$U$803,$B68&amp;"|"&amp;CF$5)=0,"",SUMIF('Competency Event Log'!$U$4:$U$803,$B68&amp;"|"&amp;CF$5,'Competency Event Log'!$D$4:$D$803)))</f>
        <v/>
      </c>
      <c r="CG68" s="8" t="str">
        <f>IF($B68="","",IF(COUNTIF('Competency Event Log'!$U$4:$U$803,$B68&amp;"|"&amp;CG$5)=0,"",SUMIF('Competency Event Log'!$U$4:$U$803,$B68&amp;"|"&amp;CG$5,'Competency Event Log'!$D$4:$D$803)))</f>
        <v/>
      </c>
      <c r="CH68" s="8" t="str">
        <f>IF($B68="","",IF(COUNTIF('Competency Event Log'!$U$4:$U$803,$B68&amp;"|"&amp;CH$5)=0,"",SUMIF('Competency Event Log'!$U$4:$U$803,$B68&amp;"|"&amp;CH$5,'Competency Event Log'!$D$4:$D$803)))</f>
        <v/>
      </c>
      <c r="CI68" s="8" t="str">
        <f>IF($B68="","",IF(COUNTIF('Competency Event Log'!$U$4:$U$803,$B68&amp;"|"&amp;CI$5)=0,"",SUMIF('Competency Event Log'!$U$4:$U$803,$B68&amp;"|"&amp;CI$5,'Competency Event Log'!$D$4:$D$803)))</f>
        <v/>
      </c>
      <c r="CJ68" s="8" t="str">
        <f>IF($B68="","",IF(COUNTIF('Competency Event Log'!$U$4:$U$803,$B68&amp;"|"&amp;CJ$5)=0,"",SUMIF('Competency Event Log'!$U$4:$U$803,$B68&amp;"|"&amp;CJ$5,'Competency Event Log'!$D$4:$D$803)))</f>
        <v/>
      </c>
      <c r="CK68" s="8" t="str">
        <f>IF($B68="","",IF(COUNTIF('Competency Event Log'!$U$4:$U$803,$B68&amp;"|"&amp;CK$5)=0,"",SUMIF('Competency Event Log'!$U$4:$U$803,$B68&amp;"|"&amp;CK$5,'Competency Event Log'!$D$4:$D$803)))</f>
        <v/>
      </c>
      <c r="CL68" s="8" t="str">
        <f>IF($B68="","",IF(COUNTIF('Competency Event Log'!$U$4:$U$803,$B68&amp;"|"&amp;CL$5)=0,"",SUMIF('Competency Event Log'!$U$4:$U$803,$B68&amp;"|"&amp;CL$5,'Competency Event Log'!$D$4:$D$803)))</f>
        <v/>
      </c>
      <c r="CM68" s="8" t="str">
        <f>IF($B68="","",IF(COUNTIF('Competency Event Log'!$U$4:$U$803,$B68&amp;"|"&amp;CM$5)=0,"",SUMIF('Competency Event Log'!$U$4:$U$803,$B68&amp;"|"&amp;CM$5,'Competency Event Log'!$D$4:$D$803)))</f>
        <v/>
      </c>
      <c r="CN68" s="8" t="str">
        <f>IF($B68="","",IF(COUNTIF('Competency Event Log'!$U$4:$U$803,$B68&amp;"|"&amp;CN$5)=0,"",SUMIF('Competency Event Log'!$U$4:$U$803,$B68&amp;"|"&amp;CN$5,'Competency Event Log'!$D$4:$D$803)))</f>
        <v/>
      </c>
      <c r="CO68" s="8" t="str">
        <f>IF($B68="","",IF(COUNTIF('Competency Event Log'!$U$4:$U$803,$B68&amp;"|"&amp;CO$5)=0,"",SUMIF('Competency Event Log'!$U$4:$U$803,$B68&amp;"|"&amp;CO$5,'Competency Event Log'!$D$4:$D$803)))</f>
        <v/>
      </c>
      <c r="CP68" s="8" t="str">
        <f>IF($B68="","",IF(COUNTIF('Competency Event Log'!$U$4:$U$803,$B68&amp;"|"&amp;CP$5)=0,"",SUMIF('Competency Event Log'!$U$4:$U$803,$B68&amp;"|"&amp;CP$5,'Competency Event Log'!$D$4:$D$803)))</f>
        <v/>
      </c>
      <c r="CQ68" s="8" t="str">
        <f>IF($B68="","",IF(COUNTIF('Competency Event Log'!$U$4:$U$803,$B68&amp;"|"&amp;CQ$5)=0,"",SUMIF('Competency Event Log'!$U$4:$U$803,$B68&amp;"|"&amp;CQ$5,'Competency Event Log'!$D$4:$D$803)))</f>
        <v/>
      </c>
      <c r="CR68" s="8" t="str">
        <f>IF($B68="","",IF(COUNTIF('Competency Event Log'!$U$4:$U$803,$B68&amp;"|"&amp;CR$5)=0,"",SUMIF('Competency Event Log'!$U$4:$U$803,$B68&amp;"|"&amp;CR$5,'Competency Event Log'!$D$4:$D$803)))</f>
        <v/>
      </c>
      <c r="CS68" s="8" t="str">
        <f>IF($B68="","",IF(COUNTIF('Competency Event Log'!$U$4:$U$803,$B68&amp;"|"&amp;CS$5)=0,"",SUMIF('Competency Event Log'!$U$4:$U$803,$B68&amp;"|"&amp;CS$5,'Competency Event Log'!$D$4:$D$803)))</f>
        <v/>
      </c>
      <c r="CT68" s="8" t="str">
        <f>IF($B68="","",IF(COUNTIF('Competency Event Log'!$U$4:$U$803,$B68&amp;"|"&amp;CT$5)=0,"",SUMIF('Competency Event Log'!$U$4:$U$803,$B68&amp;"|"&amp;CT$5,'Competency Event Log'!$D$4:$D$803)))</f>
        <v/>
      </c>
      <c r="CU68" s="8" t="str">
        <f>IF($B68="","",IF(COUNTIF('Competency Event Log'!$U$4:$U$803,$B68&amp;"|"&amp;CU$5)=0,"",SUMIF('Competency Event Log'!$U$4:$U$803,$B68&amp;"|"&amp;CU$5,'Competency Event Log'!$D$4:$D$803)))</f>
        <v/>
      </c>
      <c r="CV68" s="8" t="str">
        <f>IF($B68="","",IF(COUNTIF('Competency Event Log'!$U$4:$U$803,$B68&amp;"|"&amp;CV$5)=0,"",SUMIF('Competency Event Log'!$U$4:$U$803,$B68&amp;"|"&amp;CV$5,'Competency Event Log'!$D$4:$D$803)))</f>
        <v/>
      </c>
      <c r="CW68" s="8" t="str">
        <f>IF($B68="","",IF(COUNTIF('Competency Event Log'!$U$4:$U$803,$B68&amp;"|"&amp;CW$5)=0,"",SUMIF('Competency Event Log'!$U$4:$U$803,$B68&amp;"|"&amp;CW$5,'Competency Event Log'!$D$4:$D$803)))</f>
        <v/>
      </c>
      <c r="CX68" s="8" t="str">
        <f>IF($B68="","",IF(COUNTIF('Competency Event Log'!$U$4:$U$803,$B68&amp;"|"&amp;CX$5)=0,"",SUMIF('Competency Event Log'!$U$4:$U$803,$B68&amp;"|"&amp;CX$5,'Competency Event Log'!$D$4:$D$803)))</f>
        <v/>
      </c>
      <c r="CY68" s="8" t="str">
        <f>IF($B68="","",IF(COUNTIF('Competency Event Log'!$U$4:$U$803,$B68&amp;"|"&amp;CY$5)=0,"",SUMIF('Competency Event Log'!$U$4:$U$803,$B68&amp;"|"&amp;CY$5,'Competency Event Log'!$D$4:$D$803)))</f>
        <v/>
      </c>
      <c r="CZ68" s="8" t="str">
        <f>IF($B68="","",IF(COUNTIF('Competency Event Log'!$U$4:$U$803,$B68&amp;"|"&amp;CZ$5)=0,"",SUMIF('Competency Event Log'!$U$4:$U$803,$B68&amp;"|"&amp;CZ$5,'Competency Event Log'!$D$4:$D$803)))</f>
        <v/>
      </c>
      <c r="DA68" s="8" t="str">
        <f>IF($B68="","",IF(COUNTIF('Competency Event Log'!$U$4:$U$803,$B68&amp;"|"&amp;DA$5)=0,"",SUMIF('Competency Event Log'!$U$4:$U$803,$B68&amp;"|"&amp;DA$5,'Competency Event Log'!$D$4:$D$803)))</f>
        <v/>
      </c>
      <c r="DB68" s="8" t="str">
        <f>IF($B68="","",IF(COUNTIF('Competency Event Log'!$U$4:$U$803,$B68&amp;"|"&amp;DB$5)=0,"",SUMIF('Competency Event Log'!$U$4:$U$803,$B68&amp;"|"&amp;DB$5,'Competency Event Log'!$D$4:$D$803)))</f>
        <v/>
      </c>
      <c r="DC68" s="8" t="str">
        <f>IF($B68="","",IF(COUNTIF('Competency Event Log'!$U$4:$U$803,$B68&amp;"|"&amp;DC$5)=0,"",SUMIF('Competency Event Log'!$U$4:$U$803,$B68&amp;"|"&amp;DC$5,'Competency Event Log'!$D$4:$D$803)))</f>
        <v/>
      </c>
      <c r="DD68" s="8" t="str">
        <f>IF($B68="","",IF(COUNTIF('Competency Event Log'!$U$4:$U$803,$B68&amp;"|"&amp;DD$5)=0,"",SUMIF('Competency Event Log'!$U$4:$U$803,$B68&amp;"|"&amp;DD$5,'Competency Event Log'!$D$4:$D$803)))</f>
        <v/>
      </c>
      <c r="DE68" s="8" t="str">
        <f>IF($B68="","",IF(COUNTIF('Competency Event Log'!$U$4:$U$803,$B68&amp;"|"&amp;DE$5)=0,"",SUMIF('Competency Event Log'!$U$4:$U$803,$B68&amp;"|"&amp;DE$5,'Competency Event Log'!$D$4:$D$803)))</f>
        <v/>
      </c>
      <c r="DF68" s="8" t="str">
        <f t="shared" si="4"/>
        <v/>
      </c>
      <c r="DG68" s="8" t="str">
        <f t="shared" si="5"/>
        <v/>
      </c>
      <c r="DH68" s="8" t="str">
        <f t="shared" si="6"/>
        <v/>
      </c>
      <c r="DI68" s="11" t="str">
        <f t="shared" si="7"/>
        <v/>
      </c>
    </row>
    <row r="69" spans="1:113">
      <c r="A69" s="7"/>
      <c r="B69" s="7"/>
      <c r="C69" s="8"/>
      <c r="D69" s="9"/>
      <c r="E69" s="10"/>
      <c r="F69" s="8"/>
      <c r="G69" s="8" t="str">
        <f>IF($B69="","",IF(COUNTIF('Competency Event Log'!$U$4:$U$803,$B69&amp;"|"&amp;G$5)=0,"",SUMIF('Competency Event Log'!$U$4:$U$803,$B69&amp;"|"&amp;G$5,'Competency Event Log'!$D$4:$D$803)))</f>
        <v/>
      </c>
      <c r="H69" s="8" t="str">
        <f>IF($B69="","",IF(COUNTIF('Competency Event Log'!$U$4:$U$803,$B69&amp;"|"&amp;H$5)=0,"",SUMIF('Competency Event Log'!$U$4:$U$803,$B69&amp;"|"&amp;H$5,'Competency Event Log'!$D$4:$D$803)))</f>
        <v/>
      </c>
      <c r="I69" s="8" t="str">
        <f>IF($B69="","",IF(COUNTIF('Competency Event Log'!$U$4:$U$803,$B69&amp;"|"&amp;I$5)=0,"",SUMIF('Competency Event Log'!$U$4:$U$803,$B69&amp;"|"&amp;I$5,'Competency Event Log'!$D$4:$D$803)))</f>
        <v/>
      </c>
      <c r="J69" s="8" t="str">
        <f>IF($B69="","",IF(COUNTIF('Competency Event Log'!$U$4:$U$803,$B69&amp;"|"&amp;J$5)=0,"",SUMIF('Competency Event Log'!$U$4:$U$803,$B69&amp;"|"&amp;J$5,'Competency Event Log'!$D$4:$D$803)))</f>
        <v/>
      </c>
      <c r="K69" s="8" t="str">
        <f>IF($B69="","",IF(COUNTIF('Competency Event Log'!$U$4:$U$803,$B69&amp;"|"&amp;K$5)=0,"",SUMIF('Competency Event Log'!$U$4:$U$803,$B69&amp;"|"&amp;K$5,'Competency Event Log'!$D$4:$D$803)))</f>
        <v/>
      </c>
      <c r="L69" s="8" t="str">
        <f>IF($B69="","",IF(COUNTIF('Competency Event Log'!$U$4:$U$803,$B69&amp;"|"&amp;L$5)=0,"",SUMIF('Competency Event Log'!$U$4:$U$803,$B69&amp;"|"&amp;L$5,'Competency Event Log'!$D$4:$D$803)))</f>
        <v/>
      </c>
      <c r="M69" s="8" t="str">
        <f>IF($B69="","",IF(COUNTIF('Competency Event Log'!$U$4:$U$803,$B69&amp;"|"&amp;M$5)=0,"",SUMIF('Competency Event Log'!$U$4:$U$803,$B69&amp;"|"&amp;M$5,'Competency Event Log'!$D$4:$D$803)))</f>
        <v/>
      </c>
      <c r="N69" s="8" t="str">
        <f>IF($B69="","",IF(COUNTIF('Competency Event Log'!$U$4:$U$803,$B69&amp;"|"&amp;N$5)=0,"",SUMIF('Competency Event Log'!$U$4:$U$803,$B69&amp;"|"&amp;N$5,'Competency Event Log'!$D$4:$D$803)))</f>
        <v/>
      </c>
      <c r="O69" s="8" t="str">
        <f>IF($B69="","",IF(COUNTIF('Competency Event Log'!$U$4:$U$803,$B69&amp;"|"&amp;O$5)=0,"",SUMIF('Competency Event Log'!$U$4:$U$803,$B69&amp;"|"&amp;O$5,'Competency Event Log'!$D$4:$D$803)))</f>
        <v/>
      </c>
      <c r="P69" s="8" t="str">
        <f>IF($B69="","",IF(COUNTIF('Competency Event Log'!$U$4:$U$803,$B69&amp;"|"&amp;P$5)=0,"",SUMIF('Competency Event Log'!$U$4:$U$803,$B69&amp;"|"&amp;P$5,'Competency Event Log'!$D$4:$D$803)))</f>
        <v/>
      </c>
      <c r="Q69" s="8" t="str">
        <f>IF($B69="","",IF(COUNTIF('Competency Event Log'!$U$4:$U$803,$B69&amp;"|"&amp;Q$5)=0,"",SUMIF('Competency Event Log'!$U$4:$U$803,$B69&amp;"|"&amp;Q$5,'Competency Event Log'!$D$4:$D$803)))</f>
        <v/>
      </c>
      <c r="R69" s="8" t="str">
        <f>IF($B69="","",IF(COUNTIF('Competency Event Log'!$U$4:$U$803,$B69&amp;"|"&amp;R$5)=0,"",SUMIF('Competency Event Log'!$U$4:$U$803,$B69&amp;"|"&amp;R$5,'Competency Event Log'!$D$4:$D$803)))</f>
        <v/>
      </c>
      <c r="S69" s="8" t="str">
        <f>IF($B69="","",IF(COUNTIF('Competency Event Log'!$U$4:$U$803,$B69&amp;"|"&amp;S$5)=0,"",SUMIF('Competency Event Log'!$U$4:$U$803,$B69&amp;"|"&amp;S$5,'Competency Event Log'!$D$4:$D$803)))</f>
        <v/>
      </c>
      <c r="T69" s="8" t="str">
        <f>IF($B69="","",IF(COUNTIF('Competency Event Log'!$U$4:$U$803,$B69&amp;"|"&amp;T$5)=0,"",SUMIF('Competency Event Log'!$U$4:$U$803,$B69&amp;"|"&amp;T$5,'Competency Event Log'!$D$4:$D$803)))</f>
        <v/>
      </c>
      <c r="U69" s="8" t="str">
        <f>IF($B69="","",IF(COUNTIF('Competency Event Log'!$U$4:$U$803,$B69&amp;"|"&amp;U$5)=0,"",SUMIF('Competency Event Log'!$U$4:$U$803,$B69&amp;"|"&amp;U$5,'Competency Event Log'!$D$4:$D$803)))</f>
        <v/>
      </c>
      <c r="V69" s="8" t="str">
        <f>IF($B69="","",IF(COUNTIF('Competency Event Log'!$U$4:$U$803,$B69&amp;"|"&amp;V$5)=0,"",SUMIF('Competency Event Log'!$U$4:$U$803,$B69&amp;"|"&amp;V$5,'Competency Event Log'!$D$4:$D$803)))</f>
        <v/>
      </c>
      <c r="W69" s="8" t="str">
        <f>IF($B69="","",IF(COUNTIF('Competency Event Log'!$U$4:$U$803,$B69&amp;"|"&amp;W$5)=0,"",SUMIF('Competency Event Log'!$U$4:$U$803,$B69&amp;"|"&amp;W$5,'Competency Event Log'!$D$4:$D$803)))</f>
        <v/>
      </c>
      <c r="X69" s="8" t="str">
        <f>IF($B69="","",IF(COUNTIF('Competency Event Log'!$U$4:$U$803,$B69&amp;"|"&amp;X$5)=0,"",SUMIF('Competency Event Log'!$U$4:$U$803,$B69&amp;"|"&amp;X$5,'Competency Event Log'!$D$4:$D$803)))</f>
        <v/>
      </c>
      <c r="Y69" s="8" t="str">
        <f>IF($B69="","",IF(COUNTIF('Competency Event Log'!$U$4:$U$803,$B69&amp;"|"&amp;Y$5)=0,"",SUMIF('Competency Event Log'!$U$4:$U$803,$B69&amp;"|"&amp;Y$5,'Competency Event Log'!$D$4:$D$803)))</f>
        <v/>
      </c>
      <c r="Z69" s="8" t="str">
        <f>IF($B69="","",IF(COUNTIF('Competency Event Log'!$U$4:$U$803,$B69&amp;"|"&amp;Z$5)=0,"",SUMIF('Competency Event Log'!$U$4:$U$803,$B69&amp;"|"&amp;Z$5,'Competency Event Log'!$D$4:$D$803)))</f>
        <v/>
      </c>
      <c r="AA69" s="8" t="str">
        <f>IF($B69="","",IF(COUNTIF('Competency Event Log'!$U$4:$U$803,$B69&amp;"|"&amp;AA$5)=0,"",SUMIF('Competency Event Log'!$U$4:$U$803,$B69&amp;"|"&amp;AA$5,'Competency Event Log'!$D$4:$D$803)))</f>
        <v/>
      </c>
      <c r="AB69" s="8" t="str">
        <f>IF($B69="","",IF(COUNTIF('Competency Event Log'!$U$4:$U$803,$B69&amp;"|"&amp;AB$5)=0,"",SUMIF('Competency Event Log'!$U$4:$U$803,$B69&amp;"|"&amp;AB$5,'Competency Event Log'!$D$4:$D$803)))</f>
        <v/>
      </c>
      <c r="AC69" s="8" t="str">
        <f>IF($B69="","",IF(COUNTIF('Competency Event Log'!$U$4:$U$803,$B69&amp;"|"&amp;AC$5)=0,"",SUMIF('Competency Event Log'!$U$4:$U$803,$B69&amp;"|"&amp;AC$5,'Competency Event Log'!$D$4:$D$803)))</f>
        <v/>
      </c>
      <c r="AD69" s="8" t="str">
        <f>IF($B69="","",IF(COUNTIF('Competency Event Log'!$U$4:$U$803,$B69&amp;"|"&amp;AD$5)=0,"",SUMIF('Competency Event Log'!$U$4:$U$803,$B69&amp;"|"&amp;AD$5,'Competency Event Log'!$D$4:$D$803)))</f>
        <v/>
      </c>
      <c r="AE69" s="8" t="str">
        <f>IF($B69="","",IF(COUNTIF('Competency Event Log'!$U$4:$U$803,$B69&amp;"|"&amp;AE$5)=0,"",SUMIF('Competency Event Log'!$U$4:$U$803,$B69&amp;"|"&amp;AE$5,'Competency Event Log'!$D$4:$D$803)))</f>
        <v/>
      </c>
      <c r="AF69" s="8" t="str">
        <f>IF($B69="","",IF(COUNTIF('Competency Event Log'!$U$4:$U$803,$B69&amp;"|"&amp;AF$5)=0,"",SUMIF('Competency Event Log'!$U$4:$U$803,$B69&amp;"|"&amp;AF$5,'Competency Event Log'!$D$4:$D$803)))</f>
        <v/>
      </c>
      <c r="AG69" s="8" t="str">
        <f>IF($B69="","",IF(COUNTIF('Competency Event Log'!$U$4:$U$803,$B69&amp;"|"&amp;AG$5)=0,"",SUMIF('Competency Event Log'!$U$4:$U$803,$B69&amp;"|"&amp;AG$5,'Competency Event Log'!$D$4:$D$803)))</f>
        <v/>
      </c>
      <c r="AH69" s="8" t="str">
        <f>IF($B69="","",IF(COUNTIF('Competency Event Log'!$U$4:$U$803,$B69&amp;"|"&amp;AH$5)=0,"",SUMIF('Competency Event Log'!$U$4:$U$803,$B69&amp;"|"&amp;AH$5,'Competency Event Log'!$D$4:$D$803)))</f>
        <v/>
      </c>
      <c r="AI69" s="8" t="str">
        <f>IF($B69="","",IF(COUNTIF('Competency Event Log'!$U$4:$U$803,$B69&amp;"|"&amp;AI$5)=0,"",SUMIF('Competency Event Log'!$U$4:$U$803,$B69&amp;"|"&amp;AI$5,'Competency Event Log'!$D$4:$D$803)))</f>
        <v/>
      </c>
      <c r="AJ69" s="8" t="str">
        <f>IF($B69="","",IF(COUNTIF('Competency Event Log'!$U$4:$U$803,$B69&amp;"|"&amp;AJ$5)=0,"",SUMIF('Competency Event Log'!$U$4:$U$803,$B69&amp;"|"&amp;AJ$5,'Competency Event Log'!$D$4:$D$803)))</f>
        <v/>
      </c>
      <c r="AK69" s="8" t="str">
        <f>IF($B69="","",IF(COUNTIF('Competency Event Log'!$U$4:$U$803,$B69&amp;"|"&amp;AK$5)=0,"",SUMIF('Competency Event Log'!$U$4:$U$803,$B69&amp;"|"&amp;AK$5,'Competency Event Log'!$D$4:$D$803)))</f>
        <v/>
      </c>
      <c r="AL69" s="8" t="str">
        <f>IF($B69="","",IF(COUNTIF('Competency Event Log'!$U$4:$U$803,$B69&amp;"|"&amp;AL$5)=0,"",SUMIF('Competency Event Log'!$U$4:$U$803,$B69&amp;"|"&amp;AL$5,'Competency Event Log'!$D$4:$D$803)))</f>
        <v/>
      </c>
      <c r="AM69" s="8" t="str">
        <f>IF($B69="","",IF(COUNTIF('Competency Event Log'!$U$4:$U$803,$B69&amp;"|"&amp;AM$5)=0,"",SUMIF('Competency Event Log'!$U$4:$U$803,$B69&amp;"|"&amp;AM$5,'Competency Event Log'!$D$4:$D$803)))</f>
        <v/>
      </c>
      <c r="AN69" s="8" t="str">
        <f>IF($B69="","",IF(COUNTIF('Competency Event Log'!$U$4:$U$803,$B69&amp;"|"&amp;AN$5)=0,"",SUMIF('Competency Event Log'!$U$4:$U$803,$B69&amp;"|"&amp;AN$5,'Competency Event Log'!$D$4:$D$803)))</f>
        <v/>
      </c>
      <c r="AO69" s="8" t="str">
        <f>IF($B69="","",IF(COUNTIF('Competency Event Log'!$U$4:$U$803,$B69&amp;"|"&amp;AO$5)=0,"",SUMIF('Competency Event Log'!$U$4:$U$803,$B69&amp;"|"&amp;AO$5,'Competency Event Log'!$D$4:$D$803)))</f>
        <v/>
      </c>
      <c r="AP69" s="8" t="str">
        <f>IF($B69="","",IF(COUNTIF('Competency Event Log'!$U$4:$U$803,$B69&amp;"|"&amp;AP$5)=0,"",SUMIF('Competency Event Log'!$U$4:$U$803,$B69&amp;"|"&amp;AP$5,'Competency Event Log'!$D$4:$D$803)))</f>
        <v/>
      </c>
      <c r="AQ69" s="8" t="str">
        <f>IF($B69="","",IF(COUNTIF('Competency Event Log'!$U$4:$U$803,$B69&amp;"|"&amp;AQ$5)=0,"",SUMIF('Competency Event Log'!$U$4:$U$803,$B69&amp;"|"&amp;AQ$5,'Competency Event Log'!$D$4:$D$803)))</f>
        <v/>
      </c>
      <c r="AR69" s="8" t="str">
        <f>IF($B69="","",IF(COUNTIF('Competency Event Log'!$U$4:$U$803,$B69&amp;"|"&amp;AR$5)=0,"",SUMIF('Competency Event Log'!$U$4:$U$803,$B69&amp;"|"&amp;AR$5,'Competency Event Log'!$D$4:$D$803)))</f>
        <v/>
      </c>
      <c r="AS69" s="8" t="str">
        <f>IF($B69="","",IF(COUNTIF('Competency Event Log'!$U$4:$U$803,$B69&amp;"|"&amp;AS$5)=0,"",SUMIF('Competency Event Log'!$U$4:$U$803,$B69&amp;"|"&amp;AS$5,'Competency Event Log'!$D$4:$D$803)))</f>
        <v/>
      </c>
      <c r="AT69" s="8" t="str">
        <f>IF($B69="","",IF(COUNTIF('Competency Event Log'!$U$4:$U$803,$B69&amp;"|"&amp;AT$5)=0,"",SUMIF('Competency Event Log'!$U$4:$U$803,$B69&amp;"|"&amp;AT$5,'Competency Event Log'!$D$4:$D$803)))</f>
        <v/>
      </c>
      <c r="AU69" s="8" t="str">
        <f>IF($B69="","",IF(COUNTIF('Competency Event Log'!$U$4:$U$803,$B69&amp;"|"&amp;AU$5)=0,"",SUMIF('Competency Event Log'!$U$4:$U$803,$B69&amp;"|"&amp;AU$5,'Competency Event Log'!$D$4:$D$803)))</f>
        <v/>
      </c>
      <c r="AV69" s="8" t="str">
        <f>IF($B69="","",IF(COUNTIF('Competency Event Log'!$U$4:$U$803,$B69&amp;"|"&amp;AV$5)=0,"",SUMIF('Competency Event Log'!$U$4:$U$803,$B69&amp;"|"&amp;AV$5,'Competency Event Log'!$D$4:$D$803)))</f>
        <v/>
      </c>
      <c r="AW69" s="8" t="str">
        <f>IF($B69="","",IF(COUNTIF('Competency Event Log'!$U$4:$U$803,$B69&amp;"|"&amp;AW$5)=0,"",SUMIF('Competency Event Log'!$U$4:$U$803,$B69&amp;"|"&amp;AW$5,'Competency Event Log'!$D$4:$D$803)))</f>
        <v/>
      </c>
      <c r="AX69" s="8" t="str">
        <f>IF($B69="","",IF(COUNTIF('Competency Event Log'!$U$4:$U$803,$B69&amp;"|"&amp;AX$5)=0,"",SUMIF('Competency Event Log'!$U$4:$U$803,$B69&amp;"|"&amp;AX$5,'Competency Event Log'!$D$4:$D$803)))</f>
        <v/>
      </c>
      <c r="AY69" s="8" t="str">
        <f>IF($B69="","",IF(COUNTIF('Competency Event Log'!$U$4:$U$803,$B69&amp;"|"&amp;AY$5)=0,"",SUMIF('Competency Event Log'!$U$4:$U$803,$B69&amp;"|"&amp;AY$5,'Competency Event Log'!$D$4:$D$803)))</f>
        <v/>
      </c>
      <c r="AZ69" s="8" t="str">
        <f>IF($B69="","",IF(COUNTIF('Competency Event Log'!$U$4:$U$803,$B69&amp;"|"&amp;AZ$5)=0,"",SUMIF('Competency Event Log'!$U$4:$U$803,$B69&amp;"|"&amp;AZ$5,'Competency Event Log'!$D$4:$D$803)))</f>
        <v/>
      </c>
      <c r="BA69" s="8" t="str">
        <f>IF($B69="","",IF(COUNTIF('Competency Event Log'!$U$4:$U$803,$B69&amp;"|"&amp;BA$5)=0,"",SUMIF('Competency Event Log'!$U$4:$U$803,$B69&amp;"|"&amp;BA$5,'Competency Event Log'!$D$4:$D$803)))</f>
        <v/>
      </c>
      <c r="BB69" s="8" t="str">
        <f>IF($B69="","",IF(COUNTIF('Competency Event Log'!$U$4:$U$803,$B69&amp;"|"&amp;BB$5)=0,"",SUMIF('Competency Event Log'!$U$4:$U$803,$B69&amp;"|"&amp;BB$5,'Competency Event Log'!$D$4:$D$803)))</f>
        <v/>
      </c>
      <c r="BC69" s="8" t="str">
        <f>IF($B69="","",IF(COUNTIF('Competency Event Log'!$U$4:$U$803,$B69&amp;"|"&amp;BC$5)=0,"",SUMIF('Competency Event Log'!$U$4:$U$803,$B69&amp;"|"&amp;BC$5,'Competency Event Log'!$D$4:$D$803)))</f>
        <v/>
      </c>
      <c r="BD69" s="8" t="str">
        <f>IF($B69="","",IF(COUNTIF('Competency Event Log'!$U$4:$U$803,$B69&amp;"|"&amp;BD$5)=0,"",SUMIF('Competency Event Log'!$U$4:$U$803,$B69&amp;"|"&amp;BD$5,'Competency Event Log'!$D$4:$D$803)))</f>
        <v/>
      </c>
      <c r="BE69" s="8" t="str">
        <f>IF($B69="","",IF(COUNTIF('Competency Event Log'!$U$4:$U$803,$B69&amp;"|"&amp;BE$5)=0,"",SUMIF('Competency Event Log'!$U$4:$U$803,$B69&amp;"|"&amp;BE$5,'Competency Event Log'!$D$4:$D$803)))</f>
        <v/>
      </c>
      <c r="BF69" s="8" t="str">
        <f>IF($B69="","",IF(COUNTIF('Competency Event Log'!$U$4:$U$803,$B69&amp;"|"&amp;BF$5)=0,"",SUMIF('Competency Event Log'!$U$4:$U$803,$B69&amp;"|"&amp;BF$5,'Competency Event Log'!$D$4:$D$803)))</f>
        <v/>
      </c>
      <c r="BG69" s="8" t="str">
        <f>IF($B69="","",IF(COUNTIF('Competency Event Log'!$U$4:$U$803,$B69&amp;"|"&amp;BG$5)=0,"",SUMIF('Competency Event Log'!$U$4:$U$803,$B69&amp;"|"&amp;BG$5,'Competency Event Log'!$D$4:$D$803)))</f>
        <v/>
      </c>
      <c r="BH69" s="8" t="str">
        <f>IF($B69="","",IF(COUNTIF('Competency Event Log'!$U$4:$U$803,$B69&amp;"|"&amp;BH$5)=0,"",SUMIF('Competency Event Log'!$U$4:$U$803,$B69&amp;"|"&amp;BH$5,'Competency Event Log'!$D$4:$D$803)))</f>
        <v/>
      </c>
      <c r="BI69" s="8" t="str">
        <f>IF($B69="","",IF(COUNTIF('Competency Event Log'!$U$4:$U$803,$B69&amp;"|"&amp;BI$5)=0,"",SUMIF('Competency Event Log'!$U$4:$U$803,$B69&amp;"|"&amp;BI$5,'Competency Event Log'!$D$4:$D$803)))</f>
        <v/>
      </c>
      <c r="BJ69" s="8" t="str">
        <f>IF($B69="","",IF(COUNTIF('Competency Event Log'!$U$4:$U$803,$B69&amp;"|"&amp;BJ$5)=0,"",SUMIF('Competency Event Log'!$U$4:$U$803,$B69&amp;"|"&amp;BJ$5,'Competency Event Log'!$D$4:$D$803)))</f>
        <v/>
      </c>
      <c r="BK69" s="8" t="str">
        <f>IF($B69="","",IF(COUNTIF('Competency Event Log'!$U$4:$U$803,$B69&amp;"|"&amp;BK$5)=0,"",SUMIF('Competency Event Log'!$U$4:$U$803,$B69&amp;"|"&amp;BK$5,'Competency Event Log'!$D$4:$D$803)))</f>
        <v/>
      </c>
      <c r="BL69" s="8" t="str">
        <f>IF($B69="","",IF(COUNTIF('Competency Event Log'!$U$4:$U$803,$B69&amp;"|"&amp;BL$5)=0,"",SUMIF('Competency Event Log'!$U$4:$U$803,$B69&amp;"|"&amp;BL$5,'Competency Event Log'!$D$4:$D$803)))</f>
        <v/>
      </c>
      <c r="BM69" s="8" t="str">
        <f>IF($B69="","",IF(COUNTIF('Competency Event Log'!$U$4:$U$803,$B69&amp;"|"&amp;BM$5)=0,"",SUMIF('Competency Event Log'!$U$4:$U$803,$B69&amp;"|"&amp;BM$5,'Competency Event Log'!$D$4:$D$803)))</f>
        <v/>
      </c>
      <c r="BN69" s="8" t="str">
        <f>IF($B69="","",IF(COUNTIF('Competency Event Log'!$U$4:$U$803,$B69&amp;"|"&amp;BN$5)=0,"",SUMIF('Competency Event Log'!$U$4:$U$803,$B69&amp;"|"&amp;BN$5,'Competency Event Log'!$D$4:$D$803)))</f>
        <v/>
      </c>
      <c r="BO69" s="8" t="str">
        <f>IF($B69="","",IF(COUNTIF('Competency Event Log'!$U$4:$U$803,$B69&amp;"|"&amp;BO$5)=0,"",SUMIF('Competency Event Log'!$U$4:$U$803,$B69&amp;"|"&amp;BO$5,'Competency Event Log'!$D$4:$D$803)))</f>
        <v/>
      </c>
      <c r="BP69" s="8" t="str">
        <f>IF($B69="","",IF(COUNTIF('Competency Event Log'!$U$4:$U$803,$B69&amp;"|"&amp;BP$5)=0,"",SUMIF('Competency Event Log'!$U$4:$U$803,$B69&amp;"|"&amp;BP$5,'Competency Event Log'!$D$4:$D$803)))</f>
        <v/>
      </c>
      <c r="BQ69" s="8" t="str">
        <f>IF($B69="","",IF(COUNTIF('Competency Event Log'!$U$4:$U$803,$B69&amp;"|"&amp;BQ$5)=0,"",SUMIF('Competency Event Log'!$U$4:$U$803,$B69&amp;"|"&amp;BQ$5,'Competency Event Log'!$D$4:$D$803)))</f>
        <v/>
      </c>
      <c r="BR69" s="8" t="str">
        <f>IF($B69="","",IF(COUNTIF('Competency Event Log'!$U$4:$U$803,$B69&amp;"|"&amp;BR$5)=0,"",SUMIF('Competency Event Log'!$U$4:$U$803,$B69&amp;"|"&amp;BR$5,'Competency Event Log'!$D$4:$D$803)))</f>
        <v/>
      </c>
      <c r="BS69" s="8" t="str">
        <f>IF($B69="","",IF(COUNTIF('Competency Event Log'!$U$4:$U$803,$B69&amp;"|"&amp;BS$5)=0,"",SUMIF('Competency Event Log'!$U$4:$U$803,$B69&amp;"|"&amp;BS$5,'Competency Event Log'!$D$4:$D$803)))</f>
        <v/>
      </c>
      <c r="BT69" s="8" t="str">
        <f>IF($B69="","",IF(COUNTIF('Competency Event Log'!$U$4:$U$803,$B69&amp;"|"&amp;BT$5)=0,"",SUMIF('Competency Event Log'!$U$4:$U$803,$B69&amp;"|"&amp;BT$5,'Competency Event Log'!$D$4:$D$803)))</f>
        <v/>
      </c>
      <c r="BU69" s="8" t="str">
        <f>IF($B69="","",IF(COUNTIF('Competency Event Log'!$U$4:$U$803,$B69&amp;"|"&amp;BU$5)=0,"",SUMIF('Competency Event Log'!$U$4:$U$803,$B69&amp;"|"&amp;BU$5,'Competency Event Log'!$D$4:$D$803)))</f>
        <v/>
      </c>
      <c r="BV69" s="8" t="str">
        <f>IF($B69="","",IF(COUNTIF('Competency Event Log'!$U$4:$U$803,$B69&amp;"|"&amp;BV$5)=0,"",SUMIF('Competency Event Log'!$U$4:$U$803,$B69&amp;"|"&amp;BV$5,'Competency Event Log'!$D$4:$D$803)))</f>
        <v/>
      </c>
      <c r="BW69" s="8" t="str">
        <f>IF($B69="","",IF(COUNTIF('Competency Event Log'!$U$4:$U$803,$B69&amp;"|"&amp;BW$5)=0,"",SUMIF('Competency Event Log'!$U$4:$U$803,$B69&amp;"|"&amp;BW$5,'Competency Event Log'!$D$4:$D$803)))</f>
        <v/>
      </c>
      <c r="BX69" s="8" t="str">
        <f>IF($B69="","",IF(COUNTIF('Competency Event Log'!$U$4:$U$803,$B69&amp;"|"&amp;BX$5)=0,"",SUMIF('Competency Event Log'!$U$4:$U$803,$B69&amp;"|"&amp;BX$5,'Competency Event Log'!$D$4:$D$803)))</f>
        <v/>
      </c>
      <c r="BY69" s="8" t="str">
        <f>IF($B69="","",IF(COUNTIF('Competency Event Log'!$U$4:$U$803,$B69&amp;"|"&amp;BY$5)=0,"",SUMIF('Competency Event Log'!$U$4:$U$803,$B69&amp;"|"&amp;BY$5,'Competency Event Log'!$D$4:$D$803)))</f>
        <v/>
      </c>
      <c r="BZ69" s="8" t="str">
        <f>IF($B69="","",IF(COUNTIF('Competency Event Log'!$U$4:$U$803,$B69&amp;"|"&amp;BZ$5)=0,"",SUMIF('Competency Event Log'!$U$4:$U$803,$B69&amp;"|"&amp;BZ$5,'Competency Event Log'!$D$4:$D$803)))</f>
        <v/>
      </c>
      <c r="CA69" s="8" t="str">
        <f>IF($B69="","",IF(COUNTIF('Competency Event Log'!$U$4:$U$803,$B69&amp;"|"&amp;CA$5)=0,"",SUMIF('Competency Event Log'!$U$4:$U$803,$B69&amp;"|"&amp;CA$5,'Competency Event Log'!$D$4:$D$803)))</f>
        <v/>
      </c>
      <c r="CB69" s="8" t="str">
        <f>IF($B69="","",IF(COUNTIF('Competency Event Log'!$U$4:$U$803,$B69&amp;"|"&amp;CB$5)=0,"",SUMIF('Competency Event Log'!$U$4:$U$803,$B69&amp;"|"&amp;CB$5,'Competency Event Log'!$D$4:$D$803)))</f>
        <v/>
      </c>
      <c r="CC69" s="8" t="str">
        <f>IF($B69="","",IF(COUNTIF('Competency Event Log'!$U$4:$U$803,$B69&amp;"|"&amp;CC$5)=0,"",SUMIF('Competency Event Log'!$U$4:$U$803,$B69&amp;"|"&amp;CC$5,'Competency Event Log'!$D$4:$D$803)))</f>
        <v/>
      </c>
      <c r="CD69" s="8" t="str">
        <f>IF($B69="","",IF(COUNTIF('Competency Event Log'!$U$4:$U$803,$B69&amp;"|"&amp;CD$5)=0,"",SUMIF('Competency Event Log'!$U$4:$U$803,$B69&amp;"|"&amp;CD$5,'Competency Event Log'!$D$4:$D$803)))</f>
        <v/>
      </c>
      <c r="CE69" s="8" t="str">
        <f>IF($B69="","",IF(COUNTIF('Competency Event Log'!$U$4:$U$803,$B69&amp;"|"&amp;CE$5)=0,"",SUMIF('Competency Event Log'!$U$4:$U$803,$B69&amp;"|"&amp;CE$5,'Competency Event Log'!$D$4:$D$803)))</f>
        <v/>
      </c>
      <c r="CF69" s="8" t="str">
        <f>IF($B69="","",IF(COUNTIF('Competency Event Log'!$U$4:$U$803,$B69&amp;"|"&amp;CF$5)=0,"",SUMIF('Competency Event Log'!$U$4:$U$803,$B69&amp;"|"&amp;CF$5,'Competency Event Log'!$D$4:$D$803)))</f>
        <v/>
      </c>
      <c r="CG69" s="8" t="str">
        <f>IF($B69="","",IF(COUNTIF('Competency Event Log'!$U$4:$U$803,$B69&amp;"|"&amp;CG$5)=0,"",SUMIF('Competency Event Log'!$U$4:$U$803,$B69&amp;"|"&amp;CG$5,'Competency Event Log'!$D$4:$D$803)))</f>
        <v/>
      </c>
      <c r="CH69" s="8" t="str">
        <f>IF($B69="","",IF(COUNTIF('Competency Event Log'!$U$4:$U$803,$B69&amp;"|"&amp;CH$5)=0,"",SUMIF('Competency Event Log'!$U$4:$U$803,$B69&amp;"|"&amp;CH$5,'Competency Event Log'!$D$4:$D$803)))</f>
        <v/>
      </c>
      <c r="CI69" s="8" t="str">
        <f>IF($B69="","",IF(COUNTIF('Competency Event Log'!$U$4:$U$803,$B69&amp;"|"&amp;CI$5)=0,"",SUMIF('Competency Event Log'!$U$4:$U$803,$B69&amp;"|"&amp;CI$5,'Competency Event Log'!$D$4:$D$803)))</f>
        <v/>
      </c>
      <c r="CJ69" s="8" t="str">
        <f>IF($B69="","",IF(COUNTIF('Competency Event Log'!$U$4:$U$803,$B69&amp;"|"&amp;CJ$5)=0,"",SUMIF('Competency Event Log'!$U$4:$U$803,$B69&amp;"|"&amp;CJ$5,'Competency Event Log'!$D$4:$D$803)))</f>
        <v/>
      </c>
      <c r="CK69" s="8" t="str">
        <f>IF($B69="","",IF(COUNTIF('Competency Event Log'!$U$4:$U$803,$B69&amp;"|"&amp;CK$5)=0,"",SUMIF('Competency Event Log'!$U$4:$U$803,$B69&amp;"|"&amp;CK$5,'Competency Event Log'!$D$4:$D$803)))</f>
        <v/>
      </c>
      <c r="CL69" s="8" t="str">
        <f>IF($B69="","",IF(COUNTIF('Competency Event Log'!$U$4:$U$803,$B69&amp;"|"&amp;CL$5)=0,"",SUMIF('Competency Event Log'!$U$4:$U$803,$B69&amp;"|"&amp;CL$5,'Competency Event Log'!$D$4:$D$803)))</f>
        <v/>
      </c>
      <c r="CM69" s="8" t="str">
        <f>IF($B69="","",IF(COUNTIF('Competency Event Log'!$U$4:$U$803,$B69&amp;"|"&amp;CM$5)=0,"",SUMIF('Competency Event Log'!$U$4:$U$803,$B69&amp;"|"&amp;CM$5,'Competency Event Log'!$D$4:$D$803)))</f>
        <v/>
      </c>
      <c r="CN69" s="8" t="str">
        <f>IF($B69="","",IF(COUNTIF('Competency Event Log'!$U$4:$U$803,$B69&amp;"|"&amp;CN$5)=0,"",SUMIF('Competency Event Log'!$U$4:$U$803,$B69&amp;"|"&amp;CN$5,'Competency Event Log'!$D$4:$D$803)))</f>
        <v/>
      </c>
      <c r="CO69" s="8" t="str">
        <f>IF($B69="","",IF(COUNTIF('Competency Event Log'!$U$4:$U$803,$B69&amp;"|"&amp;CO$5)=0,"",SUMIF('Competency Event Log'!$U$4:$U$803,$B69&amp;"|"&amp;CO$5,'Competency Event Log'!$D$4:$D$803)))</f>
        <v/>
      </c>
      <c r="CP69" s="8" t="str">
        <f>IF($B69="","",IF(COUNTIF('Competency Event Log'!$U$4:$U$803,$B69&amp;"|"&amp;CP$5)=0,"",SUMIF('Competency Event Log'!$U$4:$U$803,$B69&amp;"|"&amp;CP$5,'Competency Event Log'!$D$4:$D$803)))</f>
        <v/>
      </c>
      <c r="CQ69" s="8" t="str">
        <f>IF($B69="","",IF(COUNTIF('Competency Event Log'!$U$4:$U$803,$B69&amp;"|"&amp;CQ$5)=0,"",SUMIF('Competency Event Log'!$U$4:$U$803,$B69&amp;"|"&amp;CQ$5,'Competency Event Log'!$D$4:$D$803)))</f>
        <v/>
      </c>
      <c r="CR69" s="8" t="str">
        <f>IF($B69="","",IF(COUNTIF('Competency Event Log'!$U$4:$U$803,$B69&amp;"|"&amp;CR$5)=0,"",SUMIF('Competency Event Log'!$U$4:$U$803,$B69&amp;"|"&amp;CR$5,'Competency Event Log'!$D$4:$D$803)))</f>
        <v/>
      </c>
      <c r="CS69" s="8" t="str">
        <f>IF($B69="","",IF(COUNTIF('Competency Event Log'!$U$4:$U$803,$B69&amp;"|"&amp;CS$5)=0,"",SUMIF('Competency Event Log'!$U$4:$U$803,$B69&amp;"|"&amp;CS$5,'Competency Event Log'!$D$4:$D$803)))</f>
        <v/>
      </c>
      <c r="CT69" s="8" t="str">
        <f>IF($B69="","",IF(COUNTIF('Competency Event Log'!$U$4:$U$803,$B69&amp;"|"&amp;CT$5)=0,"",SUMIF('Competency Event Log'!$U$4:$U$803,$B69&amp;"|"&amp;CT$5,'Competency Event Log'!$D$4:$D$803)))</f>
        <v/>
      </c>
      <c r="CU69" s="8" t="str">
        <f>IF($B69="","",IF(COUNTIF('Competency Event Log'!$U$4:$U$803,$B69&amp;"|"&amp;CU$5)=0,"",SUMIF('Competency Event Log'!$U$4:$U$803,$B69&amp;"|"&amp;CU$5,'Competency Event Log'!$D$4:$D$803)))</f>
        <v/>
      </c>
      <c r="CV69" s="8" t="str">
        <f>IF($B69="","",IF(COUNTIF('Competency Event Log'!$U$4:$U$803,$B69&amp;"|"&amp;CV$5)=0,"",SUMIF('Competency Event Log'!$U$4:$U$803,$B69&amp;"|"&amp;CV$5,'Competency Event Log'!$D$4:$D$803)))</f>
        <v/>
      </c>
      <c r="CW69" s="8" t="str">
        <f>IF($B69="","",IF(COUNTIF('Competency Event Log'!$U$4:$U$803,$B69&amp;"|"&amp;CW$5)=0,"",SUMIF('Competency Event Log'!$U$4:$U$803,$B69&amp;"|"&amp;CW$5,'Competency Event Log'!$D$4:$D$803)))</f>
        <v/>
      </c>
      <c r="CX69" s="8" t="str">
        <f>IF($B69="","",IF(COUNTIF('Competency Event Log'!$U$4:$U$803,$B69&amp;"|"&amp;CX$5)=0,"",SUMIF('Competency Event Log'!$U$4:$U$803,$B69&amp;"|"&amp;CX$5,'Competency Event Log'!$D$4:$D$803)))</f>
        <v/>
      </c>
      <c r="CY69" s="8" t="str">
        <f>IF($B69="","",IF(COUNTIF('Competency Event Log'!$U$4:$U$803,$B69&amp;"|"&amp;CY$5)=0,"",SUMIF('Competency Event Log'!$U$4:$U$803,$B69&amp;"|"&amp;CY$5,'Competency Event Log'!$D$4:$D$803)))</f>
        <v/>
      </c>
      <c r="CZ69" s="8" t="str">
        <f>IF($B69="","",IF(COUNTIF('Competency Event Log'!$U$4:$U$803,$B69&amp;"|"&amp;CZ$5)=0,"",SUMIF('Competency Event Log'!$U$4:$U$803,$B69&amp;"|"&amp;CZ$5,'Competency Event Log'!$D$4:$D$803)))</f>
        <v/>
      </c>
      <c r="DA69" s="8" t="str">
        <f>IF($B69="","",IF(COUNTIF('Competency Event Log'!$U$4:$U$803,$B69&amp;"|"&amp;DA$5)=0,"",SUMIF('Competency Event Log'!$U$4:$U$803,$B69&amp;"|"&amp;DA$5,'Competency Event Log'!$D$4:$D$803)))</f>
        <v/>
      </c>
      <c r="DB69" s="8" t="str">
        <f>IF($B69="","",IF(COUNTIF('Competency Event Log'!$U$4:$U$803,$B69&amp;"|"&amp;DB$5)=0,"",SUMIF('Competency Event Log'!$U$4:$U$803,$B69&amp;"|"&amp;DB$5,'Competency Event Log'!$D$4:$D$803)))</f>
        <v/>
      </c>
      <c r="DC69" s="8" t="str">
        <f>IF($B69="","",IF(COUNTIF('Competency Event Log'!$U$4:$U$803,$B69&amp;"|"&amp;DC$5)=0,"",SUMIF('Competency Event Log'!$U$4:$U$803,$B69&amp;"|"&amp;DC$5,'Competency Event Log'!$D$4:$D$803)))</f>
        <v/>
      </c>
      <c r="DD69" s="8" t="str">
        <f>IF($B69="","",IF(COUNTIF('Competency Event Log'!$U$4:$U$803,$B69&amp;"|"&amp;DD$5)=0,"",SUMIF('Competency Event Log'!$U$4:$U$803,$B69&amp;"|"&amp;DD$5,'Competency Event Log'!$D$4:$D$803)))</f>
        <v/>
      </c>
      <c r="DE69" s="8" t="str">
        <f>IF($B69="","",IF(COUNTIF('Competency Event Log'!$U$4:$U$803,$B69&amp;"|"&amp;DE$5)=0,"",SUMIF('Competency Event Log'!$U$4:$U$803,$B69&amp;"|"&amp;DE$5,'Competency Event Log'!$D$4:$D$803)))</f>
        <v/>
      </c>
      <c r="DF69" s="8" t="str">
        <f t="shared" si="4"/>
        <v/>
      </c>
      <c r="DG69" s="8" t="str">
        <f t="shared" si="5"/>
        <v/>
      </c>
      <c r="DH69" s="8" t="str">
        <f t="shared" si="6"/>
        <v/>
      </c>
      <c r="DI69" s="11" t="str">
        <f t="shared" si="7"/>
        <v/>
      </c>
    </row>
    <row r="70" spans="1:113">
      <c r="A70" s="7"/>
      <c r="B70" s="7"/>
      <c r="C70" s="8"/>
      <c r="D70" s="9"/>
      <c r="E70" s="10"/>
      <c r="F70" s="8"/>
      <c r="G70" s="8" t="str">
        <f>IF($B70="","",IF(COUNTIF('Competency Event Log'!$U$4:$U$803,$B70&amp;"|"&amp;G$5)=0,"",SUMIF('Competency Event Log'!$U$4:$U$803,$B70&amp;"|"&amp;G$5,'Competency Event Log'!$D$4:$D$803)))</f>
        <v/>
      </c>
      <c r="H70" s="8" t="str">
        <f>IF($B70="","",IF(COUNTIF('Competency Event Log'!$U$4:$U$803,$B70&amp;"|"&amp;H$5)=0,"",SUMIF('Competency Event Log'!$U$4:$U$803,$B70&amp;"|"&amp;H$5,'Competency Event Log'!$D$4:$D$803)))</f>
        <v/>
      </c>
      <c r="I70" s="8" t="str">
        <f>IF($B70="","",IF(COUNTIF('Competency Event Log'!$U$4:$U$803,$B70&amp;"|"&amp;I$5)=0,"",SUMIF('Competency Event Log'!$U$4:$U$803,$B70&amp;"|"&amp;I$5,'Competency Event Log'!$D$4:$D$803)))</f>
        <v/>
      </c>
      <c r="J70" s="8" t="str">
        <f>IF($B70="","",IF(COUNTIF('Competency Event Log'!$U$4:$U$803,$B70&amp;"|"&amp;J$5)=0,"",SUMIF('Competency Event Log'!$U$4:$U$803,$B70&amp;"|"&amp;J$5,'Competency Event Log'!$D$4:$D$803)))</f>
        <v/>
      </c>
      <c r="K70" s="8" t="str">
        <f>IF($B70="","",IF(COUNTIF('Competency Event Log'!$U$4:$U$803,$B70&amp;"|"&amp;K$5)=0,"",SUMIF('Competency Event Log'!$U$4:$U$803,$B70&amp;"|"&amp;K$5,'Competency Event Log'!$D$4:$D$803)))</f>
        <v/>
      </c>
      <c r="L70" s="8" t="str">
        <f>IF($B70="","",IF(COUNTIF('Competency Event Log'!$U$4:$U$803,$B70&amp;"|"&amp;L$5)=0,"",SUMIF('Competency Event Log'!$U$4:$U$803,$B70&amp;"|"&amp;L$5,'Competency Event Log'!$D$4:$D$803)))</f>
        <v/>
      </c>
      <c r="M70" s="8" t="str">
        <f>IF($B70="","",IF(COUNTIF('Competency Event Log'!$U$4:$U$803,$B70&amp;"|"&amp;M$5)=0,"",SUMIF('Competency Event Log'!$U$4:$U$803,$B70&amp;"|"&amp;M$5,'Competency Event Log'!$D$4:$D$803)))</f>
        <v/>
      </c>
      <c r="N70" s="8" t="str">
        <f>IF($B70="","",IF(COUNTIF('Competency Event Log'!$U$4:$U$803,$B70&amp;"|"&amp;N$5)=0,"",SUMIF('Competency Event Log'!$U$4:$U$803,$B70&amp;"|"&amp;N$5,'Competency Event Log'!$D$4:$D$803)))</f>
        <v/>
      </c>
      <c r="O70" s="8" t="str">
        <f>IF($B70="","",IF(COUNTIF('Competency Event Log'!$U$4:$U$803,$B70&amp;"|"&amp;O$5)=0,"",SUMIF('Competency Event Log'!$U$4:$U$803,$B70&amp;"|"&amp;O$5,'Competency Event Log'!$D$4:$D$803)))</f>
        <v/>
      </c>
      <c r="P70" s="8" t="str">
        <f>IF($B70="","",IF(COUNTIF('Competency Event Log'!$U$4:$U$803,$B70&amp;"|"&amp;P$5)=0,"",SUMIF('Competency Event Log'!$U$4:$U$803,$B70&amp;"|"&amp;P$5,'Competency Event Log'!$D$4:$D$803)))</f>
        <v/>
      </c>
      <c r="Q70" s="8" t="str">
        <f>IF($B70="","",IF(COUNTIF('Competency Event Log'!$U$4:$U$803,$B70&amp;"|"&amp;Q$5)=0,"",SUMIF('Competency Event Log'!$U$4:$U$803,$B70&amp;"|"&amp;Q$5,'Competency Event Log'!$D$4:$D$803)))</f>
        <v/>
      </c>
      <c r="R70" s="8" t="str">
        <f>IF($B70="","",IF(COUNTIF('Competency Event Log'!$U$4:$U$803,$B70&amp;"|"&amp;R$5)=0,"",SUMIF('Competency Event Log'!$U$4:$U$803,$B70&amp;"|"&amp;R$5,'Competency Event Log'!$D$4:$D$803)))</f>
        <v/>
      </c>
      <c r="S70" s="8" t="str">
        <f>IF($B70="","",IF(COUNTIF('Competency Event Log'!$U$4:$U$803,$B70&amp;"|"&amp;S$5)=0,"",SUMIF('Competency Event Log'!$U$4:$U$803,$B70&amp;"|"&amp;S$5,'Competency Event Log'!$D$4:$D$803)))</f>
        <v/>
      </c>
      <c r="T70" s="8" t="str">
        <f>IF($B70="","",IF(COUNTIF('Competency Event Log'!$U$4:$U$803,$B70&amp;"|"&amp;T$5)=0,"",SUMIF('Competency Event Log'!$U$4:$U$803,$B70&amp;"|"&amp;T$5,'Competency Event Log'!$D$4:$D$803)))</f>
        <v/>
      </c>
      <c r="U70" s="8" t="str">
        <f>IF($B70="","",IF(COUNTIF('Competency Event Log'!$U$4:$U$803,$B70&amp;"|"&amp;U$5)=0,"",SUMIF('Competency Event Log'!$U$4:$U$803,$B70&amp;"|"&amp;U$5,'Competency Event Log'!$D$4:$D$803)))</f>
        <v/>
      </c>
      <c r="V70" s="8" t="str">
        <f>IF($B70="","",IF(COUNTIF('Competency Event Log'!$U$4:$U$803,$B70&amp;"|"&amp;V$5)=0,"",SUMIF('Competency Event Log'!$U$4:$U$803,$B70&amp;"|"&amp;V$5,'Competency Event Log'!$D$4:$D$803)))</f>
        <v/>
      </c>
      <c r="W70" s="8" t="str">
        <f>IF($B70="","",IF(COUNTIF('Competency Event Log'!$U$4:$U$803,$B70&amp;"|"&amp;W$5)=0,"",SUMIF('Competency Event Log'!$U$4:$U$803,$B70&amp;"|"&amp;W$5,'Competency Event Log'!$D$4:$D$803)))</f>
        <v/>
      </c>
      <c r="X70" s="8" t="str">
        <f>IF($B70="","",IF(COUNTIF('Competency Event Log'!$U$4:$U$803,$B70&amp;"|"&amp;X$5)=0,"",SUMIF('Competency Event Log'!$U$4:$U$803,$B70&amp;"|"&amp;X$5,'Competency Event Log'!$D$4:$D$803)))</f>
        <v/>
      </c>
      <c r="Y70" s="8" t="str">
        <f>IF($B70="","",IF(COUNTIF('Competency Event Log'!$U$4:$U$803,$B70&amp;"|"&amp;Y$5)=0,"",SUMIF('Competency Event Log'!$U$4:$U$803,$B70&amp;"|"&amp;Y$5,'Competency Event Log'!$D$4:$D$803)))</f>
        <v/>
      </c>
      <c r="Z70" s="8" t="str">
        <f>IF($B70="","",IF(COUNTIF('Competency Event Log'!$U$4:$U$803,$B70&amp;"|"&amp;Z$5)=0,"",SUMIF('Competency Event Log'!$U$4:$U$803,$B70&amp;"|"&amp;Z$5,'Competency Event Log'!$D$4:$D$803)))</f>
        <v/>
      </c>
      <c r="AA70" s="8" t="str">
        <f>IF($B70="","",IF(COUNTIF('Competency Event Log'!$U$4:$U$803,$B70&amp;"|"&amp;AA$5)=0,"",SUMIF('Competency Event Log'!$U$4:$U$803,$B70&amp;"|"&amp;AA$5,'Competency Event Log'!$D$4:$D$803)))</f>
        <v/>
      </c>
      <c r="AB70" s="8" t="str">
        <f>IF($B70="","",IF(COUNTIF('Competency Event Log'!$U$4:$U$803,$B70&amp;"|"&amp;AB$5)=0,"",SUMIF('Competency Event Log'!$U$4:$U$803,$B70&amp;"|"&amp;AB$5,'Competency Event Log'!$D$4:$D$803)))</f>
        <v/>
      </c>
      <c r="AC70" s="8" t="str">
        <f>IF($B70="","",IF(COUNTIF('Competency Event Log'!$U$4:$U$803,$B70&amp;"|"&amp;AC$5)=0,"",SUMIF('Competency Event Log'!$U$4:$U$803,$B70&amp;"|"&amp;AC$5,'Competency Event Log'!$D$4:$D$803)))</f>
        <v/>
      </c>
      <c r="AD70" s="8" t="str">
        <f>IF($B70="","",IF(COUNTIF('Competency Event Log'!$U$4:$U$803,$B70&amp;"|"&amp;AD$5)=0,"",SUMIF('Competency Event Log'!$U$4:$U$803,$B70&amp;"|"&amp;AD$5,'Competency Event Log'!$D$4:$D$803)))</f>
        <v/>
      </c>
      <c r="AE70" s="8" t="str">
        <f>IF($B70="","",IF(COUNTIF('Competency Event Log'!$U$4:$U$803,$B70&amp;"|"&amp;AE$5)=0,"",SUMIF('Competency Event Log'!$U$4:$U$803,$B70&amp;"|"&amp;AE$5,'Competency Event Log'!$D$4:$D$803)))</f>
        <v/>
      </c>
      <c r="AF70" s="8" t="str">
        <f>IF($B70="","",IF(COUNTIF('Competency Event Log'!$U$4:$U$803,$B70&amp;"|"&amp;AF$5)=0,"",SUMIF('Competency Event Log'!$U$4:$U$803,$B70&amp;"|"&amp;AF$5,'Competency Event Log'!$D$4:$D$803)))</f>
        <v/>
      </c>
      <c r="AG70" s="8" t="str">
        <f>IF($B70="","",IF(COUNTIF('Competency Event Log'!$U$4:$U$803,$B70&amp;"|"&amp;AG$5)=0,"",SUMIF('Competency Event Log'!$U$4:$U$803,$B70&amp;"|"&amp;AG$5,'Competency Event Log'!$D$4:$D$803)))</f>
        <v/>
      </c>
      <c r="AH70" s="8" t="str">
        <f>IF($B70="","",IF(COUNTIF('Competency Event Log'!$U$4:$U$803,$B70&amp;"|"&amp;AH$5)=0,"",SUMIF('Competency Event Log'!$U$4:$U$803,$B70&amp;"|"&amp;AH$5,'Competency Event Log'!$D$4:$D$803)))</f>
        <v/>
      </c>
      <c r="AI70" s="8" t="str">
        <f>IF($B70="","",IF(COUNTIF('Competency Event Log'!$U$4:$U$803,$B70&amp;"|"&amp;AI$5)=0,"",SUMIF('Competency Event Log'!$U$4:$U$803,$B70&amp;"|"&amp;AI$5,'Competency Event Log'!$D$4:$D$803)))</f>
        <v/>
      </c>
      <c r="AJ70" s="8" t="str">
        <f>IF($B70="","",IF(COUNTIF('Competency Event Log'!$U$4:$U$803,$B70&amp;"|"&amp;AJ$5)=0,"",SUMIF('Competency Event Log'!$U$4:$U$803,$B70&amp;"|"&amp;AJ$5,'Competency Event Log'!$D$4:$D$803)))</f>
        <v/>
      </c>
      <c r="AK70" s="8" t="str">
        <f>IF($B70="","",IF(COUNTIF('Competency Event Log'!$U$4:$U$803,$B70&amp;"|"&amp;AK$5)=0,"",SUMIF('Competency Event Log'!$U$4:$U$803,$B70&amp;"|"&amp;AK$5,'Competency Event Log'!$D$4:$D$803)))</f>
        <v/>
      </c>
      <c r="AL70" s="8" t="str">
        <f>IF($B70="","",IF(COUNTIF('Competency Event Log'!$U$4:$U$803,$B70&amp;"|"&amp;AL$5)=0,"",SUMIF('Competency Event Log'!$U$4:$U$803,$B70&amp;"|"&amp;AL$5,'Competency Event Log'!$D$4:$D$803)))</f>
        <v/>
      </c>
      <c r="AM70" s="8" t="str">
        <f>IF($B70="","",IF(COUNTIF('Competency Event Log'!$U$4:$U$803,$B70&amp;"|"&amp;AM$5)=0,"",SUMIF('Competency Event Log'!$U$4:$U$803,$B70&amp;"|"&amp;AM$5,'Competency Event Log'!$D$4:$D$803)))</f>
        <v/>
      </c>
      <c r="AN70" s="8" t="str">
        <f>IF($B70="","",IF(COUNTIF('Competency Event Log'!$U$4:$U$803,$B70&amp;"|"&amp;AN$5)=0,"",SUMIF('Competency Event Log'!$U$4:$U$803,$B70&amp;"|"&amp;AN$5,'Competency Event Log'!$D$4:$D$803)))</f>
        <v/>
      </c>
      <c r="AO70" s="8" t="str">
        <f>IF($B70="","",IF(COUNTIF('Competency Event Log'!$U$4:$U$803,$B70&amp;"|"&amp;AO$5)=0,"",SUMIF('Competency Event Log'!$U$4:$U$803,$B70&amp;"|"&amp;AO$5,'Competency Event Log'!$D$4:$D$803)))</f>
        <v/>
      </c>
      <c r="AP70" s="8" t="str">
        <f>IF($B70="","",IF(COUNTIF('Competency Event Log'!$U$4:$U$803,$B70&amp;"|"&amp;AP$5)=0,"",SUMIF('Competency Event Log'!$U$4:$U$803,$B70&amp;"|"&amp;AP$5,'Competency Event Log'!$D$4:$D$803)))</f>
        <v/>
      </c>
      <c r="AQ70" s="8" t="str">
        <f>IF($B70="","",IF(COUNTIF('Competency Event Log'!$U$4:$U$803,$B70&amp;"|"&amp;AQ$5)=0,"",SUMIF('Competency Event Log'!$U$4:$U$803,$B70&amp;"|"&amp;AQ$5,'Competency Event Log'!$D$4:$D$803)))</f>
        <v/>
      </c>
      <c r="AR70" s="8" t="str">
        <f>IF($B70="","",IF(COUNTIF('Competency Event Log'!$U$4:$U$803,$B70&amp;"|"&amp;AR$5)=0,"",SUMIF('Competency Event Log'!$U$4:$U$803,$B70&amp;"|"&amp;AR$5,'Competency Event Log'!$D$4:$D$803)))</f>
        <v/>
      </c>
      <c r="AS70" s="8" t="str">
        <f>IF($B70="","",IF(COUNTIF('Competency Event Log'!$U$4:$U$803,$B70&amp;"|"&amp;AS$5)=0,"",SUMIF('Competency Event Log'!$U$4:$U$803,$B70&amp;"|"&amp;AS$5,'Competency Event Log'!$D$4:$D$803)))</f>
        <v/>
      </c>
      <c r="AT70" s="8" t="str">
        <f>IF($B70="","",IF(COUNTIF('Competency Event Log'!$U$4:$U$803,$B70&amp;"|"&amp;AT$5)=0,"",SUMIF('Competency Event Log'!$U$4:$U$803,$B70&amp;"|"&amp;AT$5,'Competency Event Log'!$D$4:$D$803)))</f>
        <v/>
      </c>
      <c r="AU70" s="8" t="str">
        <f>IF($B70="","",IF(COUNTIF('Competency Event Log'!$U$4:$U$803,$B70&amp;"|"&amp;AU$5)=0,"",SUMIF('Competency Event Log'!$U$4:$U$803,$B70&amp;"|"&amp;AU$5,'Competency Event Log'!$D$4:$D$803)))</f>
        <v/>
      </c>
      <c r="AV70" s="8" t="str">
        <f>IF($B70="","",IF(COUNTIF('Competency Event Log'!$U$4:$U$803,$B70&amp;"|"&amp;AV$5)=0,"",SUMIF('Competency Event Log'!$U$4:$U$803,$B70&amp;"|"&amp;AV$5,'Competency Event Log'!$D$4:$D$803)))</f>
        <v/>
      </c>
      <c r="AW70" s="8" t="str">
        <f>IF($B70="","",IF(COUNTIF('Competency Event Log'!$U$4:$U$803,$B70&amp;"|"&amp;AW$5)=0,"",SUMIF('Competency Event Log'!$U$4:$U$803,$B70&amp;"|"&amp;AW$5,'Competency Event Log'!$D$4:$D$803)))</f>
        <v/>
      </c>
      <c r="AX70" s="8" t="str">
        <f>IF($B70="","",IF(COUNTIF('Competency Event Log'!$U$4:$U$803,$B70&amp;"|"&amp;AX$5)=0,"",SUMIF('Competency Event Log'!$U$4:$U$803,$B70&amp;"|"&amp;AX$5,'Competency Event Log'!$D$4:$D$803)))</f>
        <v/>
      </c>
      <c r="AY70" s="8" t="str">
        <f>IF($B70="","",IF(COUNTIF('Competency Event Log'!$U$4:$U$803,$B70&amp;"|"&amp;AY$5)=0,"",SUMIF('Competency Event Log'!$U$4:$U$803,$B70&amp;"|"&amp;AY$5,'Competency Event Log'!$D$4:$D$803)))</f>
        <v/>
      </c>
      <c r="AZ70" s="8" t="str">
        <f>IF($B70="","",IF(COUNTIF('Competency Event Log'!$U$4:$U$803,$B70&amp;"|"&amp;AZ$5)=0,"",SUMIF('Competency Event Log'!$U$4:$U$803,$B70&amp;"|"&amp;AZ$5,'Competency Event Log'!$D$4:$D$803)))</f>
        <v/>
      </c>
      <c r="BA70" s="8" t="str">
        <f>IF($B70="","",IF(COUNTIF('Competency Event Log'!$U$4:$U$803,$B70&amp;"|"&amp;BA$5)=0,"",SUMIF('Competency Event Log'!$U$4:$U$803,$B70&amp;"|"&amp;BA$5,'Competency Event Log'!$D$4:$D$803)))</f>
        <v/>
      </c>
      <c r="BB70" s="8" t="str">
        <f>IF($B70="","",IF(COUNTIF('Competency Event Log'!$U$4:$U$803,$B70&amp;"|"&amp;BB$5)=0,"",SUMIF('Competency Event Log'!$U$4:$U$803,$B70&amp;"|"&amp;BB$5,'Competency Event Log'!$D$4:$D$803)))</f>
        <v/>
      </c>
      <c r="BC70" s="8" t="str">
        <f>IF($B70="","",IF(COUNTIF('Competency Event Log'!$U$4:$U$803,$B70&amp;"|"&amp;BC$5)=0,"",SUMIF('Competency Event Log'!$U$4:$U$803,$B70&amp;"|"&amp;BC$5,'Competency Event Log'!$D$4:$D$803)))</f>
        <v/>
      </c>
      <c r="BD70" s="8" t="str">
        <f>IF($B70="","",IF(COUNTIF('Competency Event Log'!$U$4:$U$803,$B70&amp;"|"&amp;BD$5)=0,"",SUMIF('Competency Event Log'!$U$4:$U$803,$B70&amp;"|"&amp;BD$5,'Competency Event Log'!$D$4:$D$803)))</f>
        <v/>
      </c>
      <c r="BE70" s="8" t="str">
        <f>IF($B70="","",IF(COUNTIF('Competency Event Log'!$U$4:$U$803,$B70&amp;"|"&amp;BE$5)=0,"",SUMIF('Competency Event Log'!$U$4:$U$803,$B70&amp;"|"&amp;BE$5,'Competency Event Log'!$D$4:$D$803)))</f>
        <v/>
      </c>
      <c r="BF70" s="8" t="str">
        <f>IF($B70="","",IF(COUNTIF('Competency Event Log'!$U$4:$U$803,$B70&amp;"|"&amp;BF$5)=0,"",SUMIF('Competency Event Log'!$U$4:$U$803,$B70&amp;"|"&amp;BF$5,'Competency Event Log'!$D$4:$D$803)))</f>
        <v/>
      </c>
      <c r="BG70" s="8" t="str">
        <f>IF($B70="","",IF(COUNTIF('Competency Event Log'!$U$4:$U$803,$B70&amp;"|"&amp;BG$5)=0,"",SUMIF('Competency Event Log'!$U$4:$U$803,$B70&amp;"|"&amp;BG$5,'Competency Event Log'!$D$4:$D$803)))</f>
        <v/>
      </c>
      <c r="BH70" s="8" t="str">
        <f>IF($B70="","",IF(COUNTIF('Competency Event Log'!$U$4:$U$803,$B70&amp;"|"&amp;BH$5)=0,"",SUMIF('Competency Event Log'!$U$4:$U$803,$B70&amp;"|"&amp;BH$5,'Competency Event Log'!$D$4:$D$803)))</f>
        <v/>
      </c>
      <c r="BI70" s="8" t="str">
        <f>IF($B70="","",IF(COUNTIF('Competency Event Log'!$U$4:$U$803,$B70&amp;"|"&amp;BI$5)=0,"",SUMIF('Competency Event Log'!$U$4:$U$803,$B70&amp;"|"&amp;BI$5,'Competency Event Log'!$D$4:$D$803)))</f>
        <v/>
      </c>
      <c r="BJ70" s="8" t="str">
        <f>IF($B70="","",IF(COUNTIF('Competency Event Log'!$U$4:$U$803,$B70&amp;"|"&amp;BJ$5)=0,"",SUMIF('Competency Event Log'!$U$4:$U$803,$B70&amp;"|"&amp;BJ$5,'Competency Event Log'!$D$4:$D$803)))</f>
        <v/>
      </c>
      <c r="BK70" s="8" t="str">
        <f>IF($B70="","",IF(COUNTIF('Competency Event Log'!$U$4:$U$803,$B70&amp;"|"&amp;BK$5)=0,"",SUMIF('Competency Event Log'!$U$4:$U$803,$B70&amp;"|"&amp;BK$5,'Competency Event Log'!$D$4:$D$803)))</f>
        <v/>
      </c>
      <c r="BL70" s="8" t="str">
        <f>IF($B70="","",IF(COUNTIF('Competency Event Log'!$U$4:$U$803,$B70&amp;"|"&amp;BL$5)=0,"",SUMIF('Competency Event Log'!$U$4:$U$803,$B70&amp;"|"&amp;BL$5,'Competency Event Log'!$D$4:$D$803)))</f>
        <v/>
      </c>
      <c r="BM70" s="8" t="str">
        <f>IF($B70="","",IF(COUNTIF('Competency Event Log'!$U$4:$U$803,$B70&amp;"|"&amp;BM$5)=0,"",SUMIF('Competency Event Log'!$U$4:$U$803,$B70&amp;"|"&amp;BM$5,'Competency Event Log'!$D$4:$D$803)))</f>
        <v/>
      </c>
      <c r="BN70" s="8" t="str">
        <f>IF($B70="","",IF(COUNTIF('Competency Event Log'!$U$4:$U$803,$B70&amp;"|"&amp;BN$5)=0,"",SUMIF('Competency Event Log'!$U$4:$U$803,$B70&amp;"|"&amp;BN$5,'Competency Event Log'!$D$4:$D$803)))</f>
        <v/>
      </c>
      <c r="BO70" s="8" t="str">
        <f>IF($B70="","",IF(COUNTIF('Competency Event Log'!$U$4:$U$803,$B70&amp;"|"&amp;BO$5)=0,"",SUMIF('Competency Event Log'!$U$4:$U$803,$B70&amp;"|"&amp;BO$5,'Competency Event Log'!$D$4:$D$803)))</f>
        <v/>
      </c>
      <c r="BP70" s="8" t="str">
        <f>IF($B70="","",IF(COUNTIF('Competency Event Log'!$U$4:$U$803,$B70&amp;"|"&amp;BP$5)=0,"",SUMIF('Competency Event Log'!$U$4:$U$803,$B70&amp;"|"&amp;BP$5,'Competency Event Log'!$D$4:$D$803)))</f>
        <v/>
      </c>
      <c r="BQ70" s="8" t="str">
        <f>IF($B70="","",IF(COUNTIF('Competency Event Log'!$U$4:$U$803,$B70&amp;"|"&amp;BQ$5)=0,"",SUMIF('Competency Event Log'!$U$4:$U$803,$B70&amp;"|"&amp;BQ$5,'Competency Event Log'!$D$4:$D$803)))</f>
        <v/>
      </c>
      <c r="BR70" s="8" t="str">
        <f>IF($B70="","",IF(COUNTIF('Competency Event Log'!$U$4:$U$803,$B70&amp;"|"&amp;BR$5)=0,"",SUMIF('Competency Event Log'!$U$4:$U$803,$B70&amp;"|"&amp;BR$5,'Competency Event Log'!$D$4:$D$803)))</f>
        <v/>
      </c>
      <c r="BS70" s="8" t="str">
        <f>IF($B70="","",IF(COUNTIF('Competency Event Log'!$U$4:$U$803,$B70&amp;"|"&amp;BS$5)=0,"",SUMIF('Competency Event Log'!$U$4:$U$803,$B70&amp;"|"&amp;BS$5,'Competency Event Log'!$D$4:$D$803)))</f>
        <v/>
      </c>
      <c r="BT70" s="8" t="str">
        <f>IF($B70="","",IF(COUNTIF('Competency Event Log'!$U$4:$U$803,$B70&amp;"|"&amp;BT$5)=0,"",SUMIF('Competency Event Log'!$U$4:$U$803,$B70&amp;"|"&amp;BT$5,'Competency Event Log'!$D$4:$D$803)))</f>
        <v/>
      </c>
      <c r="BU70" s="8" t="str">
        <f>IF($B70="","",IF(COUNTIF('Competency Event Log'!$U$4:$U$803,$B70&amp;"|"&amp;BU$5)=0,"",SUMIF('Competency Event Log'!$U$4:$U$803,$B70&amp;"|"&amp;BU$5,'Competency Event Log'!$D$4:$D$803)))</f>
        <v/>
      </c>
      <c r="BV70" s="8" t="str">
        <f>IF($B70="","",IF(COUNTIF('Competency Event Log'!$U$4:$U$803,$B70&amp;"|"&amp;BV$5)=0,"",SUMIF('Competency Event Log'!$U$4:$U$803,$B70&amp;"|"&amp;BV$5,'Competency Event Log'!$D$4:$D$803)))</f>
        <v/>
      </c>
      <c r="BW70" s="8" t="str">
        <f>IF($B70="","",IF(COUNTIF('Competency Event Log'!$U$4:$U$803,$B70&amp;"|"&amp;BW$5)=0,"",SUMIF('Competency Event Log'!$U$4:$U$803,$B70&amp;"|"&amp;BW$5,'Competency Event Log'!$D$4:$D$803)))</f>
        <v/>
      </c>
      <c r="BX70" s="8" t="str">
        <f>IF($B70="","",IF(COUNTIF('Competency Event Log'!$U$4:$U$803,$B70&amp;"|"&amp;BX$5)=0,"",SUMIF('Competency Event Log'!$U$4:$U$803,$B70&amp;"|"&amp;BX$5,'Competency Event Log'!$D$4:$D$803)))</f>
        <v/>
      </c>
      <c r="BY70" s="8" t="str">
        <f>IF($B70="","",IF(COUNTIF('Competency Event Log'!$U$4:$U$803,$B70&amp;"|"&amp;BY$5)=0,"",SUMIF('Competency Event Log'!$U$4:$U$803,$B70&amp;"|"&amp;BY$5,'Competency Event Log'!$D$4:$D$803)))</f>
        <v/>
      </c>
      <c r="BZ70" s="8" t="str">
        <f>IF($B70="","",IF(COUNTIF('Competency Event Log'!$U$4:$U$803,$B70&amp;"|"&amp;BZ$5)=0,"",SUMIF('Competency Event Log'!$U$4:$U$803,$B70&amp;"|"&amp;BZ$5,'Competency Event Log'!$D$4:$D$803)))</f>
        <v/>
      </c>
      <c r="CA70" s="8" t="str">
        <f>IF($B70="","",IF(COUNTIF('Competency Event Log'!$U$4:$U$803,$B70&amp;"|"&amp;CA$5)=0,"",SUMIF('Competency Event Log'!$U$4:$U$803,$B70&amp;"|"&amp;CA$5,'Competency Event Log'!$D$4:$D$803)))</f>
        <v/>
      </c>
      <c r="CB70" s="8" t="str">
        <f>IF($B70="","",IF(COUNTIF('Competency Event Log'!$U$4:$U$803,$B70&amp;"|"&amp;CB$5)=0,"",SUMIF('Competency Event Log'!$U$4:$U$803,$B70&amp;"|"&amp;CB$5,'Competency Event Log'!$D$4:$D$803)))</f>
        <v/>
      </c>
      <c r="CC70" s="8" t="str">
        <f>IF($B70="","",IF(COUNTIF('Competency Event Log'!$U$4:$U$803,$B70&amp;"|"&amp;CC$5)=0,"",SUMIF('Competency Event Log'!$U$4:$U$803,$B70&amp;"|"&amp;CC$5,'Competency Event Log'!$D$4:$D$803)))</f>
        <v/>
      </c>
      <c r="CD70" s="8" t="str">
        <f>IF($B70="","",IF(COUNTIF('Competency Event Log'!$U$4:$U$803,$B70&amp;"|"&amp;CD$5)=0,"",SUMIF('Competency Event Log'!$U$4:$U$803,$B70&amp;"|"&amp;CD$5,'Competency Event Log'!$D$4:$D$803)))</f>
        <v/>
      </c>
      <c r="CE70" s="8" t="str">
        <f>IF($B70="","",IF(COUNTIF('Competency Event Log'!$U$4:$U$803,$B70&amp;"|"&amp;CE$5)=0,"",SUMIF('Competency Event Log'!$U$4:$U$803,$B70&amp;"|"&amp;CE$5,'Competency Event Log'!$D$4:$D$803)))</f>
        <v/>
      </c>
      <c r="CF70" s="8" t="str">
        <f>IF($B70="","",IF(COUNTIF('Competency Event Log'!$U$4:$U$803,$B70&amp;"|"&amp;CF$5)=0,"",SUMIF('Competency Event Log'!$U$4:$U$803,$B70&amp;"|"&amp;CF$5,'Competency Event Log'!$D$4:$D$803)))</f>
        <v/>
      </c>
      <c r="CG70" s="8" t="str">
        <f>IF($B70="","",IF(COUNTIF('Competency Event Log'!$U$4:$U$803,$B70&amp;"|"&amp;CG$5)=0,"",SUMIF('Competency Event Log'!$U$4:$U$803,$B70&amp;"|"&amp;CG$5,'Competency Event Log'!$D$4:$D$803)))</f>
        <v/>
      </c>
      <c r="CH70" s="8" t="str">
        <f>IF($B70="","",IF(COUNTIF('Competency Event Log'!$U$4:$U$803,$B70&amp;"|"&amp;CH$5)=0,"",SUMIF('Competency Event Log'!$U$4:$U$803,$B70&amp;"|"&amp;CH$5,'Competency Event Log'!$D$4:$D$803)))</f>
        <v/>
      </c>
      <c r="CI70" s="8" t="str">
        <f>IF($B70="","",IF(COUNTIF('Competency Event Log'!$U$4:$U$803,$B70&amp;"|"&amp;CI$5)=0,"",SUMIF('Competency Event Log'!$U$4:$U$803,$B70&amp;"|"&amp;CI$5,'Competency Event Log'!$D$4:$D$803)))</f>
        <v/>
      </c>
      <c r="CJ70" s="8" t="str">
        <f>IF($B70="","",IF(COUNTIF('Competency Event Log'!$U$4:$U$803,$B70&amp;"|"&amp;CJ$5)=0,"",SUMIF('Competency Event Log'!$U$4:$U$803,$B70&amp;"|"&amp;CJ$5,'Competency Event Log'!$D$4:$D$803)))</f>
        <v/>
      </c>
      <c r="CK70" s="8" t="str">
        <f>IF($B70="","",IF(COUNTIF('Competency Event Log'!$U$4:$U$803,$B70&amp;"|"&amp;CK$5)=0,"",SUMIF('Competency Event Log'!$U$4:$U$803,$B70&amp;"|"&amp;CK$5,'Competency Event Log'!$D$4:$D$803)))</f>
        <v/>
      </c>
      <c r="CL70" s="8" t="str">
        <f>IF($B70="","",IF(COUNTIF('Competency Event Log'!$U$4:$U$803,$B70&amp;"|"&amp;CL$5)=0,"",SUMIF('Competency Event Log'!$U$4:$U$803,$B70&amp;"|"&amp;CL$5,'Competency Event Log'!$D$4:$D$803)))</f>
        <v/>
      </c>
      <c r="CM70" s="8" t="str">
        <f>IF($B70="","",IF(COUNTIF('Competency Event Log'!$U$4:$U$803,$B70&amp;"|"&amp;CM$5)=0,"",SUMIF('Competency Event Log'!$U$4:$U$803,$B70&amp;"|"&amp;CM$5,'Competency Event Log'!$D$4:$D$803)))</f>
        <v/>
      </c>
      <c r="CN70" s="8" t="str">
        <f>IF($B70="","",IF(COUNTIF('Competency Event Log'!$U$4:$U$803,$B70&amp;"|"&amp;CN$5)=0,"",SUMIF('Competency Event Log'!$U$4:$U$803,$B70&amp;"|"&amp;CN$5,'Competency Event Log'!$D$4:$D$803)))</f>
        <v/>
      </c>
      <c r="CO70" s="8" t="str">
        <f>IF($B70="","",IF(COUNTIF('Competency Event Log'!$U$4:$U$803,$B70&amp;"|"&amp;CO$5)=0,"",SUMIF('Competency Event Log'!$U$4:$U$803,$B70&amp;"|"&amp;CO$5,'Competency Event Log'!$D$4:$D$803)))</f>
        <v/>
      </c>
      <c r="CP70" s="8" t="str">
        <f>IF($B70="","",IF(COUNTIF('Competency Event Log'!$U$4:$U$803,$B70&amp;"|"&amp;CP$5)=0,"",SUMIF('Competency Event Log'!$U$4:$U$803,$B70&amp;"|"&amp;CP$5,'Competency Event Log'!$D$4:$D$803)))</f>
        <v/>
      </c>
      <c r="CQ70" s="8" t="str">
        <f>IF($B70="","",IF(COUNTIF('Competency Event Log'!$U$4:$U$803,$B70&amp;"|"&amp;CQ$5)=0,"",SUMIF('Competency Event Log'!$U$4:$U$803,$B70&amp;"|"&amp;CQ$5,'Competency Event Log'!$D$4:$D$803)))</f>
        <v/>
      </c>
      <c r="CR70" s="8" t="str">
        <f>IF($B70="","",IF(COUNTIF('Competency Event Log'!$U$4:$U$803,$B70&amp;"|"&amp;CR$5)=0,"",SUMIF('Competency Event Log'!$U$4:$U$803,$B70&amp;"|"&amp;CR$5,'Competency Event Log'!$D$4:$D$803)))</f>
        <v/>
      </c>
      <c r="CS70" s="8" t="str">
        <f>IF($B70="","",IF(COUNTIF('Competency Event Log'!$U$4:$U$803,$B70&amp;"|"&amp;CS$5)=0,"",SUMIF('Competency Event Log'!$U$4:$U$803,$B70&amp;"|"&amp;CS$5,'Competency Event Log'!$D$4:$D$803)))</f>
        <v/>
      </c>
      <c r="CT70" s="8" t="str">
        <f>IF($B70="","",IF(COUNTIF('Competency Event Log'!$U$4:$U$803,$B70&amp;"|"&amp;CT$5)=0,"",SUMIF('Competency Event Log'!$U$4:$U$803,$B70&amp;"|"&amp;CT$5,'Competency Event Log'!$D$4:$D$803)))</f>
        <v/>
      </c>
      <c r="CU70" s="8" t="str">
        <f>IF($B70="","",IF(COUNTIF('Competency Event Log'!$U$4:$U$803,$B70&amp;"|"&amp;CU$5)=0,"",SUMIF('Competency Event Log'!$U$4:$U$803,$B70&amp;"|"&amp;CU$5,'Competency Event Log'!$D$4:$D$803)))</f>
        <v/>
      </c>
      <c r="CV70" s="8" t="str">
        <f>IF($B70="","",IF(COUNTIF('Competency Event Log'!$U$4:$U$803,$B70&amp;"|"&amp;CV$5)=0,"",SUMIF('Competency Event Log'!$U$4:$U$803,$B70&amp;"|"&amp;CV$5,'Competency Event Log'!$D$4:$D$803)))</f>
        <v/>
      </c>
      <c r="CW70" s="8" t="str">
        <f>IF($B70="","",IF(COUNTIF('Competency Event Log'!$U$4:$U$803,$B70&amp;"|"&amp;CW$5)=0,"",SUMIF('Competency Event Log'!$U$4:$U$803,$B70&amp;"|"&amp;CW$5,'Competency Event Log'!$D$4:$D$803)))</f>
        <v/>
      </c>
      <c r="CX70" s="8" t="str">
        <f>IF($B70="","",IF(COUNTIF('Competency Event Log'!$U$4:$U$803,$B70&amp;"|"&amp;CX$5)=0,"",SUMIF('Competency Event Log'!$U$4:$U$803,$B70&amp;"|"&amp;CX$5,'Competency Event Log'!$D$4:$D$803)))</f>
        <v/>
      </c>
      <c r="CY70" s="8" t="str">
        <f>IF($B70="","",IF(COUNTIF('Competency Event Log'!$U$4:$U$803,$B70&amp;"|"&amp;CY$5)=0,"",SUMIF('Competency Event Log'!$U$4:$U$803,$B70&amp;"|"&amp;CY$5,'Competency Event Log'!$D$4:$D$803)))</f>
        <v/>
      </c>
      <c r="CZ70" s="8" t="str">
        <f>IF($B70="","",IF(COUNTIF('Competency Event Log'!$U$4:$U$803,$B70&amp;"|"&amp;CZ$5)=0,"",SUMIF('Competency Event Log'!$U$4:$U$803,$B70&amp;"|"&amp;CZ$5,'Competency Event Log'!$D$4:$D$803)))</f>
        <v/>
      </c>
      <c r="DA70" s="8" t="str">
        <f>IF($B70="","",IF(COUNTIF('Competency Event Log'!$U$4:$U$803,$B70&amp;"|"&amp;DA$5)=0,"",SUMIF('Competency Event Log'!$U$4:$U$803,$B70&amp;"|"&amp;DA$5,'Competency Event Log'!$D$4:$D$803)))</f>
        <v/>
      </c>
      <c r="DB70" s="8" t="str">
        <f>IF($B70="","",IF(COUNTIF('Competency Event Log'!$U$4:$U$803,$B70&amp;"|"&amp;DB$5)=0,"",SUMIF('Competency Event Log'!$U$4:$U$803,$B70&amp;"|"&amp;DB$5,'Competency Event Log'!$D$4:$D$803)))</f>
        <v/>
      </c>
      <c r="DC70" s="8" t="str">
        <f>IF($B70="","",IF(COUNTIF('Competency Event Log'!$U$4:$U$803,$B70&amp;"|"&amp;DC$5)=0,"",SUMIF('Competency Event Log'!$U$4:$U$803,$B70&amp;"|"&amp;DC$5,'Competency Event Log'!$D$4:$D$803)))</f>
        <v/>
      </c>
      <c r="DD70" s="8" t="str">
        <f>IF($B70="","",IF(COUNTIF('Competency Event Log'!$U$4:$U$803,$B70&amp;"|"&amp;DD$5)=0,"",SUMIF('Competency Event Log'!$U$4:$U$803,$B70&amp;"|"&amp;DD$5,'Competency Event Log'!$D$4:$D$803)))</f>
        <v/>
      </c>
      <c r="DE70" s="8" t="str">
        <f>IF($B70="","",IF(COUNTIF('Competency Event Log'!$U$4:$U$803,$B70&amp;"|"&amp;DE$5)=0,"",SUMIF('Competency Event Log'!$U$4:$U$803,$B70&amp;"|"&amp;DE$5,'Competency Event Log'!$D$4:$D$803)))</f>
        <v/>
      </c>
      <c r="DF70" s="8" t="str">
        <f t="shared" ref="DF70:DF101" si="8">IF($B70="","",SUM($G70:$DE70))</f>
        <v/>
      </c>
      <c r="DG70" s="8" t="str">
        <f t="shared" ref="DG70:DG101" si="9">IF($B70="","",COUNT($G70:$DE70))</f>
        <v/>
      </c>
      <c r="DH70" s="8" t="str">
        <f t="shared" ref="DH70:DH101" si="10">IF($B70="","",COUNTIF($G70:$DE70,3))</f>
        <v/>
      </c>
      <c r="DI70" s="11" t="str">
        <f t="shared" ref="DI70:DI101" si="11">IF($B70="","",IFERROR(SUMPRODUCT(--(($G$4:$DE$4=$A70)+($G$4:$DE$4="All Departments")&gt;0),--($G70:$DE70&lt;&gt;""))/(COUNTIF($G$4:$DE$4,$A70)+COUNTIF($G$4:$DE$4,"All Departments")),0))</f>
        <v/>
      </c>
    </row>
    <row r="71" spans="1:113">
      <c r="A71" s="7"/>
      <c r="B71" s="7"/>
      <c r="C71" s="8"/>
      <c r="D71" s="9"/>
      <c r="E71" s="10"/>
      <c r="F71" s="8"/>
      <c r="G71" s="8" t="str">
        <f>IF($B71="","",IF(COUNTIF('Competency Event Log'!$U$4:$U$803,$B71&amp;"|"&amp;G$5)=0,"",SUMIF('Competency Event Log'!$U$4:$U$803,$B71&amp;"|"&amp;G$5,'Competency Event Log'!$D$4:$D$803)))</f>
        <v/>
      </c>
      <c r="H71" s="8" t="str">
        <f>IF($B71="","",IF(COUNTIF('Competency Event Log'!$U$4:$U$803,$B71&amp;"|"&amp;H$5)=0,"",SUMIF('Competency Event Log'!$U$4:$U$803,$B71&amp;"|"&amp;H$5,'Competency Event Log'!$D$4:$D$803)))</f>
        <v/>
      </c>
      <c r="I71" s="8" t="str">
        <f>IF($B71="","",IF(COUNTIF('Competency Event Log'!$U$4:$U$803,$B71&amp;"|"&amp;I$5)=0,"",SUMIF('Competency Event Log'!$U$4:$U$803,$B71&amp;"|"&amp;I$5,'Competency Event Log'!$D$4:$D$803)))</f>
        <v/>
      </c>
      <c r="J71" s="8" t="str">
        <f>IF($B71="","",IF(COUNTIF('Competency Event Log'!$U$4:$U$803,$B71&amp;"|"&amp;J$5)=0,"",SUMIF('Competency Event Log'!$U$4:$U$803,$B71&amp;"|"&amp;J$5,'Competency Event Log'!$D$4:$D$803)))</f>
        <v/>
      </c>
      <c r="K71" s="8" t="str">
        <f>IF($B71="","",IF(COUNTIF('Competency Event Log'!$U$4:$U$803,$B71&amp;"|"&amp;K$5)=0,"",SUMIF('Competency Event Log'!$U$4:$U$803,$B71&amp;"|"&amp;K$5,'Competency Event Log'!$D$4:$D$803)))</f>
        <v/>
      </c>
      <c r="L71" s="8" t="str">
        <f>IF($B71="","",IF(COUNTIF('Competency Event Log'!$U$4:$U$803,$B71&amp;"|"&amp;L$5)=0,"",SUMIF('Competency Event Log'!$U$4:$U$803,$B71&amp;"|"&amp;L$5,'Competency Event Log'!$D$4:$D$803)))</f>
        <v/>
      </c>
      <c r="M71" s="8" t="str">
        <f>IF($B71="","",IF(COUNTIF('Competency Event Log'!$U$4:$U$803,$B71&amp;"|"&amp;M$5)=0,"",SUMIF('Competency Event Log'!$U$4:$U$803,$B71&amp;"|"&amp;M$5,'Competency Event Log'!$D$4:$D$803)))</f>
        <v/>
      </c>
      <c r="N71" s="8" t="str">
        <f>IF($B71="","",IF(COUNTIF('Competency Event Log'!$U$4:$U$803,$B71&amp;"|"&amp;N$5)=0,"",SUMIF('Competency Event Log'!$U$4:$U$803,$B71&amp;"|"&amp;N$5,'Competency Event Log'!$D$4:$D$803)))</f>
        <v/>
      </c>
      <c r="O71" s="8" t="str">
        <f>IF($B71="","",IF(COUNTIF('Competency Event Log'!$U$4:$U$803,$B71&amp;"|"&amp;O$5)=0,"",SUMIF('Competency Event Log'!$U$4:$U$803,$B71&amp;"|"&amp;O$5,'Competency Event Log'!$D$4:$D$803)))</f>
        <v/>
      </c>
      <c r="P71" s="8" t="str">
        <f>IF($B71="","",IF(COUNTIF('Competency Event Log'!$U$4:$U$803,$B71&amp;"|"&amp;P$5)=0,"",SUMIF('Competency Event Log'!$U$4:$U$803,$B71&amp;"|"&amp;P$5,'Competency Event Log'!$D$4:$D$803)))</f>
        <v/>
      </c>
      <c r="Q71" s="8" t="str">
        <f>IF($B71="","",IF(COUNTIF('Competency Event Log'!$U$4:$U$803,$B71&amp;"|"&amp;Q$5)=0,"",SUMIF('Competency Event Log'!$U$4:$U$803,$B71&amp;"|"&amp;Q$5,'Competency Event Log'!$D$4:$D$803)))</f>
        <v/>
      </c>
      <c r="R71" s="8" t="str">
        <f>IF($B71="","",IF(COUNTIF('Competency Event Log'!$U$4:$U$803,$B71&amp;"|"&amp;R$5)=0,"",SUMIF('Competency Event Log'!$U$4:$U$803,$B71&amp;"|"&amp;R$5,'Competency Event Log'!$D$4:$D$803)))</f>
        <v/>
      </c>
      <c r="S71" s="8" t="str">
        <f>IF($B71="","",IF(COUNTIF('Competency Event Log'!$U$4:$U$803,$B71&amp;"|"&amp;S$5)=0,"",SUMIF('Competency Event Log'!$U$4:$U$803,$B71&amp;"|"&amp;S$5,'Competency Event Log'!$D$4:$D$803)))</f>
        <v/>
      </c>
      <c r="T71" s="8" t="str">
        <f>IF($B71="","",IF(COUNTIF('Competency Event Log'!$U$4:$U$803,$B71&amp;"|"&amp;T$5)=0,"",SUMIF('Competency Event Log'!$U$4:$U$803,$B71&amp;"|"&amp;T$5,'Competency Event Log'!$D$4:$D$803)))</f>
        <v/>
      </c>
      <c r="U71" s="8" t="str">
        <f>IF($B71="","",IF(COUNTIF('Competency Event Log'!$U$4:$U$803,$B71&amp;"|"&amp;U$5)=0,"",SUMIF('Competency Event Log'!$U$4:$U$803,$B71&amp;"|"&amp;U$5,'Competency Event Log'!$D$4:$D$803)))</f>
        <v/>
      </c>
      <c r="V71" s="8" t="str">
        <f>IF($B71="","",IF(COUNTIF('Competency Event Log'!$U$4:$U$803,$B71&amp;"|"&amp;V$5)=0,"",SUMIF('Competency Event Log'!$U$4:$U$803,$B71&amp;"|"&amp;V$5,'Competency Event Log'!$D$4:$D$803)))</f>
        <v/>
      </c>
      <c r="W71" s="8" t="str">
        <f>IF($B71="","",IF(COUNTIF('Competency Event Log'!$U$4:$U$803,$B71&amp;"|"&amp;W$5)=0,"",SUMIF('Competency Event Log'!$U$4:$U$803,$B71&amp;"|"&amp;W$5,'Competency Event Log'!$D$4:$D$803)))</f>
        <v/>
      </c>
      <c r="X71" s="8" t="str">
        <f>IF($B71="","",IF(COUNTIF('Competency Event Log'!$U$4:$U$803,$B71&amp;"|"&amp;X$5)=0,"",SUMIF('Competency Event Log'!$U$4:$U$803,$B71&amp;"|"&amp;X$5,'Competency Event Log'!$D$4:$D$803)))</f>
        <v/>
      </c>
      <c r="Y71" s="8" t="str">
        <f>IF($B71="","",IF(COUNTIF('Competency Event Log'!$U$4:$U$803,$B71&amp;"|"&amp;Y$5)=0,"",SUMIF('Competency Event Log'!$U$4:$U$803,$B71&amp;"|"&amp;Y$5,'Competency Event Log'!$D$4:$D$803)))</f>
        <v/>
      </c>
      <c r="Z71" s="8" t="str">
        <f>IF($B71="","",IF(COUNTIF('Competency Event Log'!$U$4:$U$803,$B71&amp;"|"&amp;Z$5)=0,"",SUMIF('Competency Event Log'!$U$4:$U$803,$B71&amp;"|"&amp;Z$5,'Competency Event Log'!$D$4:$D$803)))</f>
        <v/>
      </c>
      <c r="AA71" s="8" t="str">
        <f>IF($B71="","",IF(COUNTIF('Competency Event Log'!$U$4:$U$803,$B71&amp;"|"&amp;AA$5)=0,"",SUMIF('Competency Event Log'!$U$4:$U$803,$B71&amp;"|"&amp;AA$5,'Competency Event Log'!$D$4:$D$803)))</f>
        <v/>
      </c>
      <c r="AB71" s="8" t="str">
        <f>IF($B71="","",IF(COUNTIF('Competency Event Log'!$U$4:$U$803,$B71&amp;"|"&amp;AB$5)=0,"",SUMIF('Competency Event Log'!$U$4:$U$803,$B71&amp;"|"&amp;AB$5,'Competency Event Log'!$D$4:$D$803)))</f>
        <v/>
      </c>
      <c r="AC71" s="8" t="str">
        <f>IF($B71="","",IF(COUNTIF('Competency Event Log'!$U$4:$U$803,$B71&amp;"|"&amp;AC$5)=0,"",SUMIF('Competency Event Log'!$U$4:$U$803,$B71&amp;"|"&amp;AC$5,'Competency Event Log'!$D$4:$D$803)))</f>
        <v/>
      </c>
      <c r="AD71" s="8" t="str">
        <f>IF($B71="","",IF(COUNTIF('Competency Event Log'!$U$4:$U$803,$B71&amp;"|"&amp;AD$5)=0,"",SUMIF('Competency Event Log'!$U$4:$U$803,$B71&amp;"|"&amp;AD$5,'Competency Event Log'!$D$4:$D$803)))</f>
        <v/>
      </c>
      <c r="AE71" s="8" t="str">
        <f>IF($B71="","",IF(COUNTIF('Competency Event Log'!$U$4:$U$803,$B71&amp;"|"&amp;AE$5)=0,"",SUMIF('Competency Event Log'!$U$4:$U$803,$B71&amp;"|"&amp;AE$5,'Competency Event Log'!$D$4:$D$803)))</f>
        <v/>
      </c>
      <c r="AF71" s="8" t="str">
        <f>IF($B71="","",IF(COUNTIF('Competency Event Log'!$U$4:$U$803,$B71&amp;"|"&amp;AF$5)=0,"",SUMIF('Competency Event Log'!$U$4:$U$803,$B71&amp;"|"&amp;AF$5,'Competency Event Log'!$D$4:$D$803)))</f>
        <v/>
      </c>
      <c r="AG71" s="8" t="str">
        <f>IF($B71="","",IF(COUNTIF('Competency Event Log'!$U$4:$U$803,$B71&amp;"|"&amp;AG$5)=0,"",SUMIF('Competency Event Log'!$U$4:$U$803,$B71&amp;"|"&amp;AG$5,'Competency Event Log'!$D$4:$D$803)))</f>
        <v/>
      </c>
      <c r="AH71" s="8" t="str">
        <f>IF($B71="","",IF(COUNTIF('Competency Event Log'!$U$4:$U$803,$B71&amp;"|"&amp;AH$5)=0,"",SUMIF('Competency Event Log'!$U$4:$U$803,$B71&amp;"|"&amp;AH$5,'Competency Event Log'!$D$4:$D$803)))</f>
        <v/>
      </c>
      <c r="AI71" s="8" t="str">
        <f>IF($B71="","",IF(COUNTIF('Competency Event Log'!$U$4:$U$803,$B71&amp;"|"&amp;AI$5)=0,"",SUMIF('Competency Event Log'!$U$4:$U$803,$B71&amp;"|"&amp;AI$5,'Competency Event Log'!$D$4:$D$803)))</f>
        <v/>
      </c>
      <c r="AJ71" s="8" t="str">
        <f>IF($B71="","",IF(COUNTIF('Competency Event Log'!$U$4:$U$803,$B71&amp;"|"&amp;AJ$5)=0,"",SUMIF('Competency Event Log'!$U$4:$U$803,$B71&amp;"|"&amp;AJ$5,'Competency Event Log'!$D$4:$D$803)))</f>
        <v/>
      </c>
      <c r="AK71" s="8" t="str">
        <f>IF($B71="","",IF(COUNTIF('Competency Event Log'!$U$4:$U$803,$B71&amp;"|"&amp;AK$5)=0,"",SUMIF('Competency Event Log'!$U$4:$U$803,$B71&amp;"|"&amp;AK$5,'Competency Event Log'!$D$4:$D$803)))</f>
        <v/>
      </c>
      <c r="AL71" s="8" t="str">
        <f>IF($B71="","",IF(COUNTIF('Competency Event Log'!$U$4:$U$803,$B71&amp;"|"&amp;AL$5)=0,"",SUMIF('Competency Event Log'!$U$4:$U$803,$B71&amp;"|"&amp;AL$5,'Competency Event Log'!$D$4:$D$803)))</f>
        <v/>
      </c>
      <c r="AM71" s="8" t="str">
        <f>IF($B71="","",IF(COUNTIF('Competency Event Log'!$U$4:$U$803,$B71&amp;"|"&amp;AM$5)=0,"",SUMIF('Competency Event Log'!$U$4:$U$803,$B71&amp;"|"&amp;AM$5,'Competency Event Log'!$D$4:$D$803)))</f>
        <v/>
      </c>
      <c r="AN71" s="8" t="str">
        <f>IF($B71="","",IF(COUNTIF('Competency Event Log'!$U$4:$U$803,$B71&amp;"|"&amp;AN$5)=0,"",SUMIF('Competency Event Log'!$U$4:$U$803,$B71&amp;"|"&amp;AN$5,'Competency Event Log'!$D$4:$D$803)))</f>
        <v/>
      </c>
      <c r="AO71" s="8" t="str">
        <f>IF($B71="","",IF(COUNTIF('Competency Event Log'!$U$4:$U$803,$B71&amp;"|"&amp;AO$5)=0,"",SUMIF('Competency Event Log'!$U$4:$U$803,$B71&amp;"|"&amp;AO$5,'Competency Event Log'!$D$4:$D$803)))</f>
        <v/>
      </c>
      <c r="AP71" s="8" t="str">
        <f>IF($B71="","",IF(COUNTIF('Competency Event Log'!$U$4:$U$803,$B71&amp;"|"&amp;AP$5)=0,"",SUMIF('Competency Event Log'!$U$4:$U$803,$B71&amp;"|"&amp;AP$5,'Competency Event Log'!$D$4:$D$803)))</f>
        <v/>
      </c>
      <c r="AQ71" s="8" t="str">
        <f>IF($B71="","",IF(COUNTIF('Competency Event Log'!$U$4:$U$803,$B71&amp;"|"&amp;AQ$5)=0,"",SUMIF('Competency Event Log'!$U$4:$U$803,$B71&amp;"|"&amp;AQ$5,'Competency Event Log'!$D$4:$D$803)))</f>
        <v/>
      </c>
      <c r="AR71" s="8" t="str">
        <f>IF($B71="","",IF(COUNTIF('Competency Event Log'!$U$4:$U$803,$B71&amp;"|"&amp;AR$5)=0,"",SUMIF('Competency Event Log'!$U$4:$U$803,$B71&amp;"|"&amp;AR$5,'Competency Event Log'!$D$4:$D$803)))</f>
        <v/>
      </c>
      <c r="AS71" s="8" t="str">
        <f>IF($B71="","",IF(COUNTIF('Competency Event Log'!$U$4:$U$803,$B71&amp;"|"&amp;AS$5)=0,"",SUMIF('Competency Event Log'!$U$4:$U$803,$B71&amp;"|"&amp;AS$5,'Competency Event Log'!$D$4:$D$803)))</f>
        <v/>
      </c>
      <c r="AT71" s="8" t="str">
        <f>IF($B71="","",IF(COUNTIF('Competency Event Log'!$U$4:$U$803,$B71&amp;"|"&amp;AT$5)=0,"",SUMIF('Competency Event Log'!$U$4:$U$803,$B71&amp;"|"&amp;AT$5,'Competency Event Log'!$D$4:$D$803)))</f>
        <v/>
      </c>
      <c r="AU71" s="8" t="str">
        <f>IF($B71="","",IF(COUNTIF('Competency Event Log'!$U$4:$U$803,$B71&amp;"|"&amp;AU$5)=0,"",SUMIF('Competency Event Log'!$U$4:$U$803,$B71&amp;"|"&amp;AU$5,'Competency Event Log'!$D$4:$D$803)))</f>
        <v/>
      </c>
      <c r="AV71" s="8" t="str">
        <f>IF($B71="","",IF(COUNTIF('Competency Event Log'!$U$4:$U$803,$B71&amp;"|"&amp;AV$5)=0,"",SUMIF('Competency Event Log'!$U$4:$U$803,$B71&amp;"|"&amp;AV$5,'Competency Event Log'!$D$4:$D$803)))</f>
        <v/>
      </c>
      <c r="AW71" s="8" t="str">
        <f>IF($B71="","",IF(COUNTIF('Competency Event Log'!$U$4:$U$803,$B71&amp;"|"&amp;AW$5)=0,"",SUMIF('Competency Event Log'!$U$4:$U$803,$B71&amp;"|"&amp;AW$5,'Competency Event Log'!$D$4:$D$803)))</f>
        <v/>
      </c>
      <c r="AX71" s="8" t="str">
        <f>IF($B71="","",IF(COUNTIF('Competency Event Log'!$U$4:$U$803,$B71&amp;"|"&amp;AX$5)=0,"",SUMIF('Competency Event Log'!$U$4:$U$803,$B71&amp;"|"&amp;AX$5,'Competency Event Log'!$D$4:$D$803)))</f>
        <v/>
      </c>
      <c r="AY71" s="8" t="str">
        <f>IF($B71="","",IF(COUNTIF('Competency Event Log'!$U$4:$U$803,$B71&amp;"|"&amp;AY$5)=0,"",SUMIF('Competency Event Log'!$U$4:$U$803,$B71&amp;"|"&amp;AY$5,'Competency Event Log'!$D$4:$D$803)))</f>
        <v/>
      </c>
      <c r="AZ71" s="8" t="str">
        <f>IF($B71="","",IF(COUNTIF('Competency Event Log'!$U$4:$U$803,$B71&amp;"|"&amp;AZ$5)=0,"",SUMIF('Competency Event Log'!$U$4:$U$803,$B71&amp;"|"&amp;AZ$5,'Competency Event Log'!$D$4:$D$803)))</f>
        <v/>
      </c>
      <c r="BA71" s="8" t="str">
        <f>IF($B71="","",IF(COUNTIF('Competency Event Log'!$U$4:$U$803,$B71&amp;"|"&amp;BA$5)=0,"",SUMIF('Competency Event Log'!$U$4:$U$803,$B71&amp;"|"&amp;BA$5,'Competency Event Log'!$D$4:$D$803)))</f>
        <v/>
      </c>
      <c r="BB71" s="8" t="str">
        <f>IF($B71="","",IF(COUNTIF('Competency Event Log'!$U$4:$U$803,$B71&amp;"|"&amp;BB$5)=0,"",SUMIF('Competency Event Log'!$U$4:$U$803,$B71&amp;"|"&amp;BB$5,'Competency Event Log'!$D$4:$D$803)))</f>
        <v/>
      </c>
      <c r="BC71" s="8" t="str">
        <f>IF($B71="","",IF(COUNTIF('Competency Event Log'!$U$4:$U$803,$B71&amp;"|"&amp;BC$5)=0,"",SUMIF('Competency Event Log'!$U$4:$U$803,$B71&amp;"|"&amp;BC$5,'Competency Event Log'!$D$4:$D$803)))</f>
        <v/>
      </c>
      <c r="BD71" s="8" t="str">
        <f>IF($B71="","",IF(COUNTIF('Competency Event Log'!$U$4:$U$803,$B71&amp;"|"&amp;BD$5)=0,"",SUMIF('Competency Event Log'!$U$4:$U$803,$B71&amp;"|"&amp;BD$5,'Competency Event Log'!$D$4:$D$803)))</f>
        <v/>
      </c>
      <c r="BE71" s="8" t="str">
        <f>IF($B71="","",IF(COUNTIF('Competency Event Log'!$U$4:$U$803,$B71&amp;"|"&amp;BE$5)=0,"",SUMIF('Competency Event Log'!$U$4:$U$803,$B71&amp;"|"&amp;BE$5,'Competency Event Log'!$D$4:$D$803)))</f>
        <v/>
      </c>
      <c r="BF71" s="8" t="str">
        <f>IF($B71="","",IF(COUNTIF('Competency Event Log'!$U$4:$U$803,$B71&amp;"|"&amp;BF$5)=0,"",SUMIF('Competency Event Log'!$U$4:$U$803,$B71&amp;"|"&amp;BF$5,'Competency Event Log'!$D$4:$D$803)))</f>
        <v/>
      </c>
      <c r="BG71" s="8" t="str">
        <f>IF($B71="","",IF(COUNTIF('Competency Event Log'!$U$4:$U$803,$B71&amp;"|"&amp;BG$5)=0,"",SUMIF('Competency Event Log'!$U$4:$U$803,$B71&amp;"|"&amp;BG$5,'Competency Event Log'!$D$4:$D$803)))</f>
        <v/>
      </c>
      <c r="BH71" s="8" t="str">
        <f>IF($B71="","",IF(COUNTIF('Competency Event Log'!$U$4:$U$803,$B71&amp;"|"&amp;BH$5)=0,"",SUMIF('Competency Event Log'!$U$4:$U$803,$B71&amp;"|"&amp;BH$5,'Competency Event Log'!$D$4:$D$803)))</f>
        <v/>
      </c>
      <c r="BI71" s="8" t="str">
        <f>IF($B71="","",IF(COUNTIF('Competency Event Log'!$U$4:$U$803,$B71&amp;"|"&amp;BI$5)=0,"",SUMIF('Competency Event Log'!$U$4:$U$803,$B71&amp;"|"&amp;BI$5,'Competency Event Log'!$D$4:$D$803)))</f>
        <v/>
      </c>
      <c r="BJ71" s="8" t="str">
        <f>IF($B71="","",IF(COUNTIF('Competency Event Log'!$U$4:$U$803,$B71&amp;"|"&amp;BJ$5)=0,"",SUMIF('Competency Event Log'!$U$4:$U$803,$B71&amp;"|"&amp;BJ$5,'Competency Event Log'!$D$4:$D$803)))</f>
        <v/>
      </c>
      <c r="BK71" s="8" t="str">
        <f>IF($B71="","",IF(COUNTIF('Competency Event Log'!$U$4:$U$803,$B71&amp;"|"&amp;BK$5)=0,"",SUMIF('Competency Event Log'!$U$4:$U$803,$B71&amp;"|"&amp;BK$5,'Competency Event Log'!$D$4:$D$803)))</f>
        <v/>
      </c>
      <c r="BL71" s="8" t="str">
        <f>IF($B71="","",IF(COUNTIF('Competency Event Log'!$U$4:$U$803,$B71&amp;"|"&amp;BL$5)=0,"",SUMIF('Competency Event Log'!$U$4:$U$803,$B71&amp;"|"&amp;BL$5,'Competency Event Log'!$D$4:$D$803)))</f>
        <v/>
      </c>
      <c r="BM71" s="8" t="str">
        <f>IF($B71="","",IF(COUNTIF('Competency Event Log'!$U$4:$U$803,$B71&amp;"|"&amp;BM$5)=0,"",SUMIF('Competency Event Log'!$U$4:$U$803,$B71&amp;"|"&amp;BM$5,'Competency Event Log'!$D$4:$D$803)))</f>
        <v/>
      </c>
      <c r="BN71" s="8" t="str">
        <f>IF($B71="","",IF(COUNTIF('Competency Event Log'!$U$4:$U$803,$B71&amp;"|"&amp;BN$5)=0,"",SUMIF('Competency Event Log'!$U$4:$U$803,$B71&amp;"|"&amp;BN$5,'Competency Event Log'!$D$4:$D$803)))</f>
        <v/>
      </c>
      <c r="BO71" s="8" t="str">
        <f>IF($B71="","",IF(COUNTIF('Competency Event Log'!$U$4:$U$803,$B71&amp;"|"&amp;BO$5)=0,"",SUMIF('Competency Event Log'!$U$4:$U$803,$B71&amp;"|"&amp;BO$5,'Competency Event Log'!$D$4:$D$803)))</f>
        <v/>
      </c>
      <c r="BP71" s="8" t="str">
        <f>IF($B71="","",IF(COUNTIF('Competency Event Log'!$U$4:$U$803,$B71&amp;"|"&amp;BP$5)=0,"",SUMIF('Competency Event Log'!$U$4:$U$803,$B71&amp;"|"&amp;BP$5,'Competency Event Log'!$D$4:$D$803)))</f>
        <v/>
      </c>
      <c r="BQ71" s="8" t="str">
        <f>IF($B71="","",IF(COUNTIF('Competency Event Log'!$U$4:$U$803,$B71&amp;"|"&amp;BQ$5)=0,"",SUMIF('Competency Event Log'!$U$4:$U$803,$B71&amp;"|"&amp;BQ$5,'Competency Event Log'!$D$4:$D$803)))</f>
        <v/>
      </c>
      <c r="BR71" s="8" t="str">
        <f>IF($B71="","",IF(COUNTIF('Competency Event Log'!$U$4:$U$803,$B71&amp;"|"&amp;BR$5)=0,"",SUMIF('Competency Event Log'!$U$4:$U$803,$B71&amp;"|"&amp;BR$5,'Competency Event Log'!$D$4:$D$803)))</f>
        <v/>
      </c>
      <c r="BS71" s="8" t="str">
        <f>IF($B71="","",IF(COUNTIF('Competency Event Log'!$U$4:$U$803,$B71&amp;"|"&amp;BS$5)=0,"",SUMIF('Competency Event Log'!$U$4:$U$803,$B71&amp;"|"&amp;BS$5,'Competency Event Log'!$D$4:$D$803)))</f>
        <v/>
      </c>
      <c r="BT71" s="8" t="str">
        <f>IF($B71="","",IF(COUNTIF('Competency Event Log'!$U$4:$U$803,$B71&amp;"|"&amp;BT$5)=0,"",SUMIF('Competency Event Log'!$U$4:$U$803,$B71&amp;"|"&amp;BT$5,'Competency Event Log'!$D$4:$D$803)))</f>
        <v/>
      </c>
      <c r="BU71" s="8" t="str">
        <f>IF($B71="","",IF(COUNTIF('Competency Event Log'!$U$4:$U$803,$B71&amp;"|"&amp;BU$5)=0,"",SUMIF('Competency Event Log'!$U$4:$U$803,$B71&amp;"|"&amp;BU$5,'Competency Event Log'!$D$4:$D$803)))</f>
        <v/>
      </c>
      <c r="BV71" s="8" t="str">
        <f>IF($B71="","",IF(COUNTIF('Competency Event Log'!$U$4:$U$803,$B71&amp;"|"&amp;BV$5)=0,"",SUMIF('Competency Event Log'!$U$4:$U$803,$B71&amp;"|"&amp;BV$5,'Competency Event Log'!$D$4:$D$803)))</f>
        <v/>
      </c>
      <c r="BW71" s="8" t="str">
        <f>IF($B71="","",IF(COUNTIF('Competency Event Log'!$U$4:$U$803,$B71&amp;"|"&amp;BW$5)=0,"",SUMIF('Competency Event Log'!$U$4:$U$803,$B71&amp;"|"&amp;BW$5,'Competency Event Log'!$D$4:$D$803)))</f>
        <v/>
      </c>
      <c r="BX71" s="8" t="str">
        <f>IF($B71="","",IF(COUNTIF('Competency Event Log'!$U$4:$U$803,$B71&amp;"|"&amp;BX$5)=0,"",SUMIF('Competency Event Log'!$U$4:$U$803,$B71&amp;"|"&amp;BX$5,'Competency Event Log'!$D$4:$D$803)))</f>
        <v/>
      </c>
      <c r="BY71" s="8" t="str">
        <f>IF($B71="","",IF(COUNTIF('Competency Event Log'!$U$4:$U$803,$B71&amp;"|"&amp;BY$5)=0,"",SUMIF('Competency Event Log'!$U$4:$U$803,$B71&amp;"|"&amp;BY$5,'Competency Event Log'!$D$4:$D$803)))</f>
        <v/>
      </c>
      <c r="BZ71" s="8" t="str">
        <f>IF($B71="","",IF(COUNTIF('Competency Event Log'!$U$4:$U$803,$B71&amp;"|"&amp;BZ$5)=0,"",SUMIF('Competency Event Log'!$U$4:$U$803,$B71&amp;"|"&amp;BZ$5,'Competency Event Log'!$D$4:$D$803)))</f>
        <v/>
      </c>
      <c r="CA71" s="8" t="str">
        <f>IF($B71="","",IF(COUNTIF('Competency Event Log'!$U$4:$U$803,$B71&amp;"|"&amp;CA$5)=0,"",SUMIF('Competency Event Log'!$U$4:$U$803,$B71&amp;"|"&amp;CA$5,'Competency Event Log'!$D$4:$D$803)))</f>
        <v/>
      </c>
      <c r="CB71" s="8" t="str">
        <f>IF($B71="","",IF(COUNTIF('Competency Event Log'!$U$4:$U$803,$B71&amp;"|"&amp;CB$5)=0,"",SUMIF('Competency Event Log'!$U$4:$U$803,$B71&amp;"|"&amp;CB$5,'Competency Event Log'!$D$4:$D$803)))</f>
        <v/>
      </c>
      <c r="CC71" s="8" t="str">
        <f>IF($B71="","",IF(COUNTIF('Competency Event Log'!$U$4:$U$803,$B71&amp;"|"&amp;CC$5)=0,"",SUMIF('Competency Event Log'!$U$4:$U$803,$B71&amp;"|"&amp;CC$5,'Competency Event Log'!$D$4:$D$803)))</f>
        <v/>
      </c>
      <c r="CD71" s="8" t="str">
        <f>IF($B71="","",IF(COUNTIF('Competency Event Log'!$U$4:$U$803,$B71&amp;"|"&amp;CD$5)=0,"",SUMIF('Competency Event Log'!$U$4:$U$803,$B71&amp;"|"&amp;CD$5,'Competency Event Log'!$D$4:$D$803)))</f>
        <v/>
      </c>
      <c r="CE71" s="8" t="str">
        <f>IF($B71="","",IF(COUNTIF('Competency Event Log'!$U$4:$U$803,$B71&amp;"|"&amp;CE$5)=0,"",SUMIF('Competency Event Log'!$U$4:$U$803,$B71&amp;"|"&amp;CE$5,'Competency Event Log'!$D$4:$D$803)))</f>
        <v/>
      </c>
      <c r="CF71" s="8" t="str">
        <f>IF($B71="","",IF(COUNTIF('Competency Event Log'!$U$4:$U$803,$B71&amp;"|"&amp;CF$5)=0,"",SUMIF('Competency Event Log'!$U$4:$U$803,$B71&amp;"|"&amp;CF$5,'Competency Event Log'!$D$4:$D$803)))</f>
        <v/>
      </c>
      <c r="CG71" s="8" t="str">
        <f>IF($B71="","",IF(COUNTIF('Competency Event Log'!$U$4:$U$803,$B71&amp;"|"&amp;CG$5)=0,"",SUMIF('Competency Event Log'!$U$4:$U$803,$B71&amp;"|"&amp;CG$5,'Competency Event Log'!$D$4:$D$803)))</f>
        <v/>
      </c>
      <c r="CH71" s="8" t="str">
        <f>IF($B71="","",IF(COUNTIF('Competency Event Log'!$U$4:$U$803,$B71&amp;"|"&amp;CH$5)=0,"",SUMIF('Competency Event Log'!$U$4:$U$803,$B71&amp;"|"&amp;CH$5,'Competency Event Log'!$D$4:$D$803)))</f>
        <v/>
      </c>
      <c r="CI71" s="8" t="str">
        <f>IF($B71="","",IF(COUNTIF('Competency Event Log'!$U$4:$U$803,$B71&amp;"|"&amp;CI$5)=0,"",SUMIF('Competency Event Log'!$U$4:$U$803,$B71&amp;"|"&amp;CI$5,'Competency Event Log'!$D$4:$D$803)))</f>
        <v/>
      </c>
      <c r="CJ71" s="8" t="str">
        <f>IF($B71="","",IF(COUNTIF('Competency Event Log'!$U$4:$U$803,$B71&amp;"|"&amp;CJ$5)=0,"",SUMIF('Competency Event Log'!$U$4:$U$803,$B71&amp;"|"&amp;CJ$5,'Competency Event Log'!$D$4:$D$803)))</f>
        <v/>
      </c>
      <c r="CK71" s="8" t="str">
        <f>IF($B71="","",IF(COUNTIF('Competency Event Log'!$U$4:$U$803,$B71&amp;"|"&amp;CK$5)=0,"",SUMIF('Competency Event Log'!$U$4:$U$803,$B71&amp;"|"&amp;CK$5,'Competency Event Log'!$D$4:$D$803)))</f>
        <v/>
      </c>
      <c r="CL71" s="8" t="str">
        <f>IF($B71="","",IF(COUNTIF('Competency Event Log'!$U$4:$U$803,$B71&amp;"|"&amp;CL$5)=0,"",SUMIF('Competency Event Log'!$U$4:$U$803,$B71&amp;"|"&amp;CL$5,'Competency Event Log'!$D$4:$D$803)))</f>
        <v/>
      </c>
      <c r="CM71" s="8" t="str">
        <f>IF($B71="","",IF(COUNTIF('Competency Event Log'!$U$4:$U$803,$B71&amp;"|"&amp;CM$5)=0,"",SUMIF('Competency Event Log'!$U$4:$U$803,$B71&amp;"|"&amp;CM$5,'Competency Event Log'!$D$4:$D$803)))</f>
        <v/>
      </c>
      <c r="CN71" s="8" t="str">
        <f>IF($B71="","",IF(COUNTIF('Competency Event Log'!$U$4:$U$803,$B71&amp;"|"&amp;CN$5)=0,"",SUMIF('Competency Event Log'!$U$4:$U$803,$B71&amp;"|"&amp;CN$5,'Competency Event Log'!$D$4:$D$803)))</f>
        <v/>
      </c>
      <c r="CO71" s="8" t="str">
        <f>IF($B71="","",IF(COUNTIF('Competency Event Log'!$U$4:$U$803,$B71&amp;"|"&amp;CO$5)=0,"",SUMIF('Competency Event Log'!$U$4:$U$803,$B71&amp;"|"&amp;CO$5,'Competency Event Log'!$D$4:$D$803)))</f>
        <v/>
      </c>
      <c r="CP71" s="8" t="str">
        <f>IF($B71="","",IF(COUNTIF('Competency Event Log'!$U$4:$U$803,$B71&amp;"|"&amp;CP$5)=0,"",SUMIF('Competency Event Log'!$U$4:$U$803,$B71&amp;"|"&amp;CP$5,'Competency Event Log'!$D$4:$D$803)))</f>
        <v/>
      </c>
      <c r="CQ71" s="8" t="str">
        <f>IF($B71="","",IF(COUNTIF('Competency Event Log'!$U$4:$U$803,$B71&amp;"|"&amp;CQ$5)=0,"",SUMIF('Competency Event Log'!$U$4:$U$803,$B71&amp;"|"&amp;CQ$5,'Competency Event Log'!$D$4:$D$803)))</f>
        <v/>
      </c>
      <c r="CR71" s="8" t="str">
        <f>IF($B71="","",IF(COUNTIF('Competency Event Log'!$U$4:$U$803,$B71&amp;"|"&amp;CR$5)=0,"",SUMIF('Competency Event Log'!$U$4:$U$803,$B71&amp;"|"&amp;CR$5,'Competency Event Log'!$D$4:$D$803)))</f>
        <v/>
      </c>
      <c r="CS71" s="8" t="str">
        <f>IF($B71="","",IF(COUNTIF('Competency Event Log'!$U$4:$U$803,$B71&amp;"|"&amp;CS$5)=0,"",SUMIF('Competency Event Log'!$U$4:$U$803,$B71&amp;"|"&amp;CS$5,'Competency Event Log'!$D$4:$D$803)))</f>
        <v/>
      </c>
      <c r="CT71" s="8" t="str">
        <f>IF($B71="","",IF(COUNTIF('Competency Event Log'!$U$4:$U$803,$B71&amp;"|"&amp;CT$5)=0,"",SUMIF('Competency Event Log'!$U$4:$U$803,$B71&amp;"|"&amp;CT$5,'Competency Event Log'!$D$4:$D$803)))</f>
        <v/>
      </c>
      <c r="CU71" s="8" t="str">
        <f>IF($B71="","",IF(COUNTIF('Competency Event Log'!$U$4:$U$803,$B71&amp;"|"&amp;CU$5)=0,"",SUMIF('Competency Event Log'!$U$4:$U$803,$B71&amp;"|"&amp;CU$5,'Competency Event Log'!$D$4:$D$803)))</f>
        <v/>
      </c>
      <c r="CV71" s="8" t="str">
        <f>IF($B71="","",IF(COUNTIF('Competency Event Log'!$U$4:$U$803,$B71&amp;"|"&amp;CV$5)=0,"",SUMIF('Competency Event Log'!$U$4:$U$803,$B71&amp;"|"&amp;CV$5,'Competency Event Log'!$D$4:$D$803)))</f>
        <v/>
      </c>
      <c r="CW71" s="8" t="str">
        <f>IF($B71="","",IF(COUNTIF('Competency Event Log'!$U$4:$U$803,$B71&amp;"|"&amp;CW$5)=0,"",SUMIF('Competency Event Log'!$U$4:$U$803,$B71&amp;"|"&amp;CW$5,'Competency Event Log'!$D$4:$D$803)))</f>
        <v/>
      </c>
      <c r="CX71" s="8" t="str">
        <f>IF($B71="","",IF(COUNTIF('Competency Event Log'!$U$4:$U$803,$B71&amp;"|"&amp;CX$5)=0,"",SUMIF('Competency Event Log'!$U$4:$U$803,$B71&amp;"|"&amp;CX$5,'Competency Event Log'!$D$4:$D$803)))</f>
        <v/>
      </c>
      <c r="CY71" s="8" t="str">
        <f>IF($B71="","",IF(COUNTIF('Competency Event Log'!$U$4:$U$803,$B71&amp;"|"&amp;CY$5)=0,"",SUMIF('Competency Event Log'!$U$4:$U$803,$B71&amp;"|"&amp;CY$5,'Competency Event Log'!$D$4:$D$803)))</f>
        <v/>
      </c>
      <c r="CZ71" s="8" t="str">
        <f>IF($B71="","",IF(COUNTIF('Competency Event Log'!$U$4:$U$803,$B71&amp;"|"&amp;CZ$5)=0,"",SUMIF('Competency Event Log'!$U$4:$U$803,$B71&amp;"|"&amp;CZ$5,'Competency Event Log'!$D$4:$D$803)))</f>
        <v/>
      </c>
      <c r="DA71" s="8" t="str">
        <f>IF($B71="","",IF(COUNTIF('Competency Event Log'!$U$4:$U$803,$B71&amp;"|"&amp;DA$5)=0,"",SUMIF('Competency Event Log'!$U$4:$U$803,$B71&amp;"|"&amp;DA$5,'Competency Event Log'!$D$4:$D$803)))</f>
        <v/>
      </c>
      <c r="DB71" s="8" t="str">
        <f>IF($B71="","",IF(COUNTIF('Competency Event Log'!$U$4:$U$803,$B71&amp;"|"&amp;DB$5)=0,"",SUMIF('Competency Event Log'!$U$4:$U$803,$B71&amp;"|"&amp;DB$5,'Competency Event Log'!$D$4:$D$803)))</f>
        <v/>
      </c>
      <c r="DC71" s="8" t="str">
        <f>IF($B71="","",IF(COUNTIF('Competency Event Log'!$U$4:$U$803,$B71&amp;"|"&amp;DC$5)=0,"",SUMIF('Competency Event Log'!$U$4:$U$803,$B71&amp;"|"&amp;DC$5,'Competency Event Log'!$D$4:$D$803)))</f>
        <v/>
      </c>
      <c r="DD71" s="8" t="str">
        <f>IF($B71="","",IF(COUNTIF('Competency Event Log'!$U$4:$U$803,$B71&amp;"|"&amp;DD$5)=0,"",SUMIF('Competency Event Log'!$U$4:$U$803,$B71&amp;"|"&amp;DD$5,'Competency Event Log'!$D$4:$D$803)))</f>
        <v/>
      </c>
      <c r="DE71" s="8" t="str">
        <f>IF($B71="","",IF(COUNTIF('Competency Event Log'!$U$4:$U$803,$B71&amp;"|"&amp;DE$5)=0,"",SUMIF('Competency Event Log'!$U$4:$U$803,$B71&amp;"|"&amp;DE$5,'Competency Event Log'!$D$4:$D$803)))</f>
        <v/>
      </c>
      <c r="DF71" s="8" t="str">
        <f t="shared" si="8"/>
        <v/>
      </c>
      <c r="DG71" s="8" t="str">
        <f t="shared" si="9"/>
        <v/>
      </c>
      <c r="DH71" s="8" t="str">
        <f t="shared" si="10"/>
        <v/>
      </c>
      <c r="DI71" s="11" t="str">
        <f t="shared" si="11"/>
        <v/>
      </c>
    </row>
    <row r="72" spans="1:113">
      <c r="A72" s="7"/>
      <c r="B72" s="7"/>
      <c r="C72" s="8"/>
      <c r="D72" s="9"/>
      <c r="E72" s="10"/>
      <c r="F72" s="8"/>
      <c r="G72" s="8" t="str">
        <f>IF($B72="","",IF(COUNTIF('Competency Event Log'!$U$4:$U$803,$B72&amp;"|"&amp;G$5)=0,"",SUMIF('Competency Event Log'!$U$4:$U$803,$B72&amp;"|"&amp;G$5,'Competency Event Log'!$D$4:$D$803)))</f>
        <v/>
      </c>
      <c r="H72" s="8" t="str">
        <f>IF($B72="","",IF(COUNTIF('Competency Event Log'!$U$4:$U$803,$B72&amp;"|"&amp;H$5)=0,"",SUMIF('Competency Event Log'!$U$4:$U$803,$B72&amp;"|"&amp;H$5,'Competency Event Log'!$D$4:$D$803)))</f>
        <v/>
      </c>
      <c r="I72" s="8" t="str">
        <f>IF($B72="","",IF(COUNTIF('Competency Event Log'!$U$4:$U$803,$B72&amp;"|"&amp;I$5)=0,"",SUMIF('Competency Event Log'!$U$4:$U$803,$B72&amp;"|"&amp;I$5,'Competency Event Log'!$D$4:$D$803)))</f>
        <v/>
      </c>
      <c r="J72" s="8" t="str">
        <f>IF($B72="","",IF(COUNTIF('Competency Event Log'!$U$4:$U$803,$B72&amp;"|"&amp;J$5)=0,"",SUMIF('Competency Event Log'!$U$4:$U$803,$B72&amp;"|"&amp;J$5,'Competency Event Log'!$D$4:$D$803)))</f>
        <v/>
      </c>
      <c r="K72" s="8" t="str">
        <f>IF($B72="","",IF(COUNTIF('Competency Event Log'!$U$4:$U$803,$B72&amp;"|"&amp;K$5)=0,"",SUMIF('Competency Event Log'!$U$4:$U$803,$B72&amp;"|"&amp;K$5,'Competency Event Log'!$D$4:$D$803)))</f>
        <v/>
      </c>
      <c r="L72" s="8" t="str">
        <f>IF($B72="","",IF(COUNTIF('Competency Event Log'!$U$4:$U$803,$B72&amp;"|"&amp;L$5)=0,"",SUMIF('Competency Event Log'!$U$4:$U$803,$B72&amp;"|"&amp;L$5,'Competency Event Log'!$D$4:$D$803)))</f>
        <v/>
      </c>
      <c r="M72" s="8" t="str">
        <f>IF($B72="","",IF(COUNTIF('Competency Event Log'!$U$4:$U$803,$B72&amp;"|"&amp;M$5)=0,"",SUMIF('Competency Event Log'!$U$4:$U$803,$B72&amp;"|"&amp;M$5,'Competency Event Log'!$D$4:$D$803)))</f>
        <v/>
      </c>
      <c r="N72" s="8" t="str">
        <f>IF($B72="","",IF(COUNTIF('Competency Event Log'!$U$4:$U$803,$B72&amp;"|"&amp;N$5)=0,"",SUMIF('Competency Event Log'!$U$4:$U$803,$B72&amp;"|"&amp;N$5,'Competency Event Log'!$D$4:$D$803)))</f>
        <v/>
      </c>
      <c r="O72" s="8" t="str">
        <f>IF($B72="","",IF(COUNTIF('Competency Event Log'!$U$4:$U$803,$B72&amp;"|"&amp;O$5)=0,"",SUMIF('Competency Event Log'!$U$4:$U$803,$B72&amp;"|"&amp;O$5,'Competency Event Log'!$D$4:$D$803)))</f>
        <v/>
      </c>
      <c r="P72" s="8" t="str">
        <f>IF($B72="","",IF(COUNTIF('Competency Event Log'!$U$4:$U$803,$B72&amp;"|"&amp;P$5)=0,"",SUMIF('Competency Event Log'!$U$4:$U$803,$B72&amp;"|"&amp;P$5,'Competency Event Log'!$D$4:$D$803)))</f>
        <v/>
      </c>
      <c r="Q72" s="8" t="str">
        <f>IF($B72="","",IF(COUNTIF('Competency Event Log'!$U$4:$U$803,$B72&amp;"|"&amp;Q$5)=0,"",SUMIF('Competency Event Log'!$U$4:$U$803,$B72&amp;"|"&amp;Q$5,'Competency Event Log'!$D$4:$D$803)))</f>
        <v/>
      </c>
      <c r="R72" s="8" t="str">
        <f>IF($B72="","",IF(COUNTIF('Competency Event Log'!$U$4:$U$803,$B72&amp;"|"&amp;R$5)=0,"",SUMIF('Competency Event Log'!$U$4:$U$803,$B72&amp;"|"&amp;R$5,'Competency Event Log'!$D$4:$D$803)))</f>
        <v/>
      </c>
      <c r="S72" s="8" t="str">
        <f>IF($B72="","",IF(COUNTIF('Competency Event Log'!$U$4:$U$803,$B72&amp;"|"&amp;S$5)=0,"",SUMIF('Competency Event Log'!$U$4:$U$803,$B72&amp;"|"&amp;S$5,'Competency Event Log'!$D$4:$D$803)))</f>
        <v/>
      </c>
      <c r="T72" s="8" t="str">
        <f>IF($B72="","",IF(COUNTIF('Competency Event Log'!$U$4:$U$803,$B72&amp;"|"&amp;T$5)=0,"",SUMIF('Competency Event Log'!$U$4:$U$803,$B72&amp;"|"&amp;T$5,'Competency Event Log'!$D$4:$D$803)))</f>
        <v/>
      </c>
      <c r="U72" s="8" t="str">
        <f>IF($B72="","",IF(COUNTIF('Competency Event Log'!$U$4:$U$803,$B72&amp;"|"&amp;U$5)=0,"",SUMIF('Competency Event Log'!$U$4:$U$803,$B72&amp;"|"&amp;U$5,'Competency Event Log'!$D$4:$D$803)))</f>
        <v/>
      </c>
      <c r="V72" s="8" t="str">
        <f>IF($B72="","",IF(COUNTIF('Competency Event Log'!$U$4:$U$803,$B72&amp;"|"&amp;V$5)=0,"",SUMIF('Competency Event Log'!$U$4:$U$803,$B72&amp;"|"&amp;V$5,'Competency Event Log'!$D$4:$D$803)))</f>
        <v/>
      </c>
      <c r="W72" s="8" t="str">
        <f>IF($B72="","",IF(COUNTIF('Competency Event Log'!$U$4:$U$803,$B72&amp;"|"&amp;W$5)=0,"",SUMIF('Competency Event Log'!$U$4:$U$803,$B72&amp;"|"&amp;W$5,'Competency Event Log'!$D$4:$D$803)))</f>
        <v/>
      </c>
      <c r="X72" s="8" t="str">
        <f>IF($B72="","",IF(COUNTIF('Competency Event Log'!$U$4:$U$803,$B72&amp;"|"&amp;X$5)=0,"",SUMIF('Competency Event Log'!$U$4:$U$803,$B72&amp;"|"&amp;X$5,'Competency Event Log'!$D$4:$D$803)))</f>
        <v/>
      </c>
      <c r="Y72" s="8" t="str">
        <f>IF($B72="","",IF(COUNTIF('Competency Event Log'!$U$4:$U$803,$B72&amp;"|"&amp;Y$5)=0,"",SUMIF('Competency Event Log'!$U$4:$U$803,$B72&amp;"|"&amp;Y$5,'Competency Event Log'!$D$4:$D$803)))</f>
        <v/>
      </c>
      <c r="Z72" s="8" t="str">
        <f>IF($B72="","",IF(COUNTIF('Competency Event Log'!$U$4:$U$803,$B72&amp;"|"&amp;Z$5)=0,"",SUMIF('Competency Event Log'!$U$4:$U$803,$B72&amp;"|"&amp;Z$5,'Competency Event Log'!$D$4:$D$803)))</f>
        <v/>
      </c>
      <c r="AA72" s="8" t="str">
        <f>IF($B72="","",IF(COUNTIF('Competency Event Log'!$U$4:$U$803,$B72&amp;"|"&amp;AA$5)=0,"",SUMIF('Competency Event Log'!$U$4:$U$803,$B72&amp;"|"&amp;AA$5,'Competency Event Log'!$D$4:$D$803)))</f>
        <v/>
      </c>
      <c r="AB72" s="8" t="str">
        <f>IF($B72="","",IF(COUNTIF('Competency Event Log'!$U$4:$U$803,$B72&amp;"|"&amp;AB$5)=0,"",SUMIF('Competency Event Log'!$U$4:$U$803,$B72&amp;"|"&amp;AB$5,'Competency Event Log'!$D$4:$D$803)))</f>
        <v/>
      </c>
      <c r="AC72" s="8" t="str">
        <f>IF($B72="","",IF(COUNTIF('Competency Event Log'!$U$4:$U$803,$B72&amp;"|"&amp;AC$5)=0,"",SUMIF('Competency Event Log'!$U$4:$U$803,$B72&amp;"|"&amp;AC$5,'Competency Event Log'!$D$4:$D$803)))</f>
        <v/>
      </c>
      <c r="AD72" s="8" t="str">
        <f>IF($B72="","",IF(COUNTIF('Competency Event Log'!$U$4:$U$803,$B72&amp;"|"&amp;AD$5)=0,"",SUMIF('Competency Event Log'!$U$4:$U$803,$B72&amp;"|"&amp;AD$5,'Competency Event Log'!$D$4:$D$803)))</f>
        <v/>
      </c>
      <c r="AE72" s="8" t="str">
        <f>IF($B72="","",IF(COUNTIF('Competency Event Log'!$U$4:$U$803,$B72&amp;"|"&amp;AE$5)=0,"",SUMIF('Competency Event Log'!$U$4:$U$803,$B72&amp;"|"&amp;AE$5,'Competency Event Log'!$D$4:$D$803)))</f>
        <v/>
      </c>
      <c r="AF72" s="8" t="str">
        <f>IF($B72="","",IF(COUNTIF('Competency Event Log'!$U$4:$U$803,$B72&amp;"|"&amp;AF$5)=0,"",SUMIF('Competency Event Log'!$U$4:$U$803,$B72&amp;"|"&amp;AF$5,'Competency Event Log'!$D$4:$D$803)))</f>
        <v/>
      </c>
      <c r="AG72" s="8" t="str">
        <f>IF($B72="","",IF(COUNTIF('Competency Event Log'!$U$4:$U$803,$B72&amp;"|"&amp;AG$5)=0,"",SUMIF('Competency Event Log'!$U$4:$U$803,$B72&amp;"|"&amp;AG$5,'Competency Event Log'!$D$4:$D$803)))</f>
        <v/>
      </c>
      <c r="AH72" s="8" t="str">
        <f>IF($B72="","",IF(COUNTIF('Competency Event Log'!$U$4:$U$803,$B72&amp;"|"&amp;AH$5)=0,"",SUMIF('Competency Event Log'!$U$4:$U$803,$B72&amp;"|"&amp;AH$5,'Competency Event Log'!$D$4:$D$803)))</f>
        <v/>
      </c>
      <c r="AI72" s="8" t="str">
        <f>IF($B72="","",IF(COUNTIF('Competency Event Log'!$U$4:$U$803,$B72&amp;"|"&amp;AI$5)=0,"",SUMIF('Competency Event Log'!$U$4:$U$803,$B72&amp;"|"&amp;AI$5,'Competency Event Log'!$D$4:$D$803)))</f>
        <v/>
      </c>
      <c r="AJ72" s="8" t="str">
        <f>IF($B72="","",IF(COUNTIF('Competency Event Log'!$U$4:$U$803,$B72&amp;"|"&amp;AJ$5)=0,"",SUMIF('Competency Event Log'!$U$4:$U$803,$B72&amp;"|"&amp;AJ$5,'Competency Event Log'!$D$4:$D$803)))</f>
        <v/>
      </c>
      <c r="AK72" s="8" t="str">
        <f>IF($B72="","",IF(COUNTIF('Competency Event Log'!$U$4:$U$803,$B72&amp;"|"&amp;AK$5)=0,"",SUMIF('Competency Event Log'!$U$4:$U$803,$B72&amp;"|"&amp;AK$5,'Competency Event Log'!$D$4:$D$803)))</f>
        <v/>
      </c>
      <c r="AL72" s="8" t="str">
        <f>IF($B72="","",IF(COUNTIF('Competency Event Log'!$U$4:$U$803,$B72&amp;"|"&amp;AL$5)=0,"",SUMIF('Competency Event Log'!$U$4:$U$803,$B72&amp;"|"&amp;AL$5,'Competency Event Log'!$D$4:$D$803)))</f>
        <v/>
      </c>
      <c r="AM72" s="8" t="str">
        <f>IF($B72="","",IF(COUNTIF('Competency Event Log'!$U$4:$U$803,$B72&amp;"|"&amp;AM$5)=0,"",SUMIF('Competency Event Log'!$U$4:$U$803,$B72&amp;"|"&amp;AM$5,'Competency Event Log'!$D$4:$D$803)))</f>
        <v/>
      </c>
      <c r="AN72" s="8" t="str">
        <f>IF($B72="","",IF(COUNTIF('Competency Event Log'!$U$4:$U$803,$B72&amp;"|"&amp;AN$5)=0,"",SUMIF('Competency Event Log'!$U$4:$U$803,$B72&amp;"|"&amp;AN$5,'Competency Event Log'!$D$4:$D$803)))</f>
        <v/>
      </c>
      <c r="AO72" s="8" t="str">
        <f>IF($B72="","",IF(COUNTIF('Competency Event Log'!$U$4:$U$803,$B72&amp;"|"&amp;AO$5)=0,"",SUMIF('Competency Event Log'!$U$4:$U$803,$B72&amp;"|"&amp;AO$5,'Competency Event Log'!$D$4:$D$803)))</f>
        <v/>
      </c>
      <c r="AP72" s="8" t="str">
        <f>IF($B72="","",IF(COUNTIF('Competency Event Log'!$U$4:$U$803,$B72&amp;"|"&amp;AP$5)=0,"",SUMIF('Competency Event Log'!$U$4:$U$803,$B72&amp;"|"&amp;AP$5,'Competency Event Log'!$D$4:$D$803)))</f>
        <v/>
      </c>
      <c r="AQ72" s="8" t="str">
        <f>IF($B72="","",IF(COUNTIF('Competency Event Log'!$U$4:$U$803,$B72&amp;"|"&amp;AQ$5)=0,"",SUMIF('Competency Event Log'!$U$4:$U$803,$B72&amp;"|"&amp;AQ$5,'Competency Event Log'!$D$4:$D$803)))</f>
        <v/>
      </c>
      <c r="AR72" s="8" t="str">
        <f>IF($B72="","",IF(COUNTIF('Competency Event Log'!$U$4:$U$803,$B72&amp;"|"&amp;AR$5)=0,"",SUMIF('Competency Event Log'!$U$4:$U$803,$B72&amp;"|"&amp;AR$5,'Competency Event Log'!$D$4:$D$803)))</f>
        <v/>
      </c>
      <c r="AS72" s="8" t="str">
        <f>IF($B72="","",IF(COUNTIF('Competency Event Log'!$U$4:$U$803,$B72&amp;"|"&amp;AS$5)=0,"",SUMIF('Competency Event Log'!$U$4:$U$803,$B72&amp;"|"&amp;AS$5,'Competency Event Log'!$D$4:$D$803)))</f>
        <v/>
      </c>
      <c r="AT72" s="8" t="str">
        <f>IF($B72="","",IF(COUNTIF('Competency Event Log'!$U$4:$U$803,$B72&amp;"|"&amp;AT$5)=0,"",SUMIF('Competency Event Log'!$U$4:$U$803,$B72&amp;"|"&amp;AT$5,'Competency Event Log'!$D$4:$D$803)))</f>
        <v/>
      </c>
      <c r="AU72" s="8" t="str">
        <f>IF($B72="","",IF(COUNTIF('Competency Event Log'!$U$4:$U$803,$B72&amp;"|"&amp;AU$5)=0,"",SUMIF('Competency Event Log'!$U$4:$U$803,$B72&amp;"|"&amp;AU$5,'Competency Event Log'!$D$4:$D$803)))</f>
        <v/>
      </c>
      <c r="AV72" s="8" t="str">
        <f>IF($B72="","",IF(COUNTIF('Competency Event Log'!$U$4:$U$803,$B72&amp;"|"&amp;AV$5)=0,"",SUMIF('Competency Event Log'!$U$4:$U$803,$B72&amp;"|"&amp;AV$5,'Competency Event Log'!$D$4:$D$803)))</f>
        <v/>
      </c>
      <c r="AW72" s="8" t="str">
        <f>IF($B72="","",IF(COUNTIF('Competency Event Log'!$U$4:$U$803,$B72&amp;"|"&amp;AW$5)=0,"",SUMIF('Competency Event Log'!$U$4:$U$803,$B72&amp;"|"&amp;AW$5,'Competency Event Log'!$D$4:$D$803)))</f>
        <v/>
      </c>
      <c r="AX72" s="8" t="str">
        <f>IF($B72="","",IF(COUNTIF('Competency Event Log'!$U$4:$U$803,$B72&amp;"|"&amp;AX$5)=0,"",SUMIF('Competency Event Log'!$U$4:$U$803,$B72&amp;"|"&amp;AX$5,'Competency Event Log'!$D$4:$D$803)))</f>
        <v/>
      </c>
      <c r="AY72" s="8" t="str">
        <f>IF($B72="","",IF(COUNTIF('Competency Event Log'!$U$4:$U$803,$B72&amp;"|"&amp;AY$5)=0,"",SUMIF('Competency Event Log'!$U$4:$U$803,$B72&amp;"|"&amp;AY$5,'Competency Event Log'!$D$4:$D$803)))</f>
        <v/>
      </c>
      <c r="AZ72" s="8" t="str">
        <f>IF($B72="","",IF(COUNTIF('Competency Event Log'!$U$4:$U$803,$B72&amp;"|"&amp;AZ$5)=0,"",SUMIF('Competency Event Log'!$U$4:$U$803,$B72&amp;"|"&amp;AZ$5,'Competency Event Log'!$D$4:$D$803)))</f>
        <v/>
      </c>
      <c r="BA72" s="8" t="str">
        <f>IF($B72="","",IF(COUNTIF('Competency Event Log'!$U$4:$U$803,$B72&amp;"|"&amp;BA$5)=0,"",SUMIF('Competency Event Log'!$U$4:$U$803,$B72&amp;"|"&amp;BA$5,'Competency Event Log'!$D$4:$D$803)))</f>
        <v/>
      </c>
      <c r="BB72" s="8" t="str">
        <f>IF($B72="","",IF(COUNTIF('Competency Event Log'!$U$4:$U$803,$B72&amp;"|"&amp;BB$5)=0,"",SUMIF('Competency Event Log'!$U$4:$U$803,$B72&amp;"|"&amp;BB$5,'Competency Event Log'!$D$4:$D$803)))</f>
        <v/>
      </c>
      <c r="BC72" s="8" t="str">
        <f>IF($B72="","",IF(COUNTIF('Competency Event Log'!$U$4:$U$803,$B72&amp;"|"&amp;BC$5)=0,"",SUMIF('Competency Event Log'!$U$4:$U$803,$B72&amp;"|"&amp;BC$5,'Competency Event Log'!$D$4:$D$803)))</f>
        <v/>
      </c>
      <c r="BD72" s="8" t="str">
        <f>IF($B72="","",IF(COUNTIF('Competency Event Log'!$U$4:$U$803,$B72&amp;"|"&amp;BD$5)=0,"",SUMIF('Competency Event Log'!$U$4:$U$803,$B72&amp;"|"&amp;BD$5,'Competency Event Log'!$D$4:$D$803)))</f>
        <v/>
      </c>
      <c r="BE72" s="8" t="str">
        <f>IF($B72="","",IF(COUNTIF('Competency Event Log'!$U$4:$U$803,$B72&amp;"|"&amp;BE$5)=0,"",SUMIF('Competency Event Log'!$U$4:$U$803,$B72&amp;"|"&amp;BE$5,'Competency Event Log'!$D$4:$D$803)))</f>
        <v/>
      </c>
      <c r="BF72" s="8" t="str">
        <f>IF($B72="","",IF(COUNTIF('Competency Event Log'!$U$4:$U$803,$B72&amp;"|"&amp;BF$5)=0,"",SUMIF('Competency Event Log'!$U$4:$U$803,$B72&amp;"|"&amp;BF$5,'Competency Event Log'!$D$4:$D$803)))</f>
        <v/>
      </c>
      <c r="BG72" s="8" t="str">
        <f>IF($B72="","",IF(COUNTIF('Competency Event Log'!$U$4:$U$803,$B72&amp;"|"&amp;BG$5)=0,"",SUMIF('Competency Event Log'!$U$4:$U$803,$B72&amp;"|"&amp;BG$5,'Competency Event Log'!$D$4:$D$803)))</f>
        <v/>
      </c>
      <c r="BH72" s="8" t="str">
        <f>IF($B72="","",IF(COUNTIF('Competency Event Log'!$U$4:$U$803,$B72&amp;"|"&amp;BH$5)=0,"",SUMIF('Competency Event Log'!$U$4:$U$803,$B72&amp;"|"&amp;BH$5,'Competency Event Log'!$D$4:$D$803)))</f>
        <v/>
      </c>
      <c r="BI72" s="8" t="str">
        <f>IF($B72="","",IF(COUNTIF('Competency Event Log'!$U$4:$U$803,$B72&amp;"|"&amp;BI$5)=0,"",SUMIF('Competency Event Log'!$U$4:$U$803,$B72&amp;"|"&amp;BI$5,'Competency Event Log'!$D$4:$D$803)))</f>
        <v/>
      </c>
      <c r="BJ72" s="8" t="str">
        <f>IF($B72="","",IF(COUNTIF('Competency Event Log'!$U$4:$U$803,$B72&amp;"|"&amp;BJ$5)=0,"",SUMIF('Competency Event Log'!$U$4:$U$803,$B72&amp;"|"&amp;BJ$5,'Competency Event Log'!$D$4:$D$803)))</f>
        <v/>
      </c>
      <c r="BK72" s="8" t="str">
        <f>IF($B72="","",IF(COUNTIF('Competency Event Log'!$U$4:$U$803,$B72&amp;"|"&amp;BK$5)=0,"",SUMIF('Competency Event Log'!$U$4:$U$803,$B72&amp;"|"&amp;BK$5,'Competency Event Log'!$D$4:$D$803)))</f>
        <v/>
      </c>
      <c r="BL72" s="8" t="str">
        <f>IF($B72="","",IF(COUNTIF('Competency Event Log'!$U$4:$U$803,$B72&amp;"|"&amp;BL$5)=0,"",SUMIF('Competency Event Log'!$U$4:$U$803,$B72&amp;"|"&amp;BL$5,'Competency Event Log'!$D$4:$D$803)))</f>
        <v/>
      </c>
      <c r="BM72" s="8" t="str">
        <f>IF($B72="","",IF(COUNTIF('Competency Event Log'!$U$4:$U$803,$B72&amp;"|"&amp;BM$5)=0,"",SUMIF('Competency Event Log'!$U$4:$U$803,$B72&amp;"|"&amp;BM$5,'Competency Event Log'!$D$4:$D$803)))</f>
        <v/>
      </c>
      <c r="BN72" s="8" t="str">
        <f>IF($B72="","",IF(COUNTIF('Competency Event Log'!$U$4:$U$803,$B72&amp;"|"&amp;BN$5)=0,"",SUMIF('Competency Event Log'!$U$4:$U$803,$B72&amp;"|"&amp;BN$5,'Competency Event Log'!$D$4:$D$803)))</f>
        <v/>
      </c>
      <c r="BO72" s="8" t="str">
        <f>IF($B72="","",IF(COUNTIF('Competency Event Log'!$U$4:$U$803,$B72&amp;"|"&amp;BO$5)=0,"",SUMIF('Competency Event Log'!$U$4:$U$803,$B72&amp;"|"&amp;BO$5,'Competency Event Log'!$D$4:$D$803)))</f>
        <v/>
      </c>
      <c r="BP72" s="8" t="str">
        <f>IF($B72="","",IF(COUNTIF('Competency Event Log'!$U$4:$U$803,$B72&amp;"|"&amp;BP$5)=0,"",SUMIF('Competency Event Log'!$U$4:$U$803,$B72&amp;"|"&amp;BP$5,'Competency Event Log'!$D$4:$D$803)))</f>
        <v/>
      </c>
      <c r="BQ72" s="8" t="str">
        <f>IF($B72="","",IF(COUNTIF('Competency Event Log'!$U$4:$U$803,$B72&amp;"|"&amp;BQ$5)=0,"",SUMIF('Competency Event Log'!$U$4:$U$803,$B72&amp;"|"&amp;BQ$5,'Competency Event Log'!$D$4:$D$803)))</f>
        <v/>
      </c>
      <c r="BR72" s="8" t="str">
        <f>IF($B72="","",IF(COUNTIF('Competency Event Log'!$U$4:$U$803,$B72&amp;"|"&amp;BR$5)=0,"",SUMIF('Competency Event Log'!$U$4:$U$803,$B72&amp;"|"&amp;BR$5,'Competency Event Log'!$D$4:$D$803)))</f>
        <v/>
      </c>
      <c r="BS72" s="8" t="str">
        <f>IF($B72="","",IF(COUNTIF('Competency Event Log'!$U$4:$U$803,$B72&amp;"|"&amp;BS$5)=0,"",SUMIF('Competency Event Log'!$U$4:$U$803,$B72&amp;"|"&amp;BS$5,'Competency Event Log'!$D$4:$D$803)))</f>
        <v/>
      </c>
      <c r="BT72" s="8" t="str">
        <f>IF($B72="","",IF(COUNTIF('Competency Event Log'!$U$4:$U$803,$B72&amp;"|"&amp;BT$5)=0,"",SUMIF('Competency Event Log'!$U$4:$U$803,$B72&amp;"|"&amp;BT$5,'Competency Event Log'!$D$4:$D$803)))</f>
        <v/>
      </c>
      <c r="BU72" s="8" t="str">
        <f>IF($B72="","",IF(COUNTIF('Competency Event Log'!$U$4:$U$803,$B72&amp;"|"&amp;BU$5)=0,"",SUMIF('Competency Event Log'!$U$4:$U$803,$B72&amp;"|"&amp;BU$5,'Competency Event Log'!$D$4:$D$803)))</f>
        <v/>
      </c>
      <c r="BV72" s="8" t="str">
        <f>IF($B72="","",IF(COUNTIF('Competency Event Log'!$U$4:$U$803,$B72&amp;"|"&amp;BV$5)=0,"",SUMIF('Competency Event Log'!$U$4:$U$803,$B72&amp;"|"&amp;BV$5,'Competency Event Log'!$D$4:$D$803)))</f>
        <v/>
      </c>
      <c r="BW72" s="8" t="str">
        <f>IF($B72="","",IF(COUNTIF('Competency Event Log'!$U$4:$U$803,$B72&amp;"|"&amp;BW$5)=0,"",SUMIF('Competency Event Log'!$U$4:$U$803,$B72&amp;"|"&amp;BW$5,'Competency Event Log'!$D$4:$D$803)))</f>
        <v/>
      </c>
      <c r="BX72" s="8" t="str">
        <f>IF($B72="","",IF(COUNTIF('Competency Event Log'!$U$4:$U$803,$B72&amp;"|"&amp;BX$5)=0,"",SUMIF('Competency Event Log'!$U$4:$U$803,$B72&amp;"|"&amp;BX$5,'Competency Event Log'!$D$4:$D$803)))</f>
        <v/>
      </c>
      <c r="BY72" s="8" t="str">
        <f>IF($B72="","",IF(COUNTIF('Competency Event Log'!$U$4:$U$803,$B72&amp;"|"&amp;BY$5)=0,"",SUMIF('Competency Event Log'!$U$4:$U$803,$B72&amp;"|"&amp;BY$5,'Competency Event Log'!$D$4:$D$803)))</f>
        <v/>
      </c>
      <c r="BZ72" s="8" t="str">
        <f>IF($B72="","",IF(COUNTIF('Competency Event Log'!$U$4:$U$803,$B72&amp;"|"&amp;BZ$5)=0,"",SUMIF('Competency Event Log'!$U$4:$U$803,$B72&amp;"|"&amp;BZ$5,'Competency Event Log'!$D$4:$D$803)))</f>
        <v/>
      </c>
      <c r="CA72" s="8" t="str">
        <f>IF($B72="","",IF(COUNTIF('Competency Event Log'!$U$4:$U$803,$B72&amp;"|"&amp;CA$5)=0,"",SUMIF('Competency Event Log'!$U$4:$U$803,$B72&amp;"|"&amp;CA$5,'Competency Event Log'!$D$4:$D$803)))</f>
        <v/>
      </c>
      <c r="CB72" s="8" t="str">
        <f>IF($B72="","",IF(COUNTIF('Competency Event Log'!$U$4:$U$803,$B72&amp;"|"&amp;CB$5)=0,"",SUMIF('Competency Event Log'!$U$4:$U$803,$B72&amp;"|"&amp;CB$5,'Competency Event Log'!$D$4:$D$803)))</f>
        <v/>
      </c>
      <c r="CC72" s="8" t="str">
        <f>IF($B72="","",IF(COUNTIF('Competency Event Log'!$U$4:$U$803,$B72&amp;"|"&amp;CC$5)=0,"",SUMIF('Competency Event Log'!$U$4:$U$803,$B72&amp;"|"&amp;CC$5,'Competency Event Log'!$D$4:$D$803)))</f>
        <v/>
      </c>
      <c r="CD72" s="8" t="str">
        <f>IF($B72="","",IF(COUNTIF('Competency Event Log'!$U$4:$U$803,$B72&amp;"|"&amp;CD$5)=0,"",SUMIF('Competency Event Log'!$U$4:$U$803,$B72&amp;"|"&amp;CD$5,'Competency Event Log'!$D$4:$D$803)))</f>
        <v/>
      </c>
      <c r="CE72" s="8" t="str">
        <f>IF($B72="","",IF(COUNTIF('Competency Event Log'!$U$4:$U$803,$B72&amp;"|"&amp;CE$5)=0,"",SUMIF('Competency Event Log'!$U$4:$U$803,$B72&amp;"|"&amp;CE$5,'Competency Event Log'!$D$4:$D$803)))</f>
        <v/>
      </c>
      <c r="CF72" s="8" t="str">
        <f>IF($B72="","",IF(COUNTIF('Competency Event Log'!$U$4:$U$803,$B72&amp;"|"&amp;CF$5)=0,"",SUMIF('Competency Event Log'!$U$4:$U$803,$B72&amp;"|"&amp;CF$5,'Competency Event Log'!$D$4:$D$803)))</f>
        <v/>
      </c>
      <c r="CG72" s="8" t="str">
        <f>IF($B72="","",IF(COUNTIF('Competency Event Log'!$U$4:$U$803,$B72&amp;"|"&amp;CG$5)=0,"",SUMIF('Competency Event Log'!$U$4:$U$803,$B72&amp;"|"&amp;CG$5,'Competency Event Log'!$D$4:$D$803)))</f>
        <v/>
      </c>
      <c r="CH72" s="8" t="str">
        <f>IF($B72="","",IF(COUNTIF('Competency Event Log'!$U$4:$U$803,$B72&amp;"|"&amp;CH$5)=0,"",SUMIF('Competency Event Log'!$U$4:$U$803,$B72&amp;"|"&amp;CH$5,'Competency Event Log'!$D$4:$D$803)))</f>
        <v/>
      </c>
      <c r="CI72" s="8" t="str">
        <f>IF($B72="","",IF(COUNTIF('Competency Event Log'!$U$4:$U$803,$B72&amp;"|"&amp;CI$5)=0,"",SUMIF('Competency Event Log'!$U$4:$U$803,$B72&amp;"|"&amp;CI$5,'Competency Event Log'!$D$4:$D$803)))</f>
        <v/>
      </c>
      <c r="CJ72" s="8" t="str">
        <f>IF($B72="","",IF(COUNTIF('Competency Event Log'!$U$4:$U$803,$B72&amp;"|"&amp;CJ$5)=0,"",SUMIF('Competency Event Log'!$U$4:$U$803,$B72&amp;"|"&amp;CJ$5,'Competency Event Log'!$D$4:$D$803)))</f>
        <v/>
      </c>
      <c r="CK72" s="8" t="str">
        <f>IF($B72="","",IF(COUNTIF('Competency Event Log'!$U$4:$U$803,$B72&amp;"|"&amp;CK$5)=0,"",SUMIF('Competency Event Log'!$U$4:$U$803,$B72&amp;"|"&amp;CK$5,'Competency Event Log'!$D$4:$D$803)))</f>
        <v/>
      </c>
      <c r="CL72" s="8" t="str">
        <f>IF($B72="","",IF(COUNTIF('Competency Event Log'!$U$4:$U$803,$B72&amp;"|"&amp;CL$5)=0,"",SUMIF('Competency Event Log'!$U$4:$U$803,$B72&amp;"|"&amp;CL$5,'Competency Event Log'!$D$4:$D$803)))</f>
        <v/>
      </c>
      <c r="CM72" s="8" t="str">
        <f>IF($B72="","",IF(COUNTIF('Competency Event Log'!$U$4:$U$803,$B72&amp;"|"&amp;CM$5)=0,"",SUMIF('Competency Event Log'!$U$4:$U$803,$B72&amp;"|"&amp;CM$5,'Competency Event Log'!$D$4:$D$803)))</f>
        <v/>
      </c>
      <c r="CN72" s="8" t="str">
        <f>IF($B72="","",IF(COUNTIF('Competency Event Log'!$U$4:$U$803,$B72&amp;"|"&amp;CN$5)=0,"",SUMIF('Competency Event Log'!$U$4:$U$803,$B72&amp;"|"&amp;CN$5,'Competency Event Log'!$D$4:$D$803)))</f>
        <v/>
      </c>
      <c r="CO72" s="8" t="str">
        <f>IF($B72="","",IF(COUNTIF('Competency Event Log'!$U$4:$U$803,$B72&amp;"|"&amp;CO$5)=0,"",SUMIF('Competency Event Log'!$U$4:$U$803,$B72&amp;"|"&amp;CO$5,'Competency Event Log'!$D$4:$D$803)))</f>
        <v/>
      </c>
      <c r="CP72" s="8" t="str">
        <f>IF($B72="","",IF(COUNTIF('Competency Event Log'!$U$4:$U$803,$B72&amp;"|"&amp;CP$5)=0,"",SUMIF('Competency Event Log'!$U$4:$U$803,$B72&amp;"|"&amp;CP$5,'Competency Event Log'!$D$4:$D$803)))</f>
        <v/>
      </c>
      <c r="CQ72" s="8" t="str">
        <f>IF($B72="","",IF(COUNTIF('Competency Event Log'!$U$4:$U$803,$B72&amp;"|"&amp;CQ$5)=0,"",SUMIF('Competency Event Log'!$U$4:$U$803,$B72&amp;"|"&amp;CQ$5,'Competency Event Log'!$D$4:$D$803)))</f>
        <v/>
      </c>
      <c r="CR72" s="8" t="str">
        <f>IF($B72="","",IF(COUNTIF('Competency Event Log'!$U$4:$U$803,$B72&amp;"|"&amp;CR$5)=0,"",SUMIF('Competency Event Log'!$U$4:$U$803,$B72&amp;"|"&amp;CR$5,'Competency Event Log'!$D$4:$D$803)))</f>
        <v/>
      </c>
      <c r="CS72" s="8" t="str">
        <f>IF($B72="","",IF(COUNTIF('Competency Event Log'!$U$4:$U$803,$B72&amp;"|"&amp;CS$5)=0,"",SUMIF('Competency Event Log'!$U$4:$U$803,$B72&amp;"|"&amp;CS$5,'Competency Event Log'!$D$4:$D$803)))</f>
        <v/>
      </c>
      <c r="CT72" s="8" t="str">
        <f>IF($B72="","",IF(COUNTIF('Competency Event Log'!$U$4:$U$803,$B72&amp;"|"&amp;CT$5)=0,"",SUMIF('Competency Event Log'!$U$4:$U$803,$B72&amp;"|"&amp;CT$5,'Competency Event Log'!$D$4:$D$803)))</f>
        <v/>
      </c>
      <c r="CU72" s="8" t="str">
        <f>IF($B72="","",IF(COUNTIF('Competency Event Log'!$U$4:$U$803,$B72&amp;"|"&amp;CU$5)=0,"",SUMIF('Competency Event Log'!$U$4:$U$803,$B72&amp;"|"&amp;CU$5,'Competency Event Log'!$D$4:$D$803)))</f>
        <v/>
      </c>
      <c r="CV72" s="8" t="str">
        <f>IF($B72="","",IF(COUNTIF('Competency Event Log'!$U$4:$U$803,$B72&amp;"|"&amp;CV$5)=0,"",SUMIF('Competency Event Log'!$U$4:$U$803,$B72&amp;"|"&amp;CV$5,'Competency Event Log'!$D$4:$D$803)))</f>
        <v/>
      </c>
      <c r="CW72" s="8" t="str">
        <f>IF($B72="","",IF(COUNTIF('Competency Event Log'!$U$4:$U$803,$B72&amp;"|"&amp;CW$5)=0,"",SUMIF('Competency Event Log'!$U$4:$U$803,$B72&amp;"|"&amp;CW$5,'Competency Event Log'!$D$4:$D$803)))</f>
        <v/>
      </c>
      <c r="CX72" s="8" t="str">
        <f>IF($B72="","",IF(COUNTIF('Competency Event Log'!$U$4:$U$803,$B72&amp;"|"&amp;CX$5)=0,"",SUMIF('Competency Event Log'!$U$4:$U$803,$B72&amp;"|"&amp;CX$5,'Competency Event Log'!$D$4:$D$803)))</f>
        <v/>
      </c>
      <c r="CY72" s="8" t="str">
        <f>IF($B72="","",IF(COUNTIF('Competency Event Log'!$U$4:$U$803,$B72&amp;"|"&amp;CY$5)=0,"",SUMIF('Competency Event Log'!$U$4:$U$803,$B72&amp;"|"&amp;CY$5,'Competency Event Log'!$D$4:$D$803)))</f>
        <v/>
      </c>
      <c r="CZ72" s="8" t="str">
        <f>IF($B72="","",IF(COUNTIF('Competency Event Log'!$U$4:$U$803,$B72&amp;"|"&amp;CZ$5)=0,"",SUMIF('Competency Event Log'!$U$4:$U$803,$B72&amp;"|"&amp;CZ$5,'Competency Event Log'!$D$4:$D$803)))</f>
        <v/>
      </c>
      <c r="DA72" s="8" t="str">
        <f>IF($B72="","",IF(COUNTIF('Competency Event Log'!$U$4:$U$803,$B72&amp;"|"&amp;DA$5)=0,"",SUMIF('Competency Event Log'!$U$4:$U$803,$B72&amp;"|"&amp;DA$5,'Competency Event Log'!$D$4:$D$803)))</f>
        <v/>
      </c>
      <c r="DB72" s="8" t="str">
        <f>IF($B72="","",IF(COUNTIF('Competency Event Log'!$U$4:$U$803,$B72&amp;"|"&amp;DB$5)=0,"",SUMIF('Competency Event Log'!$U$4:$U$803,$B72&amp;"|"&amp;DB$5,'Competency Event Log'!$D$4:$D$803)))</f>
        <v/>
      </c>
      <c r="DC72" s="8" t="str">
        <f>IF($B72="","",IF(COUNTIF('Competency Event Log'!$U$4:$U$803,$B72&amp;"|"&amp;DC$5)=0,"",SUMIF('Competency Event Log'!$U$4:$U$803,$B72&amp;"|"&amp;DC$5,'Competency Event Log'!$D$4:$D$803)))</f>
        <v/>
      </c>
      <c r="DD72" s="8" t="str">
        <f>IF($B72="","",IF(COUNTIF('Competency Event Log'!$U$4:$U$803,$B72&amp;"|"&amp;DD$5)=0,"",SUMIF('Competency Event Log'!$U$4:$U$803,$B72&amp;"|"&amp;DD$5,'Competency Event Log'!$D$4:$D$803)))</f>
        <v/>
      </c>
      <c r="DE72" s="8" t="str">
        <f>IF($B72="","",IF(COUNTIF('Competency Event Log'!$U$4:$U$803,$B72&amp;"|"&amp;DE$5)=0,"",SUMIF('Competency Event Log'!$U$4:$U$803,$B72&amp;"|"&amp;DE$5,'Competency Event Log'!$D$4:$D$803)))</f>
        <v/>
      </c>
      <c r="DF72" s="8" t="str">
        <f t="shared" si="8"/>
        <v/>
      </c>
      <c r="DG72" s="8" t="str">
        <f t="shared" si="9"/>
        <v/>
      </c>
      <c r="DH72" s="8" t="str">
        <f t="shared" si="10"/>
        <v/>
      </c>
      <c r="DI72" s="11" t="str">
        <f t="shared" si="11"/>
        <v/>
      </c>
    </row>
    <row r="73" spans="1:113">
      <c r="A73" s="7"/>
      <c r="B73" s="7"/>
      <c r="C73" s="8"/>
      <c r="D73" s="9"/>
      <c r="E73" s="10"/>
      <c r="F73" s="8"/>
      <c r="G73" s="8" t="str">
        <f>IF($B73="","",IF(COUNTIF('Competency Event Log'!$U$4:$U$803,$B73&amp;"|"&amp;G$5)=0,"",SUMIF('Competency Event Log'!$U$4:$U$803,$B73&amp;"|"&amp;G$5,'Competency Event Log'!$D$4:$D$803)))</f>
        <v/>
      </c>
      <c r="H73" s="8" t="str">
        <f>IF($B73="","",IF(COUNTIF('Competency Event Log'!$U$4:$U$803,$B73&amp;"|"&amp;H$5)=0,"",SUMIF('Competency Event Log'!$U$4:$U$803,$B73&amp;"|"&amp;H$5,'Competency Event Log'!$D$4:$D$803)))</f>
        <v/>
      </c>
      <c r="I73" s="8" t="str">
        <f>IF($B73="","",IF(COUNTIF('Competency Event Log'!$U$4:$U$803,$B73&amp;"|"&amp;I$5)=0,"",SUMIF('Competency Event Log'!$U$4:$U$803,$B73&amp;"|"&amp;I$5,'Competency Event Log'!$D$4:$D$803)))</f>
        <v/>
      </c>
      <c r="J73" s="8" t="str">
        <f>IF($B73="","",IF(COUNTIF('Competency Event Log'!$U$4:$U$803,$B73&amp;"|"&amp;J$5)=0,"",SUMIF('Competency Event Log'!$U$4:$U$803,$B73&amp;"|"&amp;J$5,'Competency Event Log'!$D$4:$D$803)))</f>
        <v/>
      </c>
      <c r="K73" s="8" t="str">
        <f>IF($B73="","",IF(COUNTIF('Competency Event Log'!$U$4:$U$803,$B73&amp;"|"&amp;K$5)=0,"",SUMIF('Competency Event Log'!$U$4:$U$803,$B73&amp;"|"&amp;K$5,'Competency Event Log'!$D$4:$D$803)))</f>
        <v/>
      </c>
      <c r="L73" s="8" t="str">
        <f>IF($B73="","",IF(COUNTIF('Competency Event Log'!$U$4:$U$803,$B73&amp;"|"&amp;L$5)=0,"",SUMIF('Competency Event Log'!$U$4:$U$803,$B73&amp;"|"&amp;L$5,'Competency Event Log'!$D$4:$D$803)))</f>
        <v/>
      </c>
      <c r="M73" s="8" t="str">
        <f>IF($B73="","",IF(COUNTIF('Competency Event Log'!$U$4:$U$803,$B73&amp;"|"&amp;M$5)=0,"",SUMIF('Competency Event Log'!$U$4:$U$803,$B73&amp;"|"&amp;M$5,'Competency Event Log'!$D$4:$D$803)))</f>
        <v/>
      </c>
      <c r="N73" s="8" t="str">
        <f>IF($B73="","",IF(COUNTIF('Competency Event Log'!$U$4:$U$803,$B73&amp;"|"&amp;N$5)=0,"",SUMIF('Competency Event Log'!$U$4:$U$803,$B73&amp;"|"&amp;N$5,'Competency Event Log'!$D$4:$D$803)))</f>
        <v/>
      </c>
      <c r="O73" s="8" t="str">
        <f>IF($B73="","",IF(COUNTIF('Competency Event Log'!$U$4:$U$803,$B73&amp;"|"&amp;O$5)=0,"",SUMIF('Competency Event Log'!$U$4:$U$803,$B73&amp;"|"&amp;O$5,'Competency Event Log'!$D$4:$D$803)))</f>
        <v/>
      </c>
      <c r="P73" s="8" t="str">
        <f>IF($B73="","",IF(COUNTIF('Competency Event Log'!$U$4:$U$803,$B73&amp;"|"&amp;P$5)=0,"",SUMIF('Competency Event Log'!$U$4:$U$803,$B73&amp;"|"&amp;P$5,'Competency Event Log'!$D$4:$D$803)))</f>
        <v/>
      </c>
      <c r="Q73" s="8" t="str">
        <f>IF($B73="","",IF(COUNTIF('Competency Event Log'!$U$4:$U$803,$B73&amp;"|"&amp;Q$5)=0,"",SUMIF('Competency Event Log'!$U$4:$U$803,$B73&amp;"|"&amp;Q$5,'Competency Event Log'!$D$4:$D$803)))</f>
        <v/>
      </c>
      <c r="R73" s="8" t="str">
        <f>IF($B73="","",IF(COUNTIF('Competency Event Log'!$U$4:$U$803,$B73&amp;"|"&amp;R$5)=0,"",SUMIF('Competency Event Log'!$U$4:$U$803,$B73&amp;"|"&amp;R$5,'Competency Event Log'!$D$4:$D$803)))</f>
        <v/>
      </c>
      <c r="S73" s="8" t="str">
        <f>IF($B73="","",IF(COUNTIF('Competency Event Log'!$U$4:$U$803,$B73&amp;"|"&amp;S$5)=0,"",SUMIF('Competency Event Log'!$U$4:$U$803,$B73&amp;"|"&amp;S$5,'Competency Event Log'!$D$4:$D$803)))</f>
        <v/>
      </c>
      <c r="T73" s="8" t="str">
        <f>IF($B73="","",IF(COUNTIF('Competency Event Log'!$U$4:$U$803,$B73&amp;"|"&amp;T$5)=0,"",SUMIF('Competency Event Log'!$U$4:$U$803,$B73&amp;"|"&amp;T$5,'Competency Event Log'!$D$4:$D$803)))</f>
        <v/>
      </c>
      <c r="U73" s="8" t="str">
        <f>IF($B73="","",IF(COUNTIF('Competency Event Log'!$U$4:$U$803,$B73&amp;"|"&amp;U$5)=0,"",SUMIF('Competency Event Log'!$U$4:$U$803,$B73&amp;"|"&amp;U$5,'Competency Event Log'!$D$4:$D$803)))</f>
        <v/>
      </c>
      <c r="V73" s="8" t="str">
        <f>IF($B73="","",IF(COUNTIF('Competency Event Log'!$U$4:$U$803,$B73&amp;"|"&amp;V$5)=0,"",SUMIF('Competency Event Log'!$U$4:$U$803,$B73&amp;"|"&amp;V$5,'Competency Event Log'!$D$4:$D$803)))</f>
        <v/>
      </c>
      <c r="W73" s="8" t="str">
        <f>IF($B73="","",IF(COUNTIF('Competency Event Log'!$U$4:$U$803,$B73&amp;"|"&amp;W$5)=0,"",SUMIF('Competency Event Log'!$U$4:$U$803,$B73&amp;"|"&amp;W$5,'Competency Event Log'!$D$4:$D$803)))</f>
        <v/>
      </c>
      <c r="X73" s="8" t="str">
        <f>IF($B73="","",IF(COUNTIF('Competency Event Log'!$U$4:$U$803,$B73&amp;"|"&amp;X$5)=0,"",SUMIF('Competency Event Log'!$U$4:$U$803,$B73&amp;"|"&amp;X$5,'Competency Event Log'!$D$4:$D$803)))</f>
        <v/>
      </c>
      <c r="Y73" s="8" t="str">
        <f>IF($B73="","",IF(COUNTIF('Competency Event Log'!$U$4:$U$803,$B73&amp;"|"&amp;Y$5)=0,"",SUMIF('Competency Event Log'!$U$4:$U$803,$B73&amp;"|"&amp;Y$5,'Competency Event Log'!$D$4:$D$803)))</f>
        <v/>
      </c>
      <c r="Z73" s="8" t="str">
        <f>IF($B73="","",IF(COUNTIF('Competency Event Log'!$U$4:$U$803,$B73&amp;"|"&amp;Z$5)=0,"",SUMIF('Competency Event Log'!$U$4:$U$803,$B73&amp;"|"&amp;Z$5,'Competency Event Log'!$D$4:$D$803)))</f>
        <v/>
      </c>
      <c r="AA73" s="8" t="str">
        <f>IF($B73="","",IF(COUNTIF('Competency Event Log'!$U$4:$U$803,$B73&amp;"|"&amp;AA$5)=0,"",SUMIF('Competency Event Log'!$U$4:$U$803,$B73&amp;"|"&amp;AA$5,'Competency Event Log'!$D$4:$D$803)))</f>
        <v/>
      </c>
      <c r="AB73" s="8" t="str">
        <f>IF($B73="","",IF(COUNTIF('Competency Event Log'!$U$4:$U$803,$B73&amp;"|"&amp;AB$5)=0,"",SUMIF('Competency Event Log'!$U$4:$U$803,$B73&amp;"|"&amp;AB$5,'Competency Event Log'!$D$4:$D$803)))</f>
        <v/>
      </c>
      <c r="AC73" s="8" t="str">
        <f>IF($B73="","",IF(COUNTIF('Competency Event Log'!$U$4:$U$803,$B73&amp;"|"&amp;AC$5)=0,"",SUMIF('Competency Event Log'!$U$4:$U$803,$B73&amp;"|"&amp;AC$5,'Competency Event Log'!$D$4:$D$803)))</f>
        <v/>
      </c>
      <c r="AD73" s="8" t="str">
        <f>IF($B73="","",IF(COUNTIF('Competency Event Log'!$U$4:$U$803,$B73&amp;"|"&amp;AD$5)=0,"",SUMIF('Competency Event Log'!$U$4:$U$803,$B73&amp;"|"&amp;AD$5,'Competency Event Log'!$D$4:$D$803)))</f>
        <v/>
      </c>
      <c r="AE73" s="8" t="str">
        <f>IF($B73="","",IF(COUNTIF('Competency Event Log'!$U$4:$U$803,$B73&amp;"|"&amp;AE$5)=0,"",SUMIF('Competency Event Log'!$U$4:$U$803,$B73&amp;"|"&amp;AE$5,'Competency Event Log'!$D$4:$D$803)))</f>
        <v/>
      </c>
      <c r="AF73" s="8" t="str">
        <f>IF($B73="","",IF(COUNTIF('Competency Event Log'!$U$4:$U$803,$B73&amp;"|"&amp;AF$5)=0,"",SUMIF('Competency Event Log'!$U$4:$U$803,$B73&amp;"|"&amp;AF$5,'Competency Event Log'!$D$4:$D$803)))</f>
        <v/>
      </c>
      <c r="AG73" s="8" t="str">
        <f>IF($B73="","",IF(COUNTIF('Competency Event Log'!$U$4:$U$803,$B73&amp;"|"&amp;AG$5)=0,"",SUMIF('Competency Event Log'!$U$4:$U$803,$B73&amp;"|"&amp;AG$5,'Competency Event Log'!$D$4:$D$803)))</f>
        <v/>
      </c>
      <c r="AH73" s="8" t="str">
        <f>IF($B73="","",IF(COUNTIF('Competency Event Log'!$U$4:$U$803,$B73&amp;"|"&amp;AH$5)=0,"",SUMIF('Competency Event Log'!$U$4:$U$803,$B73&amp;"|"&amp;AH$5,'Competency Event Log'!$D$4:$D$803)))</f>
        <v/>
      </c>
      <c r="AI73" s="8" t="str">
        <f>IF($B73="","",IF(COUNTIF('Competency Event Log'!$U$4:$U$803,$B73&amp;"|"&amp;AI$5)=0,"",SUMIF('Competency Event Log'!$U$4:$U$803,$B73&amp;"|"&amp;AI$5,'Competency Event Log'!$D$4:$D$803)))</f>
        <v/>
      </c>
      <c r="AJ73" s="8" t="str">
        <f>IF($B73="","",IF(COUNTIF('Competency Event Log'!$U$4:$U$803,$B73&amp;"|"&amp;AJ$5)=0,"",SUMIF('Competency Event Log'!$U$4:$U$803,$B73&amp;"|"&amp;AJ$5,'Competency Event Log'!$D$4:$D$803)))</f>
        <v/>
      </c>
      <c r="AK73" s="8" t="str">
        <f>IF($B73="","",IF(COUNTIF('Competency Event Log'!$U$4:$U$803,$B73&amp;"|"&amp;AK$5)=0,"",SUMIF('Competency Event Log'!$U$4:$U$803,$B73&amp;"|"&amp;AK$5,'Competency Event Log'!$D$4:$D$803)))</f>
        <v/>
      </c>
      <c r="AL73" s="8" t="str">
        <f>IF($B73="","",IF(COUNTIF('Competency Event Log'!$U$4:$U$803,$B73&amp;"|"&amp;AL$5)=0,"",SUMIF('Competency Event Log'!$U$4:$U$803,$B73&amp;"|"&amp;AL$5,'Competency Event Log'!$D$4:$D$803)))</f>
        <v/>
      </c>
      <c r="AM73" s="8" t="str">
        <f>IF($B73="","",IF(COUNTIF('Competency Event Log'!$U$4:$U$803,$B73&amp;"|"&amp;AM$5)=0,"",SUMIF('Competency Event Log'!$U$4:$U$803,$B73&amp;"|"&amp;AM$5,'Competency Event Log'!$D$4:$D$803)))</f>
        <v/>
      </c>
      <c r="AN73" s="8" t="str">
        <f>IF($B73="","",IF(COUNTIF('Competency Event Log'!$U$4:$U$803,$B73&amp;"|"&amp;AN$5)=0,"",SUMIF('Competency Event Log'!$U$4:$U$803,$B73&amp;"|"&amp;AN$5,'Competency Event Log'!$D$4:$D$803)))</f>
        <v/>
      </c>
      <c r="AO73" s="8" t="str">
        <f>IF($B73="","",IF(COUNTIF('Competency Event Log'!$U$4:$U$803,$B73&amp;"|"&amp;AO$5)=0,"",SUMIF('Competency Event Log'!$U$4:$U$803,$B73&amp;"|"&amp;AO$5,'Competency Event Log'!$D$4:$D$803)))</f>
        <v/>
      </c>
      <c r="AP73" s="8" t="str">
        <f>IF($B73="","",IF(COUNTIF('Competency Event Log'!$U$4:$U$803,$B73&amp;"|"&amp;AP$5)=0,"",SUMIF('Competency Event Log'!$U$4:$U$803,$B73&amp;"|"&amp;AP$5,'Competency Event Log'!$D$4:$D$803)))</f>
        <v/>
      </c>
      <c r="AQ73" s="8" t="str">
        <f>IF($B73="","",IF(COUNTIF('Competency Event Log'!$U$4:$U$803,$B73&amp;"|"&amp;AQ$5)=0,"",SUMIF('Competency Event Log'!$U$4:$U$803,$B73&amp;"|"&amp;AQ$5,'Competency Event Log'!$D$4:$D$803)))</f>
        <v/>
      </c>
      <c r="AR73" s="8" t="str">
        <f>IF($B73="","",IF(COUNTIF('Competency Event Log'!$U$4:$U$803,$B73&amp;"|"&amp;AR$5)=0,"",SUMIF('Competency Event Log'!$U$4:$U$803,$B73&amp;"|"&amp;AR$5,'Competency Event Log'!$D$4:$D$803)))</f>
        <v/>
      </c>
      <c r="AS73" s="8" t="str">
        <f>IF($B73="","",IF(COUNTIF('Competency Event Log'!$U$4:$U$803,$B73&amp;"|"&amp;AS$5)=0,"",SUMIF('Competency Event Log'!$U$4:$U$803,$B73&amp;"|"&amp;AS$5,'Competency Event Log'!$D$4:$D$803)))</f>
        <v/>
      </c>
      <c r="AT73" s="8" t="str">
        <f>IF($B73="","",IF(COUNTIF('Competency Event Log'!$U$4:$U$803,$B73&amp;"|"&amp;AT$5)=0,"",SUMIF('Competency Event Log'!$U$4:$U$803,$B73&amp;"|"&amp;AT$5,'Competency Event Log'!$D$4:$D$803)))</f>
        <v/>
      </c>
      <c r="AU73" s="8" t="str">
        <f>IF($B73="","",IF(COUNTIF('Competency Event Log'!$U$4:$U$803,$B73&amp;"|"&amp;AU$5)=0,"",SUMIF('Competency Event Log'!$U$4:$U$803,$B73&amp;"|"&amp;AU$5,'Competency Event Log'!$D$4:$D$803)))</f>
        <v/>
      </c>
      <c r="AV73" s="8" t="str">
        <f>IF($B73="","",IF(COUNTIF('Competency Event Log'!$U$4:$U$803,$B73&amp;"|"&amp;AV$5)=0,"",SUMIF('Competency Event Log'!$U$4:$U$803,$B73&amp;"|"&amp;AV$5,'Competency Event Log'!$D$4:$D$803)))</f>
        <v/>
      </c>
      <c r="AW73" s="8" t="str">
        <f>IF($B73="","",IF(COUNTIF('Competency Event Log'!$U$4:$U$803,$B73&amp;"|"&amp;AW$5)=0,"",SUMIF('Competency Event Log'!$U$4:$U$803,$B73&amp;"|"&amp;AW$5,'Competency Event Log'!$D$4:$D$803)))</f>
        <v/>
      </c>
      <c r="AX73" s="8" t="str">
        <f>IF($B73="","",IF(COUNTIF('Competency Event Log'!$U$4:$U$803,$B73&amp;"|"&amp;AX$5)=0,"",SUMIF('Competency Event Log'!$U$4:$U$803,$B73&amp;"|"&amp;AX$5,'Competency Event Log'!$D$4:$D$803)))</f>
        <v/>
      </c>
      <c r="AY73" s="8" t="str">
        <f>IF($B73="","",IF(COUNTIF('Competency Event Log'!$U$4:$U$803,$B73&amp;"|"&amp;AY$5)=0,"",SUMIF('Competency Event Log'!$U$4:$U$803,$B73&amp;"|"&amp;AY$5,'Competency Event Log'!$D$4:$D$803)))</f>
        <v/>
      </c>
      <c r="AZ73" s="8" t="str">
        <f>IF($B73="","",IF(COUNTIF('Competency Event Log'!$U$4:$U$803,$B73&amp;"|"&amp;AZ$5)=0,"",SUMIF('Competency Event Log'!$U$4:$U$803,$B73&amp;"|"&amp;AZ$5,'Competency Event Log'!$D$4:$D$803)))</f>
        <v/>
      </c>
      <c r="BA73" s="8" t="str">
        <f>IF($B73="","",IF(COUNTIF('Competency Event Log'!$U$4:$U$803,$B73&amp;"|"&amp;BA$5)=0,"",SUMIF('Competency Event Log'!$U$4:$U$803,$B73&amp;"|"&amp;BA$5,'Competency Event Log'!$D$4:$D$803)))</f>
        <v/>
      </c>
      <c r="BB73" s="8" t="str">
        <f>IF($B73="","",IF(COUNTIF('Competency Event Log'!$U$4:$U$803,$B73&amp;"|"&amp;BB$5)=0,"",SUMIF('Competency Event Log'!$U$4:$U$803,$B73&amp;"|"&amp;BB$5,'Competency Event Log'!$D$4:$D$803)))</f>
        <v/>
      </c>
      <c r="BC73" s="8" t="str">
        <f>IF($B73="","",IF(COUNTIF('Competency Event Log'!$U$4:$U$803,$B73&amp;"|"&amp;BC$5)=0,"",SUMIF('Competency Event Log'!$U$4:$U$803,$B73&amp;"|"&amp;BC$5,'Competency Event Log'!$D$4:$D$803)))</f>
        <v/>
      </c>
      <c r="BD73" s="8" t="str">
        <f>IF($B73="","",IF(COUNTIF('Competency Event Log'!$U$4:$U$803,$B73&amp;"|"&amp;BD$5)=0,"",SUMIF('Competency Event Log'!$U$4:$U$803,$B73&amp;"|"&amp;BD$5,'Competency Event Log'!$D$4:$D$803)))</f>
        <v/>
      </c>
      <c r="BE73" s="8" t="str">
        <f>IF($B73="","",IF(COUNTIF('Competency Event Log'!$U$4:$U$803,$B73&amp;"|"&amp;BE$5)=0,"",SUMIF('Competency Event Log'!$U$4:$U$803,$B73&amp;"|"&amp;BE$5,'Competency Event Log'!$D$4:$D$803)))</f>
        <v/>
      </c>
      <c r="BF73" s="8" t="str">
        <f>IF($B73="","",IF(COUNTIF('Competency Event Log'!$U$4:$U$803,$B73&amp;"|"&amp;BF$5)=0,"",SUMIF('Competency Event Log'!$U$4:$U$803,$B73&amp;"|"&amp;BF$5,'Competency Event Log'!$D$4:$D$803)))</f>
        <v/>
      </c>
      <c r="BG73" s="8" t="str">
        <f>IF($B73="","",IF(COUNTIF('Competency Event Log'!$U$4:$U$803,$B73&amp;"|"&amp;BG$5)=0,"",SUMIF('Competency Event Log'!$U$4:$U$803,$B73&amp;"|"&amp;BG$5,'Competency Event Log'!$D$4:$D$803)))</f>
        <v/>
      </c>
      <c r="BH73" s="8" t="str">
        <f>IF($B73="","",IF(COUNTIF('Competency Event Log'!$U$4:$U$803,$B73&amp;"|"&amp;BH$5)=0,"",SUMIF('Competency Event Log'!$U$4:$U$803,$B73&amp;"|"&amp;BH$5,'Competency Event Log'!$D$4:$D$803)))</f>
        <v/>
      </c>
      <c r="BI73" s="8" t="str">
        <f>IF($B73="","",IF(COUNTIF('Competency Event Log'!$U$4:$U$803,$B73&amp;"|"&amp;BI$5)=0,"",SUMIF('Competency Event Log'!$U$4:$U$803,$B73&amp;"|"&amp;BI$5,'Competency Event Log'!$D$4:$D$803)))</f>
        <v/>
      </c>
      <c r="BJ73" s="8" t="str">
        <f>IF($B73="","",IF(COUNTIF('Competency Event Log'!$U$4:$U$803,$B73&amp;"|"&amp;BJ$5)=0,"",SUMIF('Competency Event Log'!$U$4:$U$803,$B73&amp;"|"&amp;BJ$5,'Competency Event Log'!$D$4:$D$803)))</f>
        <v/>
      </c>
      <c r="BK73" s="8" t="str">
        <f>IF($B73="","",IF(COUNTIF('Competency Event Log'!$U$4:$U$803,$B73&amp;"|"&amp;BK$5)=0,"",SUMIF('Competency Event Log'!$U$4:$U$803,$B73&amp;"|"&amp;BK$5,'Competency Event Log'!$D$4:$D$803)))</f>
        <v/>
      </c>
      <c r="BL73" s="8" t="str">
        <f>IF($B73="","",IF(COUNTIF('Competency Event Log'!$U$4:$U$803,$B73&amp;"|"&amp;BL$5)=0,"",SUMIF('Competency Event Log'!$U$4:$U$803,$B73&amp;"|"&amp;BL$5,'Competency Event Log'!$D$4:$D$803)))</f>
        <v/>
      </c>
      <c r="BM73" s="8" t="str">
        <f>IF($B73="","",IF(COUNTIF('Competency Event Log'!$U$4:$U$803,$B73&amp;"|"&amp;BM$5)=0,"",SUMIF('Competency Event Log'!$U$4:$U$803,$B73&amp;"|"&amp;BM$5,'Competency Event Log'!$D$4:$D$803)))</f>
        <v/>
      </c>
      <c r="BN73" s="8" t="str">
        <f>IF($B73="","",IF(COUNTIF('Competency Event Log'!$U$4:$U$803,$B73&amp;"|"&amp;BN$5)=0,"",SUMIF('Competency Event Log'!$U$4:$U$803,$B73&amp;"|"&amp;BN$5,'Competency Event Log'!$D$4:$D$803)))</f>
        <v/>
      </c>
      <c r="BO73" s="8" t="str">
        <f>IF($B73="","",IF(COUNTIF('Competency Event Log'!$U$4:$U$803,$B73&amp;"|"&amp;BO$5)=0,"",SUMIF('Competency Event Log'!$U$4:$U$803,$B73&amp;"|"&amp;BO$5,'Competency Event Log'!$D$4:$D$803)))</f>
        <v/>
      </c>
      <c r="BP73" s="8" t="str">
        <f>IF($B73="","",IF(COUNTIF('Competency Event Log'!$U$4:$U$803,$B73&amp;"|"&amp;BP$5)=0,"",SUMIF('Competency Event Log'!$U$4:$U$803,$B73&amp;"|"&amp;BP$5,'Competency Event Log'!$D$4:$D$803)))</f>
        <v/>
      </c>
      <c r="BQ73" s="8" t="str">
        <f>IF($B73="","",IF(COUNTIF('Competency Event Log'!$U$4:$U$803,$B73&amp;"|"&amp;BQ$5)=0,"",SUMIF('Competency Event Log'!$U$4:$U$803,$B73&amp;"|"&amp;BQ$5,'Competency Event Log'!$D$4:$D$803)))</f>
        <v/>
      </c>
      <c r="BR73" s="8" t="str">
        <f>IF($B73="","",IF(COUNTIF('Competency Event Log'!$U$4:$U$803,$B73&amp;"|"&amp;BR$5)=0,"",SUMIF('Competency Event Log'!$U$4:$U$803,$B73&amp;"|"&amp;BR$5,'Competency Event Log'!$D$4:$D$803)))</f>
        <v/>
      </c>
      <c r="BS73" s="8" t="str">
        <f>IF($B73="","",IF(COUNTIF('Competency Event Log'!$U$4:$U$803,$B73&amp;"|"&amp;BS$5)=0,"",SUMIF('Competency Event Log'!$U$4:$U$803,$B73&amp;"|"&amp;BS$5,'Competency Event Log'!$D$4:$D$803)))</f>
        <v/>
      </c>
      <c r="BT73" s="8" t="str">
        <f>IF($B73="","",IF(COUNTIF('Competency Event Log'!$U$4:$U$803,$B73&amp;"|"&amp;BT$5)=0,"",SUMIF('Competency Event Log'!$U$4:$U$803,$B73&amp;"|"&amp;BT$5,'Competency Event Log'!$D$4:$D$803)))</f>
        <v/>
      </c>
      <c r="BU73" s="8" t="str">
        <f>IF($B73="","",IF(COUNTIF('Competency Event Log'!$U$4:$U$803,$B73&amp;"|"&amp;BU$5)=0,"",SUMIF('Competency Event Log'!$U$4:$U$803,$B73&amp;"|"&amp;BU$5,'Competency Event Log'!$D$4:$D$803)))</f>
        <v/>
      </c>
      <c r="BV73" s="8" t="str">
        <f>IF($B73="","",IF(COUNTIF('Competency Event Log'!$U$4:$U$803,$B73&amp;"|"&amp;BV$5)=0,"",SUMIF('Competency Event Log'!$U$4:$U$803,$B73&amp;"|"&amp;BV$5,'Competency Event Log'!$D$4:$D$803)))</f>
        <v/>
      </c>
      <c r="BW73" s="8" t="str">
        <f>IF($B73="","",IF(COUNTIF('Competency Event Log'!$U$4:$U$803,$B73&amp;"|"&amp;BW$5)=0,"",SUMIF('Competency Event Log'!$U$4:$U$803,$B73&amp;"|"&amp;BW$5,'Competency Event Log'!$D$4:$D$803)))</f>
        <v/>
      </c>
      <c r="BX73" s="8" t="str">
        <f>IF($B73="","",IF(COUNTIF('Competency Event Log'!$U$4:$U$803,$B73&amp;"|"&amp;BX$5)=0,"",SUMIF('Competency Event Log'!$U$4:$U$803,$B73&amp;"|"&amp;BX$5,'Competency Event Log'!$D$4:$D$803)))</f>
        <v/>
      </c>
      <c r="BY73" s="8" t="str">
        <f>IF($B73="","",IF(COUNTIF('Competency Event Log'!$U$4:$U$803,$B73&amp;"|"&amp;BY$5)=0,"",SUMIF('Competency Event Log'!$U$4:$U$803,$B73&amp;"|"&amp;BY$5,'Competency Event Log'!$D$4:$D$803)))</f>
        <v/>
      </c>
      <c r="BZ73" s="8" t="str">
        <f>IF($B73="","",IF(COUNTIF('Competency Event Log'!$U$4:$U$803,$B73&amp;"|"&amp;BZ$5)=0,"",SUMIF('Competency Event Log'!$U$4:$U$803,$B73&amp;"|"&amp;BZ$5,'Competency Event Log'!$D$4:$D$803)))</f>
        <v/>
      </c>
      <c r="CA73" s="8" t="str">
        <f>IF($B73="","",IF(COUNTIF('Competency Event Log'!$U$4:$U$803,$B73&amp;"|"&amp;CA$5)=0,"",SUMIF('Competency Event Log'!$U$4:$U$803,$B73&amp;"|"&amp;CA$5,'Competency Event Log'!$D$4:$D$803)))</f>
        <v/>
      </c>
      <c r="CB73" s="8" t="str">
        <f>IF($B73="","",IF(COUNTIF('Competency Event Log'!$U$4:$U$803,$B73&amp;"|"&amp;CB$5)=0,"",SUMIF('Competency Event Log'!$U$4:$U$803,$B73&amp;"|"&amp;CB$5,'Competency Event Log'!$D$4:$D$803)))</f>
        <v/>
      </c>
      <c r="CC73" s="8" t="str">
        <f>IF($B73="","",IF(COUNTIF('Competency Event Log'!$U$4:$U$803,$B73&amp;"|"&amp;CC$5)=0,"",SUMIF('Competency Event Log'!$U$4:$U$803,$B73&amp;"|"&amp;CC$5,'Competency Event Log'!$D$4:$D$803)))</f>
        <v/>
      </c>
      <c r="CD73" s="8" t="str">
        <f>IF($B73="","",IF(COUNTIF('Competency Event Log'!$U$4:$U$803,$B73&amp;"|"&amp;CD$5)=0,"",SUMIF('Competency Event Log'!$U$4:$U$803,$B73&amp;"|"&amp;CD$5,'Competency Event Log'!$D$4:$D$803)))</f>
        <v/>
      </c>
      <c r="CE73" s="8" t="str">
        <f>IF($B73="","",IF(COUNTIF('Competency Event Log'!$U$4:$U$803,$B73&amp;"|"&amp;CE$5)=0,"",SUMIF('Competency Event Log'!$U$4:$U$803,$B73&amp;"|"&amp;CE$5,'Competency Event Log'!$D$4:$D$803)))</f>
        <v/>
      </c>
      <c r="CF73" s="8" t="str">
        <f>IF($B73="","",IF(COUNTIF('Competency Event Log'!$U$4:$U$803,$B73&amp;"|"&amp;CF$5)=0,"",SUMIF('Competency Event Log'!$U$4:$U$803,$B73&amp;"|"&amp;CF$5,'Competency Event Log'!$D$4:$D$803)))</f>
        <v/>
      </c>
      <c r="CG73" s="8" t="str">
        <f>IF($B73="","",IF(COUNTIF('Competency Event Log'!$U$4:$U$803,$B73&amp;"|"&amp;CG$5)=0,"",SUMIF('Competency Event Log'!$U$4:$U$803,$B73&amp;"|"&amp;CG$5,'Competency Event Log'!$D$4:$D$803)))</f>
        <v/>
      </c>
      <c r="CH73" s="8" t="str">
        <f>IF($B73="","",IF(COUNTIF('Competency Event Log'!$U$4:$U$803,$B73&amp;"|"&amp;CH$5)=0,"",SUMIF('Competency Event Log'!$U$4:$U$803,$B73&amp;"|"&amp;CH$5,'Competency Event Log'!$D$4:$D$803)))</f>
        <v/>
      </c>
      <c r="CI73" s="8" t="str">
        <f>IF($B73="","",IF(COUNTIF('Competency Event Log'!$U$4:$U$803,$B73&amp;"|"&amp;CI$5)=0,"",SUMIF('Competency Event Log'!$U$4:$U$803,$B73&amp;"|"&amp;CI$5,'Competency Event Log'!$D$4:$D$803)))</f>
        <v/>
      </c>
      <c r="CJ73" s="8" t="str">
        <f>IF($B73="","",IF(COUNTIF('Competency Event Log'!$U$4:$U$803,$B73&amp;"|"&amp;CJ$5)=0,"",SUMIF('Competency Event Log'!$U$4:$U$803,$B73&amp;"|"&amp;CJ$5,'Competency Event Log'!$D$4:$D$803)))</f>
        <v/>
      </c>
      <c r="CK73" s="8" t="str">
        <f>IF($B73="","",IF(COUNTIF('Competency Event Log'!$U$4:$U$803,$B73&amp;"|"&amp;CK$5)=0,"",SUMIF('Competency Event Log'!$U$4:$U$803,$B73&amp;"|"&amp;CK$5,'Competency Event Log'!$D$4:$D$803)))</f>
        <v/>
      </c>
      <c r="CL73" s="8" t="str">
        <f>IF($B73="","",IF(COUNTIF('Competency Event Log'!$U$4:$U$803,$B73&amp;"|"&amp;CL$5)=0,"",SUMIF('Competency Event Log'!$U$4:$U$803,$B73&amp;"|"&amp;CL$5,'Competency Event Log'!$D$4:$D$803)))</f>
        <v/>
      </c>
      <c r="CM73" s="8" t="str">
        <f>IF($B73="","",IF(COUNTIF('Competency Event Log'!$U$4:$U$803,$B73&amp;"|"&amp;CM$5)=0,"",SUMIF('Competency Event Log'!$U$4:$U$803,$B73&amp;"|"&amp;CM$5,'Competency Event Log'!$D$4:$D$803)))</f>
        <v/>
      </c>
      <c r="CN73" s="8" t="str">
        <f>IF($B73="","",IF(COUNTIF('Competency Event Log'!$U$4:$U$803,$B73&amp;"|"&amp;CN$5)=0,"",SUMIF('Competency Event Log'!$U$4:$U$803,$B73&amp;"|"&amp;CN$5,'Competency Event Log'!$D$4:$D$803)))</f>
        <v/>
      </c>
      <c r="CO73" s="8" t="str">
        <f>IF($B73="","",IF(COUNTIF('Competency Event Log'!$U$4:$U$803,$B73&amp;"|"&amp;CO$5)=0,"",SUMIF('Competency Event Log'!$U$4:$U$803,$B73&amp;"|"&amp;CO$5,'Competency Event Log'!$D$4:$D$803)))</f>
        <v/>
      </c>
      <c r="CP73" s="8" t="str">
        <f>IF($B73="","",IF(COUNTIF('Competency Event Log'!$U$4:$U$803,$B73&amp;"|"&amp;CP$5)=0,"",SUMIF('Competency Event Log'!$U$4:$U$803,$B73&amp;"|"&amp;CP$5,'Competency Event Log'!$D$4:$D$803)))</f>
        <v/>
      </c>
      <c r="CQ73" s="8" t="str">
        <f>IF($B73="","",IF(COUNTIF('Competency Event Log'!$U$4:$U$803,$B73&amp;"|"&amp;CQ$5)=0,"",SUMIF('Competency Event Log'!$U$4:$U$803,$B73&amp;"|"&amp;CQ$5,'Competency Event Log'!$D$4:$D$803)))</f>
        <v/>
      </c>
      <c r="CR73" s="8" t="str">
        <f>IF($B73="","",IF(COUNTIF('Competency Event Log'!$U$4:$U$803,$B73&amp;"|"&amp;CR$5)=0,"",SUMIF('Competency Event Log'!$U$4:$U$803,$B73&amp;"|"&amp;CR$5,'Competency Event Log'!$D$4:$D$803)))</f>
        <v/>
      </c>
      <c r="CS73" s="8" t="str">
        <f>IF($B73="","",IF(COUNTIF('Competency Event Log'!$U$4:$U$803,$B73&amp;"|"&amp;CS$5)=0,"",SUMIF('Competency Event Log'!$U$4:$U$803,$B73&amp;"|"&amp;CS$5,'Competency Event Log'!$D$4:$D$803)))</f>
        <v/>
      </c>
      <c r="CT73" s="8" t="str">
        <f>IF($B73="","",IF(COUNTIF('Competency Event Log'!$U$4:$U$803,$B73&amp;"|"&amp;CT$5)=0,"",SUMIF('Competency Event Log'!$U$4:$U$803,$B73&amp;"|"&amp;CT$5,'Competency Event Log'!$D$4:$D$803)))</f>
        <v/>
      </c>
      <c r="CU73" s="8" t="str">
        <f>IF($B73="","",IF(COUNTIF('Competency Event Log'!$U$4:$U$803,$B73&amp;"|"&amp;CU$5)=0,"",SUMIF('Competency Event Log'!$U$4:$U$803,$B73&amp;"|"&amp;CU$5,'Competency Event Log'!$D$4:$D$803)))</f>
        <v/>
      </c>
      <c r="CV73" s="8" t="str">
        <f>IF($B73="","",IF(COUNTIF('Competency Event Log'!$U$4:$U$803,$B73&amp;"|"&amp;CV$5)=0,"",SUMIF('Competency Event Log'!$U$4:$U$803,$B73&amp;"|"&amp;CV$5,'Competency Event Log'!$D$4:$D$803)))</f>
        <v/>
      </c>
      <c r="CW73" s="8" t="str">
        <f>IF($B73="","",IF(COUNTIF('Competency Event Log'!$U$4:$U$803,$B73&amp;"|"&amp;CW$5)=0,"",SUMIF('Competency Event Log'!$U$4:$U$803,$B73&amp;"|"&amp;CW$5,'Competency Event Log'!$D$4:$D$803)))</f>
        <v/>
      </c>
      <c r="CX73" s="8" t="str">
        <f>IF($B73="","",IF(COUNTIF('Competency Event Log'!$U$4:$U$803,$B73&amp;"|"&amp;CX$5)=0,"",SUMIF('Competency Event Log'!$U$4:$U$803,$B73&amp;"|"&amp;CX$5,'Competency Event Log'!$D$4:$D$803)))</f>
        <v/>
      </c>
      <c r="CY73" s="8" t="str">
        <f>IF($B73="","",IF(COUNTIF('Competency Event Log'!$U$4:$U$803,$B73&amp;"|"&amp;CY$5)=0,"",SUMIF('Competency Event Log'!$U$4:$U$803,$B73&amp;"|"&amp;CY$5,'Competency Event Log'!$D$4:$D$803)))</f>
        <v/>
      </c>
      <c r="CZ73" s="8" t="str">
        <f>IF($B73="","",IF(COUNTIF('Competency Event Log'!$U$4:$U$803,$B73&amp;"|"&amp;CZ$5)=0,"",SUMIF('Competency Event Log'!$U$4:$U$803,$B73&amp;"|"&amp;CZ$5,'Competency Event Log'!$D$4:$D$803)))</f>
        <v/>
      </c>
      <c r="DA73" s="8" t="str">
        <f>IF($B73="","",IF(COUNTIF('Competency Event Log'!$U$4:$U$803,$B73&amp;"|"&amp;DA$5)=0,"",SUMIF('Competency Event Log'!$U$4:$U$803,$B73&amp;"|"&amp;DA$5,'Competency Event Log'!$D$4:$D$803)))</f>
        <v/>
      </c>
      <c r="DB73" s="8" t="str">
        <f>IF($B73="","",IF(COUNTIF('Competency Event Log'!$U$4:$U$803,$B73&amp;"|"&amp;DB$5)=0,"",SUMIF('Competency Event Log'!$U$4:$U$803,$B73&amp;"|"&amp;DB$5,'Competency Event Log'!$D$4:$D$803)))</f>
        <v/>
      </c>
      <c r="DC73" s="8" t="str">
        <f>IF($B73="","",IF(COUNTIF('Competency Event Log'!$U$4:$U$803,$B73&amp;"|"&amp;DC$5)=0,"",SUMIF('Competency Event Log'!$U$4:$U$803,$B73&amp;"|"&amp;DC$5,'Competency Event Log'!$D$4:$D$803)))</f>
        <v/>
      </c>
      <c r="DD73" s="8" t="str">
        <f>IF($B73="","",IF(COUNTIF('Competency Event Log'!$U$4:$U$803,$B73&amp;"|"&amp;DD$5)=0,"",SUMIF('Competency Event Log'!$U$4:$U$803,$B73&amp;"|"&amp;DD$5,'Competency Event Log'!$D$4:$D$803)))</f>
        <v/>
      </c>
      <c r="DE73" s="8" t="str">
        <f>IF($B73="","",IF(COUNTIF('Competency Event Log'!$U$4:$U$803,$B73&amp;"|"&amp;DE$5)=0,"",SUMIF('Competency Event Log'!$U$4:$U$803,$B73&amp;"|"&amp;DE$5,'Competency Event Log'!$D$4:$D$803)))</f>
        <v/>
      </c>
      <c r="DF73" s="8" t="str">
        <f t="shared" si="8"/>
        <v/>
      </c>
      <c r="DG73" s="8" t="str">
        <f t="shared" si="9"/>
        <v/>
      </c>
      <c r="DH73" s="8" t="str">
        <f t="shared" si="10"/>
        <v/>
      </c>
      <c r="DI73" s="11" t="str">
        <f t="shared" si="11"/>
        <v/>
      </c>
    </row>
    <row r="74" spans="1:113">
      <c r="A74" s="7"/>
      <c r="B74" s="7"/>
      <c r="C74" s="8"/>
      <c r="D74" s="9"/>
      <c r="E74" s="10"/>
      <c r="F74" s="8"/>
      <c r="G74" s="8" t="str">
        <f>IF($B74="","",IF(COUNTIF('Competency Event Log'!$U$4:$U$803,$B74&amp;"|"&amp;G$5)=0,"",SUMIF('Competency Event Log'!$U$4:$U$803,$B74&amp;"|"&amp;G$5,'Competency Event Log'!$D$4:$D$803)))</f>
        <v/>
      </c>
      <c r="H74" s="8" t="str">
        <f>IF($B74="","",IF(COUNTIF('Competency Event Log'!$U$4:$U$803,$B74&amp;"|"&amp;H$5)=0,"",SUMIF('Competency Event Log'!$U$4:$U$803,$B74&amp;"|"&amp;H$5,'Competency Event Log'!$D$4:$D$803)))</f>
        <v/>
      </c>
      <c r="I74" s="8" t="str">
        <f>IF($B74="","",IF(COUNTIF('Competency Event Log'!$U$4:$U$803,$B74&amp;"|"&amp;I$5)=0,"",SUMIF('Competency Event Log'!$U$4:$U$803,$B74&amp;"|"&amp;I$5,'Competency Event Log'!$D$4:$D$803)))</f>
        <v/>
      </c>
      <c r="J74" s="8" t="str">
        <f>IF($B74="","",IF(COUNTIF('Competency Event Log'!$U$4:$U$803,$B74&amp;"|"&amp;J$5)=0,"",SUMIF('Competency Event Log'!$U$4:$U$803,$B74&amp;"|"&amp;J$5,'Competency Event Log'!$D$4:$D$803)))</f>
        <v/>
      </c>
      <c r="K74" s="8" t="str">
        <f>IF($B74="","",IF(COUNTIF('Competency Event Log'!$U$4:$U$803,$B74&amp;"|"&amp;K$5)=0,"",SUMIF('Competency Event Log'!$U$4:$U$803,$B74&amp;"|"&amp;K$5,'Competency Event Log'!$D$4:$D$803)))</f>
        <v/>
      </c>
      <c r="L74" s="8" t="str">
        <f>IF($B74="","",IF(COUNTIF('Competency Event Log'!$U$4:$U$803,$B74&amp;"|"&amp;L$5)=0,"",SUMIF('Competency Event Log'!$U$4:$U$803,$B74&amp;"|"&amp;L$5,'Competency Event Log'!$D$4:$D$803)))</f>
        <v/>
      </c>
      <c r="M74" s="8" t="str">
        <f>IF($B74="","",IF(COUNTIF('Competency Event Log'!$U$4:$U$803,$B74&amp;"|"&amp;M$5)=0,"",SUMIF('Competency Event Log'!$U$4:$U$803,$B74&amp;"|"&amp;M$5,'Competency Event Log'!$D$4:$D$803)))</f>
        <v/>
      </c>
      <c r="N74" s="8" t="str">
        <f>IF($B74="","",IF(COUNTIF('Competency Event Log'!$U$4:$U$803,$B74&amp;"|"&amp;N$5)=0,"",SUMIF('Competency Event Log'!$U$4:$U$803,$B74&amp;"|"&amp;N$5,'Competency Event Log'!$D$4:$D$803)))</f>
        <v/>
      </c>
      <c r="O74" s="8" t="str">
        <f>IF($B74="","",IF(COUNTIF('Competency Event Log'!$U$4:$U$803,$B74&amp;"|"&amp;O$5)=0,"",SUMIF('Competency Event Log'!$U$4:$U$803,$B74&amp;"|"&amp;O$5,'Competency Event Log'!$D$4:$D$803)))</f>
        <v/>
      </c>
      <c r="P74" s="8" t="str">
        <f>IF($B74="","",IF(COUNTIF('Competency Event Log'!$U$4:$U$803,$B74&amp;"|"&amp;P$5)=0,"",SUMIF('Competency Event Log'!$U$4:$U$803,$B74&amp;"|"&amp;P$5,'Competency Event Log'!$D$4:$D$803)))</f>
        <v/>
      </c>
      <c r="Q74" s="8" t="str">
        <f>IF($B74="","",IF(COUNTIF('Competency Event Log'!$U$4:$U$803,$B74&amp;"|"&amp;Q$5)=0,"",SUMIF('Competency Event Log'!$U$4:$U$803,$B74&amp;"|"&amp;Q$5,'Competency Event Log'!$D$4:$D$803)))</f>
        <v/>
      </c>
      <c r="R74" s="8" t="str">
        <f>IF($B74="","",IF(COUNTIF('Competency Event Log'!$U$4:$U$803,$B74&amp;"|"&amp;R$5)=0,"",SUMIF('Competency Event Log'!$U$4:$U$803,$B74&amp;"|"&amp;R$5,'Competency Event Log'!$D$4:$D$803)))</f>
        <v/>
      </c>
      <c r="S74" s="8" t="str">
        <f>IF($B74="","",IF(COUNTIF('Competency Event Log'!$U$4:$U$803,$B74&amp;"|"&amp;S$5)=0,"",SUMIF('Competency Event Log'!$U$4:$U$803,$B74&amp;"|"&amp;S$5,'Competency Event Log'!$D$4:$D$803)))</f>
        <v/>
      </c>
      <c r="T74" s="8" t="str">
        <f>IF($B74="","",IF(COUNTIF('Competency Event Log'!$U$4:$U$803,$B74&amp;"|"&amp;T$5)=0,"",SUMIF('Competency Event Log'!$U$4:$U$803,$B74&amp;"|"&amp;T$5,'Competency Event Log'!$D$4:$D$803)))</f>
        <v/>
      </c>
      <c r="U74" s="8" t="str">
        <f>IF($B74="","",IF(COUNTIF('Competency Event Log'!$U$4:$U$803,$B74&amp;"|"&amp;U$5)=0,"",SUMIF('Competency Event Log'!$U$4:$U$803,$B74&amp;"|"&amp;U$5,'Competency Event Log'!$D$4:$D$803)))</f>
        <v/>
      </c>
      <c r="V74" s="8" t="str">
        <f>IF($B74="","",IF(COUNTIF('Competency Event Log'!$U$4:$U$803,$B74&amp;"|"&amp;V$5)=0,"",SUMIF('Competency Event Log'!$U$4:$U$803,$B74&amp;"|"&amp;V$5,'Competency Event Log'!$D$4:$D$803)))</f>
        <v/>
      </c>
      <c r="W74" s="8" t="str">
        <f>IF($B74="","",IF(COUNTIF('Competency Event Log'!$U$4:$U$803,$B74&amp;"|"&amp;W$5)=0,"",SUMIF('Competency Event Log'!$U$4:$U$803,$B74&amp;"|"&amp;W$5,'Competency Event Log'!$D$4:$D$803)))</f>
        <v/>
      </c>
      <c r="X74" s="8" t="str">
        <f>IF($B74="","",IF(COUNTIF('Competency Event Log'!$U$4:$U$803,$B74&amp;"|"&amp;X$5)=0,"",SUMIF('Competency Event Log'!$U$4:$U$803,$B74&amp;"|"&amp;X$5,'Competency Event Log'!$D$4:$D$803)))</f>
        <v/>
      </c>
      <c r="Y74" s="8" t="str">
        <f>IF($B74="","",IF(COUNTIF('Competency Event Log'!$U$4:$U$803,$B74&amp;"|"&amp;Y$5)=0,"",SUMIF('Competency Event Log'!$U$4:$U$803,$B74&amp;"|"&amp;Y$5,'Competency Event Log'!$D$4:$D$803)))</f>
        <v/>
      </c>
      <c r="Z74" s="8" t="str">
        <f>IF($B74="","",IF(COUNTIF('Competency Event Log'!$U$4:$U$803,$B74&amp;"|"&amp;Z$5)=0,"",SUMIF('Competency Event Log'!$U$4:$U$803,$B74&amp;"|"&amp;Z$5,'Competency Event Log'!$D$4:$D$803)))</f>
        <v/>
      </c>
      <c r="AA74" s="8" t="str">
        <f>IF($B74="","",IF(COUNTIF('Competency Event Log'!$U$4:$U$803,$B74&amp;"|"&amp;AA$5)=0,"",SUMIF('Competency Event Log'!$U$4:$U$803,$B74&amp;"|"&amp;AA$5,'Competency Event Log'!$D$4:$D$803)))</f>
        <v/>
      </c>
      <c r="AB74" s="8" t="str">
        <f>IF($B74="","",IF(COUNTIF('Competency Event Log'!$U$4:$U$803,$B74&amp;"|"&amp;AB$5)=0,"",SUMIF('Competency Event Log'!$U$4:$U$803,$B74&amp;"|"&amp;AB$5,'Competency Event Log'!$D$4:$D$803)))</f>
        <v/>
      </c>
      <c r="AC74" s="8" t="str">
        <f>IF($B74="","",IF(COUNTIF('Competency Event Log'!$U$4:$U$803,$B74&amp;"|"&amp;AC$5)=0,"",SUMIF('Competency Event Log'!$U$4:$U$803,$B74&amp;"|"&amp;AC$5,'Competency Event Log'!$D$4:$D$803)))</f>
        <v/>
      </c>
      <c r="AD74" s="8" t="str">
        <f>IF($B74="","",IF(COUNTIF('Competency Event Log'!$U$4:$U$803,$B74&amp;"|"&amp;AD$5)=0,"",SUMIF('Competency Event Log'!$U$4:$U$803,$B74&amp;"|"&amp;AD$5,'Competency Event Log'!$D$4:$D$803)))</f>
        <v/>
      </c>
      <c r="AE74" s="8" t="str">
        <f>IF($B74="","",IF(COUNTIF('Competency Event Log'!$U$4:$U$803,$B74&amp;"|"&amp;AE$5)=0,"",SUMIF('Competency Event Log'!$U$4:$U$803,$B74&amp;"|"&amp;AE$5,'Competency Event Log'!$D$4:$D$803)))</f>
        <v/>
      </c>
      <c r="AF74" s="8" t="str">
        <f>IF($B74="","",IF(COUNTIF('Competency Event Log'!$U$4:$U$803,$B74&amp;"|"&amp;AF$5)=0,"",SUMIF('Competency Event Log'!$U$4:$U$803,$B74&amp;"|"&amp;AF$5,'Competency Event Log'!$D$4:$D$803)))</f>
        <v/>
      </c>
      <c r="AG74" s="8" t="str">
        <f>IF($B74="","",IF(COUNTIF('Competency Event Log'!$U$4:$U$803,$B74&amp;"|"&amp;AG$5)=0,"",SUMIF('Competency Event Log'!$U$4:$U$803,$B74&amp;"|"&amp;AG$5,'Competency Event Log'!$D$4:$D$803)))</f>
        <v/>
      </c>
      <c r="AH74" s="8" t="str">
        <f>IF($B74="","",IF(COUNTIF('Competency Event Log'!$U$4:$U$803,$B74&amp;"|"&amp;AH$5)=0,"",SUMIF('Competency Event Log'!$U$4:$U$803,$B74&amp;"|"&amp;AH$5,'Competency Event Log'!$D$4:$D$803)))</f>
        <v/>
      </c>
      <c r="AI74" s="8" t="str">
        <f>IF($B74="","",IF(COUNTIF('Competency Event Log'!$U$4:$U$803,$B74&amp;"|"&amp;AI$5)=0,"",SUMIF('Competency Event Log'!$U$4:$U$803,$B74&amp;"|"&amp;AI$5,'Competency Event Log'!$D$4:$D$803)))</f>
        <v/>
      </c>
      <c r="AJ74" s="8" t="str">
        <f>IF($B74="","",IF(COUNTIF('Competency Event Log'!$U$4:$U$803,$B74&amp;"|"&amp;AJ$5)=0,"",SUMIF('Competency Event Log'!$U$4:$U$803,$B74&amp;"|"&amp;AJ$5,'Competency Event Log'!$D$4:$D$803)))</f>
        <v/>
      </c>
      <c r="AK74" s="8" t="str">
        <f>IF($B74="","",IF(COUNTIF('Competency Event Log'!$U$4:$U$803,$B74&amp;"|"&amp;AK$5)=0,"",SUMIF('Competency Event Log'!$U$4:$U$803,$B74&amp;"|"&amp;AK$5,'Competency Event Log'!$D$4:$D$803)))</f>
        <v/>
      </c>
      <c r="AL74" s="8" t="str">
        <f>IF($B74="","",IF(COUNTIF('Competency Event Log'!$U$4:$U$803,$B74&amp;"|"&amp;AL$5)=0,"",SUMIF('Competency Event Log'!$U$4:$U$803,$B74&amp;"|"&amp;AL$5,'Competency Event Log'!$D$4:$D$803)))</f>
        <v/>
      </c>
      <c r="AM74" s="8" t="str">
        <f>IF($B74="","",IF(COUNTIF('Competency Event Log'!$U$4:$U$803,$B74&amp;"|"&amp;AM$5)=0,"",SUMIF('Competency Event Log'!$U$4:$U$803,$B74&amp;"|"&amp;AM$5,'Competency Event Log'!$D$4:$D$803)))</f>
        <v/>
      </c>
      <c r="AN74" s="8" t="str">
        <f>IF($B74="","",IF(COUNTIF('Competency Event Log'!$U$4:$U$803,$B74&amp;"|"&amp;AN$5)=0,"",SUMIF('Competency Event Log'!$U$4:$U$803,$B74&amp;"|"&amp;AN$5,'Competency Event Log'!$D$4:$D$803)))</f>
        <v/>
      </c>
      <c r="AO74" s="8" t="str">
        <f>IF($B74="","",IF(COUNTIF('Competency Event Log'!$U$4:$U$803,$B74&amp;"|"&amp;AO$5)=0,"",SUMIF('Competency Event Log'!$U$4:$U$803,$B74&amp;"|"&amp;AO$5,'Competency Event Log'!$D$4:$D$803)))</f>
        <v/>
      </c>
      <c r="AP74" s="8" t="str">
        <f>IF($B74="","",IF(COUNTIF('Competency Event Log'!$U$4:$U$803,$B74&amp;"|"&amp;AP$5)=0,"",SUMIF('Competency Event Log'!$U$4:$U$803,$B74&amp;"|"&amp;AP$5,'Competency Event Log'!$D$4:$D$803)))</f>
        <v/>
      </c>
      <c r="AQ74" s="8" t="str">
        <f>IF($B74="","",IF(COUNTIF('Competency Event Log'!$U$4:$U$803,$B74&amp;"|"&amp;AQ$5)=0,"",SUMIF('Competency Event Log'!$U$4:$U$803,$B74&amp;"|"&amp;AQ$5,'Competency Event Log'!$D$4:$D$803)))</f>
        <v/>
      </c>
      <c r="AR74" s="8" t="str">
        <f>IF($B74="","",IF(COUNTIF('Competency Event Log'!$U$4:$U$803,$B74&amp;"|"&amp;AR$5)=0,"",SUMIF('Competency Event Log'!$U$4:$U$803,$B74&amp;"|"&amp;AR$5,'Competency Event Log'!$D$4:$D$803)))</f>
        <v/>
      </c>
      <c r="AS74" s="8" t="str">
        <f>IF($B74="","",IF(COUNTIF('Competency Event Log'!$U$4:$U$803,$B74&amp;"|"&amp;AS$5)=0,"",SUMIF('Competency Event Log'!$U$4:$U$803,$B74&amp;"|"&amp;AS$5,'Competency Event Log'!$D$4:$D$803)))</f>
        <v/>
      </c>
      <c r="AT74" s="8" t="str">
        <f>IF($B74="","",IF(COUNTIF('Competency Event Log'!$U$4:$U$803,$B74&amp;"|"&amp;AT$5)=0,"",SUMIF('Competency Event Log'!$U$4:$U$803,$B74&amp;"|"&amp;AT$5,'Competency Event Log'!$D$4:$D$803)))</f>
        <v/>
      </c>
      <c r="AU74" s="8" t="str">
        <f>IF($B74="","",IF(COUNTIF('Competency Event Log'!$U$4:$U$803,$B74&amp;"|"&amp;AU$5)=0,"",SUMIF('Competency Event Log'!$U$4:$U$803,$B74&amp;"|"&amp;AU$5,'Competency Event Log'!$D$4:$D$803)))</f>
        <v/>
      </c>
      <c r="AV74" s="8" t="str">
        <f>IF($B74="","",IF(COUNTIF('Competency Event Log'!$U$4:$U$803,$B74&amp;"|"&amp;AV$5)=0,"",SUMIF('Competency Event Log'!$U$4:$U$803,$B74&amp;"|"&amp;AV$5,'Competency Event Log'!$D$4:$D$803)))</f>
        <v/>
      </c>
      <c r="AW74" s="8" t="str">
        <f>IF($B74="","",IF(COUNTIF('Competency Event Log'!$U$4:$U$803,$B74&amp;"|"&amp;AW$5)=0,"",SUMIF('Competency Event Log'!$U$4:$U$803,$B74&amp;"|"&amp;AW$5,'Competency Event Log'!$D$4:$D$803)))</f>
        <v/>
      </c>
      <c r="AX74" s="8" t="str">
        <f>IF($B74="","",IF(COUNTIF('Competency Event Log'!$U$4:$U$803,$B74&amp;"|"&amp;AX$5)=0,"",SUMIF('Competency Event Log'!$U$4:$U$803,$B74&amp;"|"&amp;AX$5,'Competency Event Log'!$D$4:$D$803)))</f>
        <v/>
      </c>
      <c r="AY74" s="8" t="str">
        <f>IF($B74="","",IF(COUNTIF('Competency Event Log'!$U$4:$U$803,$B74&amp;"|"&amp;AY$5)=0,"",SUMIF('Competency Event Log'!$U$4:$U$803,$B74&amp;"|"&amp;AY$5,'Competency Event Log'!$D$4:$D$803)))</f>
        <v/>
      </c>
      <c r="AZ74" s="8" t="str">
        <f>IF($B74="","",IF(COUNTIF('Competency Event Log'!$U$4:$U$803,$B74&amp;"|"&amp;AZ$5)=0,"",SUMIF('Competency Event Log'!$U$4:$U$803,$B74&amp;"|"&amp;AZ$5,'Competency Event Log'!$D$4:$D$803)))</f>
        <v/>
      </c>
      <c r="BA74" s="8" t="str">
        <f>IF($B74="","",IF(COUNTIF('Competency Event Log'!$U$4:$U$803,$B74&amp;"|"&amp;BA$5)=0,"",SUMIF('Competency Event Log'!$U$4:$U$803,$B74&amp;"|"&amp;BA$5,'Competency Event Log'!$D$4:$D$803)))</f>
        <v/>
      </c>
      <c r="BB74" s="8" t="str">
        <f>IF($B74="","",IF(COUNTIF('Competency Event Log'!$U$4:$U$803,$B74&amp;"|"&amp;BB$5)=0,"",SUMIF('Competency Event Log'!$U$4:$U$803,$B74&amp;"|"&amp;BB$5,'Competency Event Log'!$D$4:$D$803)))</f>
        <v/>
      </c>
      <c r="BC74" s="8" t="str">
        <f>IF($B74="","",IF(COUNTIF('Competency Event Log'!$U$4:$U$803,$B74&amp;"|"&amp;BC$5)=0,"",SUMIF('Competency Event Log'!$U$4:$U$803,$B74&amp;"|"&amp;BC$5,'Competency Event Log'!$D$4:$D$803)))</f>
        <v/>
      </c>
      <c r="BD74" s="8" t="str">
        <f>IF($B74="","",IF(COUNTIF('Competency Event Log'!$U$4:$U$803,$B74&amp;"|"&amp;BD$5)=0,"",SUMIF('Competency Event Log'!$U$4:$U$803,$B74&amp;"|"&amp;BD$5,'Competency Event Log'!$D$4:$D$803)))</f>
        <v/>
      </c>
      <c r="BE74" s="8" t="str">
        <f>IF($B74="","",IF(COUNTIF('Competency Event Log'!$U$4:$U$803,$B74&amp;"|"&amp;BE$5)=0,"",SUMIF('Competency Event Log'!$U$4:$U$803,$B74&amp;"|"&amp;BE$5,'Competency Event Log'!$D$4:$D$803)))</f>
        <v/>
      </c>
      <c r="BF74" s="8" t="str">
        <f>IF($B74="","",IF(COUNTIF('Competency Event Log'!$U$4:$U$803,$B74&amp;"|"&amp;BF$5)=0,"",SUMIF('Competency Event Log'!$U$4:$U$803,$B74&amp;"|"&amp;BF$5,'Competency Event Log'!$D$4:$D$803)))</f>
        <v/>
      </c>
      <c r="BG74" s="8" t="str">
        <f>IF($B74="","",IF(COUNTIF('Competency Event Log'!$U$4:$U$803,$B74&amp;"|"&amp;BG$5)=0,"",SUMIF('Competency Event Log'!$U$4:$U$803,$B74&amp;"|"&amp;BG$5,'Competency Event Log'!$D$4:$D$803)))</f>
        <v/>
      </c>
      <c r="BH74" s="8" t="str">
        <f>IF($B74="","",IF(COUNTIF('Competency Event Log'!$U$4:$U$803,$B74&amp;"|"&amp;BH$5)=0,"",SUMIF('Competency Event Log'!$U$4:$U$803,$B74&amp;"|"&amp;BH$5,'Competency Event Log'!$D$4:$D$803)))</f>
        <v/>
      </c>
      <c r="BI74" s="8" t="str">
        <f>IF($B74="","",IF(COUNTIF('Competency Event Log'!$U$4:$U$803,$B74&amp;"|"&amp;BI$5)=0,"",SUMIF('Competency Event Log'!$U$4:$U$803,$B74&amp;"|"&amp;BI$5,'Competency Event Log'!$D$4:$D$803)))</f>
        <v/>
      </c>
      <c r="BJ74" s="8" t="str">
        <f>IF($B74="","",IF(COUNTIF('Competency Event Log'!$U$4:$U$803,$B74&amp;"|"&amp;BJ$5)=0,"",SUMIF('Competency Event Log'!$U$4:$U$803,$B74&amp;"|"&amp;BJ$5,'Competency Event Log'!$D$4:$D$803)))</f>
        <v/>
      </c>
      <c r="BK74" s="8" t="str">
        <f>IF($B74="","",IF(COUNTIF('Competency Event Log'!$U$4:$U$803,$B74&amp;"|"&amp;BK$5)=0,"",SUMIF('Competency Event Log'!$U$4:$U$803,$B74&amp;"|"&amp;BK$5,'Competency Event Log'!$D$4:$D$803)))</f>
        <v/>
      </c>
      <c r="BL74" s="8" t="str">
        <f>IF($B74="","",IF(COUNTIF('Competency Event Log'!$U$4:$U$803,$B74&amp;"|"&amp;BL$5)=0,"",SUMIF('Competency Event Log'!$U$4:$U$803,$B74&amp;"|"&amp;BL$5,'Competency Event Log'!$D$4:$D$803)))</f>
        <v/>
      </c>
      <c r="BM74" s="8" t="str">
        <f>IF($B74="","",IF(COUNTIF('Competency Event Log'!$U$4:$U$803,$B74&amp;"|"&amp;BM$5)=0,"",SUMIF('Competency Event Log'!$U$4:$U$803,$B74&amp;"|"&amp;BM$5,'Competency Event Log'!$D$4:$D$803)))</f>
        <v/>
      </c>
      <c r="BN74" s="8" t="str">
        <f>IF($B74="","",IF(COUNTIF('Competency Event Log'!$U$4:$U$803,$B74&amp;"|"&amp;BN$5)=0,"",SUMIF('Competency Event Log'!$U$4:$U$803,$B74&amp;"|"&amp;BN$5,'Competency Event Log'!$D$4:$D$803)))</f>
        <v/>
      </c>
      <c r="BO74" s="8" t="str">
        <f>IF($B74="","",IF(COUNTIF('Competency Event Log'!$U$4:$U$803,$B74&amp;"|"&amp;BO$5)=0,"",SUMIF('Competency Event Log'!$U$4:$U$803,$B74&amp;"|"&amp;BO$5,'Competency Event Log'!$D$4:$D$803)))</f>
        <v/>
      </c>
      <c r="BP74" s="8" t="str">
        <f>IF($B74="","",IF(COUNTIF('Competency Event Log'!$U$4:$U$803,$B74&amp;"|"&amp;BP$5)=0,"",SUMIF('Competency Event Log'!$U$4:$U$803,$B74&amp;"|"&amp;BP$5,'Competency Event Log'!$D$4:$D$803)))</f>
        <v/>
      </c>
      <c r="BQ74" s="8" t="str">
        <f>IF($B74="","",IF(COUNTIF('Competency Event Log'!$U$4:$U$803,$B74&amp;"|"&amp;BQ$5)=0,"",SUMIF('Competency Event Log'!$U$4:$U$803,$B74&amp;"|"&amp;BQ$5,'Competency Event Log'!$D$4:$D$803)))</f>
        <v/>
      </c>
      <c r="BR74" s="8" t="str">
        <f>IF($B74="","",IF(COUNTIF('Competency Event Log'!$U$4:$U$803,$B74&amp;"|"&amp;BR$5)=0,"",SUMIF('Competency Event Log'!$U$4:$U$803,$B74&amp;"|"&amp;BR$5,'Competency Event Log'!$D$4:$D$803)))</f>
        <v/>
      </c>
      <c r="BS74" s="8" t="str">
        <f>IF($B74="","",IF(COUNTIF('Competency Event Log'!$U$4:$U$803,$B74&amp;"|"&amp;BS$5)=0,"",SUMIF('Competency Event Log'!$U$4:$U$803,$B74&amp;"|"&amp;BS$5,'Competency Event Log'!$D$4:$D$803)))</f>
        <v/>
      </c>
      <c r="BT74" s="8" t="str">
        <f>IF($B74="","",IF(COUNTIF('Competency Event Log'!$U$4:$U$803,$B74&amp;"|"&amp;BT$5)=0,"",SUMIF('Competency Event Log'!$U$4:$U$803,$B74&amp;"|"&amp;BT$5,'Competency Event Log'!$D$4:$D$803)))</f>
        <v/>
      </c>
      <c r="BU74" s="8" t="str">
        <f>IF($B74="","",IF(COUNTIF('Competency Event Log'!$U$4:$U$803,$B74&amp;"|"&amp;BU$5)=0,"",SUMIF('Competency Event Log'!$U$4:$U$803,$B74&amp;"|"&amp;BU$5,'Competency Event Log'!$D$4:$D$803)))</f>
        <v/>
      </c>
      <c r="BV74" s="8" t="str">
        <f>IF($B74="","",IF(COUNTIF('Competency Event Log'!$U$4:$U$803,$B74&amp;"|"&amp;BV$5)=0,"",SUMIF('Competency Event Log'!$U$4:$U$803,$B74&amp;"|"&amp;BV$5,'Competency Event Log'!$D$4:$D$803)))</f>
        <v/>
      </c>
      <c r="BW74" s="8" t="str">
        <f>IF($B74="","",IF(COUNTIF('Competency Event Log'!$U$4:$U$803,$B74&amp;"|"&amp;BW$5)=0,"",SUMIF('Competency Event Log'!$U$4:$U$803,$B74&amp;"|"&amp;BW$5,'Competency Event Log'!$D$4:$D$803)))</f>
        <v/>
      </c>
      <c r="BX74" s="8" t="str">
        <f>IF($B74="","",IF(COUNTIF('Competency Event Log'!$U$4:$U$803,$B74&amp;"|"&amp;BX$5)=0,"",SUMIF('Competency Event Log'!$U$4:$U$803,$B74&amp;"|"&amp;BX$5,'Competency Event Log'!$D$4:$D$803)))</f>
        <v/>
      </c>
      <c r="BY74" s="8" t="str">
        <f>IF($B74="","",IF(COUNTIF('Competency Event Log'!$U$4:$U$803,$B74&amp;"|"&amp;BY$5)=0,"",SUMIF('Competency Event Log'!$U$4:$U$803,$B74&amp;"|"&amp;BY$5,'Competency Event Log'!$D$4:$D$803)))</f>
        <v/>
      </c>
      <c r="BZ74" s="8" t="str">
        <f>IF($B74="","",IF(COUNTIF('Competency Event Log'!$U$4:$U$803,$B74&amp;"|"&amp;BZ$5)=0,"",SUMIF('Competency Event Log'!$U$4:$U$803,$B74&amp;"|"&amp;BZ$5,'Competency Event Log'!$D$4:$D$803)))</f>
        <v/>
      </c>
      <c r="CA74" s="8" t="str">
        <f>IF($B74="","",IF(COUNTIF('Competency Event Log'!$U$4:$U$803,$B74&amp;"|"&amp;CA$5)=0,"",SUMIF('Competency Event Log'!$U$4:$U$803,$B74&amp;"|"&amp;CA$5,'Competency Event Log'!$D$4:$D$803)))</f>
        <v/>
      </c>
      <c r="CB74" s="8" t="str">
        <f>IF($B74="","",IF(COUNTIF('Competency Event Log'!$U$4:$U$803,$B74&amp;"|"&amp;CB$5)=0,"",SUMIF('Competency Event Log'!$U$4:$U$803,$B74&amp;"|"&amp;CB$5,'Competency Event Log'!$D$4:$D$803)))</f>
        <v/>
      </c>
      <c r="CC74" s="8" t="str">
        <f>IF($B74="","",IF(COUNTIF('Competency Event Log'!$U$4:$U$803,$B74&amp;"|"&amp;CC$5)=0,"",SUMIF('Competency Event Log'!$U$4:$U$803,$B74&amp;"|"&amp;CC$5,'Competency Event Log'!$D$4:$D$803)))</f>
        <v/>
      </c>
      <c r="CD74" s="8" t="str">
        <f>IF($B74="","",IF(COUNTIF('Competency Event Log'!$U$4:$U$803,$B74&amp;"|"&amp;CD$5)=0,"",SUMIF('Competency Event Log'!$U$4:$U$803,$B74&amp;"|"&amp;CD$5,'Competency Event Log'!$D$4:$D$803)))</f>
        <v/>
      </c>
      <c r="CE74" s="8" t="str">
        <f>IF($B74="","",IF(COUNTIF('Competency Event Log'!$U$4:$U$803,$B74&amp;"|"&amp;CE$5)=0,"",SUMIF('Competency Event Log'!$U$4:$U$803,$B74&amp;"|"&amp;CE$5,'Competency Event Log'!$D$4:$D$803)))</f>
        <v/>
      </c>
      <c r="CF74" s="8" t="str">
        <f>IF($B74="","",IF(COUNTIF('Competency Event Log'!$U$4:$U$803,$B74&amp;"|"&amp;CF$5)=0,"",SUMIF('Competency Event Log'!$U$4:$U$803,$B74&amp;"|"&amp;CF$5,'Competency Event Log'!$D$4:$D$803)))</f>
        <v/>
      </c>
      <c r="CG74" s="8" t="str">
        <f>IF($B74="","",IF(COUNTIF('Competency Event Log'!$U$4:$U$803,$B74&amp;"|"&amp;CG$5)=0,"",SUMIF('Competency Event Log'!$U$4:$U$803,$B74&amp;"|"&amp;CG$5,'Competency Event Log'!$D$4:$D$803)))</f>
        <v/>
      </c>
      <c r="CH74" s="8" t="str">
        <f>IF($B74="","",IF(COUNTIF('Competency Event Log'!$U$4:$U$803,$B74&amp;"|"&amp;CH$5)=0,"",SUMIF('Competency Event Log'!$U$4:$U$803,$B74&amp;"|"&amp;CH$5,'Competency Event Log'!$D$4:$D$803)))</f>
        <v/>
      </c>
      <c r="CI74" s="8" t="str">
        <f>IF($B74="","",IF(COUNTIF('Competency Event Log'!$U$4:$U$803,$B74&amp;"|"&amp;CI$5)=0,"",SUMIF('Competency Event Log'!$U$4:$U$803,$B74&amp;"|"&amp;CI$5,'Competency Event Log'!$D$4:$D$803)))</f>
        <v/>
      </c>
      <c r="CJ74" s="8" t="str">
        <f>IF($B74="","",IF(COUNTIF('Competency Event Log'!$U$4:$U$803,$B74&amp;"|"&amp;CJ$5)=0,"",SUMIF('Competency Event Log'!$U$4:$U$803,$B74&amp;"|"&amp;CJ$5,'Competency Event Log'!$D$4:$D$803)))</f>
        <v/>
      </c>
      <c r="CK74" s="8" t="str">
        <f>IF($B74="","",IF(COUNTIF('Competency Event Log'!$U$4:$U$803,$B74&amp;"|"&amp;CK$5)=0,"",SUMIF('Competency Event Log'!$U$4:$U$803,$B74&amp;"|"&amp;CK$5,'Competency Event Log'!$D$4:$D$803)))</f>
        <v/>
      </c>
      <c r="CL74" s="8" t="str">
        <f>IF($B74="","",IF(COUNTIF('Competency Event Log'!$U$4:$U$803,$B74&amp;"|"&amp;CL$5)=0,"",SUMIF('Competency Event Log'!$U$4:$U$803,$B74&amp;"|"&amp;CL$5,'Competency Event Log'!$D$4:$D$803)))</f>
        <v/>
      </c>
      <c r="CM74" s="8" t="str">
        <f>IF($B74="","",IF(COUNTIF('Competency Event Log'!$U$4:$U$803,$B74&amp;"|"&amp;CM$5)=0,"",SUMIF('Competency Event Log'!$U$4:$U$803,$B74&amp;"|"&amp;CM$5,'Competency Event Log'!$D$4:$D$803)))</f>
        <v/>
      </c>
      <c r="CN74" s="8" t="str">
        <f>IF($B74="","",IF(COUNTIF('Competency Event Log'!$U$4:$U$803,$B74&amp;"|"&amp;CN$5)=0,"",SUMIF('Competency Event Log'!$U$4:$U$803,$B74&amp;"|"&amp;CN$5,'Competency Event Log'!$D$4:$D$803)))</f>
        <v/>
      </c>
      <c r="CO74" s="8" t="str">
        <f>IF($B74="","",IF(COUNTIF('Competency Event Log'!$U$4:$U$803,$B74&amp;"|"&amp;CO$5)=0,"",SUMIF('Competency Event Log'!$U$4:$U$803,$B74&amp;"|"&amp;CO$5,'Competency Event Log'!$D$4:$D$803)))</f>
        <v/>
      </c>
      <c r="CP74" s="8" t="str">
        <f>IF($B74="","",IF(COUNTIF('Competency Event Log'!$U$4:$U$803,$B74&amp;"|"&amp;CP$5)=0,"",SUMIF('Competency Event Log'!$U$4:$U$803,$B74&amp;"|"&amp;CP$5,'Competency Event Log'!$D$4:$D$803)))</f>
        <v/>
      </c>
      <c r="CQ74" s="8" t="str">
        <f>IF($B74="","",IF(COUNTIF('Competency Event Log'!$U$4:$U$803,$B74&amp;"|"&amp;CQ$5)=0,"",SUMIF('Competency Event Log'!$U$4:$U$803,$B74&amp;"|"&amp;CQ$5,'Competency Event Log'!$D$4:$D$803)))</f>
        <v/>
      </c>
      <c r="CR74" s="8" t="str">
        <f>IF($B74="","",IF(COUNTIF('Competency Event Log'!$U$4:$U$803,$B74&amp;"|"&amp;CR$5)=0,"",SUMIF('Competency Event Log'!$U$4:$U$803,$B74&amp;"|"&amp;CR$5,'Competency Event Log'!$D$4:$D$803)))</f>
        <v/>
      </c>
      <c r="CS74" s="8" t="str">
        <f>IF($B74="","",IF(COUNTIF('Competency Event Log'!$U$4:$U$803,$B74&amp;"|"&amp;CS$5)=0,"",SUMIF('Competency Event Log'!$U$4:$U$803,$B74&amp;"|"&amp;CS$5,'Competency Event Log'!$D$4:$D$803)))</f>
        <v/>
      </c>
      <c r="CT74" s="8" t="str">
        <f>IF($B74="","",IF(COUNTIF('Competency Event Log'!$U$4:$U$803,$B74&amp;"|"&amp;CT$5)=0,"",SUMIF('Competency Event Log'!$U$4:$U$803,$B74&amp;"|"&amp;CT$5,'Competency Event Log'!$D$4:$D$803)))</f>
        <v/>
      </c>
      <c r="CU74" s="8" t="str">
        <f>IF($B74="","",IF(COUNTIF('Competency Event Log'!$U$4:$U$803,$B74&amp;"|"&amp;CU$5)=0,"",SUMIF('Competency Event Log'!$U$4:$U$803,$B74&amp;"|"&amp;CU$5,'Competency Event Log'!$D$4:$D$803)))</f>
        <v/>
      </c>
      <c r="CV74" s="8" t="str">
        <f>IF($B74="","",IF(COUNTIF('Competency Event Log'!$U$4:$U$803,$B74&amp;"|"&amp;CV$5)=0,"",SUMIF('Competency Event Log'!$U$4:$U$803,$B74&amp;"|"&amp;CV$5,'Competency Event Log'!$D$4:$D$803)))</f>
        <v/>
      </c>
      <c r="CW74" s="8" t="str">
        <f>IF($B74="","",IF(COUNTIF('Competency Event Log'!$U$4:$U$803,$B74&amp;"|"&amp;CW$5)=0,"",SUMIF('Competency Event Log'!$U$4:$U$803,$B74&amp;"|"&amp;CW$5,'Competency Event Log'!$D$4:$D$803)))</f>
        <v/>
      </c>
      <c r="CX74" s="8" t="str">
        <f>IF($B74="","",IF(COUNTIF('Competency Event Log'!$U$4:$U$803,$B74&amp;"|"&amp;CX$5)=0,"",SUMIF('Competency Event Log'!$U$4:$U$803,$B74&amp;"|"&amp;CX$5,'Competency Event Log'!$D$4:$D$803)))</f>
        <v/>
      </c>
      <c r="CY74" s="8" t="str">
        <f>IF($B74="","",IF(COUNTIF('Competency Event Log'!$U$4:$U$803,$B74&amp;"|"&amp;CY$5)=0,"",SUMIF('Competency Event Log'!$U$4:$U$803,$B74&amp;"|"&amp;CY$5,'Competency Event Log'!$D$4:$D$803)))</f>
        <v/>
      </c>
      <c r="CZ74" s="8" t="str">
        <f>IF($B74="","",IF(COUNTIF('Competency Event Log'!$U$4:$U$803,$B74&amp;"|"&amp;CZ$5)=0,"",SUMIF('Competency Event Log'!$U$4:$U$803,$B74&amp;"|"&amp;CZ$5,'Competency Event Log'!$D$4:$D$803)))</f>
        <v/>
      </c>
      <c r="DA74" s="8" t="str">
        <f>IF($B74="","",IF(COUNTIF('Competency Event Log'!$U$4:$U$803,$B74&amp;"|"&amp;DA$5)=0,"",SUMIF('Competency Event Log'!$U$4:$U$803,$B74&amp;"|"&amp;DA$5,'Competency Event Log'!$D$4:$D$803)))</f>
        <v/>
      </c>
      <c r="DB74" s="8" t="str">
        <f>IF($B74="","",IF(COUNTIF('Competency Event Log'!$U$4:$U$803,$B74&amp;"|"&amp;DB$5)=0,"",SUMIF('Competency Event Log'!$U$4:$U$803,$B74&amp;"|"&amp;DB$5,'Competency Event Log'!$D$4:$D$803)))</f>
        <v/>
      </c>
      <c r="DC74" s="8" t="str">
        <f>IF($B74="","",IF(COUNTIF('Competency Event Log'!$U$4:$U$803,$B74&amp;"|"&amp;DC$5)=0,"",SUMIF('Competency Event Log'!$U$4:$U$803,$B74&amp;"|"&amp;DC$5,'Competency Event Log'!$D$4:$D$803)))</f>
        <v/>
      </c>
      <c r="DD74" s="8" t="str">
        <f>IF($B74="","",IF(COUNTIF('Competency Event Log'!$U$4:$U$803,$B74&amp;"|"&amp;DD$5)=0,"",SUMIF('Competency Event Log'!$U$4:$U$803,$B74&amp;"|"&amp;DD$5,'Competency Event Log'!$D$4:$D$803)))</f>
        <v/>
      </c>
      <c r="DE74" s="8" t="str">
        <f>IF($B74="","",IF(COUNTIF('Competency Event Log'!$U$4:$U$803,$B74&amp;"|"&amp;DE$5)=0,"",SUMIF('Competency Event Log'!$U$4:$U$803,$B74&amp;"|"&amp;DE$5,'Competency Event Log'!$D$4:$D$803)))</f>
        <v/>
      </c>
      <c r="DF74" s="8" t="str">
        <f t="shared" si="8"/>
        <v/>
      </c>
      <c r="DG74" s="8" t="str">
        <f t="shared" si="9"/>
        <v/>
      </c>
      <c r="DH74" s="8" t="str">
        <f t="shared" si="10"/>
        <v/>
      </c>
      <c r="DI74" s="11" t="str">
        <f t="shared" si="11"/>
        <v/>
      </c>
    </row>
    <row r="75" spans="1:113">
      <c r="A75" s="7"/>
      <c r="B75" s="7"/>
      <c r="C75" s="8"/>
      <c r="D75" s="9"/>
      <c r="E75" s="10"/>
      <c r="F75" s="8"/>
      <c r="G75" s="8" t="str">
        <f>IF($B75="","",IF(COUNTIF('Competency Event Log'!$U$4:$U$803,$B75&amp;"|"&amp;G$5)=0,"",SUMIF('Competency Event Log'!$U$4:$U$803,$B75&amp;"|"&amp;G$5,'Competency Event Log'!$D$4:$D$803)))</f>
        <v/>
      </c>
      <c r="H75" s="8" t="str">
        <f>IF($B75="","",IF(COUNTIF('Competency Event Log'!$U$4:$U$803,$B75&amp;"|"&amp;H$5)=0,"",SUMIF('Competency Event Log'!$U$4:$U$803,$B75&amp;"|"&amp;H$5,'Competency Event Log'!$D$4:$D$803)))</f>
        <v/>
      </c>
      <c r="I75" s="8" t="str">
        <f>IF($B75="","",IF(COUNTIF('Competency Event Log'!$U$4:$U$803,$B75&amp;"|"&amp;I$5)=0,"",SUMIF('Competency Event Log'!$U$4:$U$803,$B75&amp;"|"&amp;I$5,'Competency Event Log'!$D$4:$D$803)))</f>
        <v/>
      </c>
      <c r="J75" s="8" t="str">
        <f>IF($B75="","",IF(COUNTIF('Competency Event Log'!$U$4:$U$803,$B75&amp;"|"&amp;J$5)=0,"",SUMIF('Competency Event Log'!$U$4:$U$803,$B75&amp;"|"&amp;J$5,'Competency Event Log'!$D$4:$D$803)))</f>
        <v/>
      </c>
      <c r="K75" s="8" t="str">
        <f>IF($B75="","",IF(COUNTIF('Competency Event Log'!$U$4:$U$803,$B75&amp;"|"&amp;K$5)=0,"",SUMIF('Competency Event Log'!$U$4:$U$803,$B75&amp;"|"&amp;K$5,'Competency Event Log'!$D$4:$D$803)))</f>
        <v/>
      </c>
      <c r="L75" s="8" t="str">
        <f>IF($B75="","",IF(COUNTIF('Competency Event Log'!$U$4:$U$803,$B75&amp;"|"&amp;L$5)=0,"",SUMIF('Competency Event Log'!$U$4:$U$803,$B75&amp;"|"&amp;L$5,'Competency Event Log'!$D$4:$D$803)))</f>
        <v/>
      </c>
      <c r="M75" s="8" t="str">
        <f>IF($B75="","",IF(COUNTIF('Competency Event Log'!$U$4:$U$803,$B75&amp;"|"&amp;M$5)=0,"",SUMIF('Competency Event Log'!$U$4:$U$803,$B75&amp;"|"&amp;M$5,'Competency Event Log'!$D$4:$D$803)))</f>
        <v/>
      </c>
      <c r="N75" s="8" t="str">
        <f>IF($B75="","",IF(COUNTIF('Competency Event Log'!$U$4:$U$803,$B75&amp;"|"&amp;N$5)=0,"",SUMIF('Competency Event Log'!$U$4:$U$803,$B75&amp;"|"&amp;N$5,'Competency Event Log'!$D$4:$D$803)))</f>
        <v/>
      </c>
      <c r="O75" s="8" t="str">
        <f>IF($B75="","",IF(COUNTIF('Competency Event Log'!$U$4:$U$803,$B75&amp;"|"&amp;O$5)=0,"",SUMIF('Competency Event Log'!$U$4:$U$803,$B75&amp;"|"&amp;O$5,'Competency Event Log'!$D$4:$D$803)))</f>
        <v/>
      </c>
      <c r="P75" s="8" t="str">
        <f>IF($B75="","",IF(COUNTIF('Competency Event Log'!$U$4:$U$803,$B75&amp;"|"&amp;P$5)=0,"",SUMIF('Competency Event Log'!$U$4:$U$803,$B75&amp;"|"&amp;P$5,'Competency Event Log'!$D$4:$D$803)))</f>
        <v/>
      </c>
      <c r="Q75" s="8" t="str">
        <f>IF($B75="","",IF(COUNTIF('Competency Event Log'!$U$4:$U$803,$B75&amp;"|"&amp;Q$5)=0,"",SUMIF('Competency Event Log'!$U$4:$U$803,$B75&amp;"|"&amp;Q$5,'Competency Event Log'!$D$4:$D$803)))</f>
        <v/>
      </c>
      <c r="R75" s="8" t="str">
        <f>IF($B75="","",IF(COUNTIF('Competency Event Log'!$U$4:$U$803,$B75&amp;"|"&amp;R$5)=0,"",SUMIF('Competency Event Log'!$U$4:$U$803,$B75&amp;"|"&amp;R$5,'Competency Event Log'!$D$4:$D$803)))</f>
        <v/>
      </c>
      <c r="S75" s="8" t="str">
        <f>IF($B75="","",IF(COUNTIF('Competency Event Log'!$U$4:$U$803,$B75&amp;"|"&amp;S$5)=0,"",SUMIF('Competency Event Log'!$U$4:$U$803,$B75&amp;"|"&amp;S$5,'Competency Event Log'!$D$4:$D$803)))</f>
        <v/>
      </c>
      <c r="T75" s="8" t="str">
        <f>IF($B75="","",IF(COUNTIF('Competency Event Log'!$U$4:$U$803,$B75&amp;"|"&amp;T$5)=0,"",SUMIF('Competency Event Log'!$U$4:$U$803,$B75&amp;"|"&amp;T$5,'Competency Event Log'!$D$4:$D$803)))</f>
        <v/>
      </c>
      <c r="U75" s="8" t="str">
        <f>IF($B75="","",IF(COUNTIF('Competency Event Log'!$U$4:$U$803,$B75&amp;"|"&amp;U$5)=0,"",SUMIF('Competency Event Log'!$U$4:$U$803,$B75&amp;"|"&amp;U$5,'Competency Event Log'!$D$4:$D$803)))</f>
        <v/>
      </c>
      <c r="V75" s="8" t="str">
        <f>IF($B75="","",IF(COUNTIF('Competency Event Log'!$U$4:$U$803,$B75&amp;"|"&amp;V$5)=0,"",SUMIF('Competency Event Log'!$U$4:$U$803,$B75&amp;"|"&amp;V$5,'Competency Event Log'!$D$4:$D$803)))</f>
        <v/>
      </c>
      <c r="W75" s="8" t="str">
        <f>IF($B75="","",IF(COUNTIF('Competency Event Log'!$U$4:$U$803,$B75&amp;"|"&amp;W$5)=0,"",SUMIF('Competency Event Log'!$U$4:$U$803,$B75&amp;"|"&amp;W$5,'Competency Event Log'!$D$4:$D$803)))</f>
        <v/>
      </c>
      <c r="X75" s="8" t="str">
        <f>IF($B75="","",IF(COUNTIF('Competency Event Log'!$U$4:$U$803,$B75&amp;"|"&amp;X$5)=0,"",SUMIF('Competency Event Log'!$U$4:$U$803,$B75&amp;"|"&amp;X$5,'Competency Event Log'!$D$4:$D$803)))</f>
        <v/>
      </c>
      <c r="Y75" s="8" t="str">
        <f>IF($B75="","",IF(COUNTIF('Competency Event Log'!$U$4:$U$803,$B75&amp;"|"&amp;Y$5)=0,"",SUMIF('Competency Event Log'!$U$4:$U$803,$B75&amp;"|"&amp;Y$5,'Competency Event Log'!$D$4:$D$803)))</f>
        <v/>
      </c>
      <c r="Z75" s="8" t="str">
        <f>IF($B75="","",IF(COUNTIF('Competency Event Log'!$U$4:$U$803,$B75&amp;"|"&amp;Z$5)=0,"",SUMIF('Competency Event Log'!$U$4:$U$803,$B75&amp;"|"&amp;Z$5,'Competency Event Log'!$D$4:$D$803)))</f>
        <v/>
      </c>
      <c r="AA75" s="8" t="str">
        <f>IF($B75="","",IF(COUNTIF('Competency Event Log'!$U$4:$U$803,$B75&amp;"|"&amp;AA$5)=0,"",SUMIF('Competency Event Log'!$U$4:$U$803,$B75&amp;"|"&amp;AA$5,'Competency Event Log'!$D$4:$D$803)))</f>
        <v/>
      </c>
      <c r="AB75" s="8" t="str">
        <f>IF($B75="","",IF(COUNTIF('Competency Event Log'!$U$4:$U$803,$B75&amp;"|"&amp;AB$5)=0,"",SUMIF('Competency Event Log'!$U$4:$U$803,$B75&amp;"|"&amp;AB$5,'Competency Event Log'!$D$4:$D$803)))</f>
        <v/>
      </c>
      <c r="AC75" s="8" t="str">
        <f>IF($B75="","",IF(COUNTIF('Competency Event Log'!$U$4:$U$803,$B75&amp;"|"&amp;AC$5)=0,"",SUMIF('Competency Event Log'!$U$4:$U$803,$B75&amp;"|"&amp;AC$5,'Competency Event Log'!$D$4:$D$803)))</f>
        <v/>
      </c>
      <c r="AD75" s="8" t="str">
        <f>IF($B75="","",IF(COUNTIF('Competency Event Log'!$U$4:$U$803,$B75&amp;"|"&amp;AD$5)=0,"",SUMIF('Competency Event Log'!$U$4:$U$803,$B75&amp;"|"&amp;AD$5,'Competency Event Log'!$D$4:$D$803)))</f>
        <v/>
      </c>
      <c r="AE75" s="8" t="str">
        <f>IF($B75="","",IF(COUNTIF('Competency Event Log'!$U$4:$U$803,$B75&amp;"|"&amp;AE$5)=0,"",SUMIF('Competency Event Log'!$U$4:$U$803,$B75&amp;"|"&amp;AE$5,'Competency Event Log'!$D$4:$D$803)))</f>
        <v/>
      </c>
      <c r="AF75" s="8" t="str">
        <f>IF($B75="","",IF(COUNTIF('Competency Event Log'!$U$4:$U$803,$B75&amp;"|"&amp;AF$5)=0,"",SUMIF('Competency Event Log'!$U$4:$U$803,$B75&amp;"|"&amp;AF$5,'Competency Event Log'!$D$4:$D$803)))</f>
        <v/>
      </c>
      <c r="AG75" s="8" t="str">
        <f>IF($B75="","",IF(COUNTIF('Competency Event Log'!$U$4:$U$803,$B75&amp;"|"&amp;AG$5)=0,"",SUMIF('Competency Event Log'!$U$4:$U$803,$B75&amp;"|"&amp;AG$5,'Competency Event Log'!$D$4:$D$803)))</f>
        <v/>
      </c>
      <c r="AH75" s="8" t="str">
        <f>IF($B75="","",IF(COUNTIF('Competency Event Log'!$U$4:$U$803,$B75&amp;"|"&amp;AH$5)=0,"",SUMIF('Competency Event Log'!$U$4:$U$803,$B75&amp;"|"&amp;AH$5,'Competency Event Log'!$D$4:$D$803)))</f>
        <v/>
      </c>
      <c r="AI75" s="8" t="str">
        <f>IF($B75="","",IF(COUNTIF('Competency Event Log'!$U$4:$U$803,$B75&amp;"|"&amp;AI$5)=0,"",SUMIF('Competency Event Log'!$U$4:$U$803,$B75&amp;"|"&amp;AI$5,'Competency Event Log'!$D$4:$D$803)))</f>
        <v/>
      </c>
      <c r="AJ75" s="8" t="str">
        <f>IF($B75="","",IF(COUNTIF('Competency Event Log'!$U$4:$U$803,$B75&amp;"|"&amp;AJ$5)=0,"",SUMIF('Competency Event Log'!$U$4:$U$803,$B75&amp;"|"&amp;AJ$5,'Competency Event Log'!$D$4:$D$803)))</f>
        <v/>
      </c>
      <c r="AK75" s="8" t="str">
        <f>IF($B75="","",IF(COUNTIF('Competency Event Log'!$U$4:$U$803,$B75&amp;"|"&amp;AK$5)=0,"",SUMIF('Competency Event Log'!$U$4:$U$803,$B75&amp;"|"&amp;AK$5,'Competency Event Log'!$D$4:$D$803)))</f>
        <v/>
      </c>
      <c r="AL75" s="8" t="str">
        <f>IF($B75="","",IF(COUNTIF('Competency Event Log'!$U$4:$U$803,$B75&amp;"|"&amp;AL$5)=0,"",SUMIF('Competency Event Log'!$U$4:$U$803,$B75&amp;"|"&amp;AL$5,'Competency Event Log'!$D$4:$D$803)))</f>
        <v/>
      </c>
      <c r="AM75" s="8" t="str">
        <f>IF($B75="","",IF(COUNTIF('Competency Event Log'!$U$4:$U$803,$B75&amp;"|"&amp;AM$5)=0,"",SUMIF('Competency Event Log'!$U$4:$U$803,$B75&amp;"|"&amp;AM$5,'Competency Event Log'!$D$4:$D$803)))</f>
        <v/>
      </c>
      <c r="AN75" s="8" t="str">
        <f>IF($B75="","",IF(COUNTIF('Competency Event Log'!$U$4:$U$803,$B75&amp;"|"&amp;AN$5)=0,"",SUMIF('Competency Event Log'!$U$4:$U$803,$B75&amp;"|"&amp;AN$5,'Competency Event Log'!$D$4:$D$803)))</f>
        <v/>
      </c>
      <c r="AO75" s="8" t="str">
        <f>IF($B75="","",IF(COUNTIF('Competency Event Log'!$U$4:$U$803,$B75&amp;"|"&amp;AO$5)=0,"",SUMIF('Competency Event Log'!$U$4:$U$803,$B75&amp;"|"&amp;AO$5,'Competency Event Log'!$D$4:$D$803)))</f>
        <v/>
      </c>
      <c r="AP75" s="8" t="str">
        <f>IF($B75="","",IF(COUNTIF('Competency Event Log'!$U$4:$U$803,$B75&amp;"|"&amp;AP$5)=0,"",SUMIF('Competency Event Log'!$U$4:$U$803,$B75&amp;"|"&amp;AP$5,'Competency Event Log'!$D$4:$D$803)))</f>
        <v/>
      </c>
      <c r="AQ75" s="8" t="str">
        <f>IF($B75="","",IF(COUNTIF('Competency Event Log'!$U$4:$U$803,$B75&amp;"|"&amp;AQ$5)=0,"",SUMIF('Competency Event Log'!$U$4:$U$803,$B75&amp;"|"&amp;AQ$5,'Competency Event Log'!$D$4:$D$803)))</f>
        <v/>
      </c>
      <c r="AR75" s="8" t="str">
        <f>IF($B75="","",IF(COUNTIF('Competency Event Log'!$U$4:$U$803,$B75&amp;"|"&amp;AR$5)=0,"",SUMIF('Competency Event Log'!$U$4:$U$803,$B75&amp;"|"&amp;AR$5,'Competency Event Log'!$D$4:$D$803)))</f>
        <v/>
      </c>
      <c r="AS75" s="8" t="str">
        <f>IF($B75="","",IF(COUNTIF('Competency Event Log'!$U$4:$U$803,$B75&amp;"|"&amp;AS$5)=0,"",SUMIF('Competency Event Log'!$U$4:$U$803,$B75&amp;"|"&amp;AS$5,'Competency Event Log'!$D$4:$D$803)))</f>
        <v/>
      </c>
      <c r="AT75" s="8" t="str">
        <f>IF($B75="","",IF(COUNTIF('Competency Event Log'!$U$4:$U$803,$B75&amp;"|"&amp;AT$5)=0,"",SUMIF('Competency Event Log'!$U$4:$U$803,$B75&amp;"|"&amp;AT$5,'Competency Event Log'!$D$4:$D$803)))</f>
        <v/>
      </c>
      <c r="AU75" s="8" t="str">
        <f>IF($B75="","",IF(COUNTIF('Competency Event Log'!$U$4:$U$803,$B75&amp;"|"&amp;AU$5)=0,"",SUMIF('Competency Event Log'!$U$4:$U$803,$B75&amp;"|"&amp;AU$5,'Competency Event Log'!$D$4:$D$803)))</f>
        <v/>
      </c>
      <c r="AV75" s="8" t="str">
        <f>IF($B75="","",IF(COUNTIF('Competency Event Log'!$U$4:$U$803,$B75&amp;"|"&amp;AV$5)=0,"",SUMIF('Competency Event Log'!$U$4:$U$803,$B75&amp;"|"&amp;AV$5,'Competency Event Log'!$D$4:$D$803)))</f>
        <v/>
      </c>
      <c r="AW75" s="8" t="str">
        <f>IF($B75="","",IF(COUNTIF('Competency Event Log'!$U$4:$U$803,$B75&amp;"|"&amp;AW$5)=0,"",SUMIF('Competency Event Log'!$U$4:$U$803,$B75&amp;"|"&amp;AW$5,'Competency Event Log'!$D$4:$D$803)))</f>
        <v/>
      </c>
      <c r="AX75" s="8" t="str">
        <f>IF($B75="","",IF(COUNTIF('Competency Event Log'!$U$4:$U$803,$B75&amp;"|"&amp;AX$5)=0,"",SUMIF('Competency Event Log'!$U$4:$U$803,$B75&amp;"|"&amp;AX$5,'Competency Event Log'!$D$4:$D$803)))</f>
        <v/>
      </c>
      <c r="AY75" s="8" t="str">
        <f>IF($B75="","",IF(COUNTIF('Competency Event Log'!$U$4:$U$803,$B75&amp;"|"&amp;AY$5)=0,"",SUMIF('Competency Event Log'!$U$4:$U$803,$B75&amp;"|"&amp;AY$5,'Competency Event Log'!$D$4:$D$803)))</f>
        <v/>
      </c>
      <c r="AZ75" s="8" t="str">
        <f>IF($B75="","",IF(COUNTIF('Competency Event Log'!$U$4:$U$803,$B75&amp;"|"&amp;AZ$5)=0,"",SUMIF('Competency Event Log'!$U$4:$U$803,$B75&amp;"|"&amp;AZ$5,'Competency Event Log'!$D$4:$D$803)))</f>
        <v/>
      </c>
      <c r="BA75" s="8" t="str">
        <f>IF($B75="","",IF(COUNTIF('Competency Event Log'!$U$4:$U$803,$B75&amp;"|"&amp;BA$5)=0,"",SUMIF('Competency Event Log'!$U$4:$U$803,$B75&amp;"|"&amp;BA$5,'Competency Event Log'!$D$4:$D$803)))</f>
        <v/>
      </c>
      <c r="BB75" s="8" t="str">
        <f>IF($B75="","",IF(COUNTIF('Competency Event Log'!$U$4:$U$803,$B75&amp;"|"&amp;BB$5)=0,"",SUMIF('Competency Event Log'!$U$4:$U$803,$B75&amp;"|"&amp;BB$5,'Competency Event Log'!$D$4:$D$803)))</f>
        <v/>
      </c>
      <c r="BC75" s="8" t="str">
        <f>IF($B75="","",IF(COUNTIF('Competency Event Log'!$U$4:$U$803,$B75&amp;"|"&amp;BC$5)=0,"",SUMIF('Competency Event Log'!$U$4:$U$803,$B75&amp;"|"&amp;BC$5,'Competency Event Log'!$D$4:$D$803)))</f>
        <v/>
      </c>
      <c r="BD75" s="8" t="str">
        <f>IF($B75="","",IF(COUNTIF('Competency Event Log'!$U$4:$U$803,$B75&amp;"|"&amp;BD$5)=0,"",SUMIF('Competency Event Log'!$U$4:$U$803,$B75&amp;"|"&amp;BD$5,'Competency Event Log'!$D$4:$D$803)))</f>
        <v/>
      </c>
      <c r="BE75" s="8" t="str">
        <f>IF($B75="","",IF(COUNTIF('Competency Event Log'!$U$4:$U$803,$B75&amp;"|"&amp;BE$5)=0,"",SUMIF('Competency Event Log'!$U$4:$U$803,$B75&amp;"|"&amp;BE$5,'Competency Event Log'!$D$4:$D$803)))</f>
        <v/>
      </c>
      <c r="BF75" s="8" t="str">
        <f>IF($B75="","",IF(COUNTIF('Competency Event Log'!$U$4:$U$803,$B75&amp;"|"&amp;BF$5)=0,"",SUMIF('Competency Event Log'!$U$4:$U$803,$B75&amp;"|"&amp;BF$5,'Competency Event Log'!$D$4:$D$803)))</f>
        <v/>
      </c>
      <c r="BG75" s="8" t="str">
        <f>IF($B75="","",IF(COUNTIF('Competency Event Log'!$U$4:$U$803,$B75&amp;"|"&amp;BG$5)=0,"",SUMIF('Competency Event Log'!$U$4:$U$803,$B75&amp;"|"&amp;BG$5,'Competency Event Log'!$D$4:$D$803)))</f>
        <v/>
      </c>
      <c r="BH75" s="8" t="str">
        <f>IF($B75="","",IF(COUNTIF('Competency Event Log'!$U$4:$U$803,$B75&amp;"|"&amp;BH$5)=0,"",SUMIF('Competency Event Log'!$U$4:$U$803,$B75&amp;"|"&amp;BH$5,'Competency Event Log'!$D$4:$D$803)))</f>
        <v/>
      </c>
      <c r="BI75" s="8" t="str">
        <f>IF($B75="","",IF(COUNTIF('Competency Event Log'!$U$4:$U$803,$B75&amp;"|"&amp;BI$5)=0,"",SUMIF('Competency Event Log'!$U$4:$U$803,$B75&amp;"|"&amp;BI$5,'Competency Event Log'!$D$4:$D$803)))</f>
        <v/>
      </c>
      <c r="BJ75" s="8" t="str">
        <f>IF($B75="","",IF(COUNTIF('Competency Event Log'!$U$4:$U$803,$B75&amp;"|"&amp;BJ$5)=0,"",SUMIF('Competency Event Log'!$U$4:$U$803,$B75&amp;"|"&amp;BJ$5,'Competency Event Log'!$D$4:$D$803)))</f>
        <v/>
      </c>
      <c r="BK75" s="8" t="str">
        <f>IF($B75="","",IF(COUNTIF('Competency Event Log'!$U$4:$U$803,$B75&amp;"|"&amp;BK$5)=0,"",SUMIF('Competency Event Log'!$U$4:$U$803,$B75&amp;"|"&amp;BK$5,'Competency Event Log'!$D$4:$D$803)))</f>
        <v/>
      </c>
      <c r="BL75" s="8" t="str">
        <f>IF($B75="","",IF(COUNTIF('Competency Event Log'!$U$4:$U$803,$B75&amp;"|"&amp;BL$5)=0,"",SUMIF('Competency Event Log'!$U$4:$U$803,$B75&amp;"|"&amp;BL$5,'Competency Event Log'!$D$4:$D$803)))</f>
        <v/>
      </c>
      <c r="BM75" s="8" t="str">
        <f>IF($B75="","",IF(COUNTIF('Competency Event Log'!$U$4:$U$803,$B75&amp;"|"&amp;BM$5)=0,"",SUMIF('Competency Event Log'!$U$4:$U$803,$B75&amp;"|"&amp;BM$5,'Competency Event Log'!$D$4:$D$803)))</f>
        <v/>
      </c>
      <c r="BN75" s="8" t="str">
        <f>IF($B75="","",IF(COUNTIF('Competency Event Log'!$U$4:$U$803,$B75&amp;"|"&amp;BN$5)=0,"",SUMIF('Competency Event Log'!$U$4:$U$803,$B75&amp;"|"&amp;BN$5,'Competency Event Log'!$D$4:$D$803)))</f>
        <v/>
      </c>
      <c r="BO75" s="8" t="str">
        <f>IF($B75="","",IF(COUNTIF('Competency Event Log'!$U$4:$U$803,$B75&amp;"|"&amp;BO$5)=0,"",SUMIF('Competency Event Log'!$U$4:$U$803,$B75&amp;"|"&amp;BO$5,'Competency Event Log'!$D$4:$D$803)))</f>
        <v/>
      </c>
      <c r="BP75" s="8" t="str">
        <f>IF($B75="","",IF(COUNTIF('Competency Event Log'!$U$4:$U$803,$B75&amp;"|"&amp;BP$5)=0,"",SUMIF('Competency Event Log'!$U$4:$U$803,$B75&amp;"|"&amp;BP$5,'Competency Event Log'!$D$4:$D$803)))</f>
        <v/>
      </c>
      <c r="BQ75" s="8" t="str">
        <f>IF($B75="","",IF(COUNTIF('Competency Event Log'!$U$4:$U$803,$B75&amp;"|"&amp;BQ$5)=0,"",SUMIF('Competency Event Log'!$U$4:$U$803,$B75&amp;"|"&amp;BQ$5,'Competency Event Log'!$D$4:$D$803)))</f>
        <v/>
      </c>
      <c r="BR75" s="8" t="str">
        <f>IF($B75="","",IF(COUNTIF('Competency Event Log'!$U$4:$U$803,$B75&amp;"|"&amp;BR$5)=0,"",SUMIF('Competency Event Log'!$U$4:$U$803,$B75&amp;"|"&amp;BR$5,'Competency Event Log'!$D$4:$D$803)))</f>
        <v/>
      </c>
      <c r="BS75" s="8" t="str">
        <f>IF($B75="","",IF(COUNTIF('Competency Event Log'!$U$4:$U$803,$B75&amp;"|"&amp;BS$5)=0,"",SUMIF('Competency Event Log'!$U$4:$U$803,$B75&amp;"|"&amp;BS$5,'Competency Event Log'!$D$4:$D$803)))</f>
        <v/>
      </c>
      <c r="BT75" s="8" t="str">
        <f>IF($B75="","",IF(COUNTIF('Competency Event Log'!$U$4:$U$803,$B75&amp;"|"&amp;BT$5)=0,"",SUMIF('Competency Event Log'!$U$4:$U$803,$B75&amp;"|"&amp;BT$5,'Competency Event Log'!$D$4:$D$803)))</f>
        <v/>
      </c>
      <c r="BU75" s="8" t="str">
        <f>IF($B75="","",IF(COUNTIF('Competency Event Log'!$U$4:$U$803,$B75&amp;"|"&amp;BU$5)=0,"",SUMIF('Competency Event Log'!$U$4:$U$803,$B75&amp;"|"&amp;BU$5,'Competency Event Log'!$D$4:$D$803)))</f>
        <v/>
      </c>
      <c r="BV75" s="8" t="str">
        <f>IF($B75="","",IF(COUNTIF('Competency Event Log'!$U$4:$U$803,$B75&amp;"|"&amp;BV$5)=0,"",SUMIF('Competency Event Log'!$U$4:$U$803,$B75&amp;"|"&amp;BV$5,'Competency Event Log'!$D$4:$D$803)))</f>
        <v/>
      </c>
      <c r="BW75" s="8" t="str">
        <f>IF($B75="","",IF(COUNTIF('Competency Event Log'!$U$4:$U$803,$B75&amp;"|"&amp;BW$5)=0,"",SUMIF('Competency Event Log'!$U$4:$U$803,$B75&amp;"|"&amp;BW$5,'Competency Event Log'!$D$4:$D$803)))</f>
        <v/>
      </c>
      <c r="BX75" s="8" t="str">
        <f>IF($B75="","",IF(COUNTIF('Competency Event Log'!$U$4:$U$803,$B75&amp;"|"&amp;BX$5)=0,"",SUMIF('Competency Event Log'!$U$4:$U$803,$B75&amp;"|"&amp;BX$5,'Competency Event Log'!$D$4:$D$803)))</f>
        <v/>
      </c>
      <c r="BY75" s="8" t="str">
        <f>IF($B75="","",IF(COUNTIF('Competency Event Log'!$U$4:$U$803,$B75&amp;"|"&amp;BY$5)=0,"",SUMIF('Competency Event Log'!$U$4:$U$803,$B75&amp;"|"&amp;BY$5,'Competency Event Log'!$D$4:$D$803)))</f>
        <v/>
      </c>
      <c r="BZ75" s="8" t="str">
        <f>IF($B75="","",IF(COUNTIF('Competency Event Log'!$U$4:$U$803,$B75&amp;"|"&amp;BZ$5)=0,"",SUMIF('Competency Event Log'!$U$4:$U$803,$B75&amp;"|"&amp;BZ$5,'Competency Event Log'!$D$4:$D$803)))</f>
        <v/>
      </c>
      <c r="CA75" s="8" t="str">
        <f>IF($B75="","",IF(COUNTIF('Competency Event Log'!$U$4:$U$803,$B75&amp;"|"&amp;CA$5)=0,"",SUMIF('Competency Event Log'!$U$4:$U$803,$B75&amp;"|"&amp;CA$5,'Competency Event Log'!$D$4:$D$803)))</f>
        <v/>
      </c>
      <c r="CB75" s="8" t="str">
        <f>IF($B75="","",IF(COUNTIF('Competency Event Log'!$U$4:$U$803,$B75&amp;"|"&amp;CB$5)=0,"",SUMIF('Competency Event Log'!$U$4:$U$803,$B75&amp;"|"&amp;CB$5,'Competency Event Log'!$D$4:$D$803)))</f>
        <v/>
      </c>
      <c r="CC75" s="8" t="str">
        <f>IF($B75="","",IF(COUNTIF('Competency Event Log'!$U$4:$U$803,$B75&amp;"|"&amp;CC$5)=0,"",SUMIF('Competency Event Log'!$U$4:$U$803,$B75&amp;"|"&amp;CC$5,'Competency Event Log'!$D$4:$D$803)))</f>
        <v/>
      </c>
      <c r="CD75" s="8" t="str">
        <f>IF($B75="","",IF(COUNTIF('Competency Event Log'!$U$4:$U$803,$B75&amp;"|"&amp;CD$5)=0,"",SUMIF('Competency Event Log'!$U$4:$U$803,$B75&amp;"|"&amp;CD$5,'Competency Event Log'!$D$4:$D$803)))</f>
        <v/>
      </c>
      <c r="CE75" s="8" t="str">
        <f>IF($B75="","",IF(COUNTIF('Competency Event Log'!$U$4:$U$803,$B75&amp;"|"&amp;CE$5)=0,"",SUMIF('Competency Event Log'!$U$4:$U$803,$B75&amp;"|"&amp;CE$5,'Competency Event Log'!$D$4:$D$803)))</f>
        <v/>
      </c>
      <c r="CF75" s="8" t="str">
        <f>IF($B75="","",IF(COUNTIF('Competency Event Log'!$U$4:$U$803,$B75&amp;"|"&amp;CF$5)=0,"",SUMIF('Competency Event Log'!$U$4:$U$803,$B75&amp;"|"&amp;CF$5,'Competency Event Log'!$D$4:$D$803)))</f>
        <v/>
      </c>
      <c r="CG75" s="8" t="str">
        <f>IF($B75="","",IF(COUNTIF('Competency Event Log'!$U$4:$U$803,$B75&amp;"|"&amp;CG$5)=0,"",SUMIF('Competency Event Log'!$U$4:$U$803,$B75&amp;"|"&amp;CG$5,'Competency Event Log'!$D$4:$D$803)))</f>
        <v/>
      </c>
      <c r="CH75" s="8" t="str">
        <f>IF($B75="","",IF(COUNTIF('Competency Event Log'!$U$4:$U$803,$B75&amp;"|"&amp;CH$5)=0,"",SUMIF('Competency Event Log'!$U$4:$U$803,$B75&amp;"|"&amp;CH$5,'Competency Event Log'!$D$4:$D$803)))</f>
        <v/>
      </c>
      <c r="CI75" s="8" t="str">
        <f>IF($B75="","",IF(COUNTIF('Competency Event Log'!$U$4:$U$803,$B75&amp;"|"&amp;CI$5)=0,"",SUMIF('Competency Event Log'!$U$4:$U$803,$B75&amp;"|"&amp;CI$5,'Competency Event Log'!$D$4:$D$803)))</f>
        <v/>
      </c>
      <c r="CJ75" s="8" t="str">
        <f>IF($B75="","",IF(COUNTIF('Competency Event Log'!$U$4:$U$803,$B75&amp;"|"&amp;CJ$5)=0,"",SUMIF('Competency Event Log'!$U$4:$U$803,$B75&amp;"|"&amp;CJ$5,'Competency Event Log'!$D$4:$D$803)))</f>
        <v/>
      </c>
      <c r="CK75" s="8" t="str">
        <f>IF($B75="","",IF(COUNTIF('Competency Event Log'!$U$4:$U$803,$B75&amp;"|"&amp;CK$5)=0,"",SUMIF('Competency Event Log'!$U$4:$U$803,$B75&amp;"|"&amp;CK$5,'Competency Event Log'!$D$4:$D$803)))</f>
        <v/>
      </c>
      <c r="CL75" s="8" t="str">
        <f>IF($B75="","",IF(COUNTIF('Competency Event Log'!$U$4:$U$803,$B75&amp;"|"&amp;CL$5)=0,"",SUMIF('Competency Event Log'!$U$4:$U$803,$B75&amp;"|"&amp;CL$5,'Competency Event Log'!$D$4:$D$803)))</f>
        <v/>
      </c>
      <c r="CM75" s="8" t="str">
        <f>IF($B75="","",IF(COUNTIF('Competency Event Log'!$U$4:$U$803,$B75&amp;"|"&amp;CM$5)=0,"",SUMIF('Competency Event Log'!$U$4:$U$803,$B75&amp;"|"&amp;CM$5,'Competency Event Log'!$D$4:$D$803)))</f>
        <v/>
      </c>
      <c r="CN75" s="8" t="str">
        <f>IF($B75="","",IF(COUNTIF('Competency Event Log'!$U$4:$U$803,$B75&amp;"|"&amp;CN$5)=0,"",SUMIF('Competency Event Log'!$U$4:$U$803,$B75&amp;"|"&amp;CN$5,'Competency Event Log'!$D$4:$D$803)))</f>
        <v/>
      </c>
      <c r="CO75" s="8" t="str">
        <f>IF($B75="","",IF(COUNTIF('Competency Event Log'!$U$4:$U$803,$B75&amp;"|"&amp;CO$5)=0,"",SUMIF('Competency Event Log'!$U$4:$U$803,$B75&amp;"|"&amp;CO$5,'Competency Event Log'!$D$4:$D$803)))</f>
        <v/>
      </c>
      <c r="CP75" s="8" t="str">
        <f>IF($B75="","",IF(COUNTIF('Competency Event Log'!$U$4:$U$803,$B75&amp;"|"&amp;CP$5)=0,"",SUMIF('Competency Event Log'!$U$4:$U$803,$B75&amp;"|"&amp;CP$5,'Competency Event Log'!$D$4:$D$803)))</f>
        <v/>
      </c>
      <c r="CQ75" s="8" t="str">
        <f>IF($B75="","",IF(COUNTIF('Competency Event Log'!$U$4:$U$803,$B75&amp;"|"&amp;CQ$5)=0,"",SUMIF('Competency Event Log'!$U$4:$U$803,$B75&amp;"|"&amp;CQ$5,'Competency Event Log'!$D$4:$D$803)))</f>
        <v/>
      </c>
      <c r="CR75" s="8" t="str">
        <f>IF($B75="","",IF(COUNTIF('Competency Event Log'!$U$4:$U$803,$B75&amp;"|"&amp;CR$5)=0,"",SUMIF('Competency Event Log'!$U$4:$U$803,$B75&amp;"|"&amp;CR$5,'Competency Event Log'!$D$4:$D$803)))</f>
        <v/>
      </c>
      <c r="CS75" s="8" t="str">
        <f>IF($B75="","",IF(COUNTIF('Competency Event Log'!$U$4:$U$803,$B75&amp;"|"&amp;CS$5)=0,"",SUMIF('Competency Event Log'!$U$4:$U$803,$B75&amp;"|"&amp;CS$5,'Competency Event Log'!$D$4:$D$803)))</f>
        <v/>
      </c>
      <c r="CT75" s="8" t="str">
        <f>IF($B75="","",IF(COUNTIF('Competency Event Log'!$U$4:$U$803,$B75&amp;"|"&amp;CT$5)=0,"",SUMIF('Competency Event Log'!$U$4:$U$803,$B75&amp;"|"&amp;CT$5,'Competency Event Log'!$D$4:$D$803)))</f>
        <v/>
      </c>
      <c r="CU75" s="8" t="str">
        <f>IF($B75="","",IF(COUNTIF('Competency Event Log'!$U$4:$U$803,$B75&amp;"|"&amp;CU$5)=0,"",SUMIF('Competency Event Log'!$U$4:$U$803,$B75&amp;"|"&amp;CU$5,'Competency Event Log'!$D$4:$D$803)))</f>
        <v/>
      </c>
      <c r="CV75" s="8" t="str">
        <f>IF($B75="","",IF(COUNTIF('Competency Event Log'!$U$4:$U$803,$B75&amp;"|"&amp;CV$5)=0,"",SUMIF('Competency Event Log'!$U$4:$U$803,$B75&amp;"|"&amp;CV$5,'Competency Event Log'!$D$4:$D$803)))</f>
        <v/>
      </c>
      <c r="CW75" s="8" t="str">
        <f>IF($B75="","",IF(COUNTIF('Competency Event Log'!$U$4:$U$803,$B75&amp;"|"&amp;CW$5)=0,"",SUMIF('Competency Event Log'!$U$4:$U$803,$B75&amp;"|"&amp;CW$5,'Competency Event Log'!$D$4:$D$803)))</f>
        <v/>
      </c>
      <c r="CX75" s="8" t="str">
        <f>IF($B75="","",IF(COUNTIF('Competency Event Log'!$U$4:$U$803,$B75&amp;"|"&amp;CX$5)=0,"",SUMIF('Competency Event Log'!$U$4:$U$803,$B75&amp;"|"&amp;CX$5,'Competency Event Log'!$D$4:$D$803)))</f>
        <v/>
      </c>
      <c r="CY75" s="8" t="str">
        <f>IF($B75="","",IF(COUNTIF('Competency Event Log'!$U$4:$U$803,$B75&amp;"|"&amp;CY$5)=0,"",SUMIF('Competency Event Log'!$U$4:$U$803,$B75&amp;"|"&amp;CY$5,'Competency Event Log'!$D$4:$D$803)))</f>
        <v/>
      </c>
      <c r="CZ75" s="8" t="str">
        <f>IF($B75="","",IF(COUNTIF('Competency Event Log'!$U$4:$U$803,$B75&amp;"|"&amp;CZ$5)=0,"",SUMIF('Competency Event Log'!$U$4:$U$803,$B75&amp;"|"&amp;CZ$5,'Competency Event Log'!$D$4:$D$803)))</f>
        <v/>
      </c>
      <c r="DA75" s="8" t="str">
        <f>IF($B75="","",IF(COUNTIF('Competency Event Log'!$U$4:$U$803,$B75&amp;"|"&amp;DA$5)=0,"",SUMIF('Competency Event Log'!$U$4:$U$803,$B75&amp;"|"&amp;DA$5,'Competency Event Log'!$D$4:$D$803)))</f>
        <v/>
      </c>
      <c r="DB75" s="8" t="str">
        <f>IF($B75="","",IF(COUNTIF('Competency Event Log'!$U$4:$U$803,$B75&amp;"|"&amp;DB$5)=0,"",SUMIF('Competency Event Log'!$U$4:$U$803,$B75&amp;"|"&amp;DB$5,'Competency Event Log'!$D$4:$D$803)))</f>
        <v/>
      </c>
      <c r="DC75" s="8" t="str">
        <f>IF($B75="","",IF(COUNTIF('Competency Event Log'!$U$4:$U$803,$B75&amp;"|"&amp;DC$5)=0,"",SUMIF('Competency Event Log'!$U$4:$U$803,$B75&amp;"|"&amp;DC$5,'Competency Event Log'!$D$4:$D$803)))</f>
        <v/>
      </c>
      <c r="DD75" s="8" t="str">
        <f>IF($B75="","",IF(COUNTIF('Competency Event Log'!$U$4:$U$803,$B75&amp;"|"&amp;DD$5)=0,"",SUMIF('Competency Event Log'!$U$4:$U$803,$B75&amp;"|"&amp;DD$5,'Competency Event Log'!$D$4:$D$803)))</f>
        <v/>
      </c>
      <c r="DE75" s="8" t="str">
        <f>IF($B75="","",IF(COUNTIF('Competency Event Log'!$U$4:$U$803,$B75&amp;"|"&amp;DE$5)=0,"",SUMIF('Competency Event Log'!$U$4:$U$803,$B75&amp;"|"&amp;DE$5,'Competency Event Log'!$D$4:$D$803)))</f>
        <v/>
      </c>
      <c r="DF75" s="8" t="str">
        <f t="shared" si="8"/>
        <v/>
      </c>
      <c r="DG75" s="8" t="str">
        <f t="shared" si="9"/>
        <v/>
      </c>
      <c r="DH75" s="8" t="str">
        <f t="shared" si="10"/>
        <v/>
      </c>
      <c r="DI75" s="11" t="str">
        <f t="shared" si="11"/>
        <v/>
      </c>
    </row>
    <row r="76" spans="1:113">
      <c r="A76" s="7"/>
      <c r="B76" s="7"/>
      <c r="C76" s="8"/>
      <c r="D76" s="9"/>
      <c r="E76" s="10"/>
      <c r="F76" s="8"/>
      <c r="G76" s="8" t="str">
        <f>IF($B76="","",IF(COUNTIF('Competency Event Log'!$U$4:$U$803,$B76&amp;"|"&amp;G$5)=0,"",SUMIF('Competency Event Log'!$U$4:$U$803,$B76&amp;"|"&amp;G$5,'Competency Event Log'!$D$4:$D$803)))</f>
        <v/>
      </c>
      <c r="H76" s="8" t="str">
        <f>IF($B76="","",IF(COUNTIF('Competency Event Log'!$U$4:$U$803,$B76&amp;"|"&amp;H$5)=0,"",SUMIF('Competency Event Log'!$U$4:$U$803,$B76&amp;"|"&amp;H$5,'Competency Event Log'!$D$4:$D$803)))</f>
        <v/>
      </c>
      <c r="I76" s="8" t="str">
        <f>IF($B76="","",IF(COUNTIF('Competency Event Log'!$U$4:$U$803,$B76&amp;"|"&amp;I$5)=0,"",SUMIF('Competency Event Log'!$U$4:$U$803,$B76&amp;"|"&amp;I$5,'Competency Event Log'!$D$4:$D$803)))</f>
        <v/>
      </c>
      <c r="J76" s="8" t="str">
        <f>IF($B76="","",IF(COUNTIF('Competency Event Log'!$U$4:$U$803,$B76&amp;"|"&amp;J$5)=0,"",SUMIF('Competency Event Log'!$U$4:$U$803,$B76&amp;"|"&amp;J$5,'Competency Event Log'!$D$4:$D$803)))</f>
        <v/>
      </c>
      <c r="K76" s="8" t="str">
        <f>IF($B76="","",IF(COUNTIF('Competency Event Log'!$U$4:$U$803,$B76&amp;"|"&amp;K$5)=0,"",SUMIF('Competency Event Log'!$U$4:$U$803,$B76&amp;"|"&amp;K$5,'Competency Event Log'!$D$4:$D$803)))</f>
        <v/>
      </c>
      <c r="L76" s="8" t="str">
        <f>IF($B76="","",IF(COUNTIF('Competency Event Log'!$U$4:$U$803,$B76&amp;"|"&amp;L$5)=0,"",SUMIF('Competency Event Log'!$U$4:$U$803,$B76&amp;"|"&amp;L$5,'Competency Event Log'!$D$4:$D$803)))</f>
        <v/>
      </c>
      <c r="M76" s="8" t="str">
        <f>IF($B76="","",IF(COUNTIF('Competency Event Log'!$U$4:$U$803,$B76&amp;"|"&amp;M$5)=0,"",SUMIF('Competency Event Log'!$U$4:$U$803,$B76&amp;"|"&amp;M$5,'Competency Event Log'!$D$4:$D$803)))</f>
        <v/>
      </c>
      <c r="N76" s="8" t="str">
        <f>IF($B76="","",IF(COUNTIF('Competency Event Log'!$U$4:$U$803,$B76&amp;"|"&amp;N$5)=0,"",SUMIF('Competency Event Log'!$U$4:$U$803,$B76&amp;"|"&amp;N$5,'Competency Event Log'!$D$4:$D$803)))</f>
        <v/>
      </c>
      <c r="O76" s="8" t="str">
        <f>IF($B76="","",IF(COUNTIF('Competency Event Log'!$U$4:$U$803,$B76&amp;"|"&amp;O$5)=0,"",SUMIF('Competency Event Log'!$U$4:$U$803,$B76&amp;"|"&amp;O$5,'Competency Event Log'!$D$4:$D$803)))</f>
        <v/>
      </c>
      <c r="P76" s="8" t="str">
        <f>IF($B76="","",IF(COUNTIF('Competency Event Log'!$U$4:$U$803,$B76&amp;"|"&amp;P$5)=0,"",SUMIF('Competency Event Log'!$U$4:$U$803,$B76&amp;"|"&amp;P$5,'Competency Event Log'!$D$4:$D$803)))</f>
        <v/>
      </c>
      <c r="Q76" s="8" t="str">
        <f>IF($B76="","",IF(COUNTIF('Competency Event Log'!$U$4:$U$803,$B76&amp;"|"&amp;Q$5)=0,"",SUMIF('Competency Event Log'!$U$4:$U$803,$B76&amp;"|"&amp;Q$5,'Competency Event Log'!$D$4:$D$803)))</f>
        <v/>
      </c>
      <c r="R76" s="8" t="str">
        <f>IF($B76="","",IF(COUNTIF('Competency Event Log'!$U$4:$U$803,$B76&amp;"|"&amp;R$5)=0,"",SUMIF('Competency Event Log'!$U$4:$U$803,$B76&amp;"|"&amp;R$5,'Competency Event Log'!$D$4:$D$803)))</f>
        <v/>
      </c>
      <c r="S76" s="8" t="str">
        <f>IF($B76="","",IF(COUNTIF('Competency Event Log'!$U$4:$U$803,$B76&amp;"|"&amp;S$5)=0,"",SUMIF('Competency Event Log'!$U$4:$U$803,$B76&amp;"|"&amp;S$5,'Competency Event Log'!$D$4:$D$803)))</f>
        <v/>
      </c>
      <c r="T76" s="8" t="str">
        <f>IF($B76="","",IF(COUNTIF('Competency Event Log'!$U$4:$U$803,$B76&amp;"|"&amp;T$5)=0,"",SUMIF('Competency Event Log'!$U$4:$U$803,$B76&amp;"|"&amp;T$5,'Competency Event Log'!$D$4:$D$803)))</f>
        <v/>
      </c>
      <c r="U76" s="8" t="str">
        <f>IF($B76="","",IF(COUNTIF('Competency Event Log'!$U$4:$U$803,$B76&amp;"|"&amp;U$5)=0,"",SUMIF('Competency Event Log'!$U$4:$U$803,$B76&amp;"|"&amp;U$5,'Competency Event Log'!$D$4:$D$803)))</f>
        <v/>
      </c>
      <c r="V76" s="8" t="str">
        <f>IF($B76="","",IF(COUNTIF('Competency Event Log'!$U$4:$U$803,$B76&amp;"|"&amp;V$5)=0,"",SUMIF('Competency Event Log'!$U$4:$U$803,$B76&amp;"|"&amp;V$5,'Competency Event Log'!$D$4:$D$803)))</f>
        <v/>
      </c>
      <c r="W76" s="8" t="str">
        <f>IF($B76="","",IF(COUNTIF('Competency Event Log'!$U$4:$U$803,$B76&amp;"|"&amp;W$5)=0,"",SUMIF('Competency Event Log'!$U$4:$U$803,$B76&amp;"|"&amp;W$5,'Competency Event Log'!$D$4:$D$803)))</f>
        <v/>
      </c>
      <c r="X76" s="8" t="str">
        <f>IF($B76="","",IF(COUNTIF('Competency Event Log'!$U$4:$U$803,$B76&amp;"|"&amp;X$5)=0,"",SUMIF('Competency Event Log'!$U$4:$U$803,$B76&amp;"|"&amp;X$5,'Competency Event Log'!$D$4:$D$803)))</f>
        <v/>
      </c>
      <c r="Y76" s="8" t="str">
        <f>IF($B76="","",IF(COUNTIF('Competency Event Log'!$U$4:$U$803,$B76&amp;"|"&amp;Y$5)=0,"",SUMIF('Competency Event Log'!$U$4:$U$803,$B76&amp;"|"&amp;Y$5,'Competency Event Log'!$D$4:$D$803)))</f>
        <v/>
      </c>
      <c r="Z76" s="8" t="str">
        <f>IF($B76="","",IF(COUNTIF('Competency Event Log'!$U$4:$U$803,$B76&amp;"|"&amp;Z$5)=0,"",SUMIF('Competency Event Log'!$U$4:$U$803,$B76&amp;"|"&amp;Z$5,'Competency Event Log'!$D$4:$D$803)))</f>
        <v/>
      </c>
      <c r="AA76" s="8" t="str">
        <f>IF($B76="","",IF(COUNTIF('Competency Event Log'!$U$4:$U$803,$B76&amp;"|"&amp;AA$5)=0,"",SUMIF('Competency Event Log'!$U$4:$U$803,$B76&amp;"|"&amp;AA$5,'Competency Event Log'!$D$4:$D$803)))</f>
        <v/>
      </c>
      <c r="AB76" s="8" t="str">
        <f>IF($B76="","",IF(COUNTIF('Competency Event Log'!$U$4:$U$803,$B76&amp;"|"&amp;AB$5)=0,"",SUMIF('Competency Event Log'!$U$4:$U$803,$B76&amp;"|"&amp;AB$5,'Competency Event Log'!$D$4:$D$803)))</f>
        <v/>
      </c>
      <c r="AC76" s="8" t="str">
        <f>IF($B76="","",IF(COUNTIF('Competency Event Log'!$U$4:$U$803,$B76&amp;"|"&amp;AC$5)=0,"",SUMIF('Competency Event Log'!$U$4:$U$803,$B76&amp;"|"&amp;AC$5,'Competency Event Log'!$D$4:$D$803)))</f>
        <v/>
      </c>
      <c r="AD76" s="8" t="str">
        <f>IF($B76="","",IF(COUNTIF('Competency Event Log'!$U$4:$U$803,$B76&amp;"|"&amp;AD$5)=0,"",SUMIF('Competency Event Log'!$U$4:$U$803,$B76&amp;"|"&amp;AD$5,'Competency Event Log'!$D$4:$D$803)))</f>
        <v/>
      </c>
      <c r="AE76" s="8" t="str">
        <f>IF($B76="","",IF(COUNTIF('Competency Event Log'!$U$4:$U$803,$B76&amp;"|"&amp;AE$5)=0,"",SUMIF('Competency Event Log'!$U$4:$U$803,$B76&amp;"|"&amp;AE$5,'Competency Event Log'!$D$4:$D$803)))</f>
        <v/>
      </c>
      <c r="AF76" s="8" t="str">
        <f>IF($B76="","",IF(COUNTIF('Competency Event Log'!$U$4:$U$803,$B76&amp;"|"&amp;AF$5)=0,"",SUMIF('Competency Event Log'!$U$4:$U$803,$B76&amp;"|"&amp;AF$5,'Competency Event Log'!$D$4:$D$803)))</f>
        <v/>
      </c>
      <c r="AG76" s="8" t="str">
        <f>IF($B76="","",IF(COUNTIF('Competency Event Log'!$U$4:$U$803,$B76&amp;"|"&amp;AG$5)=0,"",SUMIF('Competency Event Log'!$U$4:$U$803,$B76&amp;"|"&amp;AG$5,'Competency Event Log'!$D$4:$D$803)))</f>
        <v/>
      </c>
      <c r="AH76" s="8" t="str">
        <f>IF($B76="","",IF(COUNTIF('Competency Event Log'!$U$4:$U$803,$B76&amp;"|"&amp;AH$5)=0,"",SUMIF('Competency Event Log'!$U$4:$U$803,$B76&amp;"|"&amp;AH$5,'Competency Event Log'!$D$4:$D$803)))</f>
        <v/>
      </c>
      <c r="AI76" s="8" t="str">
        <f>IF($B76="","",IF(COUNTIF('Competency Event Log'!$U$4:$U$803,$B76&amp;"|"&amp;AI$5)=0,"",SUMIF('Competency Event Log'!$U$4:$U$803,$B76&amp;"|"&amp;AI$5,'Competency Event Log'!$D$4:$D$803)))</f>
        <v/>
      </c>
      <c r="AJ76" s="8" t="str">
        <f>IF($B76="","",IF(COUNTIF('Competency Event Log'!$U$4:$U$803,$B76&amp;"|"&amp;AJ$5)=0,"",SUMIF('Competency Event Log'!$U$4:$U$803,$B76&amp;"|"&amp;AJ$5,'Competency Event Log'!$D$4:$D$803)))</f>
        <v/>
      </c>
      <c r="AK76" s="8" t="str">
        <f>IF($B76="","",IF(COUNTIF('Competency Event Log'!$U$4:$U$803,$B76&amp;"|"&amp;AK$5)=0,"",SUMIF('Competency Event Log'!$U$4:$U$803,$B76&amp;"|"&amp;AK$5,'Competency Event Log'!$D$4:$D$803)))</f>
        <v/>
      </c>
      <c r="AL76" s="8" t="str">
        <f>IF($B76="","",IF(COUNTIF('Competency Event Log'!$U$4:$U$803,$B76&amp;"|"&amp;AL$5)=0,"",SUMIF('Competency Event Log'!$U$4:$U$803,$B76&amp;"|"&amp;AL$5,'Competency Event Log'!$D$4:$D$803)))</f>
        <v/>
      </c>
      <c r="AM76" s="8" t="str">
        <f>IF($B76="","",IF(COUNTIF('Competency Event Log'!$U$4:$U$803,$B76&amp;"|"&amp;AM$5)=0,"",SUMIF('Competency Event Log'!$U$4:$U$803,$B76&amp;"|"&amp;AM$5,'Competency Event Log'!$D$4:$D$803)))</f>
        <v/>
      </c>
      <c r="AN76" s="8" t="str">
        <f>IF($B76="","",IF(COUNTIF('Competency Event Log'!$U$4:$U$803,$B76&amp;"|"&amp;AN$5)=0,"",SUMIF('Competency Event Log'!$U$4:$U$803,$B76&amp;"|"&amp;AN$5,'Competency Event Log'!$D$4:$D$803)))</f>
        <v/>
      </c>
      <c r="AO76" s="8" t="str">
        <f>IF($B76="","",IF(COUNTIF('Competency Event Log'!$U$4:$U$803,$B76&amp;"|"&amp;AO$5)=0,"",SUMIF('Competency Event Log'!$U$4:$U$803,$B76&amp;"|"&amp;AO$5,'Competency Event Log'!$D$4:$D$803)))</f>
        <v/>
      </c>
      <c r="AP76" s="8" t="str">
        <f>IF($B76="","",IF(COUNTIF('Competency Event Log'!$U$4:$U$803,$B76&amp;"|"&amp;AP$5)=0,"",SUMIF('Competency Event Log'!$U$4:$U$803,$B76&amp;"|"&amp;AP$5,'Competency Event Log'!$D$4:$D$803)))</f>
        <v/>
      </c>
      <c r="AQ76" s="8" t="str">
        <f>IF($B76="","",IF(COUNTIF('Competency Event Log'!$U$4:$U$803,$B76&amp;"|"&amp;AQ$5)=0,"",SUMIF('Competency Event Log'!$U$4:$U$803,$B76&amp;"|"&amp;AQ$5,'Competency Event Log'!$D$4:$D$803)))</f>
        <v/>
      </c>
      <c r="AR76" s="8" t="str">
        <f>IF($B76="","",IF(COUNTIF('Competency Event Log'!$U$4:$U$803,$B76&amp;"|"&amp;AR$5)=0,"",SUMIF('Competency Event Log'!$U$4:$U$803,$B76&amp;"|"&amp;AR$5,'Competency Event Log'!$D$4:$D$803)))</f>
        <v/>
      </c>
      <c r="AS76" s="8" t="str">
        <f>IF($B76="","",IF(COUNTIF('Competency Event Log'!$U$4:$U$803,$B76&amp;"|"&amp;AS$5)=0,"",SUMIF('Competency Event Log'!$U$4:$U$803,$B76&amp;"|"&amp;AS$5,'Competency Event Log'!$D$4:$D$803)))</f>
        <v/>
      </c>
      <c r="AT76" s="8" t="str">
        <f>IF($B76="","",IF(COUNTIF('Competency Event Log'!$U$4:$U$803,$B76&amp;"|"&amp;AT$5)=0,"",SUMIF('Competency Event Log'!$U$4:$U$803,$B76&amp;"|"&amp;AT$5,'Competency Event Log'!$D$4:$D$803)))</f>
        <v/>
      </c>
      <c r="AU76" s="8" t="str">
        <f>IF($B76="","",IF(COUNTIF('Competency Event Log'!$U$4:$U$803,$B76&amp;"|"&amp;AU$5)=0,"",SUMIF('Competency Event Log'!$U$4:$U$803,$B76&amp;"|"&amp;AU$5,'Competency Event Log'!$D$4:$D$803)))</f>
        <v/>
      </c>
      <c r="AV76" s="8" t="str">
        <f>IF($B76="","",IF(COUNTIF('Competency Event Log'!$U$4:$U$803,$B76&amp;"|"&amp;AV$5)=0,"",SUMIF('Competency Event Log'!$U$4:$U$803,$B76&amp;"|"&amp;AV$5,'Competency Event Log'!$D$4:$D$803)))</f>
        <v/>
      </c>
      <c r="AW76" s="8" t="str">
        <f>IF($B76="","",IF(COUNTIF('Competency Event Log'!$U$4:$U$803,$B76&amp;"|"&amp;AW$5)=0,"",SUMIF('Competency Event Log'!$U$4:$U$803,$B76&amp;"|"&amp;AW$5,'Competency Event Log'!$D$4:$D$803)))</f>
        <v/>
      </c>
      <c r="AX76" s="8" t="str">
        <f>IF($B76="","",IF(COUNTIF('Competency Event Log'!$U$4:$U$803,$B76&amp;"|"&amp;AX$5)=0,"",SUMIF('Competency Event Log'!$U$4:$U$803,$B76&amp;"|"&amp;AX$5,'Competency Event Log'!$D$4:$D$803)))</f>
        <v/>
      </c>
      <c r="AY76" s="8" t="str">
        <f>IF($B76="","",IF(COUNTIF('Competency Event Log'!$U$4:$U$803,$B76&amp;"|"&amp;AY$5)=0,"",SUMIF('Competency Event Log'!$U$4:$U$803,$B76&amp;"|"&amp;AY$5,'Competency Event Log'!$D$4:$D$803)))</f>
        <v/>
      </c>
      <c r="AZ76" s="8" t="str">
        <f>IF($B76="","",IF(COUNTIF('Competency Event Log'!$U$4:$U$803,$B76&amp;"|"&amp;AZ$5)=0,"",SUMIF('Competency Event Log'!$U$4:$U$803,$B76&amp;"|"&amp;AZ$5,'Competency Event Log'!$D$4:$D$803)))</f>
        <v/>
      </c>
      <c r="BA76" s="8" t="str">
        <f>IF($B76="","",IF(COUNTIF('Competency Event Log'!$U$4:$U$803,$B76&amp;"|"&amp;BA$5)=0,"",SUMIF('Competency Event Log'!$U$4:$U$803,$B76&amp;"|"&amp;BA$5,'Competency Event Log'!$D$4:$D$803)))</f>
        <v/>
      </c>
      <c r="BB76" s="8" t="str">
        <f>IF($B76="","",IF(COUNTIF('Competency Event Log'!$U$4:$U$803,$B76&amp;"|"&amp;BB$5)=0,"",SUMIF('Competency Event Log'!$U$4:$U$803,$B76&amp;"|"&amp;BB$5,'Competency Event Log'!$D$4:$D$803)))</f>
        <v/>
      </c>
      <c r="BC76" s="8" t="str">
        <f>IF($B76="","",IF(COUNTIF('Competency Event Log'!$U$4:$U$803,$B76&amp;"|"&amp;BC$5)=0,"",SUMIF('Competency Event Log'!$U$4:$U$803,$B76&amp;"|"&amp;BC$5,'Competency Event Log'!$D$4:$D$803)))</f>
        <v/>
      </c>
      <c r="BD76" s="8" t="str">
        <f>IF($B76="","",IF(COUNTIF('Competency Event Log'!$U$4:$U$803,$B76&amp;"|"&amp;BD$5)=0,"",SUMIF('Competency Event Log'!$U$4:$U$803,$B76&amp;"|"&amp;BD$5,'Competency Event Log'!$D$4:$D$803)))</f>
        <v/>
      </c>
      <c r="BE76" s="8" t="str">
        <f>IF($B76="","",IF(COUNTIF('Competency Event Log'!$U$4:$U$803,$B76&amp;"|"&amp;BE$5)=0,"",SUMIF('Competency Event Log'!$U$4:$U$803,$B76&amp;"|"&amp;BE$5,'Competency Event Log'!$D$4:$D$803)))</f>
        <v/>
      </c>
      <c r="BF76" s="8" t="str">
        <f>IF($B76="","",IF(COUNTIF('Competency Event Log'!$U$4:$U$803,$B76&amp;"|"&amp;BF$5)=0,"",SUMIF('Competency Event Log'!$U$4:$U$803,$B76&amp;"|"&amp;BF$5,'Competency Event Log'!$D$4:$D$803)))</f>
        <v/>
      </c>
      <c r="BG76" s="8" t="str">
        <f>IF($B76="","",IF(COUNTIF('Competency Event Log'!$U$4:$U$803,$B76&amp;"|"&amp;BG$5)=0,"",SUMIF('Competency Event Log'!$U$4:$U$803,$B76&amp;"|"&amp;BG$5,'Competency Event Log'!$D$4:$D$803)))</f>
        <v/>
      </c>
      <c r="BH76" s="8" t="str">
        <f>IF($B76="","",IF(COUNTIF('Competency Event Log'!$U$4:$U$803,$B76&amp;"|"&amp;BH$5)=0,"",SUMIF('Competency Event Log'!$U$4:$U$803,$B76&amp;"|"&amp;BH$5,'Competency Event Log'!$D$4:$D$803)))</f>
        <v/>
      </c>
      <c r="BI76" s="8" t="str">
        <f>IF($B76="","",IF(COUNTIF('Competency Event Log'!$U$4:$U$803,$B76&amp;"|"&amp;BI$5)=0,"",SUMIF('Competency Event Log'!$U$4:$U$803,$B76&amp;"|"&amp;BI$5,'Competency Event Log'!$D$4:$D$803)))</f>
        <v/>
      </c>
      <c r="BJ76" s="8" t="str">
        <f>IF($B76="","",IF(COUNTIF('Competency Event Log'!$U$4:$U$803,$B76&amp;"|"&amp;BJ$5)=0,"",SUMIF('Competency Event Log'!$U$4:$U$803,$B76&amp;"|"&amp;BJ$5,'Competency Event Log'!$D$4:$D$803)))</f>
        <v/>
      </c>
      <c r="BK76" s="8" t="str">
        <f>IF($B76="","",IF(COUNTIF('Competency Event Log'!$U$4:$U$803,$B76&amp;"|"&amp;BK$5)=0,"",SUMIF('Competency Event Log'!$U$4:$U$803,$B76&amp;"|"&amp;BK$5,'Competency Event Log'!$D$4:$D$803)))</f>
        <v/>
      </c>
      <c r="BL76" s="8" t="str">
        <f>IF($B76="","",IF(COUNTIF('Competency Event Log'!$U$4:$U$803,$B76&amp;"|"&amp;BL$5)=0,"",SUMIF('Competency Event Log'!$U$4:$U$803,$B76&amp;"|"&amp;BL$5,'Competency Event Log'!$D$4:$D$803)))</f>
        <v/>
      </c>
      <c r="BM76" s="8" t="str">
        <f>IF($B76="","",IF(COUNTIF('Competency Event Log'!$U$4:$U$803,$B76&amp;"|"&amp;BM$5)=0,"",SUMIF('Competency Event Log'!$U$4:$U$803,$B76&amp;"|"&amp;BM$5,'Competency Event Log'!$D$4:$D$803)))</f>
        <v/>
      </c>
      <c r="BN76" s="8" t="str">
        <f>IF($B76="","",IF(COUNTIF('Competency Event Log'!$U$4:$U$803,$B76&amp;"|"&amp;BN$5)=0,"",SUMIF('Competency Event Log'!$U$4:$U$803,$B76&amp;"|"&amp;BN$5,'Competency Event Log'!$D$4:$D$803)))</f>
        <v/>
      </c>
      <c r="BO76" s="8" t="str">
        <f>IF($B76="","",IF(COUNTIF('Competency Event Log'!$U$4:$U$803,$B76&amp;"|"&amp;BO$5)=0,"",SUMIF('Competency Event Log'!$U$4:$U$803,$B76&amp;"|"&amp;BO$5,'Competency Event Log'!$D$4:$D$803)))</f>
        <v/>
      </c>
      <c r="BP76" s="8" t="str">
        <f>IF($B76="","",IF(COUNTIF('Competency Event Log'!$U$4:$U$803,$B76&amp;"|"&amp;BP$5)=0,"",SUMIF('Competency Event Log'!$U$4:$U$803,$B76&amp;"|"&amp;BP$5,'Competency Event Log'!$D$4:$D$803)))</f>
        <v/>
      </c>
      <c r="BQ76" s="8" t="str">
        <f>IF($B76="","",IF(COUNTIF('Competency Event Log'!$U$4:$U$803,$B76&amp;"|"&amp;BQ$5)=0,"",SUMIF('Competency Event Log'!$U$4:$U$803,$B76&amp;"|"&amp;BQ$5,'Competency Event Log'!$D$4:$D$803)))</f>
        <v/>
      </c>
      <c r="BR76" s="8" t="str">
        <f>IF($B76="","",IF(COUNTIF('Competency Event Log'!$U$4:$U$803,$B76&amp;"|"&amp;BR$5)=0,"",SUMIF('Competency Event Log'!$U$4:$U$803,$B76&amp;"|"&amp;BR$5,'Competency Event Log'!$D$4:$D$803)))</f>
        <v/>
      </c>
      <c r="BS76" s="8" t="str">
        <f>IF($B76="","",IF(COUNTIF('Competency Event Log'!$U$4:$U$803,$B76&amp;"|"&amp;BS$5)=0,"",SUMIF('Competency Event Log'!$U$4:$U$803,$B76&amp;"|"&amp;BS$5,'Competency Event Log'!$D$4:$D$803)))</f>
        <v/>
      </c>
      <c r="BT76" s="8" t="str">
        <f>IF($B76="","",IF(COUNTIF('Competency Event Log'!$U$4:$U$803,$B76&amp;"|"&amp;BT$5)=0,"",SUMIF('Competency Event Log'!$U$4:$U$803,$B76&amp;"|"&amp;BT$5,'Competency Event Log'!$D$4:$D$803)))</f>
        <v/>
      </c>
      <c r="BU76" s="8" t="str">
        <f>IF($B76="","",IF(COUNTIF('Competency Event Log'!$U$4:$U$803,$B76&amp;"|"&amp;BU$5)=0,"",SUMIF('Competency Event Log'!$U$4:$U$803,$B76&amp;"|"&amp;BU$5,'Competency Event Log'!$D$4:$D$803)))</f>
        <v/>
      </c>
      <c r="BV76" s="8" t="str">
        <f>IF($B76="","",IF(COUNTIF('Competency Event Log'!$U$4:$U$803,$B76&amp;"|"&amp;BV$5)=0,"",SUMIF('Competency Event Log'!$U$4:$U$803,$B76&amp;"|"&amp;BV$5,'Competency Event Log'!$D$4:$D$803)))</f>
        <v/>
      </c>
      <c r="BW76" s="8" t="str">
        <f>IF($B76="","",IF(COUNTIF('Competency Event Log'!$U$4:$U$803,$B76&amp;"|"&amp;BW$5)=0,"",SUMIF('Competency Event Log'!$U$4:$U$803,$B76&amp;"|"&amp;BW$5,'Competency Event Log'!$D$4:$D$803)))</f>
        <v/>
      </c>
      <c r="BX76" s="8" t="str">
        <f>IF($B76="","",IF(COUNTIF('Competency Event Log'!$U$4:$U$803,$B76&amp;"|"&amp;BX$5)=0,"",SUMIF('Competency Event Log'!$U$4:$U$803,$B76&amp;"|"&amp;BX$5,'Competency Event Log'!$D$4:$D$803)))</f>
        <v/>
      </c>
      <c r="BY76" s="8" t="str">
        <f>IF($B76="","",IF(COUNTIF('Competency Event Log'!$U$4:$U$803,$B76&amp;"|"&amp;BY$5)=0,"",SUMIF('Competency Event Log'!$U$4:$U$803,$B76&amp;"|"&amp;BY$5,'Competency Event Log'!$D$4:$D$803)))</f>
        <v/>
      </c>
      <c r="BZ76" s="8" t="str">
        <f>IF($B76="","",IF(COUNTIF('Competency Event Log'!$U$4:$U$803,$B76&amp;"|"&amp;BZ$5)=0,"",SUMIF('Competency Event Log'!$U$4:$U$803,$B76&amp;"|"&amp;BZ$5,'Competency Event Log'!$D$4:$D$803)))</f>
        <v/>
      </c>
      <c r="CA76" s="8" t="str">
        <f>IF($B76="","",IF(COUNTIF('Competency Event Log'!$U$4:$U$803,$B76&amp;"|"&amp;CA$5)=0,"",SUMIF('Competency Event Log'!$U$4:$U$803,$B76&amp;"|"&amp;CA$5,'Competency Event Log'!$D$4:$D$803)))</f>
        <v/>
      </c>
      <c r="CB76" s="8" t="str">
        <f>IF($B76="","",IF(COUNTIF('Competency Event Log'!$U$4:$U$803,$B76&amp;"|"&amp;CB$5)=0,"",SUMIF('Competency Event Log'!$U$4:$U$803,$B76&amp;"|"&amp;CB$5,'Competency Event Log'!$D$4:$D$803)))</f>
        <v/>
      </c>
      <c r="CC76" s="8" t="str">
        <f>IF($B76="","",IF(COUNTIF('Competency Event Log'!$U$4:$U$803,$B76&amp;"|"&amp;CC$5)=0,"",SUMIF('Competency Event Log'!$U$4:$U$803,$B76&amp;"|"&amp;CC$5,'Competency Event Log'!$D$4:$D$803)))</f>
        <v/>
      </c>
      <c r="CD76" s="8" t="str">
        <f>IF($B76="","",IF(COUNTIF('Competency Event Log'!$U$4:$U$803,$B76&amp;"|"&amp;CD$5)=0,"",SUMIF('Competency Event Log'!$U$4:$U$803,$B76&amp;"|"&amp;CD$5,'Competency Event Log'!$D$4:$D$803)))</f>
        <v/>
      </c>
      <c r="CE76" s="8" t="str">
        <f>IF($B76="","",IF(COUNTIF('Competency Event Log'!$U$4:$U$803,$B76&amp;"|"&amp;CE$5)=0,"",SUMIF('Competency Event Log'!$U$4:$U$803,$B76&amp;"|"&amp;CE$5,'Competency Event Log'!$D$4:$D$803)))</f>
        <v/>
      </c>
      <c r="CF76" s="8" t="str">
        <f>IF($B76="","",IF(COUNTIF('Competency Event Log'!$U$4:$U$803,$B76&amp;"|"&amp;CF$5)=0,"",SUMIF('Competency Event Log'!$U$4:$U$803,$B76&amp;"|"&amp;CF$5,'Competency Event Log'!$D$4:$D$803)))</f>
        <v/>
      </c>
      <c r="CG76" s="8" t="str">
        <f>IF($B76="","",IF(COUNTIF('Competency Event Log'!$U$4:$U$803,$B76&amp;"|"&amp;CG$5)=0,"",SUMIF('Competency Event Log'!$U$4:$U$803,$B76&amp;"|"&amp;CG$5,'Competency Event Log'!$D$4:$D$803)))</f>
        <v/>
      </c>
      <c r="CH76" s="8" t="str">
        <f>IF($B76="","",IF(COUNTIF('Competency Event Log'!$U$4:$U$803,$B76&amp;"|"&amp;CH$5)=0,"",SUMIF('Competency Event Log'!$U$4:$U$803,$B76&amp;"|"&amp;CH$5,'Competency Event Log'!$D$4:$D$803)))</f>
        <v/>
      </c>
      <c r="CI76" s="8" t="str">
        <f>IF($B76="","",IF(COUNTIF('Competency Event Log'!$U$4:$U$803,$B76&amp;"|"&amp;CI$5)=0,"",SUMIF('Competency Event Log'!$U$4:$U$803,$B76&amp;"|"&amp;CI$5,'Competency Event Log'!$D$4:$D$803)))</f>
        <v/>
      </c>
      <c r="CJ76" s="8" t="str">
        <f>IF($B76="","",IF(COUNTIF('Competency Event Log'!$U$4:$U$803,$B76&amp;"|"&amp;CJ$5)=0,"",SUMIF('Competency Event Log'!$U$4:$U$803,$B76&amp;"|"&amp;CJ$5,'Competency Event Log'!$D$4:$D$803)))</f>
        <v/>
      </c>
      <c r="CK76" s="8" t="str">
        <f>IF($B76="","",IF(COUNTIF('Competency Event Log'!$U$4:$U$803,$B76&amp;"|"&amp;CK$5)=0,"",SUMIF('Competency Event Log'!$U$4:$U$803,$B76&amp;"|"&amp;CK$5,'Competency Event Log'!$D$4:$D$803)))</f>
        <v/>
      </c>
      <c r="CL76" s="8" t="str">
        <f>IF($B76="","",IF(COUNTIF('Competency Event Log'!$U$4:$U$803,$B76&amp;"|"&amp;CL$5)=0,"",SUMIF('Competency Event Log'!$U$4:$U$803,$B76&amp;"|"&amp;CL$5,'Competency Event Log'!$D$4:$D$803)))</f>
        <v/>
      </c>
      <c r="CM76" s="8" t="str">
        <f>IF($B76="","",IF(COUNTIF('Competency Event Log'!$U$4:$U$803,$B76&amp;"|"&amp;CM$5)=0,"",SUMIF('Competency Event Log'!$U$4:$U$803,$B76&amp;"|"&amp;CM$5,'Competency Event Log'!$D$4:$D$803)))</f>
        <v/>
      </c>
      <c r="CN76" s="8" t="str">
        <f>IF($B76="","",IF(COUNTIF('Competency Event Log'!$U$4:$U$803,$B76&amp;"|"&amp;CN$5)=0,"",SUMIF('Competency Event Log'!$U$4:$U$803,$B76&amp;"|"&amp;CN$5,'Competency Event Log'!$D$4:$D$803)))</f>
        <v/>
      </c>
      <c r="CO76" s="8" t="str">
        <f>IF($B76="","",IF(COUNTIF('Competency Event Log'!$U$4:$U$803,$B76&amp;"|"&amp;CO$5)=0,"",SUMIF('Competency Event Log'!$U$4:$U$803,$B76&amp;"|"&amp;CO$5,'Competency Event Log'!$D$4:$D$803)))</f>
        <v/>
      </c>
      <c r="CP76" s="8" t="str">
        <f>IF($B76="","",IF(COUNTIF('Competency Event Log'!$U$4:$U$803,$B76&amp;"|"&amp;CP$5)=0,"",SUMIF('Competency Event Log'!$U$4:$U$803,$B76&amp;"|"&amp;CP$5,'Competency Event Log'!$D$4:$D$803)))</f>
        <v/>
      </c>
      <c r="CQ76" s="8" t="str">
        <f>IF($B76="","",IF(COUNTIF('Competency Event Log'!$U$4:$U$803,$B76&amp;"|"&amp;CQ$5)=0,"",SUMIF('Competency Event Log'!$U$4:$U$803,$B76&amp;"|"&amp;CQ$5,'Competency Event Log'!$D$4:$D$803)))</f>
        <v/>
      </c>
      <c r="CR76" s="8" t="str">
        <f>IF($B76="","",IF(COUNTIF('Competency Event Log'!$U$4:$U$803,$B76&amp;"|"&amp;CR$5)=0,"",SUMIF('Competency Event Log'!$U$4:$U$803,$B76&amp;"|"&amp;CR$5,'Competency Event Log'!$D$4:$D$803)))</f>
        <v/>
      </c>
      <c r="CS76" s="8" t="str">
        <f>IF($B76="","",IF(COUNTIF('Competency Event Log'!$U$4:$U$803,$B76&amp;"|"&amp;CS$5)=0,"",SUMIF('Competency Event Log'!$U$4:$U$803,$B76&amp;"|"&amp;CS$5,'Competency Event Log'!$D$4:$D$803)))</f>
        <v/>
      </c>
      <c r="CT76" s="8" t="str">
        <f>IF($B76="","",IF(COUNTIF('Competency Event Log'!$U$4:$U$803,$B76&amp;"|"&amp;CT$5)=0,"",SUMIF('Competency Event Log'!$U$4:$U$803,$B76&amp;"|"&amp;CT$5,'Competency Event Log'!$D$4:$D$803)))</f>
        <v/>
      </c>
      <c r="CU76" s="8" t="str">
        <f>IF($B76="","",IF(COUNTIF('Competency Event Log'!$U$4:$U$803,$B76&amp;"|"&amp;CU$5)=0,"",SUMIF('Competency Event Log'!$U$4:$U$803,$B76&amp;"|"&amp;CU$5,'Competency Event Log'!$D$4:$D$803)))</f>
        <v/>
      </c>
      <c r="CV76" s="8" t="str">
        <f>IF($B76="","",IF(COUNTIF('Competency Event Log'!$U$4:$U$803,$B76&amp;"|"&amp;CV$5)=0,"",SUMIF('Competency Event Log'!$U$4:$U$803,$B76&amp;"|"&amp;CV$5,'Competency Event Log'!$D$4:$D$803)))</f>
        <v/>
      </c>
      <c r="CW76" s="8" t="str">
        <f>IF($B76="","",IF(COUNTIF('Competency Event Log'!$U$4:$U$803,$B76&amp;"|"&amp;CW$5)=0,"",SUMIF('Competency Event Log'!$U$4:$U$803,$B76&amp;"|"&amp;CW$5,'Competency Event Log'!$D$4:$D$803)))</f>
        <v/>
      </c>
      <c r="CX76" s="8" t="str">
        <f>IF($B76="","",IF(COUNTIF('Competency Event Log'!$U$4:$U$803,$B76&amp;"|"&amp;CX$5)=0,"",SUMIF('Competency Event Log'!$U$4:$U$803,$B76&amp;"|"&amp;CX$5,'Competency Event Log'!$D$4:$D$803)))</f>
        <v/>
      </c>
      <c r="CY76" s="8" t="str">
        <f>IF($B76="","",IF(COUNTIF('Competency Event Log'!$U$4:$U$803,$B76&amp;"|"&amp;CY$5)=0,"",SUMIF('Competency Event Log'!$U$4:$U$803,$B76&amp;"|"&amp;CY$5,'Competency Event Log'!$D$4:$D$803)))</f>
        <v/>
      </c>
      <c r="CZ76" s="8" t="str">
        <f>IF($B76="","",IF(COUNTIF('Competency Event Log'!$U$4:$U$803,$B76&amp;"|"&amp;CZ$5)=0,"",SUMIF('Competency Event Log'!$U$4:$U$803,$B76&amp;"|"&amp;CZ$5,'Competency Event Log'!$D$4:$D$803)))</f>
        <v/>
      </c>
      <c r="DA76" s="8" t="str">
        <f>IF($B76="","",IF(COUNTIF('Competency Event Log'!$U$4:$U$803,$B76&amp;"|"&amp;DA$5)=0,"",SUMIF('Competency Event Log'!$U$4:$U$803,$B76&amp;"|"&amp;DA$5,'Competency Event Log'!$D$4:$D$803)))</f>
        <v/>
      </c>
      <c r="DB76" s="8" t="str">
        <f>IF($B76="","",IF(COUNTIF('Competency Event Log'!$U$4:$U$803,$B76&amp;"|"&amp;DB$5)=0,"",SUMIF('Competency Event Log'!$U$4:$U$803,$B76&amp;"|"&amp;DB$5,'Competency Event Log'!$D$4:$D$803)))</f>
        <v/>
      </c>
      <c r="DC76" s="8" t="str">
        <f>IF($B76="","",IF(COUNTIF('Competency Event Log'!$U$4:$U$803,$B76&amp;"|"&amp;DC$5)=0,"",SUMIF('Competency Event Log'!$U$4:$U$803,$B76&amp;"|"&amp;DC$5,'Competency Event Log'!$D$4:$D$803)))</f>
        <v/>
      </c>
      <c r="DD76" s="8" t="str">
        <f>IF($B76="","",IF(COUNTIF('Competency Event Log'!$U$4:$U$803,$B76&amp;"|"&amp;DD$5)=0,"",SUMIF('Competency Event Log'!$U$4:$U$803,$B76&amp;"|"&amp;DD$5,'Competency Event Log'!$D$4:$D$803)))</f>
        <v/>
      </c>
      <c r="DE76" s="8" t="str">
        <f>IF($B76="","",IF(COUNTIF('Competency Event Log'!$U$4:$U$803,$B76&amp;"|"&amp;DE$5)=0,"",SUMIF('Competency Event Log'!$U$4:$U$803,$B76&amp;"|"&amp;DE$5,'Competency Event Log'!$D$4:$D$803)))</f>
        <v/>
      </c>
      <c r="DF76" s="8" t="str">
        <f t="shared" si="8"/>
        <v/>
      </c>
      <c r="DG76" s="8" t="str">
        <f t="shared" si="9"/>
        <v/>
      </c>
      <c r="DH76" s="8" t="str">
        <f t="shared" si="10"/>
        <v/>
      </c>
      <c r="DI76" s="11" t="str">
        <f t="shared" si="11"/>
        <v/>
      </c>
    </row>
    <row r="77" spans="1:113">
      <c r="A77" s="7"/>
      <c r="B77" s="7"/>
      <c r="C77" s="8"/>
      <c r="D77" s="9"/>
      <c r="E77" s="10"/>
      <c r="F77" s="8"/>
      <c r="G77" s="8" t="str">
        <f>IF($B77="","",IF(COUNTIF('Competency Event Log'!$U$4:$U$803,$B77&amp;"|"&amp;G$5)=0,"",SUMIF('Competency Event Log'!$U$4:$U$803,$B77&amp;"|"&amp;G$5,'Competency Event Log'!$D$4:$D$803)))</f>
        <v/>
      </c>
      <c r="H77" s="8" t="str">
        <f>IF($B77="","",IF(COUNTIF('Competency Event Log'!$U$4:$U$803,$B77&amp;"|"&amp;H$5)=0,"",SUMIF('Competency Event Log'!$U$4:$U$803,$B77&amp;"|"&amp;H$5,'Competency Event Log'!$D$4:$D$803)))</f>
        <v/>
      </c>
      <c r="I77" s="8" t="str">
        <f>IF($B77="","",IF(COUNTIF('Competency Event Log'!$U$4:$U$803,$B77&amp;"|"&amp;I$5)=0,"",SUMIF('Competency Event Log'!$U$4:$U$803,$B77&amp;"|"&amp;I$5,'Competency Event Log'!$D$4:$D$803)))</f>
        <v/>
      </c>
      <c r="J77" s="8" t="str">
        <f>IF($B77="","",IF(COUNTIF('Competency Event Log'!$U$4:$U$803,$B77&amp;"|"&amp;J$5)=0,"",SUMIF('Competency Event Log'!$U$4:$U$803,$B77&amp;"|"&amp;J$5,'Competency Event Log'!$D$4:$D$803)))</f>
        <v/>
      </c>
      <c r="K77" s="8" t="str">
        <f>IF($B77="","",IF(COUNTIF('Competency Event Log'!$U$4:$U$803,$B77&amp;"|"&amp;K$5)=0,"",SUMIF('Competency Event Log'!$U$4:$U$803,$B77&amp;"|"&amp;K$5,'Competency Event Log'!$D$4:$D$803)))</f>
        <v/>
      </c>
      <c r="L77" s="8" t="str">
        <f>IF($B77="","",IF(COUNTIF('Competency Event Log'!$U$4:$U$803,$B77&amp;"|"&amp;L$5)=0,"",SUMIF('Competency Event Log'!$U$4:$U$803,$B77&amp;"|"&amp;L$5,'Competency Event Log'!$D$4:$D$803)))</f>
        <v/>
      </c>
      <c r="M77" s="8" t="str">
        <f>IF($B77="","",IF(COUNTIF('Competency Event Log'!$U$4:$U$803,$B77&amp;"|"&amp;M$5)=0,"",SUMIF('Competency Event Log'!$U$4:$U$803,$B77&amp;"|"&amp;M$5,'Competency Event Log'!$D$4:$D$803)))</f>
        <v/>
      </c>
      <c r="N77" s="8" t="str">
        <f>IF($B77="","",IF(COUNTIF('Competency Event Log'!$U$4:$U$803,$B77&amp;"|"&amp;N$5)=0,"",SUMIF('Competency Event Log'!$U$4:$U$803,$B77&amp;"|"&amp;N$5,'Competency Event Log'!$D$4:$D$803)))</f>
        <v/>
      </c>
      <c r="O77" s="8" t="str">
        <f>IF($B77="","",IF(COUNTIF('Competency Event Log'!$U$4:$U$803,$B77&amp;"|"&amp;O$5)=0,"",SUMIF('Competency Event Log'!$U$4:$U$803,$B77&amp;"|"&amp;O$5,'Competency Event Log'!$D$4:$D$803)))</f>
        <v/>
      </c>
      <c r="P77" s="8" t="str">
        <f>IF($B77="","",IF(COUNTIF('Competency Event Log'!$U$4:$U$803,$B77&amp;"|"&amp;P$5)=0,"",SUMIF('Competency Event Log'!$U$4:$U$803,$B77&amp;"|"&amp;P$5,'Competency Event Log'!$D$4:$D$803)))</f>
        <v/>
      </c>
      <c r="Q77" s="8" t="str">
        <f>IF($B77="","",IF(COUNTIF('Competency Event Log'!$U$4:$U$803,$B77&amp;"|"&amp;Q$5)=0,"",SUMIF('Competency Event Log'!$U$4:$U$803,$B77&amp;"|"&amp;Q$5,'Competency Event Log'!$D$4:$D$803)))</f>
        <v/>
      </c>
      <c r="R77" s="8" t="str">
        <f>IF($B77="","",IF(COUNTIF('Competency Event Log'!$U$4:$U$803,$B77&amp;"|"&amp;R$5)=0,"",SUMIF('Competency Event Log'!$U$4:$U$803,$B77&amp;"|"&amp;R$5,'Competency Event Log'!$D$4:$D$803)))</f>
        <v/>
      </c>
      <c r="S77" s="8" t="str">
        <f>IF($B77="","",IF(COUNTIF('Competency Event Log'!$U$4:$U$803,$B77&amp;"|"&amp;S$5)=0,"",SUMIF('Competency Event Log'!$U$4:$U$803,$B77&amp;"|"&amp;S$5,'Competency Event Log'!$D$4:$D$803)))</f>
        <v/>
      </c>
      <c r="T77" s="8" t="str">
        <f>IF($B77="","",IF(COUNTIF('Competency Event Log'!$U$4:$U$803,$B77&amp;"|"&amp;T$5)=0,"",SUMIF('Competency Event Log'!$U$4:$U$803,$B77&amp;"|"&amp;T$5,'Competency Event Log'!$D$4:$D$803)))</f>
        <v/>
      </c>
      <c r="U77" s="8" t="str">
        <f>IF($B77="","",IF(COUNTIF('Competency Event Log'!$U$4:$U$803,$B77&amp;"|"&amp;U$5)=0,"",SUMIF('Competency Event Log'!$U$4:$U$803,$B77&amp;"|"&amp;U$5,'Competency Event Log'!$D$4:$D$803)))</f>
        <v/>
      </c>
      <c r="V77" s="8" t="str">
        <f>IF($B77="","",IF(COUNTIF('Competency Event Log'!$U$4:$U$803,$B77&amp;"|"&amp;V$5)=0,"",SUMIF('Competency Event Log'!$U$4:$U$803,$B77&amp;"|"&amp;V$5,'Competency Event Log'!$D$4:$D$803)))</f>
        <v/>
      </c>
      <c r="W77" s="8" t="str">
        <f>IF($B77="","",IF(COUNTIF('Competency Event Log'!$U$4:$U$803,$B77&amp;"|"&amp;W$5)=0,"",SUMIF('Competency Event Log'!$U$4:$U$803,$B77&amp;"|"&amp;W$5,'Competency Event Log'!$D$4:$D$803)))</f>
        <v/>
      </c>
      <c r="X77" s="8" t="str">
        <f>IF($B77="","",IF(COUNTIF('Competency Event Log'!$U$4:$U$803,$B77&amp;"|"&amp;X$5)=0,"",SUMIF('Competency Event Log'!$U$4:$U$803,$B77&amp;"|"&amp;X$5,'Competency Event Log'!$D$4:$D$803)))</f>
        <v/>
      </c>
      <c r="Y77" s="8" t="str">
        <f>IF($B77="","",IF(COUNTIF('Competency Event Log'!$U$4:$U$803,$B77&amp;"|"&amp;Y$5)=0,"",SUMIF('Competency Event Log'!$U$4:$U$803,$B77&amp;"|"&amp;Y$5,'Competency Event Log'!$D$4:$D$803)))</f>
        <v/>
      </c>
      <c r="Z77" s="8" t="str">
        <f>IF($B77="","",IF(COUNTIF('Competency Event Log'!$U$4:$U$803,$B77&amp;"|"&amp;Z$5)=0,"",SUMIF('Competency Event Log'!$U$4:$U$803,$B77&amp;"|"&amp;Z$5,'Competency Event Log'!$D$4:$D$803)))</f>
        <v/>
      </c>
      <c r="AA77" s="8" t="str">
        <f>IF($B77="","",IF(COUNTIF('Competency Event Log'!$U$4:$U$803,$B77&amp;"|"&amp;AA$5)=0,"",SUMIF('Competency Event Log'!$U$4:$U$803,$B77&amp;"|"&amp;AA$5,'Competency Event Log'!$D$4:$D$803)))</f>
        <v/>
      </c>
      <c r="AB77" s="8" t="str">
        <f>IF($B77="","",IF(COUNTIF('Competency Event Log'!$U$4:$U$803,$B77&amp;"|"&amp;AB$5)=0,"",SUMIF('Competency Event Log'!$U$4:$U$803,$B77&amp;"|"&amp;AB$5,'Competency Event Log'!$D$4:$D$803)))</f>
        <v/>
      </c>
      <c r="AC77" s="8" t="str">
        <f>IF($B77="","",IF(COUNTIF('Competency Event Log'!$U$4:$U$803,$B77&amp;"|"&amp;AC$5)=0,"",SUMIF('Competency Event Log'!$U$4:$U$803,$B77&amp;"|"&amp;AC$5,'Competency Event Log'!$D$4:$D$803)))</f>
        <v/>
      </c>
      <c r="AD77" s="8" t="str">
        <f>IF($B77="","",IF(COUNTIF('Competency Event Log'!$U$4:$U$803,$B77&amp;"|"&amp;AD$5)=0,"",SUMIF('Competency Event Log'!$U$4:$U$803,$B77&amp;"|"&amp;AD$5,'Competency Event Log'!$D$4:$D$803)))</f>
        <v/>
      </c>
      <c r="AE77" s="8" t="str">
        <f>IF($B77="","",IF(COUNTIF('Competency Event Log'!$U$4:$U$803,$B77&amp;"|"&amp;AE$5)=0,"",SUMIF('Competency Event Log'!$U$4:$U$803,$B77&amp;"|"&amp;AE$5,'Competency Event Log'!$D$4:$D$803)))</f>
        <v/>
      </c>
      <c r="AF77" s="8" t="str">
        <f>IF($B77="","",IF(COUNTIF('Competency Event Log'!$U$4:$U$803,$B77&amp;"|"&amp;AF$5)=0,"",SUMIF('Competency Event Log'!$U$4:$U$803,$B77&amp;"|"&amp;AF$5,'Competency Event Log'!$D$4:$D$803)))</f>
        <v/>
      </c>
      <c r="AG77" s="8" t="str">
        <f>IF($B77="","",IF(COUNTIF('Competency Event Log'!$U$4:$U$803,$B77&amp;"|"&amp;AG$5)=0,"",SUMIF('Competency Event Log'!$U$4:$U$803,$B77&amp;"|"&amp;AG$5,'Competency Event Log'!$D$4:$D$803)))</f>
        <v/>
      </c>
      <c r="AH77" s="8" t="str">
        <f>IF($B77="","",IF(COUNTIF('Competency Event Log'!$U$4:$U$803,$B77&amp;"|"&amp;AH$5)=0,"",SUMIF('Competency Event Log'!$U$4:$U$803,$B77&amp;"|"&amp;AH$5,'Competency Event Log'!$D$4:$D$803)))</f>
        <v/>
      </c>
      <c r="AI77" s="8" t="str">
        <f>IF($B77="","",IF(COUNTIF('Competency Event Log'!$U$4:$U$803,$B77&amp;"|"&amp;AI$5)=0,"",SUMIF('Competency Event Log'!$U$4:$U$803,$B77&amp;"|"&amp;AI$5,'Competency Event Log'!$D$4:$D$803)))</f>
        <v/>
      </c>
      <c r="AJ77" s="8" t="str">
        <f>IF($B77="","",IF(COUNTIF('Competency Event Log'!$U$4:$U$803,$B77&amp;"|"&amp;AJ$5)=0,"",SUMIF('Competency Event Log'!$U$4:$U$803,$B77&amp;"|"&amp;AJ$5,'Competency Event Log'!$D$4:$D$803)))</f>
        <v/>
      </c>
      <c r="AK77" s="8" t="str">
        <f>IF($B77="","",IF(COUNTIF('Competency Event Log'!$U$4:$U$803,$B77&amp;"|"&amp;AK$5)=0,"",SUMIF('Competency Event Log'!$U$4:$U$803,$B77&amp;"|"&amp;AK$5,'Competency Event Log'!$D$4:$D$803)))</f>
        <v/>
      </c>
      <c r="AL77" s="8" t="str">
        <f>IF($B77="","",IF(COUNTIF('Competency Event Log'!$U$4:$U$803,$B77&amp;"|"&amp;AL$5)=0,"",SUMIF('Competency Event Log'!$U$4:$U$803,$B77&amp;"|"&amp;AL$5,'Competency Event Log'!$D$4:$D$803)))</f>
        <v/>
      </c>
      <c r="AM77" s="8" t="str">
        <f>IF($B77="","",IF(COUNTIF('Competency Event Log'!$U$4:$U$803,$B77&amp;"|"&amp;AM$5)=0,"",SUMIF('Competency Event Log'!$U$4:$U$803,$B77&amp;"|"&amp;AM$5,'Competency Event Log'!$D$4:$D$803)))</f>
        <v/>
      </c>
      <c r="AN77" s="8" t="str">
        <f>IF($B77="","",IF(COUNTIF('Competency Event Log'!$U$4:$U$803,$B77&amp;"|"&amp;AN$5)=0,"",SUMIF('Competency Event Log'!$U$4:$U$803,$B77&amp;"|"&amp;AN$5,'Competency Event Log'!$D$4:$D$803)))</f>
        <v/>
      </c>
      <c r="AO77" s="8" t="str">
        <f>IF($B77="","",IF(COUNTIF('Competency Event Log'!$U$4:$U$803,$B77&amp;"|"&amp;AO$5)=0,"",SUMIF('Competency Event Log'!$U$4:$U$803,$B77&amp;"|"&amp;AO$5,'Competency Event Log'!$D$4:$D$803)))</f>
        <v/>
      </c>
      <c r="AP77" s="8" t="str">
        <f>IF($B77="","",IF(COUNTIF('Competency Event Log'!$U$4:$U$803,$B77&amp;"|"&amp;AP$5)=0,"",SUMIF('Competency Event Log'!$U$4:$U$803,$B77&amp;"|"&amp;AP$5,'Competency Event Log'!$D$4:$D$803)))</f>
        <v/>
      </c>
      <c r="AQ77" s="8" t="str">
        <f>IF($B77="","",IF(COUNTIF('Competency Event Log'!$U$4:$U$803,$B77&amp;"|"&amp;AQ$5)=0,"",SUMIF('Competency Event Log'!$U$4:$U$803,$B77&amp;"|"&amp;AQ$5,'Competency Event Log'!$D$4:$D$803)))</f>
        <v/>
      </c>
      <c r="AR77" s="8" t="str">
        <f>IF($B77="","",IF(COUNTIF('Competency Event Log'!$U$4:$U$803,$B77&amp;"|"&amp;AR$5)=0,"",SUMIF('Competency Event Log'!$U$4:$U$803,$B77&amp;"|"&amp;AR$5,'Competency Event Log'!$D$4:$D$803)))</f>
        <v/>
      </c>
      <c r="AS77" s="8" t="str">
        <f>IF($B77="","",IF(COUNTIF('Competency Event Log'!$U$4:$U$803,$B77&amp;"|"&amp;AS$5)=0,"",SUMIF('Competency Event Log'!$U$4:$U$803,$B77&amp;"|"&amp;AS$5,'Competency Event Log'!$D$4:$D$803)))</f>
        <v/>
      </c>
      <c r="AT77" s="8" t="str">
        <f>IF($B77="","",IF(COUNTIF('Competency Event Log'!$U$4:$U$803,$B77&amp;"|"&amp;AT$5)=0,"",SUMIF('Competency Event Log'!$U$4:$U$803,$B77&amp;"|"&amp;AT$5,'Competency Event Log'!$D$4:$D$803)))</f>
        <v/>
      </c>
      <c r="AU77" s="8" t="str">
        <f>IF($B77="","",IF(COUNTIF('Competency Event Log'!$U$4:$U$803,$B77&amp;"|"&amp;AU$5)=0,"",SUMIF('Competency Event Log'!$U$4:$U$803,$B77&amp;"|"&amp;AU$5,'Competency Event Log'!$D$4:$D$803)))</f>
        <v/>
      </c>
      <c r="AV77" s="8" t="str">
        <f>IF($B77="","",IF(COUNTIF('Competency Event Log'!$U$4:$U$803,$B77&amp;"|"&amp;AV$5)=0,"",SUMIF('Competency Event Log'!$U$4:$U$803,$B77&amp;"|"&amp;AV$5,'Competency Event Log'!$D$4:$D$803)))</f>
        <v/>
      </c>
      <c r="AW77" s="8" t="str">
        <f>IF($B77="","",IF(COUNTIF('Competency Event Log'!$U$4:$U$803,$B77&amp;"|"&amp;AW$5)=0,"",SUMIF('Competency Event Log'!$U$4:$U$803,$B77&amp;"|"&amp;AW$5,'Competency Event Log'!$D$4:$D$803)))</f>
        <v/>
      </c>
      <c r="AX77" s="8" t="str">
        <f>IF($B77="","",IF(COUNTIF('Competency Event Log'!$U$4:$U$803,$B77&amp;"|"&amp;AX$5)=0,"",SUMIF('Competency Event Log'!$U$4:$U$803,$B77&amp;"|"&amp;AX$5,'Competency Event Log'!$D$4:$D$803)))</f>
        <v/>
      </c>
      <c r="AY77" s="8" t="str">
        <f>IF($B77="","",IF(COUNTIF('Competency Event Log'!$U$4:$U$803,$B77&amp;"|"&amp;AY$5)=0,"",SUMIF('Competency Event Log'!$U$4:$U$803,$B77&amp;"|"&amp;AY$5,'Competency Event Log'!$D$4:$D$803)))</f>
        <v/>
      </c>
      <c r="AZ77" s="8" t="str">
        <f>IF($B77="","",IF(COUNTIF('Competency Event Log'!$U$4:$U$803,$B77&amp;"|"&amp;AZ$5)=0,"",SUMIF('Competency Event Log'!$U$4:$U$803,$B77&amp;"|"&amp;AZ$5,'Competency Event Log'!$D$4:$D$803)))</f>
        <v/>
      </c>
      <c r="BA77" s="8" t="str">
        <f>IF($B77="","",IF(COUNTIF('Competency Event Log'!$U$4:$U$803,$B77&amp;"|"&amp;BA$5)=0,"",SUMIF('Competency Event Log'!$U$4:$U$803,$B77&amp;"|"&amp;BA$5,'Competency Event Log'!$D$4:$D$803)))</f>
        <v/>
      </c>
      <c r="BB77" s="8" t="str">
        <f>IF($B77="","",IF(COUNTIF('Competency Event Log'!$U$4:$U$803,$B77&amp;"|"&amp;BB$5)=0,"",SUMIF('Competency Event Log'!$U$4:$U$803,$B77&amp;"|"&amp;BB$5,'Competency Event Log'!$D$4:$D$803)))</f>
        <v/>
      </c>
      <c r="BC77" s="8" t="str">
        <f>IF($B77="","",IF(COUNTIF('Competency Event Log'!$U$4:$U$803,$B77&amp;"|"&amp;BC$5)=0,"",SUMIF('Competency Event Log'!$U$4:$U$803,$B77&amp;"|"&amp;BC$5,'Competency Event Log'!$D$4:$D$803)))</f>
        <v/>
      </c>
      <c r="BD77" s="8" t="str">
        <f>IF($B77="","",IF(COUNTIF('Competency Event Log'!$U$4:$U$803,$B77&amp;"|"&amp;BD$5)=0,"",SUMIF('Competency Event Log'!$U$4:$U$803,$B77&amp;"|"&amp;BD$5,'Competency Event Log'!$D$4:$D$803)))</f>
        <v/>
      </c>
      <c r="BE77" s="8" t="str">
        <f>IF($B77="","",IF(COUNTIF('Competency Event Log'!$U$4:$U$803,$B77&amp;"|"&amp;BE$5)=0,"",SUMIF('Competency Event Log'!$U$4:$U$803,$B77&amp;"|"&amp;BE$5,'Competency Event Log'!$D$4:$D$803)))</f>
        <v/>
      </c>
      <c r="BF77" s="8" t="str">
        <f>IF($B77="","",IF(COUNTIF('Competency Event Log'!$U$4:$U$803,$B77&amp;"|"&amp;BF$5)=0,"",SUMIF('Competency Event Log'!$U$4:$U$803,$B77&amp;"|"&amp;BF$5,'Competency Event Log'!$D$4:$D$803)))</f>
        <v/>
      </c>
      <c r="BG77" s="8" t="str">
        <f>IF($B77="","",IF(COUNTIF('Competency Event Log'!$U$4:$U$803,$B77&amp;"|"&amp;BG$5)=0,"",SUMIF('Competency Event Log'!$U$4:$U$803,$B77&amp;"|"&amp;BG$5,'Competency Event Log'!$D$4:$D$803)))</f>
        <v/>
      </c>
      <c r="BH77" s="8" t="str">
        <f>IF($B77="","",IF(COUNTIF('Competency Event Log'!$U$4:$U$803,$B77&amp;"|"&amp;BH$5)=0,"",SUMIF('Competency Event Log'!$U$4:$U$803,$B77&amp;"|"&amp;BH$5,'Competency Event Log'!$D$4:$D$803)))</f>
        <v/>
      </c>
      <c r="BI77" s="8" t="str">
        <f>IF($B77="","",IF(COUNTIF('Competency Event Log'!$U$4:$U$803,$B77&amp;"|"&amp;BI$5)=0,"",SUMIF('Competency Event Log'!$U$4:$U$803,$B77&amp;"|"&amp;BI$5,'Competency Event Log'!$D$4:$D$803)))</f>
        <v/>
      </c>
      <c r="BJ77" s="8" t="str">
        <f>IF($B77="","",IF(COUNTIF('Competency Event Log'!$U$4:$U$803,$B77&amp;"|"&amp;BJ$5)=0,"",SUMIF('Competency Event Log'!$U$4:$U$803,$B77&amp;"|"&amp;BJ$5,'Competency Event Log'!$D$4:$D$803)))</f>
        <v/>
      </c>
      <c r="BK77" s="8" t="str">
        <f>IF($B77="","",IF(COUNTIF('Competency Event Log'!$U$4:$U$803,$B77&amp;"|"&amp;BK$5)=0,"",SUMIF('Competency Event Log'!$U$4:$U$803,$B77&amp;"|"&amp;BK$5,'Competency Event Log'!$D$4:$D$803)))</f>
        <v/>
      </c>
      <c r="BL77" s="8" t="str">
        <f>IF($B77="","",IF(COUNTIF('Competency Event Log'!$U$4:$U$803,$B77&amp;"|"&amp;BL$5)=0,"",SUMIF('Competency Event Log'!$U$4:$U$803,$B77&amp;"|"&amp;BL$5,'Competency Event Log'!$D$4:$D$803)))</f>
        <v/>
      </c>
      <c r="BM77" s="8" t="str">
        <f>IF($B77="","",IF(COUNTIF('Competency Event Log'!$U$4:$U$803,$B77&amp;"|"&amp;BM$5)=0,"",SUMIF('Competency Event Log'!$U$4:$U$803,$B77&amp;"|"&amp;BM$5,'Competency Event Log'!$D$4:$D$803)))</f>
        <v/>
      </c>
      <c r="BN77" s="8" t="str">
        <f>IF($B77="","",IF(COUNTIF('Competency Event Log'!$U$4:$U$803,$B77&amp;"|"&amp;BN$5)=0,"",SUMIF('Competency Event Log'!$U$4:$U$803,$B77&amp;"|"&amp;BN$5,'Competency Event Log'!$D$4:$D$803)))</f>
        <v/>
      </c>
      <c r="BO77" s="8" t="str">
        <f>IF($B77="","",IF(COUNTIF('Competency Event Log'!$U$4:$U$803,$B77&amp;"|"&amp;BO$5)=0,"",SUMIF('Competency Event Log'!$U$4:$U$803,$B77&amp;"|"&amp;BO$5,'Competency Event Log'!$D$4:$D$803)))</f>
        <v/>
      </c>
      <c r="BP77" s="8" t="str">
        <f>IF($B77="","",IF(COUNTIF('Competency Event Log'!$U$4:$U$803,$B77&amp;"|"&amp;BP$5)=0,"",SUMIF('Competency Event Log'!$U$4:$U$803,$B77&amp;"|"&amp;BP$5,'Competency Event Log'!$D$4:$D$803)))</f>
        <v/>
      </c>
      <c r="BQ77" s="8" t="str">
        <f>IF($B77="","",IF(COUNTIF('Competency Event Log'!$U$4:$U$803,$B77&amp;"|"&amp;BQ$5)=0,"",SUMIF('Competency Event Log'!$U$4:$U$803,$B77&amp;"|"&amp;BQ$5,'Competency Event Log'!$D$4:$D$803)))</f>
        <v/>
      </c>
      <c r="BR77" s="8" t="str">
        <f>IF($B77="","",IF(COUNTIF('Competency Event Log'!$U$4:$U$803,$B77&amp;"|"&amp;BR$5)=0,"",SUMIF('Competency Event Log'!$U$4:$U$803,$B77&amp;"|"&amp;BR$5,'Competency Event Log'!$D$4:$D$803)))</f>
        <v/>
      </c>
      <c r="BS77" s="8" t="str">
        <f>IF($B77="","",IF(COUNTIF('Competency Event Log'!$U$4:$U$803,$B77&amp;"|"&amp;BS$5)=0,"",SUMIF('Competency Event Log'!$U$4:$U$803,$B77&amp;"|"&amp;BS$5,'Competency Event Log'!$D$4:$D$803)))</f>
        <v/>
      </c>
      <c r="BT77" s="8" t="str">
        <f>IF($B77="","",IF(COUNTIF('Competency Event Log'!$U$4:$U$803,$B77&amp;"|"&amp;BT$5)=0,"",SUMIF('Competency Event Log'!$U$4:$U$803,$B77&amp;"|"&amp;BT$5,'Competency Event Log'!$D$4:$D$803)))</f>
        <v/>
      </c>
      <c r="BU77" s="8" t="str">
        <f>IF($B77="","",IF(COUNTIF('Competency Event Log'!$U$4:$U$803,$B77&amp;"|"&amp;BU$5)=0,"",SUMIF('Competency Event Log'!$U$4:$U$803,$B77&amp;"|"&amp;BU$5,'Competency Event Log'!$D$4:$D$803)))</f>
        <v/>
      </c>
      <c r="BV77" s="8" t="str">
        <f>IF($B77="","",IF(COUNTIF('Competency Event Log'!$U$4:$U$803,$B77&amp;"|"&amp;BV$5)=0,"",SUMIF('Competency Event Log'!$U$4:$U$803,$B77&amp;"|"&amp;BV$5,'Competency Event Log'!$D$4:$D$803)))</f>
        <v/>
      </c>
      <c r="BW77" s="8" t="str">
        <f>IF($B77="","",IF(COUNTIF('Competency Event Log'!$U$4:$U$803,$B77&amp;"|"&amp;BW$5)=0,"",SUMIF('Competency Event Log'!$U$4:$U$803,$B77&amp;"|"&amp;BW$5,'Competency Event Log'!$D$4:$D$803)))</f>
        <v/>
      </c>
      <c r="BX77" s="8" t="str">
        <f>IF($B77="","",IF(COUNTIF('Competency Event Log'!$U$4:$U$803,$B77&amp;"|"&amp;BX$5)=0,"",SUMIF('Competency Event Log'!$U$4:$U$803,$B77&amp;"|"&amp;BX$5,'Competency Event Log'!$D$4:$D$803)))</f>
        <v/>
      </c>
      <c r="BY77" s="8" t="str">
        <f>IF($B77="","",IF(COUNTIF('Competency Event Log'!$U$4:$U$803,$B77&amp;"|"&amp;BY$5)=0,"",SUMIF('Competency Event Log'!$U$4:$U$803,$B77&amp;"|"&amp;BY$5,'Competency Event Log'!$D$4:$D$803)))</f>
        <v/>
      </c>
      <c r="BZ77" s="8" t="str">
        <f>IF($B77="","",IF(COUNTIF('Competency Event Log'!$U$4:$U$803,$B77&amp;"|"&amp;BZ$5)=0,"",SUMIF('Competency Event Log'!$U$4:$U$803,$B77&amp;"|"&amp;BZ$5,'Competency Event Log'!$D$4:$D$803)))</f>
        <v/>
      </c>
      <c r="CA77" s="8" t="str">
        <f>IF($B77="","",IF(COUNTIF('Competency Event Log'!$U$4:$U$803,$B77&amp;"|"&amp;CA$5)=0,"",SUMIF('Competency Event Log'!$U$4:$U$803,$B77&amp;"|"&amp;CA$5,'Competency Event Log'!$D$4:$D$803)))</f>
        <v/>
      </c>
      <c r="CB77" s="8" t="str">
        <f>IF($B77="","",IF(COUNTIF('Competency Event Log'!$U$4:$U$803,$B77&amp;"|"&amp;CB$5)=0,"",SUMIF('Competency Event Log'!$U$4:$U$803,$B77&amp;"|"&amp;CB$5,'Competency Event Log'!$D$4:$D$803)))</f>
        <v/>
      </c>
      <c r="CC77" s="8" t="str">
        <f>IF($B77="","",IF(COUNTIF('Competency Event Log'!$U$4:$U$803,$B77&amp;"|"&amp;CC$5)=0,"",SUMIF('Competency Event Log'!$U$4:$U$803,$B77&amp;"|"&amp;CC$5,'Competency Event Log'!$D$4:$D$803)))</f>
        <v/>
      </c>
      <c r="CD77" s="8" t="str">
        <f>IF($B77="","",IF(COUNTIF('Competency Event Log'!$U$4:$U$803,$B77&amp;"|"&amp;CD$5)=0,"",SUMIF('Competency Event Log'!$U$4:$U$803,$B77&amp;"|"&amp;CD$5,'Competency Event Log'!$D$4:$D$803)))</f>
        <v/>
      </c>
      <c r="CE77" s="8" t="str">
        <f>IF($B77="","",IF(COUNTIF('Competency Event Log'!$U$4:$U$803,$B77&amp;"|"&amp;CE$5)=0,"",SUMIF('Competency Event Log'!$U$4:$U$803,$B77&amp;"|"&amp;CE$5,'Competency Event Log'!$D$4:$D$803)))</f>
        <v/>
      </c>
      <c r="CF77" s="8" t="str">
        <f>IF($B77="","",IF(COUNTIF('Competency Event Log'!$U$4:$U$803,$B77&amp;"|"&amp;CF$5)=0,"",SUMIF('Competency Event Log'!$U$4:$U$803,$B77&amp;"|"&amp;CF$5,'Competency Event Log'!$D$4:$D$803)))</f>
        <v/>
      </c>
      <c r="CG77" s="8" t="str">
        <f>IF($B77="","",IF(COUNTIF('Competency Event Log'!$U$4:$U$803,$B77&amp;"|"&amp;CG$5)=0,"",SUMIF('Competency Event Log'!$U$4:$U$803,$B77&amp;"|"&amp;CG$5,'Competency Event Log'!$D$4:$D$803)))</f>
        <v/>
      </c>
      <c r="CH77" s="8" t="str">
        <f>IF($B77="","",IF(COUNTIF('Competency Event Log'!$U$4:$U$803,$B77&amp;"|"&amp;CH$5)=0,"",SUMIF('Competency Event Log'!$U$4:$U$803,$B77&amp;"|"&amp;CH$5,'Competency Event Log'!$D$4:$D$803)))</f>
        <v/>
      </c>
      <c r="CI77" s="8" t="str">
        <f>IF($B77="","",IF(COUNTIF('Competency Event Log'!$U$4:$U$803,$B77&amp;"|"&amp;CI$5)=0,"",SUMIF('Competency Event Log'!$U$4:$U$803,$B77&amp;"|"&amp;CI$5,'Competency Event Log'!$D$4:$D$803)))</f>
        <v/>
      </c>
      <c r="CJ77" s="8" t="str">
        <f>IF($B77="","",IF(COUNTIF('Competency Event Log'!$U$4:$U$803,$B77&amp;"|"&amp;CJ$5)=0,"",SUMIF('Competency Event Log'!$U$4:$U$803,$B77&amp;"|"&amp;CJ$5,'Competency Event Log'!$D$4:$D$803)))</f>
        <v/>
      </c>
      <c r="CK77" s="8" t="str">
        <f>IF($B77="","",IF(COUNTIF('Competency Event Log'!$U$4:$U$803,$B77&amp;"|"&amp;CK$5)=0,"",SUMIF('Competency Event Log'!$U$4:$U$803,$B77&amp;"|"&amp;CK$5,'Competency Event Log'!$D$4:$D$803)))</f>
        <v/>
      </c>
      <c r="CL77" s="8" t="str">
        <f>IF($B77="","",IF(COUNTIF('Competency Event Log'!$U$4:$U$803,$B77&amp;"|"&amp;CL$5)=0,"",SUMIF('Competency Event Log'!$U$4:$U$803,$B77&amp;"|"&amp;CL$5,'Competency Event Log'!$D$4:$D$803)))</f>
        <v/>
      </c>
      <c r="CM77" s="8" t="str">
        <f>IF($B77="","",IF(COUNTIF('Competency Event Log'!$U$4:$U$803,$B77&amp;"|"&amp;CM$5)=0,"",SUMIF('Competency Event Log'!$U$4:$U$803,$B77&amp;"|"&amp;CM$5,'Competency Event Log'!$D$4:$D$803)))</f>
        <v/>
      </c>
      <c r="CN77" s="8" t="str">
        <f>IF($B77="","",IF(COUNTIF('Competency Event Log'!$U$4:$U$803,$B77&amp;"|"&amp;CN$5)=0,"",SUMIF('Competency Event Log'!$U$4:$U$803,$B77&amp;"|"&amp;CN$5,'Competency Event Log'!$D$4:$D$803)))</f>
        <v/>
      </c>
      <c r="CO77" s="8" t="str">
        <f>IF($B77="","",IF(COUNTIF('Competency Event Log'!$U$4:$U$803,$B77&amp;"|"&amp;CO$5)=0,"",SUMIF('Competency Event Log'!$U$4:$U$803,$B77&amp;"|"&amp;CO$5,'Competency Event Log'!$D$4:$D$803)))</f>
        <v/>
      </c>
      <c r="CP77" s="8" t="str">
        <f>IF($B77="","",IF(COUNTIF('Competency Event Log'!$U$4:$U$803,$B77&amp;"|"&amp;CP$5)=0,"",SUMIF('Competency Event Log'!$U$4:$U$803,$B77&amp;"|"&amp;CP$5,'Competency Event Log'!$D$4:$D$803)))</f>
        <v/>
      </c>
      <c r="CQ77" s="8" t="str">
        <f>IF($B77="","",IF(COUNTIF('Competency Event Log'!$U$4:$U$803,$B77&amp;"|"&amp;CQ$5)=0,"",SUMIF('Competency Event Log'!$U$4:$U$803,$B77&amp;"|"&amp;CQ$5,'Competency Event Log'!$D$4:$D$803)))</f>
        <v/>
      </c>
      <c r="CR77" s="8" t="str">
        <f>IF($B77="","",IF(COUNTIF('Competency Event Log'!$U$4:$U$803,$B77&amp;"|"&amp;CR$5)=0,"",SUMIF('Competency Event Log'!$U$4:$U$803,$B77&amp;"|"&amp;CR$5,'Competency Event Log'!$D$4:$D$803)))</f>
        <v/>
      </c>
      <c r="CS77" s="8" t="str">
        <f>IF($B77="","",IF(COUNTIF('Competency Event Log'!$U$4:$U$803,$B77&amp;"|"&amp;CS$5)=0,"",SUMIF('Competency Event Log'!$U$4:$U$803,$B77&amp;"|"&amp;CS$5,'Competency Event Log'!$D$4:$D$803)))</f>
        <v/>
      </c>
      <c r="CT77" s="8" t="str">
        <f>IF($B77="","",IF(COUNTIF('Competency Event Log'!$U$4:$U$803,$B77&amp;"|"&amp;CT$5)=0,"",SUMIF('Competency Event Log'!$U$4:$U$803,$B77&amp;"|"&amp;CT$5,'Competency Event Log'!$D$4:$D$803)))</f>
        <v/>
      </c>
      <c r="CU77" s="8" t="str">
        <f>IF($B77="","",IF(COUNTIF('Competency Event Log'!$U$4:$U$803,$B77&amp;"|"&amp;CU$5)=0,"",SUMIF('Competency Event Log'!$U$4:$U$803,$B77&amp;"|"&amp;CU$5,'Competency Event Log'!$D$4:$D$803)))</f>
        <v/>
      </c>
      <c r="CV77" s="8" t="str">
        <f>IF($B77="","",IF(COUNTIF('Competency Event Log'!$U$4:$U$803,$B77&amp;"|"&amp;CV$5)=0,"",SUMIF('Competency Event Log'!$U$4:$U$803,$B77&amp;"|"&amp;CV$5,'Competency Event Log'!$D$4:$D$803)))</f>
        <v/>
      </c>
      <c r="CW77" s="8" t="str">
        <f>IF($B77="","",IF(COUNTIF('Competency Event Log'!$U$4:$U$803,$B77&amp;"|"&amp;CW$5)=0,"",SUMIF('Competency Event Log'!$U$4:$U$803,$B77&amp;"|"&amp;CW$5,'Competency Event Log'!$D$4:$D$803)))</f>
        <v/>
      </c>
      <c r="CX77" s="8" t="str">
        <f>IF($B77="","",IF(COUNTIF('Competency Event Log'!$U$4:$U$803,$B77&amp;"|"&amp;CX$5)=0,"",SUMIF('Competency Event Log'!$U$4:$U$803,$B77&amp;"|"&amp;CX$5,'Competency Event Log'!$D$4:$D$803)))</f>
        <v/>
      </c>
      <c r="CY77" s="8" t="str">
        <f>IF($B77="","",IF(COUNTIF('Competency Event Log'!$U$4:$U$803,$B77&amp;"|"&amp;CY$5)=0,"",SUMIF('Competency Event Log'!$U$4:$U$803,$B77&amp;"|"&amp;CY$5,'Competency Event Log'!$D$4:$D$803)))</f>
        <v/>
      </c>
      <c r="CZ77" s="8" t="str">
        <f>IF($B77="","",IF(COUNTIF('Competency Event Log'!$U$4:$U$803,$B77&amp;"|"&amp;CZ$5)=0,"",SUMIF('Competency Event Log'!$U$4:$U$803,$B77&amp;"|"&amp;CZ$5,'Competency Event Log'!$D$4:$D$803)))</f>
        <v/>
      </c>
      <c r="DA77" s="8" t="str">
        <f>IF($B77="","",IF(COUNTIF('Competency Event Log'!$U$4:$U$803,$B77&amp;"|"&amp;DA$5)=0,"",SUMIF('Competency Event Log'!$U$4:$U$803,$B77&amp;"|"&amp;DA$5,'Competency Event Log'!$D$4:$D$803)))</f>
        <v/>
      </c>
      <c r="DB77" s="8" t="str">
        <f>IF($B77="","",IF(COUNTIF('Competency Event Log'!$U$4:$U$803,$B77&amp;"|"&amp;DB$5)=0,"",SUMIF('Competency Event Log'!$U$4:$U$803,$B77&amp;"|"&amp;DB$5,'Competency Event Log'!$D$4:$D$803)))</f>
        <v/>
      </c>
      <c r="DC77" s="8" t="str">
        <f>IF($B77="","",IF(COUNTIF('Competency Event Log'!$U$4:$U$803,$B77&amp;"|"&amp;DC$5)=0,"",SUMIF('Competency Event Log'!$U$4:$U$803,$B77&amp;"|"&amp;DC$5,'Competency Event Log'!$D$4:$D$803)))</f>
        <v/>
      </c>
      <c r="DD77" s="8" t="str">
        <f>IF($B77="","",IF(COUNTIF('Competency Event Log'!$U$4:$U$803,$B77&amp;"|"&amp;DD$5)=0,"",SUMIF('Competency Event Log'!$U$4:$U$803,$B77&amp;"|"&amp;DD$5,'Competency Event Log'!$D$4:$D$803)))</f>
        <v/>
      </c>
      <c r="DE77" s="8" t="str">
        <f>IF($B77="","",IF(COUNTIF('Competency Event Log'!$U$4:$U$803,$B77&amp;"|"&amp;DE$5)=0,"",SUMIF('Competency Event Log'!$U$4:$U$803,$B77&amp;"|"&amp;DE$5,'Competency Event Log'!$D$4:$D$803)))</f>
        <v/>
      </c>
      <c r="DF77" s="8" t="str">
        <f t="shared" si="8"/>
        <v/>
      </c>
      <c r="DG77" s="8" t="str">
        <f t="shared" si="9"/>
        <v/>
      </c>
      <c r="DH77" s="8" t="str">
        <f t="shared" si="10"/>
        <v/>
      </c>
      <c r="DI77" s="11" t="str">
        <f t="shared" si="11"/>
        <v/>
      </c>
    </row>
    <row r="78" spans="1:113">
      <c r="A78" s="7"/>
      <c r="B78" s="7"/>
      <c r="C78" s="8"/>
      <c r="D78" s="9"/>
      <c r="E78" s="10"/>
      <c r="F78" s="8"/>
      <c r="G78" s="8" t="str">
        <f>IF($B78="","",IF(COUNTIF('Competency Event Log'!$U$4:$U$803,$B78&amp;"|"&amp;G$5)=0,"",SUMIF('Competency Event Log'!$U$4:$U$803,$B78&amp;"|"&amp;G$5,'Competency Event Log'!$D$4:$D$803)))</f>
        <v/>
      </c>
      <c r="H78" s="8" t="str">
        <f>IF($B78="","",IF(COUNTIF('Competency Event Log'!$U$4:$U$803,$B78&amp;"|"&amp;H$5)=0,"",SUMIF('Competency Event Log'!$U$4:$U$803,$B78&amp;"|"&amp;H$5,'Competency Event Log'!$D$4:$D$803)))</f>
        <v/>
      </c>
      <c r="I78" s="8" t="str">
        <f>IF($B78="","",IF(COUNTIF('Competency Event Log'!$U$4:$U$803,$B78&amp;"|"&amp;I$5)=0,"",SUMIF('Competency Event Log'!$U$4:$U$803,$B78&amp;"|"&amp;I$5,'Competency Event Log'!$D$4:$D$803)))</f>
        <v/>
      </c>
      <c r="J78" s="8" t="str">
        <f>IF($B78="","",IF(COUNTIF('Competency Event Log'!$U$4:$U$803,$B78&amp;"|"&amp;J$5)=0,"",SUMIF('Competency Event Log'!$U$4:$U$803,$B78&amp;"|"&amp;J$5,'Competency Event Log'!$D$4:$D$803)))</f>
        <v/>
      </c>
      <c r="K78" s="8" t="str">
        <f>IF($B78="","",IF(COUNTIF('Competency Event Log'!$U$4:$U$803,$B78&amp;"|"&amp;K$5)=0,"",SUMIF('Competency Event Log'!$U$4:$U$803,$B78&amp;"|"&amp;K$5,'Competency Event Log'!$D$4:$D$803)))</f>
        <v/>
      </c>
      <c r="L78" s="8" t="str">
        <f>IF($B78="","",IF(COUNTIF('Competency Event Log'!$U$4:$U$803,$B78&amp;"|"&amp;L$5)=0,"",SUMIF('Competency Event Log'!$U$4:$U$803,$B78&amp;"|"&amp;L$5,'Competency Event Log'!$D$4:$D$803)))</f>
        <v/>
      </c>
      <c r="M78" s="8" t="str">
        <f>IF($B78="","",IF(COUNTIF('Competency Event Log'!$U$4:$U$803,$B78&amp;"|"&amp;M$5)=0,"",SUMIF('Competency Event Log'!$U$4:$U$803,$B78&amp;"|"&amp;M$5,'Competency Event Log'!$D$4:$D$803)))</f>
        <v/>
      </c>
      <c r="N78" s="8" t="str">
        <f>IF($B78="","",IF(COUNTIF('Competency Event Log'!$U$4:$U$803,$B78&amp;"|"&amp;N$5)=0,"",SUMIF('Competency Event Log'!$U$4:$U$803,$B78&amp;"|"&amp;N$5,'Competency Event Log'!$D$4:$D$803)))</f>
        <v/>
      </c>
      <c r="O78" s="8" t="str">
        <f>IF($B78="","",IF(COUNTIF('Competency Event Log'!$U$4:$U$803,$B78&amp;"|"&amp;O$5)=0,"",SUMIF('Competency Event Log'!$U$4:$U$803,$B78&amp;"|"&amp;O$5,'Competency Event Log'!$D$4:$D$803)))</f>
        <v/>
      </c>
      <c r="P78" s="8" t="str">
        <f>IF($B78="","",IF(COUNTIF('Competency Event Log'!$U$4:$U$803,$B78&amp;"|"&amp;P$5)=0,"",SUMIF('Competency Event Log'!$U$4:$U$803,$B78&amp;"|"&amp;P$5,'Competency Event Log'!$D$4:$D$803)))</f>
        <v/>
      </c>
      <c r="Q78" s="8" t="str">
        <f>IF($B78="","",IF(COUNTIF('Competency Event Log'!$U$4:$U$803,$B78&amp;"|"&amp;Q$5)=0,"",SUMIF('Competency Event Log'!$U$4:$U$803,$B78&amp;"|"&amp;Q$5,'Competency Event Log'!$D$4:$D$803)))</f>
        <v/>
      </c>
      <c r="R78" s="8" t="str">
        <f>IF($B78="","",IF(COUNTIF('Competency Event Log'!$U$4:$U$803,$B78&amp;"|"&amp;R$5)=0,"",SUMIF('Competency Event Log'!$U$4:$U$803,$B78&amp;"|"&amp;R$5,'Competency Event Log'!$D$4:$D$803)))</f>
        <v/>
      </c>
      <c r="S78" s="8" t="str">
        <f>IF($B78="","",IF(COUNTIF('Competency Event Log'!$U$4:$U$803,$B78&amp;"|"&amp;S$5)=0,"",SUMIF('Competency Event Log'!$U$4:$U$803,$B78&amp;"|"&amp;S$5,'Competency Event Log'!$D$4:$D$803)))</f>
        <v/>
      </c>
      <c r="T78" s="8" t="str">
        <f>IF($B78="","",IF(COUNTIF('Competency Event Log'!$U$4:$U$803,$B78&amp;"|"&amp;T$5)=0,"",SUMIF('Competency Event Log'!$U$4:$U$803,$B78&amp;"|"&amp;T$5,'Competency Event Log'!$D$4:$D$803)))</f>
        <v/>
      </c>
      <c r="U78" s="8" t="str">
        <f>IF($B78="","",IF(COUNTIF('Competency Event Log'!$U$4:$U$803,$B78&amp;"|"&amp;U$5)=0,"",SUMIF('Competency Event Log'!$U$4:$U$803,$B78&amp;"|"&amp;U$5,'Competency Event Log'!$D$4:$D$803)))</f>
        <v/>
      </c>
      <c r="V78" s="8" t="str">
        <f>IF($B78="","",IF(COUNTIF('Competency Event Log'!$U$4:$U$803,$B78&amp;"|"&amp;V$5)=0,"",SUMIF('Competency Event Log'!$U$4:$U$803,$B78&amp;"|"&amp;V$5,'Competency Event Log'!$D$4:$D$803)))</f>
        <v/>
      </c>
      <c r="W78" s="8" t="str">
        <f>IF($B78="","",IF(COUNTIF('Competency Event Log'!$U$4:$U$803,$B78&amp;"|"&amp;W$5)=0,"",SUMIF('Competency Event Log'!$U$4:$U$803,$B78&amp;"|"&amp;W$5,'Competency Event Log'!$D$4:$D$803)))</f>
        <v/>
      </c>
      <c r="X78" s="8" t="str">
        <f>IF($B78="","",IF(COUNTIF('Competency Event Log'!$U$4:$U$803,$B78&amp;"|"&amp;X$5)=0,"",SUMIF('Competency Event Log'!$U$4:$U$803,$B78&amp;"|"&amp;X$5,'Competency Event Log'!$D$4:$D$803)))</f>
        <v/>
      </c>
      <c r="Y78" s="8" t="str">
        <f>IF($B78="","",IF(COUNTIF('Competency Event Log'!$U$4:$U$803,$B78&amp;"|"&amp;Y$5)=0,"",SUMIF('Competency Event Log'!$U$4:$U$803,$B78&amp;"|"&amp;Y$5,'Competency Event Log'!$D$4:$D$803)))</f>
        <v/>
      </c>
      <c r="Z78" s="8" t="str">
        <f>IF($B78="","",IF(COUNTIF('Competency Event Log'!$U$4:$U$803,$B78&amp;"|"&amp;Z$5)=0,"",SUMIF('Competency Event Log'!$U$4:$U$803,$B78&amp;"|"&amp;Z$5,'Competency Event Log'!$D$4:$D$803)))</f>
        <v/>
      </c>
      <c r="AA78" s="8" t="str">
        <f>IF($B78="","",IF(COUNTIF('Competency Event Log'!$U$4:$U$803,$B78&amp;"|"&amp;AA$5)=0,"",SUMIF('Competency Event Log'!$U$4:$U$803,$B78&amp;"|"&amp;AA$5,'Competency Event Log'!$D$4:$D$803)))</f>
        <v/>
      </c>
      <c r="AB78" s="8" t="str">
        <f>IF($B78="","",IF(COUNTIF('Competency Event Log'!$U$4:$U$803,$B78&amp;"|"&amp;AB$5)=0,"",SUMIF('Competency Event Log'!$U$4:$U$803,$B78&amp;"|"&amp;AB$5,'Competency Event Log'!$D$4:$D$803)))</f>
        <v/>
      </c>
      <c r="AC78" s="8" t="str">
        <f>IF($B78="","",IF(COUNTIF('Competency Event Log'!$U$4:$U$803,$B78&amp;"|"&amp;AC$5)=0,"",SUMIF('Competency Event Log'!$U$4:$U$803,$B78&amp;"|"&amp;AC$5,'Competency Event Log'!$D$4:$D$803)))</f>
        <v/>
      </c>
      <c r="AD78" s="8" t="str">
        <f>IF($B78="","",IF(COUNTIF('Competency Event Log'!$U$4:$U$803,$B78&amp;"|"&amp;AD$5)=0,"",SUMIF('Competency Event Log'!$U$4:$U$803,$B78&amp;"|"&amp;AD$5,'Competency Event Log'!$D$4:$D$803)))</f>
        <v/>
      </c>
      <c r="AE78" s="8" t="str">
        <f>IF($B78="","",IF(COUNTIF('Competency Event Log'!$U$4:$U$803,$B78&amp;"|"&amp;AE$5)=0,"",SUMIF('Competency Event Log'!$U$4:$U$803,$B78&amp;"|"&amp;AE$5,'Competency Event Log'!$D$4:$D$803)))</f>
        <v/>
      </c>
      <c r="AF78" s="8" t="str">
        <f>IF($B78="","",IF(COUNTIF('Competency Event Log'!$U$4:$U$803,$B78&amp;"|"&amp;AF$5)=0,"",SUMIF('Competency Event Log'!$U$4:$U$803,$B78&amp;"|"&amp;AF$5,'Competency Event Log'!$D$4:$D$803)))</f>
        <v/>
      </c>
      <c r="AG78" s="8" t="str">
        <f>IF($B78="","",IF(COUNTIF('Competency Event Log'!$U$4:$U$803,$B78&amp;"|"&amp;AG$5)=0,"",SUMIF('Competency Event Log'!$U$4:$U$803,$B78&amp;"|"&amp;AG$5,'Competency Event Log'!$D$4:$D$803)))</f>
        <v/>
      </c>
      <c r="AH78" s="8" t="str">
        <f>IF($B78="","",IF(COUNTIF('Competency Event Log'!$U$4:$U$803,$B78&amp;"|"&amp;AH$5)=0,"",SUMIF('Competency Event Log'!$U$4:$U$803,$B78&amp;"|"&amp;AH$5,'Competency Event Log'!$D$4:$D$803)))</f>
        <v/>
      </c>
      <c r="AI78" s="8" t="str">
        <f>IF($B78="","",IF(COUNTIF('Competency Event Log'!$U$4:$U$803,$B78&amp;"|"&amp;AI$5)=0,"",SUMIF('Competency Event Log'!$U$4:$U$803,$B78&amp;"|"&amp;AI$5,'Competency Event Log'!$D$4:$D$803)))</f>
        <v/>
      </c>
      <c r="AJ78" s="8" t="str">
        <f>IF($B78="","",IF(COUNTIF('Competency Event Log'!$U$4:$U$803,$B78&amp;"|"&amp;AJ$5)=0,"",SUMIF('Competency Event Log'!$U$4:$U$803,$B78&amp;"|"&amp;AJ$5,'Competency Event Log'!$D$4:$D$803)))</f>
        <v/>
      </c>
      <c r="AK78" s="8" t="str">
        <f>IF($B78="","",IF(COUNTIF('Competency Event Log'!$U$4:$U$803,$B78&amp;"|"&amp;AK$5)=0,"",SUMIF('Competency Event Log'!$U$4:$U$803,$B78&amp;"|"&amp;AK$5,'Competency Event Log'!$D$4:$D$803)))</f>
        <v/>
      </c>
      <c r="AL78" s="8" t="str">
        <f>IF($B78="","",IF(COUNTIF('Competency Event Log'!$U$4:$U$803,$B78&amp;"|"&amp;AL$5)=0,"",SUMIF('Competency Event Log'!$U$4:$U$803,$B78&amp;"|"&amp;AL$5,'Competency Event Log'!$D$4:$D$803)))</f>
        <v/>
      </c>
      <c r="AM78" s="8" t="str">
        <f>IF($B78="","",IF(COUNTIF('Competency Event Log'!$U$4:$U$803,$B78&amp;"|"&amp;AM$5)=0,"",SUMIF('Competency Event Log'!$U$4:$U$803,$B78&amp;"|"&amp;AM$5,'Competency Event Log'!$D$4:$D$803)))</f>
        <v/>
      </c>
      <c r="AN78" s="8" t="str">
        <f>IF($B78="","",IF(COUNTIF('Competency Event Log'!$U$4:$U$803,$B78&amp;"|"&amp;AN$5)=0,"",SUMIF('Competency Event Log'!$U$4:$U$803,$B78&amp;"|"&amp;AN$5,'Competency Event Log'!$D$4:$D$803)))</f>
        <v/>
      </c>
      <c r="AO78" s="8" t="str">
        <f>IF($B78="","",IF(COUNTIF('Competency Event Log'!$U$4:$U$803,$B78&amp;"|"&amp;AO$5)=0,"",SUMIF('Competency Event Log'!$U$4:$U$803,$B78&amp;"|"&amp;AO$5,'Competency Event Log'!$D$4:$D$803)))</f>
        <v/>
      </c>
      <c r="AP78" s="8" t="str">
        <f>IF($B78="","",IF(COUNTIF('Competency Event Log'!$U$4:$U$803,$B78&amp;"|"&amp;AP$5)=0,"",SUMIF('Competency Event Log'!$U$4:$U$803,$B78&amp;"|"&amp;AP$5,'Competency Event Log'!$D$4:$D$803)))</f>
        <v/>
      </c>
      <c r="AQ78" s="8" t="str">
        <f>IF($B78="","",IF(COUNTIF('Competency Event Log'!$U$4:$U$803,$B78&amp;"|"&amp;AQ$5)=0,"",SUMIF('Competency Event Log'!$U$4:$U$803,$B78&amp;"|"&amp;AQ$5,'Competency Event Log'!$D$4:$D$803)))</f>
        <v/>
      </c>
      <c r="AR78" s="8" t="str">
        <f>IF($B78="","",IF(COUNTIF('Competency Event Log'!$U$4:$U$803,$B78&amp;"|"&amp;AR$5)=0,"",SUMIF('Competency Event Log'!$U$4:$U$803,$B78&amp;"|"&amp;AR$5,'Competency Event Log'!$D$4:$D$803)))</f>
        <v/>
      </c>
      <c r="AS78" s="8" t="str">
        <f>IF($B78="","",IF(COUNTIF('Competency Event Log'!$U$4:$U$803,$B78&amp;"|"&amp;AS$5)=0,"",SUMIF('Competency Event Log'!$U$4:$U$803,$B78&amp;"|"&amp;AS$5,'Competency Event Log'!$D$4:$D$803)))</f>
        <v/>
      </c>
      <c r="AT78" s="8" t="str">
        <f>IF($B78="","",IF(COUNTIF('Competency Event Log'!$U$4:$U$803,$B78&amp;"|"&amp;AT$5)=0,"",SUMIF('Competency Event Log'!$U$4:$U$803,$B78&amp;"|"&amp;AT$5,'Competency Event Log'!$D$4:$D$803)))</f>
        <v/>
      </c>
      <c r="AU78" s="8" t="str">
        <f>IF($B78="","",IF(COUNTIF('Competency Event Log'!$U$4:$U$803,$B78&amp;"|"&amp;AU$5)=0,"",SUMIF('Competency Event Log'!$U$4:$U$803,$B78&amp;"|"&amp;AU$5,'Competency Event Log'!$D$4:$D$803)))</f>
        <v/>
      </c>
      <c r="AV78" s="8" t="str">
        <f>IF($B78="","",IF(COUNTIF('Competency Event Log'!$U$4:$U$803,$B78&amp;"|"&amp;AV$5)=0,"",SUMIF('Competency Event Log'!$U$4:$U$803,$B78&amp;"|"&amp;AV$5,'Competency Event Log'!$D$4:$D$803)))</f>
        <v/>
      </c>
      <c r="AW78" s="8" t="str">
        <f>IF($B78="","",IF(COUNTIF('Competency Event Log'!$U$4:$U$803,$B78&amp;"|"&amp;AW$5)=0,"",SUMIF('Competency Event Log'!$U$4:$U$803,$B78&amp;"|"&amp;AW$5,'Competency Event Log'!$D$4:$D$803)))</f>
        <v/>
      </c>
      <c r="AX78" s="8" t="str">
        <f>IF($B78="","",IF(COUNTIF('Competency Event Log'!$U$4:$U$803,$B78&amp;"|"&amp;AX$5)=0,"",SUMIF('Competency Event Log'!$U$4:$U$803,$B78&amp;"|"&amp;AX$5,'Competency Event Log'!$D$4:$D$803)))</f>
        <v/>
      </c>
      <c r="AY78" s="8" t="str">
        <f>IF($B78="","",IF(COUNTIF('Competency Event Log'!$U$4:$U$803,$B78&amp;"|"&amp;AY$5)=0,"",SUMIF('Competency Event Log'!$U$4:$U$803,$B78&amp;"|"&amp;AY$5,'Competency Event Log'!$D$4:$D$803)))</f>
        <v/>
      </c>
      <c r="AZ78" s="8" t="str">
        <f>IF($B78="","",IF(COUNTIF('Competency Event Log'!$U$4:$U$803,$B78&amp;"|"&amp;AZ$5)=0,"",SUMIF('Competency Event Log'!$U$4:$U$803,$B78&amp;"|"&amp;AZ$5,'Competency Event Log'!$D$4:$D$803)))</f>
        <v/>
      </c>
      <c r="BA78" s="8" t="str">
        <f>IF($B78="","",IF(COUNTIF('Competency Event Log'!$U$4:$U$803,$B78&amp;"|"&amp;BA$5)=0,"",SUMIF('Competency Event Log'!$U$4:$U$803,$B78&amp;"|"&amp;BA$5,'Competency Event Log'!$D$4:$D$803)))</f>
        <v/>
      </c>
      <c r="BB78" s="8" t="str">
        <f>IF($B78="","",IF(COUNTIF('Competency Event Log'!$U$4:$U$803,$B78&amp;"|"&amp;BB$5)=0,"",SUMIF('Competency Event Log'!$U$4:$U$803,$B78&amp;"|"&amp;BB$5,'Competency Event Log'!$D$4:$D$803)))</f>
        <v/>
      </c>
      <c r="BC78" s="8" t="str">
        <f>IF($B78="","",IF(COUNTIF('Competency Event Log'!$U$4:$U$803,$B78&amp;"|"&amp;BC$5)=0,"",SUMIF('Competency Event Log'!$U$4:$U$803,$B78&amp;"|"&amp;BC$5,'Competency Event Log'!$D$4:$D$803)))</f>
        <v/>
      </c>
      <c r="BD78" s="8" t="str">
        <f>IF($B78="","",IF(COUNTIF('Competency Event Log'!$U$4:$U$803,$B78&amp;"|"&amp;BD$5)=0,"",SUMIF('Competency Event Log'!$U$4:$U$803,$B78&amp;"|"&amp;BD$5,'Competency Event Log'!$D$4:$D$803)))</f>
        <v/>
      </c>
      <c r="BE78" s="8" t="str">
        <f>IF($B78="","",IF(COUNTIF('Competency Event Log'!$U$4:$U$803,$B78&amp;"|"&amp;BE$5)=0,"",SUMIF('Competency Event Log'!$U$4:$U$803,$B78&amp;"|"&amp;BE$5,'Competency Event Log'!$D$4:$D$803)))</f>
        <v/>
      </c>
      <c r="BF78" s="8" t="str">
        <f>IF($B78="","",IF(COUNTIF('Competency Event Log'!$U$4:$U$803,$B78&amp;"|"&amp;BF$5)=0,"",SUMIF('Competency Event Log'!$U$4:$U$803,$B78&amp;"|"&amp;BF$5,'Competency Event Log'!$D$4:$D$803)))</f>
        <v/>
      </c>
      <c r="BG78" s="8" t="str">
        <f>IF($B78="","",IF(COUNTIF('Competency Event Log'!$U$4:$U$803,$B78&amp;"|"&amp;BG$5)=0,"",SUMIF('Competency Event Log'!$U$4:$U$803,$B78&amp;"|"&amp;BG$5,'Competency Event Log'!$D$4:$D$803)))</f>
        <v/>
      </c>
      <c r="BH78" s="8" t="str">
        <f>IF($B78="","",IF(COUNTIF('Competency Event Log'!$U$4:$U$803,$B78&amp;"|"&amp;BH$5)=0,"",SUMIF('Competency Event Log'!$U$4:$U$803,$B78&amp;"|"&amp;BH$5,'Competency Event Log'!$D$4:$D$803)))</f>
        <v/>
      </c>
      <c r="BI78" s="8" t="str">
        <f>IF($B78="","",IF(COUNTIF('Competency Event Log'!$U$4:$U$803,$B78&amp;"|"&amp;BI$5)=0,"",SUMIF('Competency Event Log'!$U$4:$U$803,$B78&amp;"|"&amp;BI$5,'Competency Event Log'!$D$4:$D$803)))</f>
        <v/>
      </c>
      <c r="BJ78" s="8" t="str">
        <f>IF($B78="","",IF(COUNTIF('Competency Event Log'!$U$4:$U$803,$B78&amp;"|"&amp;BJ$5)=0,"",SUMIF('Competency Event Log'!$U$4:$U$803,$B78&amp;"|"&amp;BJ$5,'Competency Event Log'!$D$4:$D$803)))</f>
        <v/>
      </c>
      <c r="BK78" s="8" t="str">
        <f>IF($B78="","",IF(COUNTIF('Competency Event Log'!$U$4:$U$803,$B78&amp;"|"&amp;BK$5)=0,"",SUMIF('Competency Event Log'!$U$4:$U$803,$B78&amp;"|"&amp;BK$5,'Competency Event Log'!$D$4:$D$803)))</f>
        <v/>
      </c>
      <c r="BL78" s="8" t="str">
        <f>IF($B78="","",IF(COUNTIF('Competency Event Log'!$U$4:$U$803,$B78&amp;"|"&amp;BL$5)=0,"",SUMIF('Competency Event Log'!$U$4:$U$803,$B78&amp;"|"&amp;BL$5,'Competency Event Log'!$D$4:$D$803)))</f>
        <v/>
      </c>
      <c r="BM78" s="8" t="str">
        <f>IF($B78="","",IF(COUNTIF('Competency Event Log'!$U$4:$U$803,$B78&amp;"|"&amp;BM$5)=0,"",SUMIF('Competency Event Log'!$U$4:$U$803,$B78&amp;"|"&amp;BM$5,'Competency Event Log'!$D$4:$D$803)))</f>
        <v/>
      </c>
      <c r="BN78" s="8" t="str">
        <f>IF($B78="","",IF(COUNTIF('Competency Event Log'!$U$4:$U$803,$B78&amp;"|"&amp;BN$5)=0,"",SUMIF('Competency Event Log'!$U$4:$U$803,$B78&amp;"|"&amp;BN$5,'Competency Event Log'!$D$4:$D$803)))</f>
        <v/>
      </c>
      <c r="BO78" s="8" t="str">
        <f>IF($B78="","",IF(COUNTIF('Competency Event Log'!$U$4:$U$803,$B78&amp;"|"&amp;BO$5)=0,"",SUMIF('Competency Event Log'!$U$4:$U$803,$B78&amp;"|"&amp;BO$5,'Competency Event Log'!$D$4:$D$803)))</f>
        <v/>
      </c>
      <c r="BP78" s="8" t="str">
        <f>IF($B78="","",IF(COUNTIF('Competency Event Log'!$U$4:$U$803,$B78&amp;"|"&amp;BP$5)=0,"",SUMIF('Competency Event Log'!$U$4:$U$803,$B78&amp;"|"&amp;BP$5,'Competency Event Log'!$D$4:$D$803)))</f>
        <v/>
      </c>
      <c r="BQ78" s="8" t="str">
        <f>IF($B78="","",IF(COUNTIF('Competency Event Log'!$U$4:$U$803,$B78&amp;"|"&amp;BQ$5)=0,"",SUMIF('Competency Event Log'!$U$4:$U$803,$B78&amp;"|"&amp;BQ$5,'Competency Event Log'!$D$4:$D$803)))</f>
        <v/>
      </c>
      <c r="BR78" s="8" t="str">
        <f>IF($B78="","",IF(COUNTIF('Competency Event Log'!$U$4:$U$803,$B78&amp;"|"&amp;BR$5)=0,"",SUMIF('Competency Event Log'!$U$4:$U$803,$B78&amp;"|"&amp;BR$5,'Competency Event Log'!$D$4:$D$803)))</f>
        <v/>
      </c>
      <c r="BS78" s="8" t="str">
        <f>IF($B78="","",IF(COUNTIF('Competency Event Log'!$U$4:$U$803,$B78&amp;"|"&amp;BS$5)=0,"",SUMIF('Competency Event Log'!$U$4:$U$803,$B78&amp;"|"&amp;BS$5,'Competency Event Log'!$D$4:$D$803)))</f>
        <v/>
      </c>
      <c r="BT78" s="8" t="str">
        <f>IF($B78="","",IF(COUNTIF('Competency Event Log'!$U$4:$U$803,$B78&amp;"|"&amp;BT$5)=0,"",SUMIF('Competency Event Log'!$U$4:$U$803,$B78&amp;"|"&amp;BT$5,'Competency Event Log'!$D$4:$D$803)))</f>
        <v/>
      </c>
      <c r="BU78" s="8" t="str">
        <f>IF($B78="","",IF(COUNTIF('Competency Event Log'!$U$4:$U$803,$B78&amp;"|"&amp;BU$5)=0,"",SUMIF('Competency Event Log'!$U$4:$U$803,$B78&amp;"|"&amp;BU$5,'Competency Event Log'!$D$4:$D$803)))</f>
        <v/>
      </c>
      <c r="BV78" s="8" t="str">
        <f>IF($B78="","",IF(COUNTIF('Competency Event Log'!$U$4:$U$803,$B78&amp;"|"&amp;BV$5)=0,"",SUMIF('Competency Event Log'!$U$4:$U$803,$B78&amp;"|"&amp;BV$5,'Competency Event Log'!$D$4:$D$803)))</f>
        <v/>
      </c>
      <c r="BW78" s="8" t="str">
        <f>IF($B78="","",IF(COUNTIF('Competency Event Log'!$U$4:$U$803,$B78&amp;"|"&amp;BW$5)=0,"",SUMIF('Competency Event Log'!$U$4:$U$803,$B78&amp;"|"&amp;BW$5,'Competency Event Log'!$D$4:$D$803)))</f>
        <v/>
      </c>
      <c r="BX78" s="8" t="str">
        <f>IF($B78="","",IF(COUNTIF('Competency Event Log'!$U$4:$U$803,$B78&amp;"|"&amp;BX$5)=0,"",SUMIF('Competency Event Log'!$U$4:$U$803,$B78&amp;"|"&amp;BX$5,'Competency Event Log'!$D$4:$D$803)))</f>
        <v/>
      </c>
      <c r="BY78" s="8" t="str">
        <f>IF($B78="","",IF(COUNTIF('Competency Event Log'!$U$4:$U$803,$B78&amp;"|"&amp;BY$5)=0,"",SUMIF('Competency Event Log'!$U$4:$U$803,$B78&amp;"|"&amp;BY$5,'Competency Event Log'!$D$4:$D$803)))</f>
        <v/>
      </c>
      <c r="BZ78" s="8" t="str">
        <f>IF($B78="","",IF(COUNTIF('Competency Event Log'!$U$4:$U$803,$B78&amp;"|"&amp;BZ$5)=0,"",SUMIF('Competency Event Log'!$U$4:$U$803,$B78&amp;"|"&amp;BZ$5,'Competency Event Log'!$D$4:$D$803)))</f>
        <v/>
      </c>
      <c r="CA78" s="8" t="str">
        <f>IF($B78="","",IF(COUNTIF('Competency Event Log'!$U$4:$U$803,$B78&amp;"|"&amp;CA$5)=0,"",SUMIF('Competency Event Log'!$U$4:$U$803,$B78&amp;"|"&amp;CA$5,'Competency Event Log'!$D$4:$D$803)))</f>
        <v/>
      </c>
      <c r="CB78" s="8" t="str">
        <f>IF($B78="","",IF(COUNTIF('Competency Event Log'!$U$4:$U$803,$B78&amp;"|"&amp;CB$5)=0,"",SUMIF('Competency Event Log'!$U$4:$U$803,$B78&amp;"|"&amp;CB$5,'Competency Event Log'!$D$4:$D$803)))</f>
        <v/>
      </c>
      <c r="CC78" s="8" t="str">
        <f>IF($B78="","",IF(COUNTIF('Competency Event Log'!$U$4:$U$803,$B78&amp;"|"&amp;CC$5)=0,"",SUMIF('Competency Event Log'!$U$4:$U$803,$B78&amp;"|"&amp;CC$5,'Competency Event Log'!$D$4:$D$803)))</f>
        <v/>
      </c>
      <c r="CD78" s="8" t="str">
        <f>IF($B78="","",IF(COUNTIF('Competency Event Log'!$U$4:$U$803,$B78&amp;"|"&amp;CD$5)=0,"",SUMIF('Competency Event Log'!$U$4:$U$803,$B78&amp;"|"&amp;CD$5,'Competency Event Log'!$D$4:$D$803)))</f>
        <v/>
      </c>
      <c r="CE78" s="8" t="str">
        <f>IF($B78="","",IF(COUNTIF('Competency Event Log'!$U$4:$U$803,$B78&amp;"|"&amp;CE$5)=0,"",SUMIF('Competency Event Log'!$U$4:$U$803,$B78&amp;"|"&amp;CE$5,'Competency Event Log'!$D$4:$D$803)))</f>
        <v/>
      </c>
      <c r="CF78" s="8" t="str">
        <f>IF($B78="","",IF(COUNTIF('Competency Event Log'!$U$4:$U$803,$B78&amp;"|"&amp;CF$5)=0,"",SUMIF('Competency Event Log'!$U$4:$U$803,$B78&amp;"|"&amp;CF$5,'Competency Event Log'!$D$4:$D$803)))</f>
        <v/>
      </c>
      <c r="CG78" s="8" t="str">
        <f>IF($B78="","",IF(COUNTIF('Competency Event Log'!$U$4:$U$803,$B78&amp;"|"&amp;CG$5)=0,"",SUMIF('Competency Event Log'!$U$4:$U$803,$B78&amp;"|"&amp;CG$5,'Competency Event Log'!$D$4:$D$803)))</f>
        <v/>
      </c>
      <c r="CH78" s="8" t="str">
        <f>IF($B78="","",IF(COUNTIF('Competency Event Log'!$U$4:$U$803,$B78&amp;"|"&amp;CH$5)=0,"",SUMIF('Competency Event Log'!$U$4:$U$803,$B78&amp;"|"&amp;CH$5,'Competency Event Log'!$D$4:$D$803)))</f>
        <v/>
      </c>
      <c r="CI78" s="8" t="str">
        <f>IF($B78="","",IF(COUNTIF('Competency Event Log'!$U$4:$U$803,$B78&amp;"|"&amp;CI$5)=0,"",SUMIF('Competency Event Log'!$U$4:$U$803,$B78&amp;"|"&amp;CI$5,'Competency Event Log'!$D$4:$D$803)))</f>
        <v/>
      </c>
      <c r="CJ78" s="8" t="str">
        <f>IF($B78="","",IF(COUNTIF('Competency Event Log'!$U$4:$U$803,$B78&amp;"|"&amp;CJ$5)=0,"",SUMIF('Competency Event Log'!$U$4:$U$803,$B78&amp;"|"&amp;CJ$5,'Competency Event Log'!$D$4:$D$803)))</f>
        <v/>
      </c>
      <c r="CK78" s="8" t="str">
        <f>IF($B78="","",IF(COUNTIF('Competency Event Log'!$U$4:$U$803,$B78&amp;"|"&amp;CK$5)=0,"",SUMIF('Competency Event Log'!$U$4:$U$803,$B78&amp;"|"&amp;CK$5,'Competency Event Log'!$D$4:$D$803)))</f>
        <v/>
      </c>
      <c r="CL78" s="8" t="str">
        <f>IF($B78="","",IF(COUNTIF('Competency Event Log'!$U$4:$U$803,$B78&amp;"|"&amp;CL$5)=0,"",SUMIF('Competency Event Log'!$U$4:$U$803,$B78&amp;"|"&amp;CL$5,'Competency Event Log'!$D$4:$D$803)))</f>
        <v/>
      </c>
      <c r="CM78" s="8" t="str">
        <f>IF($B78="","",IF(COUNTIF('Competency Event Log'!$U$4:$U$803,$B78&amp;"|"&amp;CM$5)=0,"",SUMIF('Competency Event Log'!$U$4:$U$803,$B78&amp;"|"&amp;CM$5,'Competency Event Log'!$D$4:$D$803)))</f>
        <v/>
      </c>
      <c r="CN78" s="8" t="str">
        <f>IF($B78="","",IF(COUNTIF('Competency Event Log'!$U$4:$U$803,$B78&amp;"|"&amp;CN$5)=0,"",SUMIF('Competency Event Log'!$U$4:$U$803,$B78&amp;"|"&amp;CN$5,'Competency Event Log'!$D$4:$D$803)))</f>
        <v/>
      </c>
      <c r="CO78" s="8" t="str">
        <f>IF($B78="","",IF(COUNTIF('Competency Event Log'!$U$4:$U$803,$B78&amp;"|"&amp;CO$5)=0,"",SUMIF('Competency Event Log'!$U$4:$U$803,$B78&amp;"|"&amp;CO$5,'Competency Event Log'!$D$4:$D$803)))</f>
        <v/>
      </c>
      <c r="CP78" s="8" t="str">
        <f>IF($B78="","",IF(COUNTIF('Competency Event Log'!$U$4:$U$803,$B78&amp;"|"&amp;CP$5)=0,"",SUMIF('Competency Event Log'!$U$4:$U$803,$B78&amp;"|"&amp;CP$5,'Competency Event Log'!$D$4:$D$803)))</f>
        <v/>
      </c>
      <c r="CQ78" s="8" t="str">
        <f>IF($B78="","",IF(COUNTIF('Competency Event Log'!$U$4:$U$803,$B78&amp;"|"&amp;CQ$5)=0,"",SUMIF('Competency Event Log'!$U$4:$U$803,$B78&amp;"|"&amp;CQ$5,'Competency Event Log'!$D$4:$D$803)))</f>
        <v/>
      </c>
      <c r="CR78" s="8" t="str">
        <f>IF($B78="","",IF(COUNTIF('Competency Event Log'!$U$4:$U$803,$B78&amp;"|"&amp;CR$5)=0,"",SUMIF('Competency Event Log'!$U$4:$U$803,$B78&amp;"|"&amp;CR$5,'Competency Event Log'!$D$4:$D$803)))</f>
        <v/>
      </c>
      <c r="CS78" s="8" t="str">
        <f>IF($B78="","",IF(COUNTIF('Competency Event Log'!$U$4:$U$803,$B78&amp;"|"&amp;CS$5)=0,"",SUMIF('Competency Event Log'!$U$4:$U$803,$B78&amp;"|"&amp;CS$5,'Competency Event Log'!$D$4:$D$803)))</f>
        <v/>
      </c>
      <c r="CT78" s="8" t="str">
        <f>IF($B78="","",IF(COUNTIF('Competency Event Log'!$U$4:$U$803,$B78&amp;"|"&amp;CT$5)=0,"",SUMIF('Competency Event Log'!$U$4:$U$803,$B78&amp;"|"&amp;CT$5,'Competency Event Log'!$D$4:$D$803)))</f>
        <v/>
      </c>
      <c r="CU78" s="8" t="str">
        <f>IF($B78="","",IF(COUNTIF('Competency Event Log'!$U$4:$U$803,$B78&amp;"|"&amp;CU$5)=0,"",SUMIF('Competency Event Log'!$U$4:$U$803,$B78&amp;"|"&amp;CU$5,'Competency Event Log'!$D$4:$D$803)))</f>
        <v/>
      </c>
      <c r="CV78" s="8" t="str">
        <f>IF($B78="","",IF(COUNTIF('Competency Event Log'!$U$4:$U$803,$B78&amp;"|"&amp;CV$5)=0,"",SUMIF('Competency Event Log'!$U$4:$U$803,$B78&amp;"|"&amp;CV$5,'Competency Event Log'!$D$4:$D$803)))</f>
        <v/>
      </c>
      <c r="CW78" s="8" t="str">
        <f>IF($B78="","",IF(COUNTIF('Competency Event Log'!$U$4:$U$803,$B78&amp;"|"&amp;CW$5)=0,"",SUMIF('Competency Event Log'!$U$4:$U$803,$B78&amp;"|"&amp;CW$5,'Competency Event Log'!$D$4:$D$803)))</f>
        <v/>
      </c>
      <c r="CX78" s="8" t="str">
        <f>IF($B78="","",IF(COUNTIF('Competency Event Log'!$U$4:$U$803,$B78&amp;"|"&amp;CX$5)=0,"",SUMIF('Competency Event Log'!$U$4:$U$803,$B78&amp;"|"&amp;CX$5,'Competency Event Log'!$D$4:$D$803)))</f>
        <v/>
      </c>
      <c r="CY78" s="8" t="str">
        <f>IF($B78="","",IF(COUNTIF('Competency Event Log'!$U$4:$U$803,$B78&amp;"|"&amp;CY$5)=0,"",SUMIF('Competency Event Log'!$U$4:$U$803,$B78&amp;"|"&amp;CY$5,'Competency Event Log'!$D$4:$D$803)))</f>
        <v/>
      </c>
      <c r="CZ78" s="8" t="str">
        <f>IF($B78="","",IF(COUNTIF('Competency Event Log'!$U$4:$U$803,$B78&amp;"|"&amp;CZ$5)=0,"",SUMIF('Competency Event Log'!$U$4:$U$803,$B78&amp;"|"&amp;CZ$5,'Competency Event Log'!$D$4:$D$803)))</f>
        <v/>
      </c>
      <c r="DA78" s="8" t="str">
        <f>IF($B78="","",IF(COUNTIF('Competency Event Log'!$U$4:$U$803,$B78&amp;"|"&amp;DA$5)=0,"",SUMIF('Competency Event Log'!$U$4:$U$803,$B78&amp;"|"&amp;DA$5,'Competency Event Log'!$D$4:$D$803)))</f>
        <v/>
      </c>
      <c r="DB78" s="8" t="str">
        <f>IF($B78="","",IF(COUNTIF('Competency Event Log'!$U$4:$U$803,$B78&amp;"|"&amp;DB$5)=0,"",SUMIF('Competency Event Log'!$U$4:$U$803,$B78&amp;"|"&amp;DB$5,'Competency Event Log'!$D$4:$D$803)))</f>
        <v/>
      </c>
      <c r="DC78" s="8" t="str">
        <f>IF($B78="","",IF(COUNTIF('Competency Event Log'!$U$4:$U$803,$B78&amp;"|"&amp;DC$5)=0,"",SUMIF('Competency Event Log'!$U$4:$U$803,$B78&amp;"|"&amp;DC$5,'Competency Event Log'!$D$4:$D$803)))</f>
        <v/>
      </c>
      <c r="DD78" s="8" t="str">
        <f>IF($B78="","",IF(COUNTIF('Competency Event Log'!$U$4:$U$803,$B78&amp;"|"&amp;DD$5)=0,"",SUMIF('Competency Event Log'!$U$4:$U$803,$B78&amp;"|"&amp;DD$5,'Competency Event Log'!$D$4:$D$803)))</f>
        <v/>
      </c>
      <c r="DE78" s="8" t="str">
        <f>IF($B78="","",IF(COUNTIF('Competency Event Log'!$U$4:$U$803,$B78&amp;"|"&amp;DE$5)=0,"",SUMIF('Competency Event Log'!$U$4:$U$803,$B78&amp;"|"&amp;DE$5,'Competency Event Log'!$D$4:$D$803)))</f>
        <v/>
      </c>
      <c r="DF78" s="8" t="str">
        <f t="shared" si="8"/>
        <v/>
      </c>
      <c r="DG78" s="8" t="str">
        <f t="shared" si="9"/>
        <v/>
      </c>
      <c r="DH78" s="8" t="str">
        <f t="shared" si="10"/>
        <v/>
      </c>
      <c r="DI78" s="11" t="str">
        <f t="shared" si="11"/>
        <v/>
      </c>
    </row>
    <row r="79" spans="1:113">
      <c r="A79" s="7"/>
      <c r="B79" s="7"/>
      <c r="C79" s="8"/>
      <c r="D79" s="9"/>
      <c r="E79" s="10"/>
      <c r="F79" s="8"/>
      <c r="G79" s="8" t="str">
        <f>IF($B79="","",IF(COUNTIF('Competency Event Log'!$U$4:$U$803,$B79&amp;"|"&amp;G$5)=0,"",SUMIF('Competency Event Log'!$U$4:$U$803,$B79&amp;"|"&amp;G$5,'Competency Event Log'!$D$4:$D$803)))</f>
        <v/>
      </c>
      <c r="H79" s="8" t="str">
        <f>IF($B79="","",IF(COUNTIF('Competency Event Log'!$U$4:$U$803,$B79&amp;"|"&amp;H$5)=0,"",SUMIF('Competency Event Log'!$U$4:$U$803,$B79&amp;"|"&amp;H$5,'Competency Event Log'!$D$4:$D$803)))</f>
        <v/>
      </c>
      <c r="I79" s="8" t="str">
        <f>IF($B79="","",IF(COUNTIF('Competency Event Log'!$U$4:$U$803,$B79&amp;"|"&amp;I$5)=0,"",SUMIF('Competency Event Log'!$U$4:$U$803,$B79&amp;"|"&amp;I$5,'Competency Event Log'!$D$4:$D$803)))</f>
        <v/>
      </c>
      <c r="J79" s="8" t="str">
        <f>IF($B79="","",IF(COUNTIF('Competency Event Log'!$U$4:$U$803,$B79&amp;"|"&amp;J$5)=0,"",SUMIF('Competency Event Log'!$U$4:$U$803,$B79&amp;"|"&amp;J$5,'Competency Event Log'!$D$4:$D$803)))</f>
        <v/>
      </c>
      <c r="K79" s="8" t="str">
        <f>IF($B79="","",IF(COUNTIF('Competency Event Log'!$U$4:$U$803,$B79&amp;"|"&amp;K$5)=0,"",SUMIF('Competency Event Log'!$U$4:$U$803,$B79&amp;"|"&amp;K$5,'Competency Event Log'!$D$4:$D$803)))</f>
        <v/>
      </c>
      <c r="L79" s="8" t="str">
        <f>IF($B79="","",IF(COUNTIF('Competency Event Log'!$U$4:$U$803,$B79&amp;"|"&amp;L$5)=0,"",SUMIF('Competency Event Log'!$U$4:$U$803,$B79&amp;"|"&amp;L$5,'Competency Event Log'!$D$4:$D$803)))</f>
        <v/>
      </c>
      <c r="M79" s="8" t="str">
        <f>IF($B79="","",IF(COUNTIF('Competency Event Log'!$U$4:$U$803,$B79&amp;"|"&amp;M$5)=0,"",SUMIF('Competency Event Log'!$U$4:$U$803,$B79&amp;"|"&amp;M$5,'Competency Event Log'!$D$4:$D$803)))</f>
        <v/>
      </c>
      <c r="N79" s="8" t="str">
        <f>IF($B79="","",IF(COUNTIF('Competency Event Log'!$U$4:$U$803,$B79&amp;"|"&amp;N$5)=0,"",SUMIF('Competency Event Log'!$U$4:$U$803,$B79&amp;"|"&amp;N$5,'Competency Event Log'!$D$4:$D$803)))</f>
        <v/>
      </c>
      <c r="O79" s="8" t="str">
        <f>IF($B79="","",IF(COUNTIF('Competency Event Log'!$U$4:$U$803,$B79&amp;"|"&amp;O$5)=0,"",SUMIF('Competency Event Log'!$U$4:$U$803,$B79&amp;"|"&amp;O$5,'Competency Event Log'!$D$4:$D$803)))</f>
        <v/>
      </c>
      <c r="P79" s="8" t="str">
        <f>IF($B79="","",IF(COUNTIF('Competency Event Log'!$U$4:$U$803,$B79&amp;"|"&amp;P$5)=0,"",SUMIF('Competency Event Log'!$U$4:$U$803,$B79&amp;"|"&amp;P$5,'Competency Event Log'!$D$4:$D$803)))</f>
        <v/>
      </c>
      <c r="Q79" s="8" t="str">
        <f>IF($B79="","",IF(COUNTIF('Competency Event Log'!$U$4:$U$803,$B79&amp;"|"&amp;Q$5)=0,"",SUMIF('Competency Event Log'!$U$4:$U$803,$B79&amp;"|"&amp;Q$5,'Competency Event Log'!$D$4:$D$803)))</f>
        <v/>
      </c>
      <c r="R79" s="8" t="str">
        <f>IF($B79="","",IF(COUNTIF('Competency Event Log'!$U$4:$U$803,$B79&amp;"|"&amp;R$5)=0,"",SUMIF('Competency Event Log'!$U$4:$U$803,$B79&amp;"|"&amp;R$5,'Competency Event Log'!$D$4:$D$803)))</f>
        <v/>
      </c>
      <c r="S79" s="8" t="str">
        <f>IF($B79="","",IF(COUNTIF('Competency Event Log'!$U$4:$U$803,$B79&amp;"|"&amp;S$5)=0,"",SUMIF('Competency Event Log'!$U$4:$U$803,$B79&amp;"|"&amp;S$5,'Competency Event Log'!$D$4:$D$803)))</f>
        <v/>
      </c>
      <c r="T79" s="8" t="str">
        <f>IF($B79="","",IF(COUNTIF('Competency Event Log'!$U$4:$U$803,$B79&amp;"|"&amp;T$5)=0,"",SUMIF('Competency Event Log'!$U$4:$U$803,$B79&amp;"|"&amp;T$5,'Competency Event Log'!$D$4:$D$803)))</f>
        <v/>
      </c>
      <c r="U79" s="8" t="str">
        <f>IF($B79="","",IF(COUNTIF('Competency Event Log'!$U$4:$U$803,$B79&amp;"|"&amp;U$5)=0,"",SUMIF('Competency Event Log'!$U$4:$U$803,$B79&amp;"|"&amp;U$5,'Competency Event Log'!$D$4:$D$803)))</f>
        <v/>
      </c>
      <c r="V79" s="8" t="str">
        <f>IF($B79="","",IF(COUNTIF('Competency Event Log'!$U$4:$U$803,$B79&amp;"|"&amp;V$5)=0,"",SUMIF('Competency Event Log'!$U$4:$U$803,$B79&amp;"|"&amp;V$5,'Competency Event Log'!$D$4:$D$803)))</f>
        <v/>
      </c>
      <c r="W79" s="8" t="str">
        <f>IF($B79="","",IF(COUNTIF('Competency Event Log'!$U$4:$U$803,$B79&amp;"|"&amp;W$5)=0,"",SUMIF('Competency Event Log'!$U$4:$U$803,$B79&amp;"|"&amp;W$5,'Competency Event Log'!$D$4:$D$803)))</f>
        <v/>
      </c>
      <c r="X79" s="8" t="str">
        <f>IF($B79="","",IF(COUNTIF('Competency Event Log'!$U$4:$U$803,$B79&amp;"|"&amp;X$5)=0,"",SUMIF('Competency Event Log'!$U$4:$U$803,$B79&amp;"|"&amp;X$5,'Competency Event Log'!$D$4:$D$803)))</f>
        <v/>
      </c>
      <c r="Y79" s="8" t="str">
        <f>IF($B79="","",IF(COUNTIF('Competency Event Log'!$U$4:$U$803,$B79&amp;"|"&amp;Y$5)=0,"",SUMIF('Competency Event Log'!$U$4:$U$803,$B79&amp;"|"&amp;Y$5,'Competency Event Log'!$D$4:$D$803)))</f>
        <v/>
      </c>
      <c r="Z79" s="8" t="str">
        <f>IF($B79="","",IF(COUNTIF('Competency Event Log'!$U$4:$U$803,$B79&amp;"|"&amp;Z$5)=0,"",SUMIF('Competency Event Log'!$U$4:$U$803,$B79&amp;"|"&amp;Z$5,'Competency Event Log'!$D$4:$D$803)))</f>
        <v/>
      </c>
      <c r="AA79" s="8" t="str">
        <f>IF($B79="","",IF(COUNTIF('Competency Event Log'!$U$4:$U$803,$B79&amp;"|"&amp;AA$5)=0,"",SUMIF('Competency Event Log'!$U$4:$U$803,$B79&amp;"|"&amp;AA$5,'Competency Event Log'!$D$4:$D$803)))</f>
        <v/>
      </c>
      <c r="AB79" s="8" t="str">
        <f>IF($B79="","",IF(COUNTIF('Competency Event Log'!$U$4:$U$803,$B79&amp;"|"&amp;AB$5)=0,"",SUMIF('Competency Event Log'!$U$4:$U$803,$B79&amp;"|"&amp;AB$5,'Competency Event Log'!$D$4:$D$803)))</f>
        <v/>
      </c>
      <c r="AC79" s="8" t="str">
        <f>IF($B79="","",IF(COUNTIF('Competency Event Log'!$U$4:$U$803,$B79&amp;"|"&amp;AC$5)=0,"",SUMIF('Competency Event Log'!$U$4:$U$803,$B79&amp;"|"&amp;AC$5,'Competency Event Log'!$D$4:$D$803)))</f>
        <v/>
      </c>
      <c r="AD79" s="8" t="str">
        <f>IF($B79="","",IF(COUNTIF('Competency Event Log'!$U$4:$U$803,$B79&amp;"|"&amp;AD$5)=0,"",SUMIF('Competency Event Log'!$U$4:$U$803,$B79&amp;"|"&amp;AD$5,'Competency Event Log'!$D$4:$D$803)))</f>
        <v/>
      </c>
      <c r="AE79" s="8" t="str">
        <f>IF($B79="","",IF(COUNTIF('Competency Event Log'!$U$4:$U$803,$B79&amp;"|"&amp;AE$5)=0,"",SUMIF('Competency Event Log'!$U$4:$U$803,$B79&amp;"|"&amp;AE$5,'Competency Event Log'!$D$4:$D$803)))</f>
        <v/>
      </c>
      <c r="AF79" s="8" t="str">
        <f>IF($B79="","",IF(COUNTIF('Competency Event Log'!$U$4:$U$803,$B79&amp;"|"&amp;AF$5)=0,"",SUMIF('Competency Event Log'!$U$4:$U$803,$B79&amp;"|"&amp;AF$5,'Competency Event Log'!$D$4:$D$803)))</f>
        <v/>
      </c>
      <c r="AG79" s="8" t="str">
        <f>IF($B79="","",IF(COUNTIF('Competency Event Log'!$U$4:$U$803,$B79&amp;"|"&amp;AG$5)=0,"",SUMIF('Competency Event Log'!$U$4:$U$803,$B79&amp;"|"&amp;AG$5,'Competency Event Log'!$D$4:$D$803)))</f>
        <v/>
      </c>
      <c r="AH79" s="8" t="str">
        <f>IF($B79="","",IF(COUNTIF('Competency Event Log'!$U$4:$U$803,$B79&amp;"|"&amp;AH$5)=0,"",SUMIF('Competency Event Log'!$U$4:$U$803,$B79&amp;"|"&amp;AH$5,'Competency Event Log'!$D$4:$D$803)))</f>
        <v/>
      </c>
      <c r="AI79" s="8" t="str">
        <f>IF($B79="","",IF(COUNTIF('Competency Event Log'!$U$4:$U$803,$B79&amp;"|"&amp;AI$5)=0,"",SUMIF('Competency Event Log'!$U$4:$U$803,$B79&amp;"|"&amp;AI$5,'Competency Event Log'!$D$4:$D$803)))</f>
        <v/>
      </c>
      <c r="AJ79" s="8" t="str">
        <f>IF($B79="","",IF(COUNTIF('Competency Event Log'!$U$4:$U$803,$B79&amp;"|"&amp;AJ$5)=0,"",SUMIF('Competency Event Log'!$U$4:$U$803,$B79&amp;"|"&amp;AJ$5,'Competency Event Log'!$D$4:$D$803)))</f>
        <v/>
      </c>
      <c r="AK79" s="8" t="str">
        <f>IF($B79="","",IF(COUNTIF('Competency Event Log'!$U$4:$U$803,$B79&amp;"|"&amp;AK$5)=0,"",SUMIF('Competency Event Log'!$U$4:$U$803,$B79&amp;"|"&amp;AK$5,'Competency Event Log'!$D$4:$D$803)))</f>
        <v/>
      </c>
      <c r="AL79" s="8" t="str">
        <f>IF($B79="","",IF(COUNTIF('Competency Event Log'!$U$4:$U$803,$B79&amp;"|"&amp;AL$5)=0,"",SUMIF('Competency Event Log'!$U$4:$U$803,$B79&amp;"|"&amp;AL$5,'Competency Event Log'!$D$4:$D$803)))</f>
        <v/>
      </c>
      <c r="AM79" s="8" t="str">
        <f>IF($B79="","",IF(COUNTIF('Competency Event Log'!$U$4:$U$803,$B79&amp;"|"&amp;AM$5)=0,"",SUMIF('Competency Event Log'!$U$4:$U$803,$B79&amp;"|"&amp;AM$5,'Competency Event Log'!$D$4:$D$803)))</f>
        <v/>
      </c>
      <c r="AN79" s="8" t="str">
        <f>IF($B79="","",IF(COUNTIF('Competency Event Log'!$U$4:$U$803,$B79&amp;"|"&amp;AN$5)=0,"",SUMIF('Competency Event Log'!$U$4:$U$803,$B79&amp;"|"&amp;AN$5,'Competency Event Log'!$D$4:$D$803)))</f>
        <v/>
      </c>
      <c r="AO79" s="8" t="str">
        <f>IF($B79="","",IF(COUNTIF('Competency Event Log'!$U$4:$U$803,$B79&amp;"|"&amp;AO$5)=0,"",SUMIF('Competency Event Log'!$U$4:$U$803,$B79&amp;"|"&amp;AO$5,'Competency Event Log'!$D$4:$D$803)))</f>
        <v/>
      </c>
      <c r="AP79" s="8" t="str">
        <f>IF($B79="","",IF(COUNTIF('Competency Event Log'!$U$4:$U$803,$B79&amp;"|"&amp;AP$5)=0,"",SUMIF('Competency Event Log'!$U$4:$U$803,$B79&amp;"|"&amp;AP$5,'Competency Event Log'!$D$4:$D$803)))</f>
        <v/>
      </c>
      <c r="AQ79" s="8" t="str">
        <f>IF($B79="","",IF(COUNTIF('Competency Event Log'!$U$4:$U$803,$B79&amp;"|"&amp;AQ$5)=0,"",SUMIF('Competency Event Log'!$U$4:$U$803,$B79&amp;"|"&amp;AQ$5,'Competency Event Log'!$D$4:$D$803)))</f>
        <v/>
      </c>
      <c r="AR79" s="8" t="str">
        <f>IF($B79="","",IF(COUNTIF('Competency Event Log'!$U$4:$U$803,$B79&amp;"|"&amp;AR$5)=0,"",SUMIF('Competency Event Log'!$U$4:$U$803,$B79&amp;"|"&amp;AR$5,'Competency Event Log'!$D$4:$D$803)))</f>
        <v/>
      </c>
      <c r="AS79" s="8" t="str">
        <f>IF($B79="","",IF(COUNTIF('Competency Event Log'!$U$4:$U$803,$B79&amp;"|"&amp;AS$5)=0,"",SUMIF('Competency Event Log'!$U$4:$U$803,$B79&amp;"|"&amp;AS$5,'Competency Event Log'!$D$4:$D$803)))</f>
        <v/>
      </c>
      <c r="AT79" s="8" t="str">
        <f>IF($B79="","",IF(COUNTIF('Competency Event Log'!$U$4:$U$803,$B79&amp;"|"&amp;AT$5)=0,"",SUMIF('Competency Event Log'!$U$4:$U$803,$B79&amp;"|"&amp;AT$5,'Competency Event Log'!$D$4:$D$803)))</f>
        <v/>
      </c>
      <c r="AU79" s="8" t="str">
        <f>IF($B79="","",IF(COUNTIF('Competency Event Log'!$U$4:$U$803,$B79&amp;"|"&amp;AU$5)=0,"",SUMIF('Competency Event Log'!$U$4:$U$803,$B79&amp;"|"&amp;AU$5,'Competency Event Log'!$D$4:$D$803)))</f>
        <v/>
      </c>
      <c r="AV79" s="8" t="str">
        <f>IF($B79="","",IF(COUNTIF('Competency Event Log'!$U$4:$U$803,$B79&amp;"|"&amp;AV$5)=0,"",SUMIF('Competency Event Log'!$U$4:$U$803,$B79&amp;"|"&amp;AV$5,'Competency Event Log'!$D$4:$D$803)))</f>
        <v/>
      </c>
      <c r="AW79" s="8" t="str">
        <f>IF($B79="","",IF(COUNTIF('Competency Event Log'!$U$4:$U$803,$B79&amp;"|"&amp;AW$5)=0,"",SUMIF('Competency Event Log'!$U$4:$U$803,$B79&amp;"|"&amp;AW$5,'Competency Event Log'!$D$4:$D$803)))</f>
        <v/>
      </c>
      <c r="AX79" s="8" t="str">
        <f>IF($B79="","",IF(COUNTIF('Competency Event Log'!$U$4:$U$803,$B79&amp;"|"&amp;AX$5)=0,"",SUMIF('Competency Event Log'!$U$4:$U$803,$B79&amp;"|"&amp;AX$5,'Competency Event Log'!$D$4:$D$803)))</f>
        <v/>
      </c>
      <c r="AY79" s="8" t="str">
        <f>IF($B79="","",IF(COUNTIF('Competency Event Log'!$U$4:$U$803,$B79&amp;"|"&amp;AY$5)=0,"",SUMIF('Competency Event Log'!$U$4:$U$803,$B79&amp;"|"&amp;AY$5,'Competency Event Log'!$D$4:$D$803)))</f>
        <v/>
      </c>
      <c r="AZ79" s="8" t="str">
        <f>IF($B79="","",IF(COUNTIF('Competency Event Log'!$U$4:$U$803,$B79&amp;"|"&amp;AZ$5)=0,"",SUMIF('Competency Event Log'!$U$4:$U$803,$B79&amp;"|"&amp;AZ$5,'Competency Event Log'!$D$4:$D$803)))</f>
        <v/>
      </c>
      <c r="BA79" s="8" t="str">
        <f>IF($B79="","",IF(COUNTIF('Competency Event Log'!$U$4:$U$803,$B79&amp;"|"&amp;BA$5)=0,"",SUMIF('Competency Event Log'!$U$4:$U$803,$B79&amp;"|"&amp;BA$5,'Competency Event Log'!$D$4:$D$803)))</f>
        <v/>
      </c>
      <c r="BB79" s="8" t="str">
        <f>IF($B79="","",IF(COUNTIF('Competency Event Log'!$U$4:$U$803,$B79&amp;"|"&amp;BB$5)=0,"",SUMIF('Competency Event Log'!$U$4:$U$803,$B79&amp;"|"&amp;BB$5,'Competency Event Log'!$D$4:$D$803)))</f>
        <v/>
      </c>
      <c r="BC79" s="8" t="str">
        <f>IF($B79="","",IF(COUNTIF('Competency Event Log'!$U$4:$U$803,$B79&amp;"|"&amp;BC$5)=0,"",SUMIF('Competency Event Log'!$U$4:$U$803,$B79&amp;"|"&amp;BC$5,'Competency Event Log'!$D$4:$D$803)))</f>
        <v/>
      </c>
      <c r="BD79" s="8" t="str">
        <f>IF($B79="","",IF(COUNTIF('Competency Event Log'!$U$4:$U$803,$B79&amp;"|"&amp;BD$5)=0,"",SUMIF('Competency Event Log'!$U$4:$U$803,$B79&amp;"|"&amp;BD$5,'Competency Event Log'!$D$4:$D$803)))</f>
        <v/>
      </c>
      <c r="BE79" s="8" t="str">
        <f>IF($B79="","",IF(COUNTIF('Competency Event Log'!$U$4:$U$803,$B79&amp;"|"&amp;BE$5)=0,"",SUMIF('Competency Event Log'!$U$4:$U$803,$B79&amp;"|"&amp;BE$5,'Competency Event Log'!$D$4:$D$803)))</f>
        <v/>
      </c>
      <c r="BF79" s="8" t="str">
        <f>IF($B79="","",IF(COUNTIF('Competency Event Log'!$U$4:$U$803,$B79&amp;"|"&amp;BF$5)=0,"",SUMIF('Competency Event Log'!$U$4:$U$803,$B79&amp;"|"&amp;BF$5,'Competency Event Log'!$D$4:$D$803)))</f>
        <v/>
      </c>
      <c r="BG79" s="8" t="str">
        <f>IF($B79="","",IF(COUNTIF('Competency Event Log'!$U$4:$U$803,$B79&amp;"|"&amp;BG$5)=0,"",SUMIF('Competency Event Log'!$U$4:$U$803,$B79&amp;"|"&amp;BG$5,'Competency Event Log'!$D$4:$D$803)))</f>
        <v/>
      </c>
      <c r="BH79" s="8" t="str">
        <f>IF($B79="","",IF(COUNTIF('Competency Event Log'!$U$4:$U$803,$B79&amp;"|"&amp;BH$5)=0,"",SUMIF('Competency Event Log'!$U$4:$U$803,$B79&amp;"|"&amp;BH$5,'Competency Event Log'!$D$4:$D$803)))</f>
        <v/>
      </c>
      <c r="BI79" s="8" t="str">
        <f>IF($B79="","",IF(COUNTIF('Competency Event Log'!$U$4:$U$803,$B79&amp;"|"&amp;BI$5)=0,"",SUMIF('Competency Event Log'!$U$4:$U$803,$B79&amp;"|"&amp;BI$5,'Competency Event Log'!$D$4:$D$803)))</f>
        <v/>
      </c>
      <c r="BJ79" s="8" t="str">
        <f>IF($B79="","",IF(COUNTIF('Competency Event Log'!$U$4:$U$803,$B79&amp;"|"&amp;BJ$5)=0,"",SUMIF('Competency Event Log'!$U$4:$U$803,$B79&amp;"|"&amp;BJ$5,'Competency Event Log'!$D$4:$D$803)))</f>
        <v/>
      </c>
      <c r="BK79" s="8" t="str">
        <f>IF($B79="","",IF(COUNTIF('Competency Event Log'!$U$4:$U$803,$B79&amp;"|"&amp;BK$5)=0,"",SUMIF('Competency Event Log'!$U$4:$U$803,$B79&amp;"|"&amp;BK$5,'Competency Event Log'!$D$4:$D$803)))</f>
        <v/>
      </c>
      <c r="BL79" s="8" t="str">
        <f>IF($B79="","",IF(COUNTIF('Competency Event Log'!$U$4:$U$803,$B79&amp;"|"&amp;BL$5)=0,"",SUMIF('Competency Event Log'!$U$4:$U$803,$B79&amp;"|"&amp;BL$5,'Competency Event Log'!$D$4:$D$803)))</f>
        <v/>
      </c>
      <c r="BM79" s="8" t="str">
        <f>IF($B79="","",IF(COUNTIF('Competency Event Log'!$U$4:$U$803,$B79&amp;"|"&amp;BM$5)=0,"",SUMIF('Competency Event Log'!$U$4:$U$803,$B79&amp;"|"&amp;BM$5,'Competency Event Log'!$D$4:$D$803)))</f>
        <v/>
      </c>
      <c r="BN79" s="8" t="str">
        <f>IF($B79="","",IF(COUNTIF('Competency Event Log'!$U$4:$U$803,$B79&amp;"|"&amp;BN$5)=0,"",SUMIF('Competency Event Log'!$U$4:$U$803,$B79&amp;"|"&amp;BN$5,'Competency Event Log'!$D$4:$D$803)))</f>
        <v/>
      </c>
      <c r="BO79" s="8" t="str">
        <f>IF($B79="","",IF(COUNTIF('Competency Event Log'!$U$4:$U$803,$B79&amp;"|"&amp;BO$5)=0,"",SUMIF('Competency Event Log'!$U$4:$U$803,$B79&amp;"|"&amp;BO$5,'Competency Event Log'!$D$4:$D$803)))</f>
        <v/>
      </c>
      <c r="BP79" s="8" t="str">
        <f>IF($B79="","",IF(COUNTIF('Competency Event Log'!$U$4:$U$803,$B79&amp;"|"&amp;BP$5)=0,"",SUMIF('Competency Event Log'!$U$4:$U$803,$B79&amp;"|"&amp;BP$5,'Competency Event Log'!$D$4:$D$803)))</f>
        <v/>
      </c>
      <c r="BQ79" s="8" t="str">
        <f>IF($B79="","",IF(COUNTIF('Competency Event Log'!$U$4:$U$803,$B79&amp;"|"&amp;BQ$5)=0,"",SUMIF('Competency Event Log'!$U$4:$U$803,$B79&amp;"|"&amp;BQ$5,'Competency Event Log'!$D$4:$D$803)))</f>
        <v/>
      </c>
      <c r="BR79" s="8" t="str">
        <f>IF($B79="","",IF(COUNTIF('Competency Event Log'!$U$4:$U$803,$B79&amp;"|"&amp;BR$5)=0,"",SUMIF('Competency Event Log'!$U$4:$U$803,$B79&amp;"|"&amp;BR$5,'Competency Event Log'!$D$4:$D$803)))</f>
        <v/>
      </c>
      <c r="BS79" s="8" t="str">
        <f>IF($B79="","",IF(COUNTIF('Competency Event Log'!$U$4:$U$803,$B79&amp;"|"&amp;BS$5)=0,"",SUMIF('Competency Event Log'!$U$4:$U$803,$B79&amp;"|"&amp;BS$5,'Competency Event Log'!$D$4:$D$803)))</f>
        <v/>
      </c>
      <c r="BT79" s="8" t="str">
        <f>IF($B79="","",IF(COUNTIF('Competency Event Log'!$U$4:$U$803,$B79&amp;"|"&amp;BT$5)=0,"",SUMIF('Competency Event Log'!$U$4:$U$803,$B79&amp;"|"&amp;BT$5,'Competency Event Log'!$D$4:$D$803)))</f>
        <v/>
      </c>
      <c r="BU79" s="8" t="str">
        <f>IF($B79="","",IF(COUNTIF('Competency Event Log'!$U$4:$U$803,$B79&amp;"|"&amp;BU$5)=0,"",SUMIF('Competency Event Log'!$U$4:$U$803,$B79&amp;"|"&amp;BU$5,'Competency Event Log'!$D$4:$D$803)))</f>
        <v/>
      </c>
      <c r="BV79" s="8" t="str">
        <f>IF($B79="","",IF(COUNTIF('Competency Event Log'!$U$4:$U$803,$B79&amp;"|"&amp;BV$5)=0,"",SUMIF('Competency Event Log'!$U$4:$U$803,$B79&amp;"|"&amp;BV$5,'Competency Event Log'!$D$4:$D$803)))</f>
        <v/>
      </c>
      <c r="BW79" s="8" t="str">
        <f>IF($B79="","",IF(COUNTIF('Competency Event Log'!$U$4:$U$803,$B79&amp;"|"&amp;BW$5)=0,"",SUMIF('Competency Event Log'!$U$4:$U$803,$B79&amp;"|"&amp;BW$5,'Competency Event Log'!$D$4:$D$803)))</f>
        <v/>
      </c>
      <c r="BX79" s="8" t="str">
        <f>IF($B79="","",IF(COUNTIF('Competency Event Log'!$U$4:$U$803,$B79&amp;"|"&amp;BX$5)=0,"",SUMIF('Competency Event Log'!$U$4:$U$803,$B79&amp;"|"&amp;BX$5,'Competency Event Log'!$D$4:$D$803)))</f>
        <v/>
      </c>
      <c r="BY79" s="8" t="str">
        <f>IF($B79="","",IF(COUNTIF('Competency Event Log'!$U$4:$U$803,$B79&amp;"|"&amp;BY$5)=0,"",SUMIF('Competency Event Log'!$U$4:$U$803,$B79&amp;"|"&amp;BY$5,'Competency Event Log'!$D$4:$D$803)))</f>
        <v/>
      </c>
      <c r="BZ79" s="8" t="str">
        <f>IF($B79="","",IF(COUNTIF('Competency Event Log'!$U$4:$U$803,$B79&amp;"|"&amp;BZ$5)=0,"",SUMIF('Competency Event Log'!$U$4:$U$803,$B79&amp;"|"&amp;BZ$5,'Competency Event Log'!$D$4:$D$803)))</f>
        <v/>
      </c>
      <c r="CA79" s="8" t="str">
        <f>IF($B79="","",IF(COUNTIF('Competency Event Log'!$U$4:$U$803,$B79&amp;"|"&amp;CA$5)=0,"",SUMIF('Competency Event Log'!$U$4:$U$803,$B79&amp;"|"&amp;CA$5,'Competency Event Log'!$D$4:$D$803)))</f>
        <v/>
      </c>
      <c r="CB79" s="8" t="str">
        <f>IF($B79="","",IF(COUNTIF('Competency Event Log'!$U$4:$U$803,$B79&amp;"|"&amp;CB$5)=0,"",SUMIF('Competency Event Log'!$U$4:$U$803,$B79&amp;"|"&amp;CB$5,'Competency Event Log'!$D$4:$D$803)))</f>
        <v/>
      </c>
      <c r="CC79" s="8" t="str">
        <f>IF($B79="","",IF(COUNTIF('Competency Event Log'!$U$4:$U$803,$B79&amp;"|"&amp;CC$5)=0,"",SUMIF('Competency Event Log'!$U$4:$U$803,$B79&amp;"|"&amp;CC$5,'Competency Event Log'!$D$4:$D$803)))</f>
        <v/>
      </c>
      <c r="CD79" s="8" t="str">
        <f>IF($B79="","",IF(COUNTIF('Competency Event Log'!$U$4:$U$803,$B79&amp;"|"&amp;CD$5)=0,"",SUMIF('Competency Event Log'!$U$4:$U$803,$B79&amp;"|"&amp;CD$5,'Competency Event Log'!$D$4:$D$803)))</f>
        <v/>
      </c>
      <c r="CE79" s="8" t="str">
        <f>IF($B79="","",IF(COUNTIF('Competency Event Log'!$U$4:$U$803,$B79&amp;"|"&amp;CE$5)=0,"",SUMIF('Competency Event Log'!$U$4:$U$803,$B79&amp;"|"&amp;CE$5,'Competency Event Log'!$D$4:$D$803)))</f>
        <v/>
      </c>
      <c r="CF79" s="8" t="str">
        <f>IF($B79="","",IF(COUNTIF('Competency Event Log'!$U$4:$U$803,$B79&amp;"|"&amp;CF$5)=0,"",SUMIF('Competency Event Log'!$U$4:$U$803,$B79&amp;"|"&amp;CF$5,'Competency Event Log'!$D$4:$D$803)))</f>
        <v/>
      </c>
      <c r="CG79" s="8" t="str">
        <f>IF($B79="","",IF(COUNTIF('Competency Event Log'!$U$4:$U$803,$B79&amp;"|"&amp;CG$5)=0,"",SUMIF('Competency Event Log'!$U$4:$U$803,$B79&amp;"|"&amp;CG$5,'Competency Event Log'!$D$4:$D$803)))</f>
        <v/>
      </c>
      <c r="CH79" s="8" t="str">
        <f>IF($B79="","",IF(COUNTIF('Competency Event Log'!$U$4:$U$803,$B79&amp;"|"&amp;CH$5)=0,"",SUMIF('Competency Event Log'!$U$4:$U$803,$B79&amp;"|"&amp;CH$5,'Competency Event Log'!$D$4:$D$803)))</f>
        <v/>
      </c>
      <c r="CI79" s="8" t="str">
        <f>IF($B79="","",IF(COUNTIF('Competency Event Log'!$U$4:$U$803,$B79&amp;"|"&amp;CI$5)=0,"",SUMIF('Competency Event Log'!$U$4:$U$803,$B79&amp;"|"&amp;CI$5,'Competency Event Log'!$D$4:$D$803)))</f>
        <v/>
      </c>
      <c r="CJ79" s="8" t="str">
        <f>IF($B79="","",IF(COUNTIF('Competency Event Log'!$U$4:$U$803,$B79&amp;"|"&amp;CJ$5)=0,"",SUMIF('Competency Event Log'!$U$4:$U$803,$B79&amp;"|"&amp;CJ$5,'Competency Event Log'!$D$4:$D$803)))</f>
        <v/>
      </c>
      <c r="CK79" s="8" t="str">
        <f>IF($B79="","",IF(COUNTIF('Competency Event Log'!$U$4:$U$803,$B79&amp;"|"&amp;CK$5)=0,"",SUMIF('Competency Event Log'!$U$4:$U$803,$B79&amp;"|"&amp;CK$5,'Competency Event Log'!$D$4:$D$803)))</f>
        <v/>
      </c>
      <c r="CL79" s="8" t="str">
        <f>IF($B79="","",IF(COUNTIF('Competency Event Log'!$U$4:$U$803,$B79&amp;"|"&amp;CL$5)=0,"",SUMIF('Competency Event Log'!$U$4:$U$803,$B79&amp;"|"&amp;CL$5,'Competency Event Log'!$D$4:$D$803)))</f>
        <v/>
      </c>
      <c r="CM79" s="8" t="str">
        <f>IF($B79="","",IF(COUNTIF('Competency Event Log'!$U$4:$U$803,$B79&amp;"|"&amp;CM$5)=0,"",SUMIF('Competency Event Log'!$U$4:$U$803,$B79&amp;"|"&amp;CM$5,'Competency Event Log'!$D$4:$D$803)))</f>
        <v/>
      </c>
      <c r="CN79" s="8" t="str">
        <f>IF($B79="","",IF(COUNTIF('Competency Event Log'!$U$4:$U$803,$B79&amp;"|"&amp;CN$5)=0,"",SUMIF('Competency Event Log'!$U$4:$U$803,$B79&amp;"|"&amp;CN$5,'Competency Event Log'!$D$4:$D$803)))</f>
        <v/>
      </c>
      <c r="CO79" s="8" t="str">
        <f>IF($B79="","",IF(COUNTIF('Competency Event Log'!$U$4:$U$803,$B79&amp;"|"&amp;CO$5)=0,"",SUMIF('Competency Event Log'!$U$4:$U$803,$B79&amp;"|"&amp;CO$5,'Competency Event Log'!$D$4:$D$803)))</f>
        <v/>
      </c>
      <c r="CP79" s="8" t="str">
        <f>IF($B79="","",IF(COUNTIF('Competency Event Log'!$U$4:$U$803,$B79&amp;"|"&amp;CP$5)=0,"",SUMIF('Competency Event Log'!$U$4:$U$803,$B79&amp;"|"&amp;CP$5,'Competency Event Log'!$D$4:$D$803)))</f>
        <v/>
      </c>
      <c r="CQ79" s="8" t="str">
        <f>IF($B79="","",IF(COUNTIF('Competency Event Log'!$U$4:$U$803,$B79&amp;"|"&amp;CQ$5)=0,"",SUMIF('Competency Event Log'!$U$4:$U$803,$B79&amp;"|"&amp;CQ$5,'Competency Event Log'!$D$4:$D$803)))</f>
        <v/>
      </c>
      <c r="CR79" s="8" t="str">
        <f>IF($B79="","",IF(COUNTIF('Competency Event Log'!$U$4:$U$803,$B79&amp;"|"&amp;CR$5)=0,"",SUMIF('Competency Event Log'!$U$4:$U$803,$B79&amp;"|"&amp;CR$5,'Competency Event Log'!$D$4:$D$803)))</f>
        <v/>
      </c>
      <c r="CS79" s="8" t="str">
        <f>IF($B79="","",IF(COUNTIF('Competency Event Log'!$U$4:$U$803,$B79&amp;"|"&amp;CS$5)=0,"",SUMIF('Competency Event Log'!$U$4:$U$803,$B79&amp;"|"&amp;CS$5,'Competency Event Log'!$D$4:$D$803)))</f>
        <v/>
      </c>
      <c r="CT79" s="8" t="str">
        <f>IF($B79="","",IF(COUNTIF('Competency Event Log'!$U$4:$U$803,$B79&amp;"|"&amp;CT$5)=0,"",SUMIF('Competency Event Log'!$U$4:$U$803,$B79&amp;"|"&amp;CT$5,'Competency Event Log'!$D$4:$D$803)))</f>
        <v/>
      </c>
      <c r="CU79" s="8" t="str">
        <f>IF($B79="","",IF(COUNTIF('Competency Event Log'!$U$4:$U$803,$B79&amp;"|"&amp;CU$5)=0,"",SUMIF('Competency Event Log'!$U$4:$U$803,$B79&amp;"|"&amp;CU$5,'Competency Event Log'!$D$4:$D$803)))</f>
        <v/>
      </c>
      <c r="CV79" s="8" t="str">
        <f>IF($B79="","",IF(COUNTIF('Competency Event Log'!$U$4:$U$803,$B79&amp;"|"&amp;CV$5)=0,"",SUMIF('Competency Event Log'!$U$4:$U$803,$B79&amp;"|"&amp;CV$5,'Competency Event Log'!$D$4:$D$803)))</f>
        <v/>
      </c>
      <c r="CW79" s="8" t="str">
        <f>IF($B79="","",IF(COUNTIF('Competency Event Log'!$U$4:$U$803,$B79&amp;"|"&amp;CW$5)=0,"",SUMIF('Competency Event Log'!$U$4:$U$803,$B79&amp;"|"&amp;CW$5,'Competency Event Log'!$D$4:$D$803)))</f>
        <v/>
      </c>
      <c r="CX79" s="8" t="str">
        <f>IF($B79="","",IF(COUNTIF('Competency Event Log'!$U$4:$U$803,$B79&amp;"|"&amp;CX$5)=0,"",SUMIF('Competency Event Log'!$U$4:$U$803,$B79&amp;"|"&amp;CX$5,'Competency Event Log'!$D$4:$D$803)))</f>
        <v/>
      </c>
      <c r="CY79" s="8" t="str">
        <f>IF($B79="","",IF(COUNTIF('Competency Event Log'!$U$4:$U$803,$B79&amp;"|"&amp;CY$5)=0,"",SUMIF('Competency Event Log'!$U$4:$U$803,$B79&amp;"|"&amp;CY$5,'Competency Event Log'!$D$4:$D$803)))</f>
        <v/>
      </c>
      <c r="CZ79" s="8" t="str">
        <f>IF($B79="","",IF(COUNTIF('Competency Event Log'!$U$4:$U$803,$B79&amp;"|"&amp;CZ$5)=0,"",SUMIF('Competency Event Log'!$U$4:$U$803,$B79&amp;"|"&amp;CZ$5,'Competency Event Log'!$D$4:$D$803)))</f>
        <v/>
      </c>
      <c r="DA79" s="8" t="str">
        <f>IF($B79="","",IF(COUNTIF('Competency Event Log'!$U$4:$U$803,$B79&amp;"|"&amp;DA$5)=0,"",SUMIF('Competency Event Log'!$U$4:$U$803,$B79&amp;"|"&amp;DA$5,'Competency Event Log'!$D$4:$D$803)))</f>
        <v/>
      </c>
      <c r="DB79" s="8" t="str">
        <f>IF($B79="","",IF(COUNTIF('Competency Event Log'!$U$4:$U$803,$B79&amp;"|"&amp;DB$5)=0,"",SUMIF('Competency Event Log'!$U$4:$U$803,$B79&amp;"|"&amp;DB$5,'Competency Event Log'!$D$4:$D$803)))</f>
        <v/>
      </c>
      <c r="DC79" s="8" t="str">
        <f>IF($B79="","",IF(COUNTIF('Competency Event Log'!$U$4:$U$803,$B79&amp;"|"&amp;DC$5)=0,"",SUMIF('Competency Event Log'!$U$4:$U$803,$B79&amp;"|"&amp;DC$5,'Competency Event Log'!$D$4:$D$803)))</f>
        <v/>
      </c>
      <c r="DD79" s="8" t="str">
        <f>IF($B79="","",IF(COUNTIF('Competency Event Log'!$U$4:$U$803,$B79&amp;"|"&amp;DD$5)=0,"",SUMIF('Competency Event Log'!$U$4:$U$803,$B79&amp;"|"&amp;DD$5,'Competency Event Log'!$D$4:$D$803)))</f>
        <v/>
      </c>
      <c r="DE79" s="8" t="str">
        <f>IF($B79="","",IF(COUNTIF('Competency Event Log'!$U$4:$U$803,$B79&amp;"|"&amp;DE$5)=0,"",SUMIF('Competency Event Log'!$U$4:$U$803,$B79&amp;"|"&amp;DE$5,'Competency Event Log'!$D$4:$D$803)))</f>
        <v/>
      </c>
      <c r="DF79" s="8" t="str">
        <f t="shared" si="8"/>
        <v/>
      </c>
      <c r="DG79" s="8" t="str">
        <f t="shared" si="9"/>
        <v/>
      </c>
      <c r="DH79" s="8" t="str">
        <f t="shared" si="10"/>
        <v/>
      </c>
      <c r="DI79" s="11" t="str">
        <f t="shared" si="11"/>
        <v/>
      </c>
    </row>
    <row r="80" spans="1:113">
      <c r="A80" s="7"/>
      <c r="B80" s="7"/>
      <c r="C80" s="8"/>
      <c r="D80" s="9"/>
      <c r="E80" s="10"/>
      <c r="F80" s="8"/>
      <c r="G80" s="8" t="str">
        <f>IF($B80="","",IF(COUNTIF('Competency Event Log'!$U$4:$U$803,$B80&amp;"|"&amp;G$5)=0,"",SUMIF('Competency Event Log'!$U$4:$U$803,$B80&amp;"|"&amp;G$5,'Competency Event Log'!$D$4:$D$803)))</f>
        <v/>
      </c>
      <c r="H80" s="8" t="str">
        <f>IF($B80="","",IF(COUNTIF('Competency Event Log'!$U$4:$U$803,$B80&amp;"|"&amp;H$5)=0,"",SUMIF('Competency Event Log'!$U$4:$U$803,$B80&amp;"|"&amp;H$5,'Competency Event Log'!$D$4:$D$803)))</f>
        <v/>
      </c>
      <c r="I80" s="8" t="str">
        <f>IF($B80="","",IF(COUNTIF('Competency Event Log'!$U$4:$U$803,$B80&amp;"|"&amp;I$5)=0,"",SUMIF('Competency Event Log'!$U$4:$U$803,$B80&amp;"|"&amp;I$5,'Competency Event Log'!$D$4:$D$803)))</f>
        <v/>
      </c>
      <c r="J80" s="8" t="str">
        <f>IF($B80="","",IF(COUNTIF('Competency Event Log'!$U$4:$U$803,$B80&amp;"|"&amp;J$5)=0,"",SUMIF('Competency Event Log'!$U$4:$U$803,$B80&amp;"|"&amp;J$5,'Competency Event Log'!$D$4:$D$803)))</f>
        <v/>
      </c>
      <c r="K80" s="8" t="str">
        <f>IF($B80="","",IF(COUNTIF('Competency Event Log'!$U$4:$U$803,$B80&amp;"|"&amp;K$5)=0,"",SUMIF('Competency Event Log'!$U$4:$U$803,$B80&amp;"|"&amp;K$5,'Competency Event Log'!$D$4:$D$803)))</f>
        <v/>
      </c>
      <c r="L80" s="8" t="str">
        <f>IF($B80="","",IF(COUNTIF('Competency Event Log'!$U$4:$U$803,$B80&amp;"|"&amp;L$5)=0,"",SUMIF('Competency Event Log'!$U$4:$U$803,$B80&amp;"|"&amp;L$5,'Competency Event Log'!$D$4:$D$803)))</f>
        <v/>
      </c>
      <c r="M80" s="8" t="str">
        <f>IF($B80="","",IF(COUNTIF('Competency Event Log'!$U$4:$U$803,$B80&amp;"|"&amp;M$5)=0,"",SUMIF('Competency Event Log'!$U$4:$U$803,$B80&amp;"|"&amp;M$5,'Competency Event Log'!$D$4:$D$803)))</f>
        <v/>
      </c>
      <c r="N80" s="8" t="str">
        <f>IF($B80="","",IF(COUNTIF('Competency Event Log'!$U$4:$U$803,$B80&amp;"|"&amp;N$5)=0,"",SUMIF('Competency Event Log'!$U$4:$U$803,$B80&amp;"|"&amp;N$5,'Competency Event Log'!$D$4:$D$803)))</f>
        <v/>
      </c>
      <c r="O80" s="8" t="str">
        <f>IF($B80="","",IF(COUNTIF('Competency Event Log'!$U$4:$U$803,$B80&amp;"|"&amp;O$5)=0,"",SUMIF('Competency Event Log'!$U$4:$U$803,$B80&amp;"|"&amp;O$5,'Competency Event Log'!$D$4:$D$803)))</f>
        <v/>
      </c>
      <c r="P80" s="8" t="str">
        <f>IF($B80="","",IF(COUNTIF('Competency Event Log'!$U$4:$U$803,$B80&amp;"|"&amp;P$5)=0,"",SUMIF('Competency Event Log'!$U$4:$U$803,$B80&amp;"|"&amp;P$5,'Competency Event Log'!$D$4:$D$803)))</f>
        <v/>
      </c>
      <c r="Q80" s="8" t="str">
        <f>IF($B80="","",IF(COUNTIF('Competency Event Log'!$U$4:$U$803,$B80&amp;"|"&amp;Q$5)=0,"",SUMIF('Competency Event Log'!$U$4:$U$803,$B80&amp;"|"&amp;Q$5,'Competency Event Log'!$D$4:$D$803)))</f>
        <v/>
      </c>
      <c r="R80" s="8" t="str">
        <f>IF($B80="","",IF(COUNTIF('Competency Event Log'!$U$4:$U$803,$B80&amp;"|"&amp;R$5)=0,"",SUMIF('Competency Event Log'!$U$4:$U$803,$B80&amp;"|"&amp;R$5,'Competency Event Log'!$D$4:$D$803)))</f>
        <v/>
      </c>
      <c r="S80" s="8" t="str">
        <f>IF($B80="","",IF(COUNTIF('Competency Event Log'!$U$4:$U$803,$B80&amp;"|"&amp;S$5)=0,"",SUMIF('Competency Event Log'!$U$4:$U$803,$B80&amp;"|"&amp;S$5,'Competency Event Log'!$D$4:$D$803)))</f>
        <v/>
      </c>
      <c r="T80" s="8" t="str">
        <f>IF($B80="","",IF(COUNTIF('Competency Event Log'!$U$4:$U$803,$B80&amp;"|"&amp;T$5)=0,"",SUMIF('Competency Event Log'!$U$4:$U$803,$B80&amp;"|"&amp;T$5,'Competency Event Log'!$D$4:$D$803)))</f>
        <v/>
      </c>
      <c r="U80" s="8" t="str">
        <f>IF($B80="","",IF(COUNTIF('Competency Event Log'!$U$4:$U$803,$B80&amp;"|"&amp;U$5)=0,"",SUMIF('Competency Event Log'!$U$4:$U$803,$B80&amp;"|"&amp;U$5,'Competency Event Log'!$D$4:$D$803)))</f>
        <v/>
      </c>
      <c r="V80" s="8" t="str">
        <f>IF($B80="","",IF(COUNTIF('Competency Event Log'!$U$4:$U$803,$B80&amp;"|"&amp;V$5)=0,"",SUMIF('Competency Event Log'!$U$4:$U$803,$B80&amp;"|"&amp;V$5,'Competency Event Log'!$D$4:$D$803)))</f>
        <v/>
      </c>
      <c r="W80" s="8" t="str">
        <f>IF($B80="","",IF(COUNTIF('Competency Event Log'!$U$4:$U$803,$B80&amp;"|"&amp;W$5)=0,"",SUMIF('Competency Event Log'!$U$4:$U$803,$B80&amp;"|"&amp;W$5,'Competency Event Log'!$D$4:$D$803)))</f>
        <v/>
      </c>
      <c r="X80" s="8" t="str">
        <f>IF($B80="","",IF(COUNTIF('Competency Event Log'!$U$4:$U$803,$B80&amp;"|"&amp;X$5)=0,"",SUMIF('Competency Event Log'!$U$4:$U$803,$B80&amp;"|"&amp;X$5,'Competency Event Log'!$D$4:$D$803)))</f>
        <v/>
      </c>
      <c r="Y80" s="8" t="str">
        <f>IF($B80="","",IF(COUNTIF('Competency Event Log'!$U$4:$U$803,$B80&amp;"|"&amp;Y$5)=0,"",SUMIF('Competency Event Log'!$U$4:$U$803,$B80&amp;"|"&amp;Y$5,'Competency Event Log'!$D$4:$D$803)))</f>
        <v/>
      </c>
      <c r="Z80" s="8" t="str">
        <f>IF($B80="","",IF(COUNTIF('Competency Event Log'!$U$4:$U$803,$B80&amp;"|"&amp;Z$5)=0,"",SUMIF('Competency Event Log'!$U$4:$U$803,$B80&amp;"|"&amp;Z$5,'Competency Event Log'!$D$4:$D$803)))</f>
        <v/>
      </c>
      <c r="AA80" s="8" t="str">
        <f>IF($B80="","",IF(COUNTIF('Competency Event Log'!$U$4:$U$803,$B80&amp;"|"&amp;AA$5)=0,"",SUMIF('Competency Event Log'!$U$4:$U$803,$B80&amp;"|"&amp;AA$5,'Competency Event Log'!$D$4:$D$803)))</f>
        <v/>
      </c>
      <c r="AB80" s="8" t="str">
        <f>IF($B80="","",IF(COUNTIF('Competency Event Log'!$U$4:$U$803,$B80&amp;"|"&amp;AB$5)=0,"",SUMIF('Competency Event Log'!$U$4:$U$803,$B80&amp;"|"&amp;AB$5,'Competency Event Log'!$D$4:$D$803)))</f>
        <v/>
      </c>
      <c r="AC80" s="8" t="str">
        <f>IF($B80="","",IF(COUNTIF('Competency Event Log'!$U$4:$U$803,$B80&amp;"|"&amp;AC$5)=0,"",SUMIF('Competency Event Log'!$U$4:$U$803,$B80&amp;"|"&amp;AC$5,'Competency Event Log'!$D$4:$D$803)))</f>
        <v/>
      </c>
      <c r="AD80" s="8" t="str">
        <f>IF($B80="","",IF(COUNTIF('Competency Event Log'!$U$4:$U$803,$B80&amp;"|"&amp;AD$5)=0,"",SUMIF('Competency Event Log'!$U$4:$U$803,$B80&amp;"|"&amp;AD$5,'Competency Event Log'!$D$4:$D$803)))</f>
        <v/>
      </c>
      <c r="AE80" s="8" t="str">
        <f>IF($B80="","",IF(COUNTIF('Competency Event Log'!$U$4:$U$803,$B80&amp;"|"&amp;AE$5)=0,"",SUMIF('Competency Event Log'!$U$4:$U$803,$B80&amp;"|"&amp;AE$5,'Competency Event Log'!$D$4:$D$803)))</f>
        <v/>
      </c>
      <c r="AF80" s="8" t="str">
        <f>IF($B80="","",IF(COUNTIF('Competency Event Log'!$U$4:$U$803,$B80&amp;"|"&amp;AF$5)=0,"",SUMIF('Competency Event Log'!$U$4:$U$803,$B80&amp;"|"&amp;AF$5,'Competency Event Log'!$D$4:$D$803)))</f>
        <v/>
      </c>
      <c r="AG80" s="8" t="str">
        <f>IF($B80="","",IF(COUNTIF('Competency Event Log'!$U$4:$U$803,$B80&amp;"|"&amp;AG$5)=0,"",SUMIF('Competency Event Log'!$U$4:$U$803,$B80&amp;"|"&amp;AG$5,'Competency Event Log'!$D$4:$D$803)))</f>
        <v/>
      </c>
      <c r="AH80" s="8" t="str">
        <f>IF($B80="","",IF(COUNTIF('Competency Event Log'!$U$4:$U$803,$B80&amp;"|"&amp;AH$5)=0,"",SUMIF('Competency Event Log'!$U$4:$U$803,$B80&amp;"|"&amp;AH$5,'Competency Event Log'!$D$4:$D$803)))</f>
        <v/>
      </c>
      <c r="AI80" s="8" t="str">
        <f>IF($B80="","",IF(COUNTIF('Competency Event Log'!$U$4:$U$803,$B80&amp;"|"&amp;AI$5)=0,"",SUMIF('Competency Event Log'!$U$4:$U$803,$B80&amp;"|"&amp;AI$5,'Competency Event Log'!$D$4:$D$803)))</f>
        <v/>
      </c>
      <c r="AJ80" s="8" t="str">
        <f>IF($B80="","",IF(COUNTIF('Competency Event Log'!$U$4:$U$803,$B80&amp;"|"&amp;AJ$5)=0,"",SUMIF('Competency Event Log'!$U$4:$U$803,$B80&amp;"|"&amp;AJ$5,'Competency Event Log'!$D$4:$D$803)))</f>
        <v/>
      </c>
      <c r="AK80" s="8" t="str">
        <f>IF($B80="","",IF(COUNTIF('Competency Event Log'!$U$4:$U$803,$B80&amp;"|"&amp;AK$5)=0,"",SUMIF('Competency Event Log'!$U$4:$U$803,$B80&amp;"|"&amp;AK$5,'Competency Event Log'!$D$4:$D$803)))</f>
        <v/>
      </c>
      <c r="AL80" s="8" t="str">
        <f>IF($B80="","",IF(COUNTIF('Competency Event Log'!$U$4:$U$803,$B80&amp;"|"&amp;AL$5)=0,"",SUMIF('Competency Event Log'!$U$4:$U$803,$B80&amp;"|"&amp;AL$5,'Competency Event Log'!$D$4:$D$803)))</f>
        <v/>
      </c>
      <c r="AM80" s="8" t="str">
        <f>IF($B80="","",IF(COUNTIF('Competency Event Log'!$U$4:$U$803,$B80&amp;"|"&amp;AM$5)=0,"",SUMIF('Competency Event Log'!$U$4:$U$803,$B80&amp;"|"&amp;AM$5,'Competency Event Log'!$D$4:$D$803)))</f>
        <v/>
      </c>
      <c r="AN80" s="8" t="str">
        <f>IF($B80="","",IF(COUNTIF('Competency Event Log'!$U$4:$U$803,$B80&amp;"|"&amp;AN$5)=0,"",SUMIF('Competency Event Log'!$U$4:$U$803,$B80&amp;"|"&amp;AN$5,'Competency Event Log'!$D$4:$D$803)))</f>
        <v/>
      </c>
      <c r="AO80" s="8" t="str">
        <f>IF($B80="","",IF(COUNTIF('Competency Event Log'!$U$4:$U$803,$B80&amp;"|"&amp;AO$5)=0,"",SUMIF('Competency Event Log'!$U$4:$U$803,$B80&amp;"|"&amp;AO$5,'Competency Event Log'!$D$4:$D$803)))</f>
        <v/>
      </c>
      <c r="AP80" s="8" t="str">
        <f>IF($B80="","",IF(COUNTIF('Competency Event Log'!$U$4:$U$803,$B80&amp;"|"&amp;AP$5)=0,"",SUMIF('Competency Event Log'!$U$4:$U$803,$B80&amp;"|"&amp;AP$5,'Competency Event Log'!$D$4:$D$803)))</f>
        <v/>
      </c>
      <c r="AQ80" s="8" t="str">
        <f>IF($B80="","",IF(COUNTIF('Competency Event Log'!$U$4:$U$803,$B80&amp;"|"&amp;AQ$5)=0,"",SUMIF('Competency Event Log'!$U$4:$U$803,$B80&amp;"|"&amp;AQ$5,'Competency Event Log'!$D$4:$D$803)))</f>
        <v/>
      </c>
      <c r="AR80" s="8" t="str">
        <f>IF($B80="","",IF(COUNTIF('Competency Event Log'!$U$4:$U$803,$B80&amp;"|"&amp;AR$5)=0,"",SUMIF('Competency Event Log'!$U$4:$U$803,$B80&amp;"|"&amp;AR$5,'Competency Event Log'!$D$4:$D$803)))</f>
        <v/>
      </c>
      <c r="AS80" s="8" t="str">
        <f>IF($B80="","",IF(COUNTIF('Competency Event Log'!$U$4:$U$803,$B80&amp;"|"&amp;AS$5)=0,"",SUMIF('Competency Event Log'!$U$4:$U$803,$B80&amp;"|"&amp;AS$5,'Competency Event Log'!$D$4:$D$803)))</f>
        <v/>
      </c>
      <c r="AT80" s="8" t="str">
        <f>IF($B80="","",IF(COUNTIF('Competency Event Log'!$U$4:$U$803,$B80&amp;"|"&amp;AT$5)=0,"",SUMIF('Competency Event Log'!$U$4:$U$803,$B80&amp;"|"&amp;AT$5,'Competency Event Log'!$D$4:$D$803)))</f>
        <v/>
      </c>
      <c r="AU80" s="8" t="str">
        <f>IF($B80="","",IF(COUNTIF('Competency Event Log'!$U$4:$U$803,$B80&amp;"|"&amp;AU$5)=0,"",SUMIF('Competency Event Log'!$U$4:$U$803,$B80&amp;"|"&amp;AU$5,'Competency Event Log'!$D$4:$D$803)))</f>
        <v/>
      </c>
      <c r="AV80" s="8" t="str">
        <f>IF($B80="","",IF(COUNTIF('Competency Event Log'!$U$4:$U$803,$B80&amp;"|"&amp;AV$5)=0,"",SUMIF('Competency Event Log'!$U$4:$U$803,$B80&amp;"|"&amp;AV$5,'Competency Event Log'!$D$4:$D$803)))</f>
        <v/>
      </c>
      <c r="AW80" s="8" t="str">
        <f>IF($B80="","",IF(COUNTIF('Competency Event Log'!$U$4:$U$803,$B80&amp;"|"&amp;AW$5)=0,"",SUMIF('Competency Event Log'!$U$4:$U$803,$B80&amp;"|"&amp;AW$5,'Competency Event Log'!$D$4:$D$803)))</f>
        <v/>
      </c>
      <c r="AX80" s="8" t="str">
        <f>IF($B80="","",IF(COUNTIF('Competency Event Log'!$U$4:$U$803,$B80&amp;"|"&amp;AX$5)=0,"",SUMIF('Competency Event Log'!$U$4:$U$803,$B80&amp;"|"&amp;AX$5,'Competency Event Log'!$D$4:$D$803)))</f>
        <v/>
      </c>
      <c r="AY80" s="8" t="str">
        <f>IF($B80="","",IF(COUNTIF('Competency Event Log'!$U$4:$U$803,$B80&amp;"|"&amp;AY$5)=0,"",SUMIF('Competency Event Log'!$U$4:$U$803,$B80&amp;"|"&amp;AY$5,'Competency Event Log'!$D$4:$D$803)))</f>
        <v/>
      </c>
      <c r="AZ80" s="8" t="str">
        <f>IF($B80="","",IF(COUNTIF('Competency Event Log'!$U$4:$U$803,$B80&amp;"|"&amp;AZ$5)=0,"",SUMIF('Competency Event Log'!$U$4:$U$803,$B80&amp;"|"&amp;AZ$5,'Competency Event Log'!$D$4:$D$803)))</f>
        <v/>
      </c>
      <c r="BA80" s="8" t="str">
        <f>IF($B80="","",IF(COUNTIF('Competency Event Log'!$U$4:$U$803,$B80&amp;"|"&amp;BA$5)=0,"",SUMIF('Competency Event Log'!$U$4:$U$803,$B80&amp;"|"&amp;BA$5,'Competency Event Log'!$D$4:$D$803)))</f>
        <v/>
      </c>
      <c r="BB80" s="8" t="str">
        <f>IF($B80="","",IF(COUNTIF('Competency Event Log'!$U$4:$U$803,$B80&amp;"|"&amp;BB$5)=0,"",SUMIF('Competency Event Log'!$U$4:$U$803,$B80&amp;"|"&amp;BB$5,'Competency Event Log'!$D$4:$D$803)))</f>
        <v/>
      </c>
      <c r="BC80" s="8" t="str">
        <f>IF($B80="","",IF(COUNTIF('Competency Event Log'!$U$4:$U$803,$B80&amp;"|"&amp;BC$5)=0,"",SUMIF('Competency Event Log'!$U$4:$U$803,$B80&amp;"|"&amp;BC$5,'Competency Event Log'!$D$4:$D$803)))</f>
        <v/>
      </c>
      <c r="BD80" s="8" t="str">
        <f>IF($B80="","",IF(COUNTIF('Competency Event Log'!$U$4:$U$803,$B80&amp;"|"&amp;BD$5)=0,"",SUMIF('Competency Event Log'!$U$4:$U$803,$B80&amp;"|"&amp;BD$5,'Competency Event Log'!$D$4:$D$803)))</f>
        <v/>
      </c>
      <c r="BE80" s="8" t="str">
        <f>IF($B80="","",IF(COUNTIF('Competency Event Log'!$U$4:$U$803,$B80&amp;"|"&amp;BE$5)=0,"",SUMIF('Competency Event Log'!$U$4:$U$803,$B80&amp;"|"&amp;BE$5,'Competency Event Log'!$D$4:$D$803)))</f>
        <v/>
      </c>
      <c r="BF80" s="8" t="str">
        <f>IF($B80="","",IF(COUNTIF('Competency Event Log'!$U$4:$U$803,$B80&amp;"|"&amp;BF$5)=0,"",SUMIF('Competency Event Log'!$U$4:$U$803,$B80&amp;"|"&amp;BF$5,'Competency Event Log'!$D$4:$D$803)))</f>
        <v/>
      </c>
      <c r="BG80" s="8" t="str">
        <f>IF($B80="","",IF(COUNTIF('Competency Event Log'!$U$4:$U$803,$B80&amp;"|"&amp;BG$5)=0,"",SUMIF('Competency Event Log'!$U$4:$U$803,$B80&amp;"|"&amp;BG$5,'Competency Event Log'!$D$4:$D$803)))</f>
        <v/>
      </c>
      <c r="BH80" s="8" t="str">
        <f>IF($B80="","",IF(COUNTIF('Competency Event Log'!$U$4:$U$803,$B80&amp;"|"&amp;BH$5)=0,"",SUMIF('Competency Event Log'!$U$4:$U$803,$B80&amp;"|"&amp;BH$5,'Competency Event Log'!$D$4:$D$803)))</f>
        <v/>
      </c>
      <c r="BI80" s="8" t="str">
        <f>IF($B80="","",IF(COUNTIF('Competency Event Log'!$U$4:$U$803,$B80&amp;"|"&amp;BI$5)=0,"",SUMIF('Competency Event Log'!$U$4:$U$803,$B80&amp;"|"&amp;BI$5,'Competency Event Log'!$D$4:$D$803)))</f>
        <v/>
      </c>
      <c r="BJ80" s="8" t="str">
        <f>IF($B80="","",IF(COUNTIF('Competency Event Log'!$U$4:$U$803,$B80&amp;"|"&amp;BJ$5)=0,"",SUMIF('Competency Event Log'!$U$4:$U$803,$B80&amp;"|"&amp;BJ$5,'Competency Event Log'!$D$4:$D$803)))</f>
        <v/>
      </c>
      <c r="BK80" s="8" t="str">
        <f>IF($B80="","",IF(COUNTIF('Competency Event Log'!$U$4:$U$803,$B80&amp;"|"&amp;BK$5)=0,"",SUMIF('Competency Event Log'!$U$4:$U$803,$B80&amp;"|"&amp;BK$5,'Competency Event Log'!$D$4:$D$803)))</f>
        <v/>
      </c>
      <c r="BL80" s="8" t="str">
        <f>IF($B80="","",IF(COUNTIF('Competency Event Log'!$U$4:$U$803,$B80&amp;"|"&amp;BL$5)=0,"",SUMIF('Competency Event Log'!$U$4:$U$803,$B80&amp;"|"&amp;BL$5,'Competency Event Log'!$D$4:$D$803)))</f>
        <v/>
      </c>
      <c r="BM80" s="8" t="str">
        <f>IF($B80="","",IF(COUNTIF('Competency Event Log'!$U$4:$U$803,$B80&amp;"|"&amp;BM$5)=0,"",SUMIF('Competency Event Log'!$U$4:$U$803,$B80&amp;"|"&amp;BM$5,'Competency Event Log'!$D$4:$D$803)))</f>
        <v/>
      </c>
      <c r="BN80" s="8" t="str">
        <f>IF($B80="","",IF(COUNTIF('Competency Event Log'!$U$4:$U$803,$B80&amp;"|"&amp;BN$5)=0,"",SUMIF('Competency Event Log'!$U$4:$U$803,$B80&amp;"|"&amp;BN$5,'Competency Event Log'!$D$4:$D$803)))</f>
        <v/>
      </c>
      <c r="BO80" s="8" t="str">
        <f>IF($B80="","",IF(COUNTIF('Competency Event Log'!$U$4:$U$803,$B80&amp;"|"&amp;BO$5)=0,"",SUMIF('Competency Event Log'!$U$4:$U$803,$B80&amp;"|"&amp;BO$5,'Competency Event Log'!$D$4:$D$803)))</f>
        <v/>
      </c>
      <c r="BP80" s="8" t="str">
        <f>IF($B80="","",IF(COUNTIF('Competency Event Log'!$U$4:$U$803,$B80&amp;"|"&amp;BP$5)=0,"",SUMIF('Competency Event Log'!$U$4:$U$803,$B80&amp;"|"&amp;BP$5,'Competency Event Log'!$D$4:$D$803)))</f>
        <v/>
      </c>
      <c r="BQ80" s="8" t="str">
        <f>IF($B80="","",IF(COUNTIF('Competency Event Log'!$U$4:$U$803,$B80&amp;"|"&amp;BQ$5)=0,"",SUMIF('Competency Event Log'!$U$4:$U$803,$B80&amp;"|"&amp;BQ$5,'Competency Event Log'!$D$4:$D$803)))</f>
        <v/>
      </c>
      <c r="BR80" s="8" t="str">
        <f>IF($B80="","",IF(COUNTIF('Competency Event Log'!$U$4:$U$803,$B80&amp;"|"&amp;BR$5)=0,"",SUMIF('Competency Event Log'!$U$4:$U$803,$B80&amp;"|"&amp;BR$5,'Competency Event Log'!$D$4:$D$803)))</f>
        <v/>
      </c>
      <c r="BS80" s="8" t="str">
        <f>IF($B80="","",IF(COUNTIF('Competency Event Log'!$U$4:$U$803,$B80&amp;"|"&amp;BS$5)=0,"",SUMIF('Competency Event Log'!$U$4:$U$803,$B80&amp;"|"&amp;BS$5,'Competency Event Log'!$D$4:$D$803)))</f>
        <v/>
      </c>
      <c r="BT80" s="8" t="str">
        <f>IF($B80="","",IF(COUNTIF('Competency Event Log'!$U$4:$U$803,$B80&amp;"|"&amp;BT$5)=0,"",SUMIF('Competency Event Log'!$U$4:$U$803,$B80&amp;"|"&amp;BT$5,'Competency Event Log'!$D$4:$D$803)))</f>
        <v/>
      </c>
      <c r="BU80" s="8" t="str">
        <f>IF($B80="","",IF(COUNTIF('Competency Event Log'!$U$4:$U$803,$B80&amp;"|"&amp;BU$5)=0,"",SUMIF('Competency Event Log'!$U$4:$U$803,$B80&amp;"|"&amp;BU$5,'Competency Event Log'!$D$4:$D$803)))</f>
        <v/>
      </c>
      <c r="BV80" s="8" t="str">
        <f>IF($B80="","",IF(COUNTIF('Competency Event Log'!$U$4:$U$803,$B80&amp;"|"&amp;BV$5)=0,"",SUMIF('Competency Event Log'!$U$4:$U$803,$B80&amp;"|"&amp;BV$5,'Competency Event Log'!$D$4:$D$803)))</f>
        <v/>
      </c>
      <c r="BW80" s="8" t="str">
        <f>IF($B80="","",IF(COUNTIF('Competency Event Log'!$U$4:$U$803,$B80&amp;"|"&amp;BW$5)=0,"",SUMIF('Competency Event Log'!$U$4:$U$803,$B80&amp;"|"&amp;BW$5,'Competency Event Log'!$D$4:$D$803)))</f>
        <v/>
      </c>
      <c r="BX80" s="8" t="str">
        <f>IF($B80="","",IF(COUNTIF('Competency Event Log'!$U$4:$U$803,$B80&amp;"|"&amp;BX$5)=0,"",SUMIF('Competency Event Log'!$U$4:$U$803,$B80&amp;"|"&amp;BX$5,'Competency Event Log'!$D$4:$D$803)))</f>
        <v/>
      </c>
      <c r="BY80" s="8" t="str">
        <f>IF($B80="","",IF(COUNTIF('Competency Event Log'!$U$4:$U$803,$B80&amp;"|"&amp;BY$5)=0,"",SUMIF('Competency Event Log'!$U$4:$U$803,$B80&amp;"|"&amp;BY$5,'Competency Event Log'!$D$4:$D$803)))</f>
        <v/>
      </c>
      <c r="BZ80" s="8" t="str">
        <f>IF($B80="","",IF(COUNTIF('Competency Event Log'!$U$4:$U$803,$B80&amp;"|"&amp;BZ$5)=0,"",SUMIF('Competency Event Log'!$U$4:$U$803,$B80&amp;"|"&amp;BZ$5,'Competency Event Log'!$D$4:$D$803)))</f>
        <v/>
      </c>
      <c r="CA80" s="8" t="str">
        <f>IF($B80="","",IF(COUNTIF('Competency Event Log'!$U$4:$U$803,$B80&amp;"|"&amp;CA$5)=0,"",SUMIF('Competency Event Log'!$U$4:$U$803,$B80&amp;"|"&amp;CA$5,'Competency Event Log'!$D$4:$D$803)))</f>
        <v/>
      </c>
      <c r="CB80" s="8" t="str">
        <f>IF($B80="","",IF(COUNTIF('Competency Event Log'!$U$4:$U$803,$B80&amp;"|"&amp;CB$5)=0,"",SUMIF('Competency Event Log'!$U$4:$U$803,$B80&amp;"|"&amp;CB$5,'Competency Event Log'!$D$4:$D$803)))</f>
        <v/>
      </c>
      <c r="CC80" s="8" t="str">
        <f>IF($B80="","",IF(COUNTIF('Competency Event Log'!$U$4:$U$803,$B80&amp;"|"&amp;CC$5)=0,"",SUMIF('Competency Event Log'!$U$4:$U$803,$B80&amp;"|"&amp;CC$5,'Competency Event Log'!$D$4:$D$803)))</f>
        <v/>
      </c>
      <c r="CD80" s="8" t="str">
        <f>IF($B80="","",IF(COUNTIF('Competency Event Log'!$U$4:$U$803,$B80&amp;"|"&amp;CD$5)=0,"",SUMIF('Competency Event Log'!$U$4:$U$803,$B80&amp;"|"&amp;CD$5,'Competency Event Log'!$D$4:$D$803)))</f>
        <v/>
      </c>
      <c r="CE80" s="8" t="str">
        <f>IF($B80="","",IF(COUNTIF('Competency Event Log'!$U$4:$U$803,$B80&amp;"|"&amp;CE$5)=0,"",SUMIF('Competency Event Log'!$U$4:$U$803,$B80&amp;"|"&amp;CE$5,'Competency Event Log'!$D$4:$D$803)))</f>
        <v/>
      </c>
      <c r="CF80" s="8" t="str">
        <f>IF($B80="","",IF(COUNTIF('Competency Event Log'!$U$4:$U$803,$B80&amp;"|"&amp;CF$5)=0,"",SUMIF('Competency Event Log'!$U$4:$U$803,$B80&amp;"|"&amp;CF$5,'Competency Event Log'!$D$4:$D$803)))</f>
        <v/>
      </c>
      <c r="CG80" s="8" t="str">
        <f>IF($B80="","",IF(COUNTIF('Competency Event Log'!$U$4:$U$803,$B80&amp;"|"&amp;CG$5)=0,"",SUMIF('Competency Event Log'!$U$4:$U$803,$B80&amp;"|"&amp;CG$5,'Competency Event Log'!$D$4:$D$803)))</f>
        <v/>
      </c>
      <c r="CH80" s="8" t="str">
        <f>IF($B80="","",IF(COUNTIF('Competency Event Log'!$U$4:$U$803,$B80&amp;"|"&amp;CH$5)=0,"",SUMIF('Competency Event Log'!$U$4:$U$803,$B80&amp;"|"&amp;CH$5,'Competency Event Log'!$D$4:$D$803)))</f>
        <v/>
      </c>
      <c r="CI80" s="8" t="str">
        <f>IF($B80="","",IF(COUNTIF('Competency Event Log'!$U$4:$U$803,$B80&amp;"|"&amp;CI$5)=0,"",SUMIF('Competency Event Log'!$U$4:$U$803,$B80&amp;"|"&amp;CI$5,'Competency Event Log'!$D$4:$D$803)))</f>
        <v/>
      </c>
      <c r="CJ80" s="8" t="str">
        <f>IF($B80="","",IF(COUNTIF('Competency Event Log'!$U$4:$U$803,$B80&amp;"|"&amp;CJ$5)=0,"",SUMIF('Competency Event Log'!$U$4:$U$803,$B80&amp;"|"&amp;CJ$5,'Competency Event Log'!$D$4:$D$803)))</f>
        <v/>
      </c>
      <c r="CK80" s="8" t="str">
        <f>IF($B80="","",IF(COUNTIF('Competency Event Log'!$U$4:$U$803,$B80&amp;"|"&amp;CK$5)=0,"",SUMIF('Competency Event Log'!$U$4:$U$803,$B80&amp;"|"&amp;CK$5,'Competency Event Log'!$D$4:$D$803)))</f>
        <v/>
      </c>
      <c r="CL80" s="8" t="str">
        <f>IF($B80="","",IF(COUNTIF('Competency Event Log'!$U$4:$U$803,$B80&amp;"|"&amp;CL$5)=0,"",SUMIF('Competency Event Log'!$U$4:$U$803,$B80&amp;"|"&amp;CL$5,'Competency Event Log'!$D$4:$D$803)))</f>
        <v/>
      </c>
      <c r="CM80" s="8" t="str">
        <f>IF($B80="","",IF(COUNTIF('Competency Event Log'!$U$4:$U$803,$B80&amp;"|"&amp;CM$5)=0,"",SUMIF('Competency Event Log'!$U$4:$U$803,$B80&amp;"|"&amp;CM$5,'Competency Event Log'!$D$4:$D$803)))</f>
        <v/>
      </c>
      <c r="CN80" s="8" t="str">
        <f>IF($B80="","",IF(COUNTIF('Competency Event Log'!$U$4:$U$803,$B80&amp;"|"&amp;CN$5)=0,"",SUMIF('Competency Event Log'!$U$4:$U$803,$B80&amp;"|"&amp;CN$5,'Competency Event Log'!$D$4:$D$803)))</f>
        <v/>
      </c>
      <c r="CO80" s="8" t="str">
        <f>IF($B80="","",IF(COUNTIF('Competency Event Log'!$U$4:$U$803,$B80&amp;"|"&amp;CO$5)=0,"",SUMIF('Competency Event Log'!$U$4:$U$803,$B80&amp;"|"&amp;CO$5,'Competency Event Log'!$D$4:$D$803)))</f>
        <v/>
      </c>
      <c r="CP80" s="8" t="str">
        <f>IF($B80="","",IF(COUNTIF('Competency Event Log'!$U$4:$U$803,$B80&amp;"|"&amp;CP$5)=0,"",SUMIF('Competency Event Log'!$U$4:$U$803,$B80&amp;"|"&amp;CP$5,'Competency Event Log'!$D$4:$D$803)))</f>
        <v/>
      </c>
      <c r="CQ80" s="8" t="str">
        <f>IF($B80="","",IF(COUNTIF('Competency Event Log'!$U$4:$U$803,$B80&amp;"|"&amp;CQ$5)=0,"",SUMIF('Competency Event Log'!$U$4:$U$803,$B80&amp;"|"&amp;CQ$5,'Competency Event Log'!$D$4:$D$803)))</f>
        <v/>
      </c>
      <c r="CR80" s="8" t="str">
        <f>IF($B80="","",IF(COUNTIF('Competency Event Log'!$U$4:$U$803,$B80&amp;"|"&amp;CR$5)=0,"",SUMIF('Competency Event Log'!$U$4:$U$803,$B80&amp;"|"&amp;CR$5,'Competency Event Log'!$D$4:$D$803)))</f>
        <v/>
      </c>
      <c r="CS80" s="8" t="str">
        <f>IF($B80="","",IF(COUNTIF('Competency Event Log'!$U$4:$U$803,$B80&amp;"|"&amp;CS$5)=0,"",SUMIF('Competency Event Log'!$U$4:$U$803,$B80&amp;"|"&amp;CS$5,'Competency Event Log'!$D$4:$D$803)))</f>
        <v/>
      </c>
      <c r="CT80" s="8" t="str">
        <f>IF($B80="","",IF(COUNTIF('Competency Event Log'!$U$4:$U$803,$B80&amp;"|"&amp;CT$5)=0,"",SUMIF('Competency Event Log'!$U$4:$U$803,$B80&amp;"|"&amp;CT$5,'Competency Event Log'!$D$4:$D$803)))</f>
        <v/>
      </c>
      <c r="CU80" s="8" t="str">
        <f>IF($B80="","",IF(COUNTIF('Competency Event Log'!$U$4:$U$803,$B80&amp;"|"&amp;CU$5)=0,"",SUMIF('Competency Event Log'!$U$4:$U$803,$B80&amp;"|"&amp;CU$5,'Competency Event Log'!$D$4:$D$803)))</f>
        <v/>
      </c>
      <c r="CV80" s="8" t="str">
        <f>IF($B80="","",IF(COUNTIF('Competency Event Log'!$U$4:$U$803,$B80&amp;"|"&amp;CV$5)=0,"",SUMIF('Competency Event Log'!$U$4:$U$803,$B80&amp;"|"&amp;CV$5,'Competency Event Log'!$D$4:$D$803)))</f>
        <v/>
      </c>
      <c r="CW80" s="8" t="str">
        <f>IF($B80="","",IF(COUNTIF('Competency Event Log'!$U$4:$U$803,$B80&amp;"|"&amp;CW$5)=0,"",SUMIF('Competency Event Log'!$U$4:$U$803,$B80&amp;"|"&amp;CW$5,'Competency Event Log'!$D$4:$D$803)))</f>
        <v/>
      </c>
      <c r="CX80" s="8" t="str">
        <f>IF($B80="","",IF(COUNTIF('Competency Event Log'!$U$4:$U$803,$B80&amp;"|"&amp;CX$5)=0,"",SUMIF('Competency Event Log'!$U$4:$U$803,$B80&amp;"|"&amp;CX$5,'Competency Event Log'!$D$4:$D$803)))</f>
        <v/>
      </c>
      <c r="CY80" s="8" t="str">
        <f>IF($B80="","",IF(COUNTIF('Competency Event Log'!$U$4:$U$803,$B80&amp;"|"&amp;CY$5)=0,"",SUMIF('Competency Event Log'!$U$4:$U$803,$B80&amp;"|"&amp;CY$5,'Competency Event Log'!$D$4:$D$803)))</f>
        <v/>
      </c>
      <c r="CZ80" s="8" t="str">
        <f>IF($B80="","",IF(COUNTIF('Competency Event Log'!$U$4:$U$803,$B80&amp;"|"&amp;CZ$5)=0,"",SUMIF('Competency Event Log'!$U$4:$U$803,$B80&amp;"|"&amp;CZ$5,'Competency Event Log'!$D$4:$D$803)))</f>
        <v/>
      </c>
      <c r="DA80" s="8" t="str">
        <f>IF($B80="","",IF(COUNTIF('Competency Event Log'!$U$4:$U$803,$B80&amp;"|"&amp;DA$5)=0,"",SUMIF('Competency Event Log'!$U$4:$U$803,$B80&amp;"|"&amp;DA$5,'Competency Event Log'!$D$4:$D$803)))</f>
        <v/>
      </c>
      <c r="DB80" s="8" t="str">
        <f>IF($B80="","",IF(COUNTIF('Competency Event Log'!$U$4:$U$803,$B80&amp;"|"&amp;DB$5)=0,"",SUMIF('Competency Event Log'!$U$4:$U$803,$B80&amp;"|"&amp;DB$5,'Competency Event Log'!$D$4:$D$803)))</f>
        <v/>
      </c>
      <c r="DC80" s="8" t="str">
        <f>IF($B80="","",IF(COUNTIF('Competency Event Log'!$U$4:$U$803,$B80&amp;"|"&amp;DC$5)=0,"",SUMIF('Competency Event Log'!$U$4:$U$803,$B80&amp;"|"&amp;DC$5,'Competency Event Log'!$D$4:$D$803)))</f>
        <v/>
      </c>
      <c r="DD80" s="8" t="str">
        <f>IF($B80="","",IF(COUNTIF('Competency Event Log'!$U$4:$U$803,$B80&amp;"|"&amp;DD$5)=0,"",SUMIF('Competency Event Log'!$U$4:$U$803,$B80&amp;"|"&amp;DD$5,'Competency Event Log'!$D$4:$D$803)))</f>
        <v/>
      </c>
      <c r="DE80" s="8" t="str">
        <f>IF($B80="","",IF(COUNTIF('Competency Event Log'!$U$4:$U$803,$B80&amp;"|"&amp;DE$5)=0,"",SUMIF('Competency Event Log'!$U$4:$U$803,$B80&amp;"|"&amp;DE$5,'Competency Event Log'!$D$4:$D$803)))</f>
        <v/>
      </c>
      <c r="DF80" s="8" t="str">
        <f t="shared" si="8"/>
        <v/>
      </c>
      <c r="DG80" s="8" t="str">
        <f t="shared" si="9"/>
        <v/>
      </c>
      <c r="DH80" s="8" t="str">
        <f t="shared" si="10"/>
        <v/>
      </c>
      <c r="DI80" s="11" t="str">
        <f t="shared" si="11"/>
        <v/>
      </c>
    </row>
    <row r="81" spans="1:113">
      <c r="A81" s="7"/>
      <c r="B81" s="7"/>
      <c r="C81" s="8"/>
      <c r="D81" s="9"/>
      <c r="E81" s="10"/>
      <c r="F81" s="8"/>
      <c r="G81" s="8" t="str">
        <f>IF($B81="","",IF(COUNTIF('Competency Event Log'!$U$4:$U$803,$B81&amp;"|"&amp;G$5)=0,"",SUMIF('Competency Event Log'!$U$4:$U$803,$B81&amp;"|"&amp;G$5,'Competency Event Log'!$D$4:$D$803)))</f>
        <v/>
      </c>
      <c r="H81" s="8" t="str">
        <f>IF($B81="","",IF(COUNTIF('Competency Event Log'!$U$4:$U$803,$B81&amp;"|"&amp;H$5)=0,"",SUMIF('Competency Event Log'!$U$4:$U$803,$B81&amp;"|"&amp;H$5,'Competency Event Log'!$D$4:$D$803)))</f>
        <v/>
      </c>
      <c r="I81" s="8" t="str">
        <f>IF($B81="","",IF(COUNTIF('Competency Event Log'!$U$4:$U$803,$B81&amp;"|"&amp;I$5)=0,"",SUMIF('Competency Event Log'!$U$4:$U$803,$B81&amp;"|"&amp;I$5,'Competency Event Log'!$D$4:$D$803)))</f>
        <v/>
      </c>
      <c r="J81" s="8" t="str">
        <f>IF($B81="","",IF(COUNTIF('Competency Event Log'!$U$4:$U$803,$B81&amp;"|"&amp;J$5)=0,"",SUMIF('Competency Event Log'!$U$4:$U$803,$B81&amp;"|"&amp;J$5,'Competency Event Log'!$D$4:$D$803)))</f>
        <v/>
      </c>
      <c r="K81" s="8" t="str">
        <f>IF($B81="","",IF(COUNTIF('Competency Event Log'!$U$4:$U$803,$B81&amp;"|"&amp;K$5)=0,"",SUMIF('Competency Event Log'!$U$4:$U$803,$B81&amp;"|"&amp;K$5,'Competency Event Log'!$D$4:$D$803)))</f>
        <v/>
      </c>
      <c r="L81" s="8" t="str">
        <f>IF($B81="","",IF(COUNTIF('Competency Event Log'!$U$4:$U$803,$B81&amp;"|"&amp;L$5)=0,"",SUMIF('Competency Event Log'!$U$4:$U$803,$B81&amp;"|"&amp;L$5,'Competency Event Log'!$D$4:$D$803)))</f>
        <v/>
      </c>
      <c r="M81" s="8" t="str">
        <f>IF($B81="","",IF(COUNTIF('Competency Event Log'!$U$4:$U$803,$B81&amp;"|"&amp;M$5)=0,"",SUMIF('Competency Event Log'!$U$4:$U$803,$B81&amp;"|"&amp;M$5,'Competency Event Log'!$D$4:$D$803)))</f>
        <v/>
      </c>
      <c r="N81" s="8" t="str">
        <f>IF($B81="","",IF(COUNTIF('Competency Event Log'!$U$4:$U$803,$B81&amp;"|"&amp;N$5)=0,"",SUMIF('Competency Event Log'!$U$4:$U$803,$B81&amp;"|"&amp;N$5,'Competency Event Log'!$D$4:$D$803)))</f>
        <v/>
      </c>
      <c r="O81" s="8" t="str">
        <f>IF($B81="","",IF(COUNTIF('Competency Event Log'!$U$4:$U$803,$B81&amp;"|"&amp;O$5)=0,"",SUMIF('Competency Event Log'!$U$4:$U$803,$B81&amp;"|"&amp;O$5,'Competency Event Log'!$D$4:$D$803)))</f>
        <v/>
      </c>
      <c r="P81" s="8" t="str">
        <f>IF($B81="","",IF(COUNTIF('Competency Event Log'!$U$4:$U$803,$B81&amp;"|"&amp;P$5)=0,"",SUMIF('Competency Event Log'!$U$4:$U$803,$B81&amp;"|"&amp;P$5,'Competency Event Log'!$D$4:$D$803)))</f>
        <v/>
      </c>
      <c r="Q81" s="8" t="str">
        <f>IF($B81="","",IF(COUNTIF('Competency Event Log'!$U$4:$U$803,$B81&amp;"|"&amp;Q$5)=0,"",SUMIF('Competency Event Log'!$U$4:$U$803,$B81&amp;"|"&amp;Q$5,'Competency Event Log'!$D$4:$D$803)))</f>
        <v/>
      </c>
      <c r="R81" s="8" t="str">
        <f>IF($B81="","",IF(COUNTIF('Competency Event Log'!$U$4:$U$803,$B81&amp;"|"&amp;R$5)=0,"",SUMIF('Competency Event Log'!$U$4:$U$803,$B81&amp;"|"&amp;R$5,'Competency Event Log'!$D$4:$D$803)))</f>
        <v/>
      </c>
      <c r="S81" s="8" t="str">
        <f>IF($B81="","",IF(COUNTIF('Competency Event Log'!$U$4:$U$803,$B81&amp;"|"&amp;S$5)=0,"",SUMIF('Competency Event Log'!$U$4:$U$803,$B81&amp;"|"&amp;S$5,'Competency Event Log'!$D$4:$D$803)))</f>
        <v/>
      </c>
      <c r="T81" s="8" t="str">
        <f>IF($B81="","",IF(COUNTIF('Competency Event Log'!$U$4:$U$803,$B81&amp;"|"&amp;T$5)=0,"",SUMIF('Competency Event Log'!$U$4:$U$803,$B81&amp;"|"&amp;T$5,'Competency Event Log'!$D$4:$D$803)))</f>
        <v/>
      </c>
      <c r="U81" s="8" t="str">
        <f>IF($B81="","",IF(COUNTIF('Competency Event Log'!$U$4:$U$803,$B81&amp;"|"&amp;U$5)=0,"",SUMIF('Competency Event Log'!$U$4:$U$803,$B81&amp;"|"&amp;U$5,'Competency Event Log'!$D$4:$D$803)))</f>
        <v/>
      </c>
      <c r="V81" s="8" t="str">
        <f>IF($B81="","",IF(COUNTIF('Competency Event Log'!$U$4:$U$803,$B81&amp;"|"&amp;V$5)=0,"",SUMIF('Competency Event Log'!$U$4:$U$803,$B81&amp;"|"&amp;V$5,'Competency Event Log'!$D$4:$D$803)))</f>
        <v/>
      </c>
      <c r="W81" s="8" t="str">
        <f>IF($B81="","",IF(COUNTIF('Competency Event Log'!$U$4:$U$803,$B81&amp;"|"&amp;W$5)=0,"",SUMIF('Competency Event Log'!$U$4:$U$803,$B81&amp;"|"&amp;W$5,'Competency Event Log'!$D$4:$D$803)))</f>
        <v/>
      </c>
      <c r="X81" s="8" t="str">
        <f>IF($B81="","",IF(COUNTIF('Competency Event Log'!$U$4:$U$803,$B81&amp;"|"&amp;X$5)=0,"",SUMIF('Competency Event Log'!$U$4:$U$803,$B81&amp;"|"&amp;X$5,'Competency Event Log'!$D$4:$D$803)))</f>
        <v/>
      </c>
      <c r="Y81" s="8" t="str">
        <f>IF($B81="","",IF(COUNTIF('Competency Event Log'!$U$4:$U$803,$B81&amp;"|"&amp;Y$5)=0,"",SUMIF('Competency Event Log'!$U$4:$U$803,$B81&amp;"|"&amp;Y$5,'Competency Event Log'!$D$4:$D$803)))</f>
        <v/>
      </c>
      <c r="Z81" s="8" t="str">
        <f>IF($B81="","",IF(COUNTIF('Competency Event Log'!$U$4:$U$803,$B81&amp;"|"&amp;Z$5)=0,"",SUMIF('Competency Event Log'!$U$4:$U$803,$B81&amp;"|"&amp;Z$5,'Competency Event Log'!$D$4:$D$803)))</f>
        <v/>
      </c>
      <c r="AA81" s="8" t="str">
        <f>IF($B81="","",IF(COUNTIF('Competency Event Log'!$U$4:$U$803,$B81&amp;"|"&amp;AA$5)=0,"",SUMIF('Competency Event Log'!$U$4:$U$803,$B81&amp;"|"&amp;AA$5,'Competency Event Log'!$D$4:$D$803)))</f>
        <v/>
      </c>
      <c r="AB81" s="8" t="str">
        <f>IF($B81="","",IF(COUNTIF('Competency Event Log'!$U$4:$U$803,$B81&amp;"|"&amp;AB$5)=0,"",SUMIF('Competency Event Log'!$U$4:$U$803,$B81&amp;"|"&amp;AB$5,'Competency Event Log'!$D$4:$D$803)))</f>
        <v/>
      </c>
      <c r="AC81" s="8" t="str">
        <f>IF($B81="","",IF(COUNTIF('Competency Event Log'!$U$4:$U$803,$B81&amp;"|"&amp;AC$5)=0,"",SUMIF('Competency Event Log'!$U$4:$U$803,$B81&amp;"|"&amp;AC$5,'Competency Event Log'!$D$4:$D$803)))</f>
        <v/>
      </c>
      <c r="AD81" s="8" t="str">
        <f>IF($B81="","",IF(COUNTIF('Competency Event Log'!$U$4:$U$803,$B81&amp;"|"&amp;AD$5)=0,"",SUMIF('Competency Event Log'!$U$4:$U$803,$B81&amp;"|"&amp;AD$5,'Competency Event Log'!$D$4:$D$803)))</f>
        <v/>
      </c>
      <c r="AE81" s="8" t="str">
        <f>IF($B81="","",IF(COUNTIF('Competency Event Log'!$U$4:$U$803,$B81&amp;"|"&amp;AE$5)=0,"",SUMIF('Competency Event Log'!$U$4:$U$803,$B81&amp;"|"&amp;AE$5,'Competency Event Log'!$D$4:$D$803)))</f>
        <v/>
      </c>
      <c r="AF81" s="8" t="str">
        <f>IF($B81="","",IF(COUNTIF('Competency Event Log'!$U$4:$U$803,$B81&amp;"|"&amp;AF$5)=0,"",SUMIF('Competency Event Log'!$U$4:$U$803,$B81&amp;"|"&amp;AF$5,'Competency Event Log'!$D$4:$D$803)))</f>
        <v/>
      </c>
      <c r="AG81" s="8" t="str">
        <f>IF($B81="","",IF(COUNTIF('Competency Event Log'!$U$4:$U$803,$B81&amp;"|"&amp;AG$5)=0,"",SUMIF('Competency Event Log'!$U$4:$U$803,$B81&amp;"|"&amp;AG$5,'Competency Event Log'!$D$4:$D$803)))</f>
        <v/>
      </c>
      <c r="AH81" s="8" t="str">
        <f>IF($B81="","",IF(COUNTIF('Competency Event Log'!$U$4:$U$803,$B81&amp;"|"&amp;AH$5)=0,"",SUMIF('Competency Event Log'!$U$4:$U$803,$B81&amp;"|"&amp;AH$5,'Competency Event Log'!$D$4:$D$803)))</f>
        <v/>
      </c>
      <c r="AI81" s="8" t="str">
        <f>IF($B81="","",IF(COUNTIF('Competency Event Log'!$U$4:$U$803,$B81&amp;"|"&amp;AI$5)=0,"",SUMIF('Competency Event Log'!$U$4:$U$803,$B81&amp;"|"&amp;AI$5,'Competency Event Log'!$D$4:$D$803)))</f>
        <v/>
      </c>
      <c r="AJ81" s="8" t="str">
        <f>IF($B81="","",IF(COUNTIF('Competency Event Log'!$U$4:$U$803,$B81&amp;"|"&amp;AJ$5)=0,"",SUMIF('Competency Event Log'!$U$4:$U$803,$B81&amp;"|"&amp;AJ$5,'Competency Event Log'!$D$4:$D$803)))</f>
        <v/>
      </c>
      <c r="AK81" s="8" t="str">
        <f>IF($B81="","",IF(COUNTIF('Competency Event Log'!$U$4:$U$803,$B81&amp;"|"&amp;AK$5)=0,"",SUMIF('Competency Event Log'!$U$4:$U$803,$B81&amp;"|"&amp;AK$5,'Competency Event Log'!$D$4:$D$803)))</f>
        <v/>
      </c>
      <c r="AL81" s="8" t="str">
        <f>IF($B81="","",IF(COUNTIF('Competency Event Log'!$U$4:$U$803,$B81&amp;"|"&amp;AL$5)=0,"",SUMIF('Competency Event Log'!$U$4:$U$803,$B81&amp;"|"&amp;AL$5,'Competency Event Log'!$D$4:$D$803)))</f>
        <v/>
      </c>
      <c r="AM81" s="8" t="str">
        <f>IF($B81="","",IF(COUNTIF('Competency Event Log'!$U$4:$U$803,$B81&amp;"|"&amp;AM$5)=0,"",SUMIF('Competency Event Log'!$U$4:$U$803,$B81&amp;"|"&amp;AM$5,'Competency Event Log'!$D$4:$D$803)))</f>
        <v/>
      </c>
      <c r="AN81" s="8" t="str">
        <f>IF($B81="","",IF(COUNTIF('Competency Event Log'!$U$4:$U$803,$B81&amp;"|"&amp;AN$5)=0,"",SUMIF('Competency Event Log'!$U$4:$U$803,$B81&amp;"|"&amp;AN$5,'Competency Event Log'!$D$4:$D$803)))</f>
        <v/>
      </c>
      <c r="AO81" s="8" t="str">
        <f>IF($B81="","",IF(COUNTIF('Competency Event Log'!$U$4:$U$803,$B81&amp;"|"&amp;AO$5)=0,"",SUMIF('Competency Event Log'!$U$4:$U$803,$B81&amp;"|"&amp;AO$5,'Competency Event Log'!$D$4:$D$803)))</f>
        <v/>
      </c>
      <c r="AP81" s="8" t="str">
        <f>IF($B81="","",IF(COUNTIF('Competency Event Log'!$U$4:$U$803,$B81&amp;"|"&amp;AP$5)=0,"",SUMIF('Competency Event Log'!$U$4:$U$803,$B81&amp;"|"&amp;AP$5,'Competency Event Log'!$D$4:$D$803)))</f>
        <v/>
      </c>
      <c r="AQ81" s="8" t="str">
        <f>IF($B81="","",IF(COUNTIF('Competency Event Log'!$U$4:$U$803,$B81&amp;"|"&amp;AQ$5)=0,"",SUMIF('Competency Event Log'!$U$4:$U$803,$B81&amp;"|"&amp;AQ$5,'Competency Event Log'!$D$4:$D$803)))</f>
        <v/>
      </c>
      <c r="AR81" s="8" t="str">
        <f>IF($B81="","",IF(COUNTIF('Competency Event Log'!$U$4:$U$803,$B81&amp;"|"&amp;AR$5)=0,"",SUMIF('Competency Event Log'!$U$4:$U$803,$B81&amp;"|"&amp;AR$5,'Competency Event Log'!$D$4:$D$803)))</f>
        <v/>
      </c>
      <c r="AS81" s="8" t="str">
        <f>IF($B81="","",IF(COUNTIF('Competency Event Log'!$U$4:$U$803,$B81&amp;"|"&amp;AS$5)=0,"",SUMIF('Competency Event Log'!$U$4:$U$803,$B81&amp;"|"&amp;AS$5,'Competency Event Log'!$D$4:$D$803)))</f>
        <v/>
      </c>
      <c r="AT81" s="8" t="str">
        <f>IF($B81="","",IF(COUNTIF('Competency Event Log'!$U$4:$U$803,$B81&amp;"|"&amp;AT$5)=0,"",SUMIF('Competency Event Log'!$U$4:$U$803,$B81&amp;"|"&amp;AT$5,'Competency Event Log'!$D$4:$D$803)))</f>
        <v/>
      </c>
      <c r="AU81" s="8" t="str">
        <f>IF($B81="","",IF(COUNTIF('Competency Event Log'!$U$4:$U$803,$B81&amp;"|"&amp;AU$5)=0,"",SUMIF('Competency Event Log'!$U$4:$U$803,$B81&amp;"|"&amp;AU$5,'Competency Event Log'!$D$4:$D$803)))</f>
        <v/>
      </c>
      <c r="AV81" s="8" t="str">
        <f>IF($B81="","",IF(COUNTIF('Competency Event Log'!$U$4:$U$803,$B81&amp;"|"&amp;AV$5)=0,"",SUMIF('Competency Event Log'!$U$4:$U$803,$B81&amp;"|"&amp;AV$5,'Competency Event Log'!$D$4:$D$803)))</f>
        <v/>
      </c>
      <c r="AW81" s="8" t="str">
        <f>IF($B81="","",IF(COUNTIF('Competency Event Log'!$U$4:$U$803,$B81&amp;"|"&amp;AW$5)=0,"",SUMIF('Competency Event Log'!$U$4:$U$803,$B81&amp;"|"&amp;AW$5,'Competency Event Log'!$D$4:$D$803)))</f>
        <v/>
      </c>
      <c r="AX81" s="8" t="str">
        <f>IF($B81="","",IF(COUNTIF('Competency Event Log'!$U$4:$U$803,$B81&amp;"|"&amp;AX$5)=0,"",SUMIF('Competency Event Log'!$U$4:$U$803,$B81&amp;"|"&amp;AX$5,'Competency Event Log'!$D$4:$D$803)))</f>
        <v/>
      </c>
      <c r="AY81" s="8" t="str">
        <f>IF($B81="","",IF(COUNTIF('Competency Event Log'!$U$4:$U$803,$B81&amp;"|"&amp;AY$5)=0,"",SUMIF('Competency Event Log'!$U$4:$U$803,$B81&amp;"|"&amp;AY$5,'Competency Event Log'!$D$4:$D$803)))</f>
        <v/>
      </c>
      <c r="AZ81" s="8" t="str">
        <f>IF($B81="","",IF(COUNTIF('Competency Event Log'!$U$4:$U$803,$B81&amp;"|"&amp;AZ$5)=0,"",SUMIF('Competency Event Log'!$U$4:$U$803,$B81&amp;"|"&amp;AZ$5,'Competency Event Log'!$D$4:$D$803)))</f>
        <v/>
      </c>
      <c r="BA81" s="8" t="str">
        <f>IF($B81="","",IF(COUNTIF('Competency Event Log'!$U$4:$U$803,$B81&amp;"|"&amp;BA$5)=0,"",SUMIF('Competency Event Log'!$U$4:$U$803,$B81&amp;"|"&amp;BA$5,'Competency Event Log'!$D$4:$D$803)))</f>
        <v/>
      </c>
      <c r="BB81" s="8" t="str">
        <f>IF($B81="","",IF(COUNTIF('Competency Event Log'!$U$4:$U$803,$B81&amp;"|"&amp;BB$5)=0,"",SUMIF('Competency Event Log'!$U$4:$U$803,$B81&amp;"|"&amp;BB$5,'Competency Event Log'!$D$4:$D$803)))</f>
        <v/>
      </c>
      <c r="BC81" s="8" t="str">
        <f>IF($B81="","",IF(COUNTIF('Competency Event Log'!$U$4:$U$803,$B81&amp;"|"&amp;BC$5)=0,"",SUMIF('Competency Event Log'!$U$4:$U$803,$B81&amp;"|"&amp;BC$5,'Competency Event Log'!$D$4:$D$803)))</f>
        <v/>
      </c>
      <c r="BD81" s="8" t="str">
        <f>IF($B81="","",IF(COUNTIF('Competency Event Log'!$U$4:$U$803,$B81&amp;"|"&amp;BD$5)=0,"",SUMIF('Competency Event Log'!$U$4:$U$803,$B81&amp;"|"&amp;BD$5,'Competency Event Log'!$D$4:$D$803)))</f>
        <v/>
      </c>
      <c r="BE81" s="8" t="str">
        <f>IF($B81="","",IF(COUNTIF('Competency Event Log'!$U$4:$U$803,$B81&amp;"|"&amp;BE$5)=0,"",SUMIF('Competency Event Log'!$U$4:$U$803,$B81&amp;"|"&amp;BE$5,'Competency Event Log'!$D$4:$D$803)))</f>
        <v/>
      </c>
      <c r="BF81" s="8" t="str">
        <f>IF($B81="","",IF(COUNTIF('Competency Event Log'!$U$4:$U$803,$B81&amp;"|"&amp;BF$5)=0,"",SUMIF('Competency Event Log'!$U$4:$U$803,$B81&amp;"|"&amp;BF$5,'Competency Event Log'!$D$4:$D$803)))</f>
        <v/>
      </c>
      <c r="BG81" s="8" t="str">
        <f>IF($B81="","",IF(COUNTIF('Competency Event Log'!$U$4:$U$803,$B81&amp;"|"&amp;BG$5)=0,"",SUMIF('Competency Event Log'!$U$4:$U$803,$B81&amp;"|"&amp;BG$5,'Competency Event Log'!$D$4:$D$803)))</f>
        <v/>
      </c>
      <c r="BH81" s="8" t="str">
        <f>IF($B81="","",IF(COUNTIF('Competency Event Log'!$U$4:$U$803,$B81&amp;"|"&amp;BH$5)=0,"",SUMIF('Competency Event Log'!$U$4:$U$803,$B81&amp;"|"&amp;BH$5,'Competency Event Log'!$D$4:$D$803)))</f>
        <v/>
      </c>
      <c r="BI81" s="8" t="str">
        <f>IF($B81="","",IF(COUNTIF('Competency Event Log'!$U$4:$U$803,$B81&amp;"|"&amp;BI$5)=0,"",SUMIF('Competency Event Log'!$U$4:$U$803,$B81&amp;"|"&amp;BI$5,'Competency Event Log'!$D$4:$D$803)))</f>
        <v/>
      </c>
      <c r="BJ81" s="8" t="str">
        <f>IF($B81="","",IF(COUNTIF('Competency Event Log'!$U$4:$U$803,$B81&amp;"|"&amp;BJ$5)=0,"",SUMIF('Competency Event Log'!$U$4:$U$803,$B81&amp;"|"&amp;BJ$5,'Competency Event Log'!$D$4:$D$803)))</f>
        <v/>
      </c>
      <c r="BK81" s="8" t="str">
        <f>IF($B81="","",IF(COUNTIF('Competency Event Log'!$U$4:$U$803,$B81&amp;"|"&amp;BK$5)=0,"",SUMIF('Competency Event Log'!$U$4:$U$803,$B81&amp;"|"&amp;BK$5,'Competency Event Log'!$D$4:$D$803)))</f>
        <v/>
      </c>
      <c r="BL81" s="8" t="str">
        <f>IF($B81="","",IF(COUNTIF('Competency Event Log'!$U$4:$U$803,$B81&amp;"|"&amp;BL$5)=0,"",SUMIF('Competency Event Log'!$U$4:$U$803,$B81&amp;"|"&amp;BL$5,'Competency Event Log'!$D$4:$D$803)))</f>
        <v/>
      </c>
      <c r="BM81" s="8" t="str">
        <f>IF($B81="","",IF(COUNTIF('Competency Event Log'!$U$4:$U$803,$B81&amp;"|"&amp;BM$5)=0,"",SUMIF('Competency Event Log'!$U$4:$U$803,$B81&amp;"|"&amp;BM$5,'Competency Event Log'!$D$4:$D$803)))</f>
        <v/>
      </c>
      <c r="BN81" s="8" t="str">
        <f>IF($B81="","",IF(COUNTIF('Competency Event Log'!$U$4:$U$803,$B81&amp;"|"&amp;BN$5)=0,"",SUMIF('Competency Event Log'!$U$4:$U$803,$B81&amp;"|"&amp;BN$5,'Competency Event Log'!$D$4:$D$803)))</f>
        <v/>
      </c>
      <c r="BO81" s="8" t="str">
        <f>IF($B81="","",IF(COUNTIF('Competency Event Log'!$U$4:$U$803,$B81&amp;"|"&amp;BO$5)=0,"",SUMIF('Competency Event Log'!$U$4:$U$803,$B81&amp;"|"&amp;BO$5,'Competency Event Log'!$D$4:$D$803)))</f>
        <v/>
      </c>
      <c r="BP81" s="8" t="str">
        <f>IF($B81="","",IF(COUNTIF('Competency Event Log'!$U$4:$U$803,$B81&amp;"|"&amp;BP$5)=0,"",SUMIF('Competency Event Log'!$U$4:$U$803,$B81&amp;"|"&amp;BP$5,'Competency Event Log'!$D$4:$D$803)))</f>
        <v/>
      </c>
      <c r="BQ81" s="8" t="str">
        <f>IF($B81="","",IF(COUNTIF('Competency Event Log'!$U$4:$U$803,$B81&amp;"|"&amp;BQ$5)=0,"",SUMIF('Competency Event Log'!$U$4:$U$803,$B81&amp;"|"&amp;BQ$5,'Competency Event Log'!$D$4:$D$803)))</f>
        <v/>
      </c>
      <c r="BR81" s="8" t="str">
        <f>IF($B81="","",IF(COUNTIF('Competency Event Log'!$U$4:$U$803,$B81&amp;"|"&amp;BR$5)=0,"",SUMIF('Competency Event Log'!$U$4:$U$803,$B81&amp;"|"&amp;BR$5,'Competency Event Log'!$D$4:$D$803)))</f>
        <v/>
      </c>
      <c r="BS81" s="8" t="str">
        <f>IF($B81="","",IF(COUNTIF('Competency Event Log'!$U$4:$U$803,$B81&amp;"|"&amp;BS$5)=0,"",SUMIF('Competency Event Log'!$U$4:$U$803,$B81&amp;"|"&amp;BS$5,'Competency Event Log'!$D$4:$D$803)))</f>
        <v/>
      </c>
      <c r="BT81" s="8" t="str">
        <f>IF($B81="","",IF(COUNTIF('Competency Event Log'!$U$4:$U$803,$B81&amp;"|"&amp;BT$5)=0,"",SUMIF('Competency Event Log'!$U$4:$U$803,$B81&amp;"|"&amp;BT$5,'Competency Event Log'!$D$4:$D$803)))</f>
        <v/>
      </c>
      <c r="BU81" s="8" t="str">
        <f>IF($B81="","",IF(COUNTIF('Competency Event Log'!$U$4:$U$803,$B81&amp;"|"&amp;BU$5)=0,"",SUMIF('Competency Event Log'!$U$4:$U$803,$B81&amp;"|"&amp;BU$5,'Competency Event Log'!$D$4:$D$803)))</f>
        <v/>
      </c>
      <c r="BV81" s="8" t="str">
        <f>IF($B81="","",IF(COUNTIF('Competency Event Log'!$U$4:$U$803,$B81&amp;"|"&amp;BV$5)=0,"",SUMIF('Competency Event Log'!$U$4:$U$803,$B81&amp;"|"&amp;BV$5,'Competency Event Log'!$D$4:$D$803)))</f>
        <v/>
      </c>
      <c r="BW81" s="8" t="str">
        <f>IF($B81="","",IF(COUNTIF('Competency Event Log'!$U$4:$U$803,$B81&amp;"|"&amp;BW$5)=0,"",SUMIF('Competency Event Log'!$U$4:$U$803,$B81&amp;"|"&amp;BW$5,'Competency Event Log'!$D$4:$D$803)))</f>
        <v/>
      </c>
      <c r="BX81" s="8" t="str">
        <f>IF($B81="","",IF(COUNTIF('Competency Event Log'!$U$4:$U$803,$B81&amp;"|"&amp;BX$5)=0,"",SUMIF('Competency Event Log'!$U$4:$U$803,$B81&amp;"|"&amp;BX$5,'Competency Event Log'!$D$4:$D$803)))</f>
        <v/>
      </c>
      <c r="BY81" s="8" t="str">
        <f>IF($B81="","",IF(COUNTIF('Competency Event Log'!$U$4:$U$803,$B81&amp;"|"&amp;BY$5)=0,"",SUMIF('Competency Event Log'!$U$4:$U$803,$B81&amp;"|"&amp;BY$5,'Competency Event Log'!$D$4:$D$803)))</f>
        <v/>
      </c>
      <c r="BZ81" s="8" t="str">
        <f>IF($B81="","",IF(COUNTIF('Competency Event Log'!$U$4:$U$803,$B81&amp;"|"&amp;BZ$5)=0,"",SUMIF('Competency Event Log'!$U$4:$U$803,$B81&amp;"|"&amp;BZ$5,'Competency Event Log'!$D$4:$D$803)))</f>
        <v/>
      </c>
      <c r="CA81" s="8" t="str">
        <f>IF($B81="","",IF(COUNTIF('Competency Event Log'!$U$4:$U$803,$B81&amp;"|"&amp;CA$5)=0,"",SUMIF('Competency Event Log'!$U$4:$U$803,$B81&amp;"|"&amp;CA$5,'Competency Event Log'!$D$4:$D$803)))</f>
        <v/>
      </c>
      <c r="CB81" s="8" t="str">
        <f>IF($B81="","",IF(COUNTIF('Competency Event Log'!$U$4:$U$803,$B81&amp;"|"&amp;CB$5)=0,"",SUMIF('Competency Event Log'!$U$4:$U$803,$B81&amp;"|"&amp;CB$5,'Competency Event Log'!$D$4:$D$803)))</f>
        <v/>
      </c>
      <c r="CC81" s="8" t="str">
        <f>IF($B81="","",IF(COUNTIF('Competency Event Log'!$U$4:$U$803,$B81&amp;"|"&amp;CC$5)=0,"",SUMIF('Competency Event Log'!$U$4:$U$803,$B81&amp;"|"&amp;CC$5,'Competency Event Log'!$D$4:$D$803)))</f>
        <v/>
      </c>
      <c r="CD81" s="8" t="str">
        <f>IF($B81="","",IF(COUNTIF('Competency Event Log'!$U$4:$U$803,$B81&amp;"|"&amp;CD$5)=0,"",SUMIF('Competency Event Log'!$U$4:$U$803,$B81&amp;"|"&amp;CD$5,'Competency Event Log'!$D$4:$D$803)))</f>
        <v/>
      </c>
      <c r="CE81" s="8" t="str">
        <f>IF($B81="","",IF(COUNTIF('Competency Event Log'!$U$4:$U$803,$B81&amp;"|"&amp;CE$5)=0,"",SUMIF('Competency Event Log'!$U$4:$U$803,$B81&amp;"|"&amp;CE$5,'Competency Event Log'!$D$4:$D$803)))</f>
        <v/>
      </c>
      <c r="CF81" s="8" t="str">
        <f>IF($B81="","",IF(COUNTIF('Competency Event Log'!$U$4:$U$803,$B81&amp;"|"&amp;CF$5)=0,"",SUMIF('Competency Event Log'!$U$4:$U$803,$B81&amp;"|"&amp;CF$5,'Competency Event Log'!$D$4:$D$803)))</f>
        <v/>
      </c>
      <c r="CG81" s="8" t="str">
        <f>IF($B81="","",IF(COUNTIF('Competency Event Log'!$U$4:$U$803,$B81&amp;"|"&amp;CG$5)=0,"",SUMIF('Competency Event Log'!$U$4:$U$803,$B81&amp;"|"&amp;CG$5,'Competency Event Log'!$D$4:$D$803)))</f>
        <v/>
      </c>
      <c r="CH81" s="8" t="str">
        <f>IF($B81="","",IF(COUNTIF('Competency Event Log'!$U$4:$U$803,$B81&amp;"|"&amp;CH$5)=0,"",SUMIF('Competency Event Log'!$U$4:$U$803,$B81&amp;"|"&amp;CH$5,'Competency Event Log'!$D$4:$D$803)))</f>
        <v/>
      </c>
      <c r="CI81" s="8" t="str">
        <f>IF($B81="","",IF(COUNTIF('Competency Event Log'!$U$4:$U$803,$B81&amp;"|"&amp;CI$5)=0,"",SUMIF('Competency Event Log'!$U$4:$U$803,$B81&amp;"|"&amp;CI$5,'Competency Event Log'!$D$4:$D$803)))</f>
        <v/>
      </c>
      <c r="CJ81" s="8" t="str">
        <f>IF($B81="","",IF(COUNTIF('Competency Event Log'!$U$4:$U$803,$B81&amp;"|"&amp;CJ$5)=0,"",SUMIF('Competency Event Log'!$U$4:$U$803,$B81&amp;"|"&amp;CJ$5,'Competency Event Log'!$D$4:$D$803)))</f>
        <v/>
      </c>
      <c r="CK81" s="8" t="str">
        <f>IF($B81="","",IF(COUNTIF('Competency Event Log'!$U$4:$U$803,$B81&amp;"|"&amp;CK$5)=0,"",SUMIF('Competency Event Log'!$U$4:$U$803,$B81&amp;"|"&amp;CK$5,'Competency Event Log'!$D$4:$D$803)))</f>
        <v/>
      </c>
      <c r="CL81" s="8" t="str">
        <f>IF($B81="","",IF(COUNTIF('Competency Event Log'!$U$4:$U$803,$B81&amp;"|"&amp;CL$5)=0,"",SUMIF('Competency Event Log'!$U$4:$U$803,$B81&amp;"|"&amp;CL$5,'Competency Event Log'!$D$4:$D$803)))</f>
        <v/>
      </c>
      <c r="CM81" s="8" t="str">
        <f>IF($B81="","",IF(COUNTIF('Competency Event Log'!$U$4:$U$803,$B81&amp;"|"&amp;CM$5)=0,"",SUMIF('Competency Event Log'!$U$4:$U$803,$B81&amp;"|"&amp;CM$5,'Competency Event Log'!$D$4:$D$803)))</f>
        <v/>
      </c>
      <c r="CN81" s="8" t="str">
        <f>IF($B81="","",IF(COUNTIF('Competency Event Log'!$U$4:$U$803,$B81&amp;"|"&amp;CN$5)=0,"",SUMIF('Competency Event Log'!$U$4:$U$803,$B81&amp;"|"&amp;CN$5,'Competency Event Log'!$D$4:$D$803)))</f>
        <v/>
      </c>
      <c r="CO81" s="8" t="str">
        <f>IF($B81="","",IF(COUNTIF('Competency Event Log'!$U$4:$U$803,$B81&amp;"|"&amp;CO$5)=0,"",SUMIF('Competency Event Log'!$U$4:$U$803,$B81&amp;"|"&amp;CO$5,'Competency Event Log'!$D$4:$D$803)))</f>
        <v/>
      </c>
      <c r="CP81" s="8" t="str">
        <f>IF($B81="","",IF(COUNTIF('Competency Event Log'!$U$4:$U$803,$B81&amp;"|"&amp;CP$5)=0,"",SUMIF('Competency Event Log'!$U$4:$U$803,$B81&amp;"|"&amp;CP$5,'Competency Event Log'!$D$4:$D$803)))</f>
        <v/>
      </c>
      <c r="CQ81" s="8" t="str">
        <f>IF($B81="","",IF(COUNTIF('Competency Event Log'!$U$4:$U$803,$B81&amp;"|"&amp;CQ$5)=0,"",SUMIF('Competency Event Log'!$U$4:$U$803,$B81&amp;"|"&amp;CQ$5,'Competency Event Log'!$D$4:$D$803)))</f>
        <v/>
      </c>
      <c r="CR81" s="8" t="str">
        <f>IF($B81="","",IF(COUNTIF('Competency Event Log'!$U$4:$U$803,$B81&amp;"|"&amp;CR$5)=0,"",SUMIF('Competency Event Log'!$U$4:$U$803,$B81&amp;"|"&amp;CR$5,'Competency Event Log'!$D$4:$D$803)))</f>
        <v/>
      </c>
      <c r="CS81" s="8" t="str">
        <f>IF($B81="","",IF(COUNTIF('Competency Event Log'!$U$4:$U$803,$B81&amp;"|"&amp;CS$5)=0,"",SUMIF('Competency Event Log'!$U$4:$U$803,$B81&amp;"|"&amp;CS$5,'Competency Event Log'!$D$4:$D$803)))</f>
        <v/>
      </c>
      <c r="CT81" s="8" t="str">
        <f>IF($B81="","",IF(COUNTIF('Competency Event Log'!$U$4:$U$803,$B81&amp;"|"&amp;CT$5)=0,"",SUMIF('Competency Event Log'!$U$4:$U$803,$B81&amp;"|"&amp;CT$5,'Competency Event Log'!$D$4:$D$803)))</f>
        <v/>
      </c>
      <c r="CU81" s="8" t="str">
        <f>IF($B81="","",IF(COUNTIF('Competency Event Log'!$U$4:$U$803,$B81&amp;"|"&amp;CU$5)=0,"",SUMIF('Competency Event Log'!$U$4:$U$803,$B81&amp;"|"&amp;CU$5,'Competency Event Log'!$D$4:$D$803)))</f>
        <v/>
      </c>
      <c r="CV81" s="8" t="str">
        <f>IF($B81="","",IF(COUNTIF('Competency Event Log'!$U$4:$U$803,$B81&amp;"|"&amp;CV$5)=0,"",SUMIF('Competency Event Log'!$U$4:$U$803,$B81&amp;"|"&amp;CV$5,'Competency Event Log'!$D$4:$D$803)))</f>
        <v/>
      </c>
      <c r="CW81" s="8" t="str">
        <f>IF($B81="","",IF(COUNTIF('Competency Event Log'!$U$4:$U$803,$B81&amp;"|"&amp;CW$5)=0,"",SUMIF('Competency Event Log'!$U$4:$U$803,$B81&amp;"|"&amp;CW$5,'Competency Event Log'!$D$4:$D$803)))</f>
        <v/>
      </c>
      <c r="CX81" s="8" t="str">
        <f>IF($B81="","",IF(COUNTIF('Competency Event Log'!$U$4:$U$803,$B81&amp;"|"&amp;CX$5)=0,"",SUMIF('Competency Event Log'!$U$4:$U$803,$B81&amp;"|"&amp;CX$5,'Competency Event Log'!$D$4:$D$803)))</f>
        <v/>
      </c>
      <c r="CY81" s="8" t="str">
        <f>IF($B81="","",IF(COUNTIF('Competency Event Log'!$U$4:$U$803,$B81&amp;"|"&amp;CY$5)=0,"",SUMIF('Competency Event Log'!$U$4:$U$803,$B81&amp;"|"&amp;CY$5,'Competency Event Log'!$D$4:$D$803)))</f>
        <v/>
      </c>
      <c r="CZ81" s="8" t="str">
        <f>IF($B81="","",IF(COUNTIF('Competency Event Log'!$U$4:$U$803,$B81&amp;"|"&amp;CZ$5)=0,"",SUMIF('Competency Event Log'!$U$4:$U$803,$B81&amp;"|"&amp;CZ$5,'Competency Event Log'!$D$4:$D$803)))</f>
        <v/>
      </c>
      <c r="DA81" s="8" t="str">
        <f>IF($B81="","",IF(COUNTIF('Competency Event Log'!$U$4:$U$803,$B81&amp;"|"&amp;DA$5)=0,"",SUMIF('Competency Event Log'!$U$4:$U$803,$B81&amp;"|"&amp;DA$5,'Competency Event Log'!$D$4:$D$803)))</f>
        <v/>
      </c>
      <c r="DB81" s="8" t="str">
        <f>IF($B81="","",IF(COUNTIF('Competency Event Log'!$U$4:$U$803,$B81&amp;"|"&amp;DB$5)=0,"",SUMIF('Competency Event Log'!$U$4:$U$803,$B81&amp;"|"&amp;DB$5,'Competency Event Log'!$D$4:$D$803)))</f>
        <v/>
      </c>
      <c r="DC81" s="8" t="str">
        <f>IF($B81="","",IF(COUNTIF('Competency Event Log'!$U$4:$U$803,$B81&amp;"|"&amp;DC$5)=0,"",SUMIF('Competency Event Log'!$U$4:$U$803,$B81&amp;"|"&amp;DC$5,'Competency Event Log'!$D$4:$D$803)))</f>
        <v/>
      </c>
      <c r="DD81" s="8" t="str">
        <f>IF($B81="","",IF(COUNTIF('Competency Event Log'!$U$4:$U$803,$B81&amp;"|"&amp;DD$5)=0,"",SUMIF('Competency Event Log'!$U$4:$U$803,$B81&amp;"|"&amp;DD$5,'Competency Event Log'!$D$4:$D$803)))</f>
        <v/>
      </c>
      <c r="DE81" s="8" t="str">
        <f>IF($B81="","",IF(COUNTIF('Competency Event Log'!$U$4:$U$803,$B81&amp;"|"&amp;DE$5)=0,"",SUMIF('Competency Event Log'!$U$4:$U$803,$B81&amp;"|"&amp;DE$5,'Competency Event Log'!$D$4:$D$803)))</f>
        <v/>
      </c>
      <c r="DF81" s="8" t="str">
        <f t="shared" si="8"/>
        <v/>
      </c>
      <c r="DG81" s="8" t="str">
        <f t="shared" si="9"/>
        <v/>
      </c>
      <c r="DH81" s="8" t="str">
        <f t="shared" si="10"/>
        <v/>
      </c>
      <c r="DI81" s="11" t="str">
        <f t="shared" si="11"/>
        <v/>
      </c>
    </row>
    <row r="82" spans="1:113">
      <c r="A82" s="7"/>
      <c r="B82" s="7"/>
      <c r="C82" s="8"/>
      <c r="D82" s="9"/>
      <c r="E82" s="10"/>
      <c r="F82" s="8"/>
      <c r="G82" s="8" t="str">
        <f>IF($B82="","",IF(COUNTIF('Competency Event Log'!$U$4:$U$803,$B82&amp;"|"&amp;G$5)=0,"",SUMIF('Competency Event Log'!$U$4:$U$803,$B82&amp;"|"&amp;G$5,'Competency Event Log'!$D$4:$D$803)))</f>
        <v/>
      </c>
      <c r="H82" s="8" t="str">
        <f>IF($B82="","",IF(COUNTIF('Competency Event Log'!$U$4:$U$803,$B82&amp;"|"&amp;H$5)=0,"",SUMIF('Competency Event Log'!$U$4:$U$803,$B82&amp;"|"&amp;H$5,'Competency Event Log'!$D$4:$D$803)))</f>
        <v/>
      </c>
      <c r="I82" s="8" t="str">
        <f>IF($B82="","",IF(COUNTIF('Competency Event Log'!$U$4:$U$803,$B82&amp;"|"&amp;I$5)=0,"",SUMIF('Competency Event Log'!$U$4:$U$803,$B82&amp;"|"&amp;I$5,'Competency Event Log'!$D$4:$D$803)))</f>
        <v/>
      </c>
      <c r="J82" s="8" t="str">
        <f>IF($B82="","",IF(COUNTIF('Competency Event Log'!$U$4:$U$803,$B82&amp;"|"&amp;J$5)=0,"",SUMIF('Competency Event Log'!$U$4:$U$803,$B82&amp;"|"&amp;J$5,'Competency Event Log'!$D$4:$D$803)))</f>
        <v/>
      </c>
      <c r="K82" s="8" t="str">
        <f>IF($B82="","",IF(COUNTIF('Competency Event Log'!$U$4:$U$803,$B82&amp;"|"&amp;K$5)=0,"",SUMIF('Competency Event Log'!$U$4:$U$803,$B82&amp;"|"&amp;K$5,'Competency Event Log'!$D$4:$D$803)))</f>
        <v/>
      </c>
      <c r="L82" s="8" t="str">
        <f>IF($B82="","",IF(COUNTIF('Competency Event Log'!$U$4:$U$803,$B82&amp;"|"&amp;L$5)=0,"",SUMIF('Competency Event Log'!$U$4:$U$803,$B82&amp;"|"&amp;L$5,'Competency Event Log'!$D$4:$D$803)))</f>
        <v/>
      </c>
      <c r="M82" s="8" t="str">
        <f>IF($B82="","",IF(COUNTIF('Competency Event Log'!$U$4:$U$803,$B82&amp;"|"&amp;M$5)=0,"",SUMIF('Competency Event Log'!$U$4:$U$803,$B82&amp;"|"&amp;M$5,'Competency Event Log'!$D$4:$D$803)))</f>
        <v/>
      </c>
      <c r="N82" s="8" t="str">
        <f>IF($B82="","",IF(COUNTIF('Competency Event Log'!$U$4:$U$803,$B82&amp;"|"&amp;N$5)=0,"",SUMIF('Competency Event Log'!$U$4:$U$803,$B82&amp;"|"&amp;N$5,'Competency Event Log'!$D$4:$D$803)))</f>
        <v/>
      </c>
      <c r="O82" s="8" t="str">
        <f>IF($B82="","",IF(COUNTIF('Competency Event Log'!$U$4:$U$803,$B82&amp;"|"&amp;O$5)=0,"",SUMIF('Competency Event Log'!$U$4:$U$803,$B82&amp;"|"&amp;O$5,'Competency Event Log'!$D$4:$D$803)))</f>
        <v/>
      </c>
      <c r="P82" s="8" t="str">
        <f>IF($B82="","",IF(COUNTIF('Competency Event Log'!$U$4:$U$803,$B82&amp;"|"&amp;P$5)=0,"",SUMIF('Competency Event Log'!$U$4:$U$803,$B82&amp;"|"&amp;P$5,'Competency Event Log'!$D$4:$D$803)))</f>
        <v/>
      </c>
      <c r="Q82" s="8" t="str">
        <f>IF($B82="","",IF(COUNTIF('Competency Event Log'!$U$4:$U$803,$B82&amp;"|"&amp;Q$5)=0,"",SUMIF('Competency Event Log'!$U$4:$U$803,$B82&amp;"|"&amp;Q$5,'Competency Event Log'!$D$4:$D$803)))</f>
        <v/>
      </c>
      <c r="R82" s="8" t="str">
        <f>IF($B82="","",IF(COUNTIF('Competency Event Log'!$U$4:$U$803,$B82&amp;"|"&amp;R$5)=0,"",SUMIF('Competency Event Log'!$U$4:$U$803,$B82&amp;"|"&amp;R$5,'Competency Event Log'!$D$4:$D$803)))</f>
        <v/>
      </c>
      <c r="S82" s="8" t="str">
        <f>IF($B82="","",IF(COUNTIF('Competency Event Log'!$U$4:$U$803,$B82&amp;"|"&amp;S$5)=0,"",SUMIF('Competency Event Log'!$U$4:$U$803,$B82&amp;"|"&amp;S$5,'Competency Event Log'!$D$4:$D$803)))</f>
        <v/>
      </c>
      <c r="T82" s="8" t="str">
        <f>IF($B82="","",IF(COUNTIF('Competency Event Log'!$U$4:$U$803,$B82&amp;"|"&amp;T$5)=0,"",SUMIF('Competency Event Log'!$U$4:$U$803,$B82&amp;"|"&amp;T$5,'Competency Event Log'!$D$4:$D$803)))</f>
        <v/>
      </c>
      <c r="U82" s="8" t="str">
        <f>IF($B82="","",IF(COUNTIF('Competency Event Log'!$U$4:$U$803,$B82&amp;"|"&amp;U$5)=0,"",SUMIF('Competency Event Log'!$U$4:$U$803,$B82&amp;"|"&amp;U$5,'Competency Event Log'!$D$4:$D$803)))</f>
        <v/>
      </c>
      <c r="V82" s="8" t="str">
        <f>IF($B82="","",IF(COUNTIF('Competency Event Log'!$U$4:$U$803,$B82&amp;"|"&amp;V$5)=0,"",SUMIF('Competency Event Log'!$U$4:$U$803,$B82&amp;"|"&amp;V$5,'Competency Event Log'!$D$4:$D$803)))</f>
        <v/>
      </c>
      <c r="W82" s="8" t="str">
        <f>IF($B82="","",IF(COUNTIF('Competency Event Log'!$U$4:$U$803,$B82&amp;"|"&amp;W$5)=0,"",SUMIF('Competency Event Log'!$U$4:$U$803,$B82&amp;"|"&amp;W$5,'Competency Event Log'!$D$4:$D$803)))</f>
        <v/>
      </c>
      <c r="X82" s="8" t="str">
        <f>IF($B82="","",IF(COUNTIF('Competency Event Log'!$U$4:$U$803,$B82&amp;"|"&amp;X$5)=0,"",SUMIF('Competency Event Log'!$U$4:$U$803,$B82&amp;"|"&amp;X$5,'Competency Event Log'!$D$4:$D$803)))</f>
        <v/>
      </c>
      <c r="Y82" s="8" t="str">
        <f>IF($B82="","",IF(COUNTIF('Competency Event Log'!$U$4:$U$803,$B82&amp;"|"&amp;Y$5)=0,"",SUMIF('Competency Event Log'!$U$4:$U$803,$B82&amp;"|"&amp;Y$5,'Competency Event Log'!$D$4:$D$803)))</f>
        <v/>
      </c>
      <c r="Z82" s="8" t="str">
        <f>IF($B82="","",IF(COUNTIF('Competency Event Log'!$U$4:$U$803,$B82&amp;"|"&amp;Z$5)=0,"",SUMIF('Competency Event Log'!$U$4:$U$803,$B82&amp;"|"&amp;Z$5,'Competency Event Log'!$D$4:$D$803)))</f>
        <v/>
      </c>
      <c r="AA82" s="8" t="str">
        <f>IF($B82="","",IF(COUNTIF('Competency Event Log'!$U$4:$U$803,$B82&amp;"|"&amp;AA$5)=0,"",SUMIF('Competency Event Log'!$U$4:$U$803,$B82&amp;"|"&amp;AA$5,'Competency Event Log'!$D$4:$D$803)))</f>
        <v/>
      </c>
      <c r="AB82" s="8" t="str">
        <f>IF($B82="","",IF(COUNTIF('Competency Event Log'!$U$4:$U$803,$B82&amp;"|"&amp;AB$5)=0,"",SUMIF('Competency Event Log'!$U$4:$U$803,$B82&amp;"|"&amp;AB$5,'Competency Event Log'!$D$4:$D$803)))</f>
        <v/>
      </c>
      <c r="AC82" s="8" t="str">
        <f>IF($B82="","",IF(COUNTIF('Competency Event Log'!$U$4:$U$803,$B82&amp;"|"&amp;AC$5)=0,"",SUMIF('Competency Event Log'!$U$4:$U$803,$B82&amp;"|"&amp;AC$5,'Competency Event Log'!$D$4:$D$803)))</f>
        <v/>
      </c>
      <c r="AD82" s="8" t="str">
        <f>IF($B82="","",IF(COUNTIF('Competency Event Log'!$U$4:$U$803,$B82&amp;"|"&amp;AD$5)=0,"",SUMIF('Competency Event Log'!$U$4:$U$803,$B82&amp;"|"&amp;AD$5,'Competency Event Log'!$D$4:$D$803)))</f>
        <v/>
      </c>
      <c r="AE82" s="8" t="str">
        <f>IF($B82="","",IF(COUNTIF('Competency Event Log'!$U$4:$U$803,$B82&amp;"|"&amp;AE$5)=0,"",SUMIF('Competency Event Log'!$U$4:$U$803,$B82&amp;"|"&amp;AE$5,'Competency Event Log'!$D$4:$D$803)))</f>
        <v/>
      </c>
      <c r="AF82" s="8" t="str">
        <f>IF($B82="","",IF(COUNTIF('Competency Event Log'!$U$4:$U$803,$B82&amp;"|"&amp;AF$5)=0,"",SUMIF('Competency Event Log'!$U$4:$U$803,$B82&amp;"|"&amp;AF$5,'Competency Event Log'!$D$4:$D$803)))</f>
        <v/>
      </c>
      <c r="AG82" s="8" t="str">
        <f>IF($B82="","",IF(COUNTIF('Competency Event Log'!$U$4:$U$803,$B82&amp;"|"&amp;AG$5)=0,"",SUMIF('Competency Event Log'!$U$4:$U$803,$B82&amp;"|"&amp;AG$5,'Competency Event Log'!$D$4:$D$803)))</f>
        <v/>
      </c>
      <c r="AH82" s="8" t="str">
        <f>IF($B82="","",IF(COUNTIF('Competency Event Log'!$U$4:$U$803,$B82&amp;"|"&amp;AH$5)=0,"",SUMIF('Competency Event Log'!$U$4:$U$803,$B82&amp;"|"&amp;AH$5,'Competency Event Log'!$D$4:$D$803)))</f>
        <v/>
      </c>
      <c r="AI82" s="8" t="str">
        <f>IF($B82="","",IF(COUNTIF('Competency Event Log'!$U$4:$U$803,$B82&amp;"|"&amp;AI$5)=0,"",SUMIF('Competency Event Log'!$U$4:$U$803,$B82&amp;"|"&amp;AI$5,'Competency Event Log'!$D$4:$D$803)))</f>
        <v/>
      </c>
      <c r="AJ82" s="8" t="str">
        <f>IF($B82="","",IF(COUNTIF('Competency Event Log'!$U$4:$U$803,$B82&amp;"|"&amp;AJ$5)=0,"",SUMIF('Competency Event Log'!$U$4:$U$803,$B82&amp;"|"&amp;AJ$5,'Competency Event Log'!$D$4:$D$803)))</f>
        <v/>
      </c>
      <c r="AK82" s="8" t="str">
        <f>IF($B82="","",IF(COUNTIF('Competency Event Log'!$U$4:$U$803,$B82&amp;"|"&amp;AK$5)=0,"",SUMIF('Competency Event Log'!$U$4:$U$803,$B82&amp;"|"&amp;AK$5,'Competency Event Log'!$D$4:$D$803)))</f>
        <v/>
      </c>
      <c r="AL82" s="8" t="str">
        <f>IF($B82="","",IF(COUNTIF('Competency Event Log'!$U$4:$U$803,$B82&amp;"|"&amp;AL$5)=0,"",SUMIF('Competency Event Log'!$U$4:$U$803,$B82&amp;"|"&amp;AL$5,'Competency Event Log'!$D$4:$D$803)))</f>
        <v/>
      </c>
      <c r="AM82" s="8" t="str">
        <f>IF($B82="","",IF(COUNTIF('Competency Event Log'!$U$4:$U$803,$B82&amp;"|"&amp;AM$5)=0,"",SUMIF('Competency Event Log'!$U$4:$U$803,$B82&amp;"|"&amp;AM$5,'Competency Event Log'!$D$4:$D$803)))</f>
        <v/>
      </c>
      <c r="AN82" s="8" t="str">
        <f>IF($B82="","",IF(COUNTIF('Competency Event Log'!$U$4:$U$803,$B82&amp;"|"&amp;AN$5)=0,"",SUMIF('Competency Event Log'!$U$4:$U$803,$B82&amp;"|"&amp;AN$5,'Competency Event Log'!$D$4:$D$803)))</f>
        <v/>
      </c>
      <c r="AO82" s="8" t="str">
        <f>IF($B82="","",IF(COUNTIF('Competency Event Log'!$U$4:$U$803,$B82&amp;"|"&amp;AO$5)=0,"",SUMIF('Competency Event Log'!$U$4:$U$803,$B82&amp;"|"&amp;AO$5,'Competency Event Log'!$D$4:$D$803)))</f>
        <v/>
      </c>
      <c r="AP82" s="8" t="str">
        <f>IF($B82="","",IF(COUNTIF('Competency Event Log'!$U$4:$U$803,$B82&amp;"|"&amp;AP$5)=0,"",SUMIF('Competency Event Log'!$U$4:$U$803,$B82&amp;"|"&amp;AP$5,'Competency Event Log'!$D$4:$D$803)))</f>
        <v/>
      </c>
      <c r="AQ82" s="8" t="str">
        <f>IF($B82="","",IF(COUNTIF('Competency Event Log'!$U$4:$U$803,$B82&amp;"|"&amp;AQ$5)=0,"",SUMIF('Competency Event Log'!$U$4:$U$803,$B82&amp;"|"&amp;AQ$5,'Competency Event Log'!$D$4:$D$803)))</f>
        <v/>
      </c>
      <c r="AR82" s="8" t="str">
        <f>IF($B82="","",IF(COUNTIF('Competency Event Log'!$U$4:$U$803,$B82&amp;"|"&amp;AR$5)=0,"",SUMIF('Competency Event Log'!$U$4:$U$803,$B82&amp;"|"&amp;AR$5,'Competency Event Log'!$D$4:$D$803)))</f>
        <v/>
      </c>
      <c r="AS82" s="8" t="str">
        <f>IF($B82="","",IF(COUNTIF('Competency Event Log'!$U$4:$U$803,$B82&amp;"|"&amp;AS$5)=0,"",SUMIF('Competency Event Log'!$U$4:$U$803,$B82&amp;"|"&amp;AS$5,'Competency Event Log'!$D$4:$D$803)))</f>
        <v/>
      </c>
      <c r="AT82" s="8" t="str">
        <f>IF($B82="","",IF(COUNTIF('Competency Event Log'!$U$4:$U$803,$B82&amp;"|"&amp;AT$5)=0,"",SUMIF('Competency Event Log'!$U$4:$U$803,$B82&amp;"|"&amp;AT$5,'Competency Event Log'!$D$4:$D$803)))</f>
        <v/>
      </c>
      <c r="AU82" s="8" t="str">
        <f>IF($B82="","",IF(COUNTIF('Competency Event Log'!$U$4:$U$803,$B82&amp;"|"&amp;AU$5)=0,"",SUMIF('Competency Event Log'!$U$4:$U$803,$B82&amp;"|"&amp;AU$5,'Competency Event Log'!$D$4:$D$803)))</f>
        <v/>
      </c>
      <c r="AV82" s="8" t="str">
        <f>IF($B82="","",IF(COUNTIF('Competency Event Log'!$U$4:$U$803,$B82&amp;"|"&amp;AV$5)=0,"",SUMIF('Competency Event Log'!$U$4:$U$803,$B82&amp;"|"&amp;AV$5,'Competency Event Log'!$D$4:$D$803)))</f>
        <v/>
      </c>
      <c r="AW82" s="8" t="str">
        <f>IF($B82="","",IF(COUNTIF('Competency Event Log'!$U$4:$U$803,$B82&amp;"|"&amp;AW$5)=0,"",SUMIF('Competency Event Log'!$U$4:$U$803,$B82&amp;"|"&amp;AW$5,'Competency Event Log'!$D$4:$D$803)))</f>
        <v/>
      </c>
      <c r="AX82" s="8" t="str">
        <f>IF($B82="","",IF(COUNTIF('Competency Event Log'!$U$4:$U$803,$B82&amp;"|"&amp;AX$5)=0,"",SUMIF('Competency Event Log'!$U$4:$U$803,$B82&amp;"|"&amp;AX$5,'Competency Event Log'!$D$4:$D$803)))</f>
        <v/>
      </c>
      <c r="AY82" s="8" t="str">
        <f>IF($B82="","",IF(COUNTIF('Competency Event Log'!$U$4:$U$803,$B82&amp;"|"&amp;AY$5)=0,"",SUMIF('Competency Event Log'!$U$4:$U$803,$B82&amp;"|"&amp;AY$5,'Competency Event Log'!$D$4:$D$803)))</f>
        <v/>
      </c>
      <c r="AZ82" s="8" t="str">
        <f>IF($B82="","",IF(COUNTIF('Competency Event Log'!$U$4:$U$803,$B82&amp;"|"&amp;AZ$5)=0,"",SUMIF('Competency Event Log'!$U$4:$U$803,$B82&amp;"|"&amp;AZ$5,'Competency Event Log'!$D$4:$D$803)))</f>
        <v/>
      </c>
      <c r="BA82" s="8" t="str">
        <f>IF($B82="","",IF(COUNTIF('Competency Event Log'!$U$4:$U$803,$B82&amp;"|"&amp;BA$5)=0,"",SUMIF('Competency Event Log'!$U$4:$U$803,$B82&amp;"|"&amp;BA$5,'Competency Event Log'!$D$4:$D$803)))</f>
        <v/>
      </c>
      <c r="BB82" s="8" t="str">
        <f>IF($B82="","",IF(COUNTIF('Competency Event Log'!$U$4:$U$803,$B82&amp;"|"&amp;BB$5)=0,"",SUMIF('Competency Event Log'!$U$4:$U$803,$B82&amp;"|"&amp;BB$5,'Competency Event Log'!$D$4:$D$803)))</f>
        <v/>
      </c>
      <c r="BC82" s="8" t="str">
        <f>IF($B82="","",IF(COUNTIF('Competency Event Log'!$U$4:$U$803,$B82&amp;"|"&amp;BC$5)=0,"",SUMIF('Competency Event Log'!$U$4:$U$803,$B82&amp;"|"&amp;BC$5,'Competency Event Log'!$D$4:$D$803)))</f>
        <v/>
      </c>
      <c r="BD82" s="8" t="str">
        <f>IF($B82="","",IF(COUNTIF('Competency Event Log'!$U$4:$U$803,$B82&amp;"|"&amp;BD$5)=0,"",SUMIF('Competency Event Log'!$U$4:$U$803,$B82&amp;"|"&amp;BD$5,'Competency Event Log'!$D$4:$D$803)))</f>
        <v/>
      </c>
      <c r="BE82" s="8" t="str">
        <f>IF($B82="","",IF(COUNTIF('Competency Event Log'!$U$4:$U$803,$B82&amp;"|"&amp;BE$5)=0,"",SUMIF('Competency Event Log'!$U$4:$U$803,$B82&amp;"|"&amp;BE$5,'Competency Event Log'!$D$4:$D$803)))</f>
        <v/>
      </c>
      <c r="BF82" s="8" t="str">
        <f>IF($B82="","",IF(COUNTIF('Competency Event Log'!$U$4:$U$803,$B82&amp;"|"&amp;BF$5)=0,"",SUMIF('Competency Event Log'!$U$4:$U$803,$B82&amp;"|"&amp;BF$5,'Competency Event Log'!$D$4:$D$803)))</f>
        <v/>
      </c>
      <c r="BG82" s="8" t="str">
        <f>IF($B82="","",IF(COUNTIF('Competency Event Log'!$U$4:$U$803,$B82&amp;"|"&amp;BG$5)=0,"",SUMIF('Competency Event Log'!$U$4:$U$803,$B82&amp;"|"&amp;BG$5,'Competency Event Log'!$D$4:$D$803)))</f>
        <v/>
      </c>
      <c r="BH82" s="8" t="str">
        <f>IF($B82="","",IF(COUNTIF('Competency Event Log'!$U$4:$U$803,$B82&amp;"|"&amp;BH$5)=0,"",SUMIF('Competency Event Log'!$U$4:$U$803,$B82&amp;"|"&amp;BH$5,'Competency Event Log'!$D$4:$D$803)))</f>
        <v/>
      </c>
      <c r="BI82" s="8" t="str">
        <f>IF($B82="","",IF(COUNTIF('Competency Event Log'!$U$4:$U$803,$B82&amp;"|"&amp;BI$5)=0,"",SUMIF('Competency Event Log'!$U$4:$U$803,$B82&amp;"|"&amp;BI$5,'Competency Event Log'!$D$4:$D$803)))</f>
        <v/>
      </c>
      <c r="BJ82" s="8" t="str">
        <f>IF($B82="","",IF(COUNTIF('Competency Event Log'!$U$4:$U$803,$B82&amp;"|"&amp;BJ$5)=0,"",SUMIF('Competency Event Log'!$U$4:$U$803,$B82&amp;"|"&amp;BJ$5,'Competency Event Log'!$D$4:$D$803)))</f>
        <v/>
      </c>
      <c r="BK82" s="8" t="str">
        <f>IF($B82="","",IF(COUNTIF('Competency Event Log'!$U$4:$U$803,$B82&amp;"|"&amp;BK$5)=0,"",SUMIF('Competency Event Log'!$U$4:$U$803,$B82&amp;"|"&amp;BK$5,'Competency Event Log'!$D$4:$D$803)))</f>
        <v/>
      </c>
      <c r="BL82" s="8" t="str">
        <f>IF($B82="","",IF(COUNTIF('Competency Event Log'!$U$4:$U$803,$B82&amp;"|"&amp;BL$5)=0,"",SUMIF('Competency Event Log'!$U$4:$U$803,$B82&amp;"|"&amp;BL$5,'Competency Event Log'!$D$4:$D$803)))</f>
        <v/>
      </c>
      <c r="BM82" s="8" t="str">
        <f>IF($B82="","",IF(COUNTIF('Competency Event Log'!$U$4:$U$803,$B82&amp;"|"&amp;BM$5)=0,"",SUMIF('Competency Event Log'!$U$4:$U$803,$B82&amp;"|"&amp;BM$5,'Competency Event Log'!$D$4:$D$803)))</f>
        <v/>
      </c>
      <c r="BN82" s="8" t="str">
        <f>IF($B82="","",IF(COUNTIF('Competency Event Log'!$U$4:$U$803,$B82&amp;"|"&amp;BN$5)=0,"",SUMIF('Competency Event Log'!$U$4:$U$803,$B82&amp;"|"&amp;BN$5,'Competency Event Log'!$D$4:$D$803)))</f>
        <v/>
      </c>
      <c r="BO82" s="8" t="str">
        <f>IF($B82="","",IF(COUNTIF('Competency Event Log'!$U$4:$U$803,$B82&amp;"|"&amp;BO$5)=0,"",SUMIF('Competency Event Log'!$U$4:$U$803,$B82&amp;"|"&amp;BO$5,'Competency Event Log'!$D$4:$D$803)))</f>
        <v/>
      </c>
      <c r="BP82" s="8" t="str">
        <f>IF($B82="","",IF(COUNTIF('Competency Event Log'!$U$4:$U$803,$B82&amp;"|"&amp;BP$5)=0,"",SUMIF('Competency Event Log'!$U$4:$U$803,$B82&amp;"|"&amp;BP$5,'Competency Event Log'!$D$4:$D$803)))</f>
        <v/>
      </c>
      <c r="BQ82" s="8" t="str">
        <f>IF($B82="","",IF(COUNTIF('Competency Event Log'!$U$4:$U$803,$B82&amp;"|"&amp;BQ$5)=0,"",SUMIF('Competency Event Log'!$U$4:$U$803,$B82&amp;"|"&amp;BQ$5,'Competency Event Log'!$D$4:$D$803)))</f>
        <v/>
      </c>
      <c r="BR82" s="8" t="str">
        <f>IF($B82="","",IF(COUNTIF('Competency Event Log'!$U$4:$U$803,$B82&amp;"|"&amp;BR$5)=0,"",SUMIF('Competency Event Log'!$U$4:$U$803,$B82&amp;"|"&amp;BR$5,'Competency Event Log'!$D$4:$D$803)))</f>
        <v/>
      </c>
      <c r="BS82" s="8" t="str">
        <f>IF($B82="","",IF(COUNTIF('Competency Event Log'!$U$4:$U$803,$B82&amp;"|"&amp;BS$5)=0,"",SUMIF('Competency Event Log'!$U$4:$U$803,$B82&amp;"|"&amp;BS$5,'Competency Event Log'!$D$4:$D$803)))</f>
        <v/>
      </c>
      <c r="BT82" s="8" t="str">
        <f>IF($B82="","",IF(COUNTIF('Competency Event Log'!$U$4:$U$803,$B82&amp;"|"&amp;BT$5)=0,"",SUMIF('Competency Event Log'!$U$4:$U$803,$B82&amp;"|"&amp;BT$5,'Competency Event Log'!$D$4:$D$803)))</f>
        <v/>
      </c>
      <c r="BU82" s="8" t="str">
        <f>IF($B82="","",IF(COUNTIF('Competency Event Log'!$U$4:$U$803,$B82&amp;"|"&amp;BU$5)=0,"",SUMIF('Competency Event Log'!$U$4:$U$803,$B82&amp;"|"&amp;BU$5,'Competency Event Log'!$D$4:$D$803)))</f>
        <v/>
      </c>
      <c r="BV82" s="8" t="str">
        <f>IF($B82="","",IF(COUNTIF('Competency Event Log'!$U$4:$U$803,$B82&amp;"|"&amp;BV$5)=0,"",SUMIF('Competency Event Log'!$U$4:$U$803,$B82&amp;"|"&amp;BV$5,'Competency Event Log'!$D$4:$D$803)))</f>
        <v/>
      </c>
      <c r="BW82" s="8" t="str">
        <f>IF($B82="","",IF(COUNTIF('Competency Event Log'!$U$4:$U$803,$B82&amp;"|"&amp;BW$5)=0,"",SUMIF('Competency Event Log'!$U$4:$U$803,$B82&amp;"|"&amp;BW$5,'Competency Event Log'!$D$4:$D$803)))</f>
        <v/>
      </c>
      <c r="BX82" s="8" t="str">
        <f>IF($B82="","",IF(COUNTIF('Competency Event Log'!$U$4:$U$803,$B82&amp;"|"&amp;BX$5)=0,"",SUMIF('Competency Event Log'!$U$4:$U$803,$B82&amp;"|"&amp;BX$5,'Competency Event Log'!$D$4:$D$803)))</f>
        <v/>
      </c>
      <c r="BY82" s="8" t="str">
        <f>IF($B82="","",IF(COUNTIF('Competency Event Log'!$U$4:$U$803,$B82&amp;"|"&amp;BY$5)=0,"",SUMIF('Competency Event Log'!$U$4:$U$803,$B82&amp;"|"&amp;BY$5,'Competency Event Log'!$D$4:$D$803)))</f>
        <v/>
      </c>
      <c r="BZ82" s="8" t="str">
        <f>IF($B82="","",IF(COUNTIF('Competency Event Log'!$U$4:$U$803,$B82&amp;"|"&amp;BZ$5)=0,"",SUMIF('Competency Event Log'!$U$4:$U$803,$B82&amp;"|"&amp;BZ$5,'Competency Event Log'!$D$4:$D$803)))</f>
        <v/>
      </c>
      <c r="CA82" s="8" t="str">
        <f>IF($B82="","",IF(COUNTIF('Competency Event Log'!$U$4:$U$803,$B82&amp;"|"&amp;CA$5)=0,"",SUMIF('Competency Event Log'!$U$4:$U$803,$B82&amp;"|"&amp;CA$5,'Competency Event Log'!$D$4:$D$803)))</f>
        <v/>
      </c>
      <c r="CB82" s="8" t="str">
        <f>IF($B82="","",IF(COUNTIF('Competency Event Log'!$U$4:$U$803,$B82&amp;"|"&amp;CB$5)=0,"",SUMIF('Competency Event Log'!$U$4:$U$803,$B82&amp;"|"&amp;CB$5,'Competency Event Log'!$D$4:$D$803)))</f>
        <v/>
      </c>
      <c r="CC82" s="8" t="str">
        <f>IF($B82="","",IF(COUNTIF('Competency Event Log'!$U$4:$U$803,$B82&amp;"|"&amp;CC$5)=0,"",SUMIF('Competency Event Log'!$U$4:$U$803,$B82&amp;"|"&amp;CC$5,'Competency Event Log'!$D$4:$D$803)))</f>
        <v/>
      </c>
      <c r="CD82" s="8" t="str">
        <f>IF($B82="","",IF(COUNTIF('Competency Event Log'!$U$4:$U$803,$B82&amp;"|"&amp;CD$5)=0,"",SUMIF('Competency Event Log'!$U$4:$U$803,$B82&amp;"|"&amp;CD$5,'Competency Event Log'!$D$4:$D$803)))</f>
        <v/>
      </c>
      <c r="CE82" s="8" t="str">
        <f>IF($B82="","",IF(COUNTIF('Competency Event Log'!$U$4:$U$803,$B82&amp;"|"&amp;CE$5)=0,"",SUMIF('Competency Event Log'!$U$4:$U$803,$B82&amp;"|"&amp;CE$5,'Competency Event Log'!$D$4:$D$803)))</f>
        <v/>
      </c>
      <c r="CF82" s="8" t="str">
        <f>IF($B82="","",IF(COUNTIF('Competency Event Log'!$U$4:$U$803,$B82&amp;"|"&amp;CF$5)=0,"",SUMIF('Competency Event Log'!$U$4:$U$803,$B82&amp;"|"&amp;CF$5,'Competency Event Log'!$D$4:$D$803)))</f>
        <v/>
      </c>
      <c r="CG82" s="8" t="str">
        <f>IF($B82="","",IF(COUNTIF('Competency Event Log'!$U$4:$U$803,$B82&amp;"|"&amp;CG$5)=0,"",SUMIF('Competency Event Log'!$U$4:$U$803,$B82&amp;"|"&amp;CG$5,'Competency Event Log'!$D$4:$D$803)))</f>
        <v/>
      </c>
      <c r="CH82" s="8" t="str">
        <f>IF($B82="","",IF(COUNTIF('Competency Event Log'!$U$4:$U$803,$B82&amp;"|"&amp;CH$5)=0,"",SUMIF('Competency Event Log'!$U$4:$U$803,$B82&amp;"|"&amp;CH$5,'Competency Event Log'!$D$4:$D$803)))</f>
        <v/>
      </c>
      <c r="CI82" s="8" t="str">
        <f>IF($B82="","",IF(COUNTIF('Competency Event Log'!$U$4:$U$803,$B82&amp;"|"&amp;CI$5)=0,"",SUMIF('Competency Event Log'!$U$4:$U$803,$B82&amp;"|"&amp;CI$5,'Competency Event Log'!$D$4:$D$803)))</f>
        <v/>
      </c>
      <c r="CJ82" s="8" t="str">
        <f>IF($B82="","",IF(COUNTIF('Competency Event Log'!$U$4:$U$803,$B82&amp;"|"&amp;CJ$5)=0,"",SUMIF('Competency Event Log'!$U$4:$U$803,$B82&amp;"|"&amp;CJ$5,'Competency Event Log'!$D$4:$D$803)))</f>
        <v/>
      </c>
      <c r="CK82" s="8" t="str">
        <f>IF($B82="","",IF(COUNTIF('Competency Event Log'!$U$4:$U$803,$B82&amp;"|"&amp;CK$5)=0,"",SUMIF('Competency Event Log'!$U$4:$U$803,$B82&amp;"|"&amp;CK$5,'Competency Event Log'!$D$4:$D$803)))</f>
        <v/>
      </c>
      <c r="CL82" s="8" t="str">
        <f>IF($B82="","",IF(COUNTIF('Competency Event Log'!$U$4:$U$803,$B82&amp;"|"&amp;CL$5)=0,"",SUMIF('Competency Event Log'!$U$4:$U$803,$B82&amp;"|"&amp;CL$5,'Competency Event Log'!$D$4:$D$803)))</f>
        <v/>
      </c>
      <c r="CM82" s="8" t="str">
        <f>IF($B82="","",IF(COUNTIF('Competency Event Log'!$U$4:$U$803,$B82&amp;"|"&amp;CM$5)=0,"",SUMIF('Competency Event Log'!$U$4:$U$803,$B82&amp;"|"&amp;CM$5,'Competency Event Log'!$D$4:$D$803)))</f>
        <v/>
      </c>
      <c r="CN82" s="8" t="str">
        <f>IF($B82="","",IF(COUNTIF('Competency Event Log'!$U$4:$U$803,$B82&amp;"|"&amp;CN$5)=0,"",SUMIF('Competency Event Log'!$U$4:$U$803,$B82&amp;"|"&amp;CN$5,'Competency Event Log'!$D$4:$D$803)))</f>
        <v/>
      </c>
      <c r="CO82" s="8" t="str">
        <f>IF($B82="","",IF(COUNTIF('Competency Event Log'!$U$4:$U$803,$B82&amp;"|"&amp;CO$5)=0,"",SUMIF('Competency Event Log'!$U$4:$U$803,$B82&amp;"|"&amp;CO$5,'Competency Event Log'!$D$4:$D$803)))</f>
        <v/>
      </c>
      <c r="CP82" s="8" t="str">
        <f>IF($B82="","",IF(COUNTIF('Competency Event Log'!$U$4:$U$803,$B82&amp;"|"&amp;CP$5)=0,"",SUMIF('Competency Event Log'!$U$4:$U$803,$B82&amp;"|"&amp;CP$5,'Competency Event Log'!$D$4:$D$803)))</f>
        <v/>
      </c>
      <c r="CQ82" s="8" t="str">
        <f>IF($B82="","",IF(COUNTIF('Competency Event Log'!$U$4:$U$803,$B82&amp;"|"&amp;CQ$5)=0,"",SUMIF('Competency Event Log'!$U$4:$U$803,$B82&amp;"|"&amp;CQ$5,'Competency Event Log'!$D$4:$D$803)))</f>
        <v/>
      </c>
      <c r="CR82" s="8" t="str">
        <f>IF($B82="","",IF(COUNTIF('Competency Event Log'!$U$4:$U$803,$B82&amp;"|"&amp;CR$5)=0,"",SUMIF('Competency Event Log'!$U$4:$U$803,$B82&amp;"|"&amp;CR$5,'Competency Event Log'!$D$4:$D$803)))</f>
        <v/>
      </c>
      <c r="CS82" s="8" t="str">
        <f>IF($B82="","",IF(COUNTIF('Competency Event Log'!$U$4:$U$803,$B82&amp;"|"&amp;CS$5)=0,"",SUMIF('Competency Event Log'!$U$4:$U$803,$B82&amp;"|"&amp;CS$5,'Competency Event Log'!$D$4:$D$803)))</f>
        <v/>
      </c>
      <c r="CT82" s="8" t="str">
        <f>IF($B82="","",IF(COUNTIF('Competency Event Log'!$U$4:$U$803,$B82&amp;"|"&amp;CT$5)=0,"",SUMIF('Competency Event Log'!$U$4:$U$803,$B82&amp;"|"&amp;CT$5,'Competency Event Log'!$D$4:$D$803)))</f>
        <v/>
      </c>
      <c r="CU82" s="8" t="str">
        <f>IF($B82="","",IF(COUNTIF('Competency Event Log'!$U$4:$U$803,$B82&amp;"|"&amp;CU$5)=0,"",SUMIF('Competency Event Log'!$U$4:$U$803,$B82&amp;"|"&amp;CU$5,'Competency Event Log'!$D$4:$D$803)))</f>
        <v/>
      </c>
      <c r="CV82" s="8" t="str">
        <f>IF($B82="","",IF(COUNTIF('Competency Event Log'!$U$4:$U$803,$B82&amp;"|"&amp;CV$5)=0,"",SUMIF('Competency Event Log'!$U$4:$U$803,$B82&amp;"|"&amp;CV$5,'Competency Event Log'!$D$4:$D$803)))</f>
        <v/>
      </c>
      <c r="CW82" s="8" t="str">
        <f>IF($B82="","",IF(COUNTIF('Competency Event Log'!$U$4:$U$803,$B82&amp;"|"&amp;CW$5)=0,"",SUMIF('Competency Event Log'!$U$4:$U$803,$B82&amp;"|"&amp;CW$5,'Competency Event Log'!$D$4:$D$803)))</f>
        <v/>
      </c>
      <c r="CX82" s="8" t="str">
        <f>IF($B82="","",IF(COUNTIF('Competency Event Log'!$U$4:$U$803,$B82&amp;"|"&amp;CX$5)=0,"",SUMIF('Competency Event Log'!$U$4:$U$803,$B82&amp;"|"&amp;CX$5,'Competency Event Log'!$D$4:$D$803)))</f>
        <v/>
      </c>
      <c r="CY82" s="8" t="str">
        <f>IF($B82="","",IF(COUNTIF('Competency Event Log'!$U$4:$U$803,$B82&amp;"|"&amp;CY$5)=0,"",SUMIF('Competency Event Log'!$U$4:$U$803,$B82&amp;"|"&amp;CY$5,'Competency Event Log'!$D$4:$D$803)))</f>
        <v/>
      </c>
      <c r="CZ82" s="8" t="str">
        <f>IF($B82="","",IF(COUNTIF('Competency Event Log'!$U$4:$U$803,$B82&amp;"|"&amp;CZ$5)=0,"",SUMIF('Competency Event Log'!$U$4:$U$803,$B82&amp;"|"&amp;CZ$5,'Competency Event Log'!$D$4:$D$803)))</f>
        <v/>
      </c>
      <c r="DA82" s="8" t="str">
        <f>IF($B82="","",IF(COUNTIF('Competency Event Log'!$U$4:$U$803,$B82&amp;"|"&amp;DA$5)=0,"",SUMIF('Competency Event Log'!$U$4:$U$803,$B82&amp;"|"&amp;DA$5,'Competency Event Log'!$D$4:$D$803)))</f>
        <v/>
      </c>
      <c r="DB82" s="8" t="str">
        <f>IF($B82="","",IF(COUNTIF('Competency Event Log'!$U$4:$U$803,$B82&amp;"|"&amp;DB$5)=0,"",SUMIF('Competency Event Log'!$U$4:$U$803,$B82&amp;"|"&amp;DB$5,'Competency Event Log'!$D$4:$D$803)))</f>
        <v/>
      </c>
      <c r="DC82" s="8" t="str">
        <f>IF($B82="","",IF(COUNTIF('Competency Event Log'!$U$4:$U$803,$B82&amp;"|"&amp;DC$5)=0,"",SUMIF('Competency Event Log'!$U$4:$U$803,$B82&amp;"|"&amp;DC$5,'Competency Event Log'!$D$4:$D$803)))</f>
        <v/>
      </c>
      <c r="DD82" s="8" t="str">
        <f>IF($B82="","",IF(COUNTIF('Competency Event Log'!$U$4:$U$803,$B82&amp;"|"&amp;DD$5)=0,"",SUMIF('Competency Event Log'!$U$4:$U$803,$B82&amp;"|"&amp;DD$5,'Competency Event Log'!$D$4:$D$803)))</f>
        <v/>
      </c>
      <c r="DE82" s="8" t="str">
        <f>IF($B82="","",IF(COUNTIF('Competency Event Log'!$U$4:$U$803,$B82&amp;"|"&amp;DE$5)=0,"",SUMIF('Competency Event Log'!$U$4:$U$803,$B82&amp;"|"&amp;DE$5,'Competency Event Log'!$D$4:$D$803)))</f>
        <v/>
      </c>
      <c r="DF82" s="8" t="str">
        <f t="shared" si="8"/>
        <v/>
      </c>
      <c r="DG82" s="8" t="str">
        <f t="shared" si="9"/>
        <v/>
      </c>
      <c r="DH82" s="8" t="str">
        <f t="shared" si="10"/>
        <v/>
      </c>
      <c r="DI82" s="11" t="str">
        <f t="shared" si="11"/>
        <v/>
      </c>
    </row>
    <row r="83" spans="1:113">
      <c r="A83" s="7"/>
      <c r="B83" s="7"/>
      <c r="C83" s="8"/>
      <c r="D83" s="9"/>
      <c r="E83" s="10"/>
      <c r="F83" s="8"/>
      <c r="G83" s="8" t="str">
        <f>IF($B83="","",IF(COUNTIF('Competency Event Log'!$U$4:$U$803,$B83&amp;"|"&amp;G$5)=0,"",SUMIF('Competency Event Log'!$U$4:$U$803,$B83&amp;"|"&amp;G$5,'Competency Event Log'!$D$4:$D$803)))</f>
        <v/>
      </c>
      <c r="H83" s="8" t="str">
        <f>IF($B83="","",IF(COUNTIF('Competency Event Log'!$U$4:$U$803,$B83&amp;"|"&amp;H$5)=0,"",SUMIF('Competency Event Log'!$U$4:$U$803,$B83&amp;"|"&amp;H$5,'Competency Event Log'!$D$4:$D$803)))</f>
        <v/>
      </c>
      <c r="I83" s="8" t="str">
        <f>IF($B83="","",IF(COUNTIF('Competency Event Log'!$U$4:$U$803,$B83&amp;"|"&amp;I$5)=0,"",SUMIF('Competency Event Log'!$U$4:$U$803,$B83&amp;"|"&amp;I$5,'Competency Event Log'!$D$4:$D$803)))</f>
        <v/>
      </c>
      <c r="J83" s="8" t="str">
        <f>IF($B83="","",IF(COUNTIF('Competency Event Log'!$U$4:$U$803,$B83&amp;"|"&amp;J$5)=0,"",SUMIF('Competency Event Log'!$U$4:$U$803,$B83&amp;"|"&amp;J$5,'Competency Event Log'!$D$4:$D$803)))</f>
        <v/>
      </c>
      <c r="K83" s="8" t="str">
        <f>IF($B83="","",IF(COUNTIF('Competency Event Log'!$U$4:$U$803,$B83&amp;"|"&amp;K$5)=0,"",SUMIF('Competency Event Log'!$U$4:$U$803,$B83&amp;"|"&amp;K$5,'Competency Event Log'!$D$4:$D$803)))</f>
        <v/>
      </c>
      <c r="L83" s="8" t="str">
        <f>IF($B83="","",IF(COUNTIF('Competency Event Log'!$U$4:$U$803,$B83&amp;"|"&amp;L$5)=0,"",SUMIF('Competency Event Log'!$U$4:$U$803,$B83&amp;"|"&amp;L$5,'Competency Event Log'!$D$4:$D$803)))</f>
        <v/>
      </c>
      <c r="M83" s="8" t="str">
        <f>IF($B83="","",IF(COUNTIF('Competency Event Log'!$U$4:$U$803,$B83&amp;"|"&amp;M$5)=0,"",SUMIF('Competency Event Log'!$U$4:$U$803,$B83&amp;"|"&amp;M$5,'Competency Event Log'!$D$4:$D$803)))</f>
        <v/>
      </c>
      <c r="N83" s="8" t="str">
        <f>IF($B83="","",IF(COUNTIF('Competency Event Log'!$U$4:$U$803,$B83&amp;"|"&amp;N$5)=0,"",SUMIF('Competency Event Log'!$U$4:$U$803,$B83&amp;"|"&amp;N$5,'Competency Event Log'!$D$4:$D$803)))</f>
        <v/>
      </c>
      <c r="O83" s="8" t="str">
        <f>IF($B83="","",IF(COUNTIF('Competency Event Log'!$U$4:$U$803,$B83&amp;"|"&amp;O$5)=0,"",SUMIF('Competency Event Log'!$U$4:$U$803,$B83&amp;"|"&amp;O$5,'Competency Event Log'!$D$4:$D$803)))</f>
        <v/>
      </c>
      <c r="P83" s="8" t="str">
        <f>IF($B83="","",IF(COUNTIF('Competency Event Log'!$U$4:$U$803,$B83&amp;"|"&amp;P$5)=0,"",SUMIF('Competency Event Log'!$U$4:$U$803,$B83&amp;"|"&amp;P$5,'Competency Event Log'!$D$4:$D$803)))</f>
        <v/>
      </c>
      <c r="Q83" s="8" t="str">
        <f>IF($B83="","",IF(COUNTIF('Competency Event Log'!$U$4:$U$803,$B83&amp;"|"&amp;Q$5)=0,"",SUMIF('Competency Event Log'!$U$4:$U$803,$B83&amp;"|"&amp;Q$5,'Competency Event Log'!$D$4:$D$803)))</f>
        <v/>
      </c>
      <c r="R83" s="8" t="str">
        <f>IF($B83="","",IF(COUNTIF('Competency Event Log'!$U$4:$U$803,$B83&amp;"|"&amp;R$5)=0,"",SUMIF('Competency Event Log'!$U$4:$U$803,$B83&amp;"|"&amp;R$5,'Competency Event Log'!$D$4:$D$803)))</f>
        <v/>
      </c>
      <c r="S83" s="8" t="str">
        <f>IF($B83="","",IF(COUNTIF('Competency Event Log'!$U$4:$U$803,$B83&amp;"|"&amp;S$5)=0,"",SUMIF('Competency Event Log'!$U$4:$U$803,$B83&amp;"|"&amp;S$5,'Competency Event Log'!$D$4:$D$803)))</f>
        <v/>
      </c>
      <c r="T83" s="8" t="str">
        <f>IF($B83="","",IF(COUNTIF('Competency Event Log'!$U$4:$U$803,$B83&amp;"|"&amp;T$5)=0,"",SUMIF('Competency Event Log'!$U$4:$U$803,$B83&amp;"|"&amp;T$5,'Competency Event Log'!$D$4:$D$803)))</f>
        <v/>
      </c>
      <c r="U83" s="8" t="str">
        <f>IF($B83="","",IF(COUNTIF('Competency Event Log'!$U$4:$U$803,$B83&amp;"|"&amp;U$5)=0,"",SUMIF('Competency Event Log'!$U$4:$U$803,$B83&amp;"|"&amp;U$5,'Competency Event Log'!$D$4:$D$803)))</f>
        <v/>
      </c>
      <c r="V83" s="8" t="str">
        <f>IF($B83="","",IF(COUNTIF('Competency Event Log'!$U$4:$U$803,$B83&amp;"|"&amp;V$5)=0,"",SUMIF('Competency Event Log'!$U$4:$U$803,$B83&amp;"|"&amp;V$5,'Competency Event Log'!$D$4:$D$803)))</f>
        <v/>
      </c>
      <c r="W83" s="8" t="str">
        <f>IF($B83="","",IF(COUNTIF('Competency Event Log'!$U$4:$U$803,$B83&amp;"|"&amp;W$5)=0,"",SUMIF('Competency Event Log'!$U$4:$U$803,$B83&amp;"|"&amp;W$5,'Competency Event Log'!$D$4:$D$803)))</f>
        <v/>
      </c>
      <c r="X83" s="8" t="str">
        <f>IF($B83="","",IF(COUNTIF('Competency Event Log'!$U$4:$U$803,$B83&amp;"|"&amp;X$5)=0,"",SUMIF('Competency Event Log'!$U$4:$U$803,$B83&amp;"|"&amp;X$5,'Competency Event Log'!$D$4:$D$803)))</f>
        <v/>
      </c>
      <c r="Y83" s="8" t="str">
        <f>IF($B83="","",IF(COUNTIF('Competency Event Log'!$U$4:$U$803,$B83&amp;"|"&amp;Y$5)=0,"",SUMIF('Competency Event Log'!$U$4:$U$803,$B83&amp;"|"&amp;Y$5,'Competency Event Log'!$D$4:$D$803)))</f>
        <v/>
      </c>
      <c r="Z83" s="8" t="str">
        <f>IF($B83="","",IF(COUNTIF('Competency Event Log'!$U$4:$U$803,$B83&amp;"|"&amp;Z$5)=0,"",SUMIF('Competency Event Log'!$U$4:$U$803,$B83&amp;"|"&amp;Z$5,'Competency Event Log'!$D$4:$D$803)))</f>
        <v/>
      </c>
      <c r="AA83" s="8" t="str">
        <f>IF($B83="","",IF(COUNTIF('Competency Event Log'!$U$4:$U$803,$B83&amp;"|"&amp;AA$5)=0,"",SUMIF('Competency Event Log'!$U$4:$U$803,$B83&amp;"|"&amp;AA$5,'Competency Event Log'!$D$4:$D$803)))</f>
        <v/>
      </c>
      <c r="AB83" s="8" t="str">
        <f>IF($B83="","",IF(COUNTIF('Competency Event Log'!$U$4:$U$803,$B83&amp;"|"&amp;AB$5)=0,"",SUMIF('Competency Event Log'!$U$4:$U$803,$B83&amp;"|"&amp;AB$5,'Competency Event Log'!$D$4:$D$803)))</f>
        <v/>
      </c>
      <c r="AC83" s="8" t="str">
        <f>IF($B83="","",IF(COUNTIF('Competency Event Log'!$U$4:$U$803,$B83&amp;"|"&amp;AC$5)=0,"",SUMIF('Competency Event Log'!$U$4:$U$803,$B83&amp;"|"&amp;AC$5,'Competency Event Log'!$D$4:$D$803)))</f>
        <v/>
      </c>
      <c r="AD83" s="8" t="str">
        <f>IF($B83="","",IF(COUNTIF('Competency Event Log'!$U$4:$U$803,$B83&amp;"|"&amp;AD$5)=0,"",SUMIF('Competency Event Log'!$U$4:$U$803,$B83&amp;"|"&amp;AD$5,'Competency Event Log'!$D$4:$D$803)))</f>
        <v/>
      </c>
      <c r="AE83" s="8" t="str">
        <f>IF($B83="","",IF(COUNTIF('Competency Event Log'!$U$4:$U$803,$B83&amp;"|"&amp;AE$5)=0,"",SUMIF('Competency Event Log'!$U$4:$U$803,$B83&amp;"|"&amp;AE$5,'Competency Event Log'!$D$4:$D$803)))</f>
        <v/>
      </c>
      <c r="AF83" s="8" t="str">
        <f>IF($B83="","",IF(COUNTIF('Competency Event Log'!$U$4:$U$803,$B83&amp;"|"&amp;AF$5)=0,"",SUMIF('Competency Event Log'!$U$4:$U$803,$B83&amp;"|"&amp;AF$5,'Competency Event Log'!$D$4:$D$803)))</f>
        <v/>
      </c>
      <c r="AG83" s="8" t="str">
        <f>IF($B83="","",IF(COUNTIF('Competency Event Log'!$U$4:$U$803,$B83&amp;"|"&amp;AG$5)=0,"",SUMIF('Competency Event Log'!$U$4:$U$803,$B83&amp;"|"&amp;AG$5,'Competency Event Log'!$D$4:$D$803)))</f>
        <v/>
      </c>
      <c r="AH83" s="8" t="str">
        <f>IF($B83="","",IF(COUNTIF('Competency Event Log'!$U$4:$U$803,$B83&amp;"|"&amp;AH$5)=0,"",SUMIF('Competency Event Log'!$U$4:$U$803,$B83&amp;"|"&amp;AH$5,'Competency Event Log'!$D$4:$D$803)))</f>
        <v/>
      </c>
      <c r="AI83" s="8" t="str">
        <f>IF($B83="","",IF(COUNTIF('Competency Event Log'!$U$4:$U$803,$B83&amp;"|"&amp;AI$5)=0,"",SUMIF('Competency Event Log'!$U$4:$U$803,$B83&amp;"|"&amp;AI$5,'Competency Event Log'!$D$4:$D$803)))</f>
        <v/>
      </c>
      <c r="AJ83" s="8" t="str">
        <f>IF($B83="","",IF(COUNTIF('Competency Event Log'!$U$4:$U$803,$B83&amp;"|"&amp;AJ$5)=0,"",SUMIF('Competency Event Log'!$U$4:$U$803,$B83&amp;"|"&amp;AJ$5,'Competency Event Log'!$D$4:$D$803)))</f>
        <v/>
      </c>
      <c r="AK83" s="8" t="str">
        <f>IF($B83="","",IF(COUNTIF('Competency Event Log'!$U$4:$U$803,$B83&amp;"|"&amp;AK$5)=0,"",SUMIF('Competency Event Log'!$U$4:$U$803,$B83&amp;"|"&amp;AK$5,'Competency Event Log'!$D$4:$D$803)))</f>
        <v/>
      </c>
      <c r="AL83" s="8" t="str">
        <f>IF($B83="","",IF(COUNTIF('Competency Event Log'!$U$4:$U$803,$B83&amp;"|"&amp;AL$5)=0,"",SUMIF('Competency Event Log'!$U$4:$U$803,$B83&amp;"|"&amp;AL$5,'Competency Event Log'!$D$4:$D$803)))</f>
        <v/>
      </c>
      <c r="AM83" s="8" t="str">
        <f>IF($B83="","",IF(COUNTIF('Competency Event Log'!$U$4:$U$803,$B83&amp;"|"&amp;AM$5)=0,"",SUMIF('Competency Event Log'!$U$4:$U$803,$B83&amp;"|"&amp;AM$5,'Competency Event Log'!$D$4:$D$803)))</f>
        <v/>
      </c>
      <c r="AN83" s="8" t="str">
        <f>IF($B83="","",IF(COUNTIF('Competency Event Log'!$U$4:$U$803,$B83&amp;"|"&amp;AN$5)=0,"",SUMIF('Competency Event Log'!$U$4:$U$803,$B83&amp;"|"&amp;AN$5,'Competency Event Log'!$D$4:$D$803)))</f>
        <v/>
      </c>
      <c r="AO83" s="8" t="str">
        <f>IF($B83="","",IF(COUNTIF('Competency Event Log'!$U$4:$U$803,$B83&amp;"|"&amp;AO$5)=0,"",SUMIF('Competency Event Log'!$U$4:$U$803,$B83&amp;"|"&amp;AO$5,'Competency Event Log'!$D$4:$D$803)))</f>
        <v/>
      </c>
      <c r="AP83" s="8" t="str">
        <f>IF($B83="","",IF(COUNTIF('Competency Event Log'!$U$4:$U$803,$B83&amp;"|"&amp;AP$5)=0,"",SUMIF('Competency Event Log'!$U$4:$U$803,$B83&amp;"|"&amp;AP$5,'Competency Event Log'!$D$4:$D$803)))</f>
        <v/>
      </c>
      <c r="AQ83" s="8" t="str">
        <f>IF($B83="","",IF(COUNTIF('Competency Event Log'!$U$4:$U$803,$B83&amp;"|"&amp;AQ$5)=0,"",SUMIF('Competency Event Log'!$U$4:$U$803,$B83&amp;"|"&amp;AQ$5,'Competency Event Log'!$D$4:$D$803)))</f>
        <v/>
      </c>
      <c r="AR83" s="8" t="str">
        <f>IF($B83="","",IF(COUNTIF('Competency Event Log'!$U$4:$U$803,$B83&amp;"|"&amp;AR$5)=0,"",SUMIF('Competency Event Log'!$U$4:$U$803,$B83&amp;"|"&amp;AR$5,'Competency Event Log'!$D$4:$D$803)))</f>
        <v/>
      </c>
      <c r="AS83" s="8" t="str">
        <f>IF($B83="","",IF(COUNTIF('Competency Event Log'!$U$4:$U$803,$B83&amp;"|"&amp;AS$5)=0,"",SUMIF('Competency Event Log'!$U$4:$U$803,$B83&amp;"|"&amp;AS$5,'Competency Event Log'!$D$4:$D$803)))</f>
        <v/>
      </c>
      <c r="AT83" s="8" t="str">
        <f>IF($B83="","",IF(COUNTIF('Competency Event Log'!$U$4:$U$803,$B83&amp;"|"&amp;AT$5)=0,"",SUMIF('Competency Event Log'!$U$4:$U$803,$B83&amp;"|"&amp;AT$5,'Competency Event Log'!$D$4:$D$803)))</f>
        <v/>
      </c>
      <c r="AU83" s="8" t="str">
        <f>IF($B83="","",IF(COUNTIF('Competency Event Log'!$U$4:$U$803,$B83&amp;"|"&amp;AU$5)=0,"",SUMIF('Competency Event Log'!$U$4:$U$803,$B83&amp;"|"&amp;AU$5,'Competency Event Log'!$D$4:$D$803)))</f>
        <v/>
      </c>
      <c r="AV83" s="8" t="str">
        <f>IF($B83="","",IF(COUNTIF('Competency Event Log'!$U$4:$U$803,$B83&amp;"|"&amp;AV$5)=0,"",SUMIF('Competency Event Log'!$U$4:$U$803,$B83&amp;"|"&amp;AV$5,'Competency Event Log'!$D$4:$D$803)))</f>
        <v/>
      </c>
      <c r="AW83" s="8" t="str">
        <f>IF($B83="","",IF(COUNTIF('Competency Event Log'!$U$4:$U$803,$B83&amp;"|"&amp;AW$5)=0,"",SUMIF('Competency Event Log'!$U$4:$U$803,$B83&amp;"|"&amp;AW$5,'Competency Event Log'!$D$4:$D$803)))</f>
        <v/>
      </c>
      <c r="AX83" s="8" t="str">
        <f>IF($B83="","",IF(COUNTIF('Competency Event Log'!$U$4:$U$803,$B83&amp;"|"&amp;AX$5)=0,"",SUMIF('Competency Event Log'!$U$4:$U$803,$B83&amp;"|"&amp;AX$5,'Competency Event Log'!$D$4:$D$803)))</f>
        <v/>
      </c>
      <c r="AY83" s="8" t="str">
        <f>IF($B83="","",IF(COUNTIF('Competency Event Log'!$U$4:$U$803,$B83&amp;"|"&amp;AY$5)=0,"",SUMIF('Competency Event Log'!$U$4:$U$803,$B83&amp;"|"&amp;AY$5,'Competency Event Log'!$D$4:$D$803)))</f>
        <v/>
      </c>
      <c r="AZ83" s="8" t="str">
        <f>IF($B83="","",IF(COUNTIF('Competency Event Log'!$U$4:$U$803,$B83&amp;"|"&amp;AZ$5)=0,"",SUMIF('Competency Event Log'!$U$4:$U$803,$B83&amp;"|"&amp;AZ$5,'Competency Event Log'!$D$4:$D$803)))</f>
        <v/>
      </c>
      <c r="BA83" s="8" t="str">
        <f>IF($B83="","",IF(COUNTIF('Competency Event Log'!$U$4:$U$803,$B83&amp;"|"&amp;BA$5)=0,"",SUMIF('Competency Event Log'!$U$4:$U$803,$B83&amp;"|"&amp;BA$5,'Competency Event Log'!$D$4:$D$803)))</f>
        <v/>
      </c>
      <c r="BB83" s="8" t="str">
        <f>IF($B83="","",IF(COUNTIF('Competency Event Log'!$U$4:$U$803,$B83&amp;"|"&amp;BB$5)=0,"",SUMIF('Competency Event Log'!$U$4:$U$803,$B83&amp;"|"&amp;BB$5,'Competency Event Log'!$D$4:$D$803)))</f>
        <v/>
      </c>
      <c r="BC83" s="8" t="str">
        <f>IF($B83="","",IF(COUNTIF('Competency Event Log'!$U$4:$U$803,$B83&amp;"|"&amp;BC$5)=0,"",SUMIF('Competency Event Log'!$U$4:$U$803,$B83&amp;"|"&amp;BC$5,'Competency Event Log'!$D$4:$D$803)))</f>
        <v/>
      </c>
      <c r="BD83" s="8" t="str">
        <f>IF($B83="","",IF(COUNTIF('Competency Event Log'!$U$4:$U$803,$B83&amp;"|"&amp;BD$5)=0,"",SUMIF('Competency Event Log'!$U$4:$U$803,$B83&amp;"|"&amp;BD$5,'Competency Event Log'!$D$4:$D$803)))</f>
        <v/>
      </c>
      <c r="BE83" s="8" t="str">
        <f>IF($B83="","",IF(COUNTIF('Competency Event Log'!$U$4:$U$803,$B83&amp;"|"&amp;BE$5)=0,"",SUMIF('Competency Event Log'!$U$4:$U$803,$B83&amp;"|"&amp;BE$5,'Competency Event Log'!$D$4:$D$803)))</f>
        <v/>
      </c>
      <c r="BF83" s="8" t="str">
        <f>IF($B83="","",IF(COUNTIF('Competency Event Log'!$U$4:$U$803,$B83&amp;"|"&amp;BF$5)=0,"",SUMIF('Competency Event Log'!$U$4:$U$803,$B83&amp;"|"&amp;BF$5,'Competency Event Log'!$D$4:$D$803)))</f>
        <v/>
      </c>
      <c r="BG83" s="8" t="str">
        <f>IF($B83="","",IF(COUNTIF('Competency Event Log'!$U$4:$U$803,$B83&amp;"|"&amp;BG$5)=0,"",SUMIF('Competency Event Log'!$U$4:$U$803,$B83&amp;"|"&amp;BG$5,'Competency Event Log'!$D$4:$D$803)))</f>
        <v/>
      </c>
      <c r="BH83" s="8" t="str">
        <f>IF($B83="","",IF(COUNTIF('Competency Event Log'!$U$4:$U$803,$B83&amp;"|"&amp;BH$5)=0,"",SUMIF('Competency Event Log'!$U$4:$U$803,$B83&amp;"|"&amp;BH$5,'Competency Event Log'!$D$4:$D$803)))</f>
        <v/>
      </c>
      <c r="BI83" s="8" t="str">
        <f>IF($B83="","",IF(COUNTIF('Competency Event Log'!$U$4:$U$803,$B83&amp;"|"&amp;BI$5)=0,"",SUMIF('Competency Event Log'!$U$4:$U$803,$B83&amp;"|"&amp;BI$5,'Competency Event Log'!$D$4:$D$803)))</f>
        <v/>
      </c>
      <c r="BJ83" s="8" t="str">
        <f>IF($B83="","",IF(COUNTIF('Competency Event Log'!$U$4:$U$803,$B83&amp;"|"&amp;BJ$5)=0,"",SUMIF('Competency Event Log'!$U$4:$U$803,$B83&amp;"|"&amp;BJ$5,'Competency Event Log'!$D$4:$D$803)))</f>
        <v/>
      </c>
      <c r="BK83" s="8" t="str">
        <f>IF($B83="","",IF(COUNTIF('Competency Event Log'!$U$4:$U$803,$B83&amp;"|"&amp;BK$5)=0,"",SUMIF('Competency Event Log'!$U$4:$U$803,$B83&amp;"|"&amp;BK$5,'Competency Event Log'!$D$4:$D$803)))</f>
        <v/>
      </c>
      <c r="BL83" s="8" t="str">
        <f>IF($B83="","",IF(COUNTIF('Competency Event Log'!$U$4:$U$803,$B83&amp;"|"&amp;BL$5)=0,"",SUMIF('Competency Event Log'!$U$4:$U$803,$B83&amp;"|"&amp;BL$5,'Competency Event Log'!$D$4:$D$803)))</f>
        <v/>
      </c>
      <c r="BM83" s="8" t="str">
        <f>IF($B83="","",IF(COUNTIF('Competency Event Log'!$U$4:$U$803,$B83&amp;"|"&amp;BM$5)=0,"",SUMIF('Competency Event Log'!$U$4:$U$803,$B83&amp;"|"&amp;BM$5,'Competency Event Log'!$D$4:$D$803)))</f>
        <v/>
      </c>
      <c r="BN83" s="8" t="str">
        <f>IF($B83="","",IF(COUNTIF('Competency Event Log'!$U$4:$U$803,$B83&amp;"|"&amp;BN$5)=0,"",SUMIF('Competency Event Log'!$U$4:$U$803,$B83&amp;"|"&amp;BN$5,'Competency Event Log'!$D$4:$D$803)))</f>
        <v/>
      </c>
      <c r="BO83" s="8" t="str">
        <f>IF($B83="","",IF(COUNTIF('Competency Event Log'!$U$4:$U$803,$B83&amp;"|"&amp;BO$5)=0,"",SUMIF('Competency Event Log'!$U$4:$U$803,$B83&amp;"|"&amp;BO$5,'Competency Event Log'!$D$4:$D$803)))</f>
        <v/>
      </c>
      <c r="BP83" s="8" t="str">
        <f>IF($B83="","",IF(COUNTIF('Competency Event Log'!$U$4:$U$803,$B83&amp;"|"&amp;BP$5)=0,"",SUMIF('Competency Event Log'!$U$4:$U$803,$B83&amp;"|"&amp;BP$5,'Competency Event Log'!$D$4:$D$803)))</f>
        <v/>
      </c>
      <c r="BQ83" s="8" t="str">
        <f>IF($B83="","",IF(COUNTIF('Competency Event Log'!$U$4:$U$803,$B83&amp;"|"&amp;BQ$5)=0,"",SUMIF('Competency Event Log'!$U$4:$U$803,$B83&amp;"|"&amp;BQ$5,'Competency Event Log'!$D$4:$D$803)))</f>
        <v/>
      </c>
      <c r="BR83" s="8" t="str">
        <f>IF($B83="","",IF(COUNTIF('Competency Event Log'!$U$4:$U$803,$B83&amp;"|"&amp;BR$5)=0,"",SUMIF('Competency Event Log'!$U$4:$U$803,$B83&amp;"|"&amp;BR$5,'Competency Event Log'!$D$4:$D$803)))</f>
        <v/>
      </c>
      <c r="BS83" s="8" t="str">
        <f>IF($B83="","",IF(COUNTIF('Competency Event Log'!$U$4:$U$803,$B83&amp;"|"&amp;BS$5)=0,"",SUMIF('Competency Event Log'!$U$4:$U$803,$B83&amp;"|"&amp;BS$5,'Competency Event Log'!$D$4:$D$803)))</f>
        <v/>
      </c>
      <c r="BT83" s="8" t="str">
        <f>IF($B83="","",IF(COUNTIF('Competency Event Log'!$U$4:$U$803,$B83&amp;"|"&amp;BT$5)=0,"",SUMIF('Competency Event Log'!$U$4:$U$803,$B83&amp;"|"&amp;BT$5,'Competency Event Log'!$D$4:$D$803)))</f>
        <v/>
      </c>
      <c r="BU83" s="8" t="str">
        <f>IF($B83="","",IF(COUNTIF('Competency Event Log'!$U$4:$U$803,$B83&amp;"|"&amp;BU$5)=0,"",SUMIF('Competency Event Log'!$U$4:$U$803,$B83&amp;"|"&amp;BU$5,'Competency Event Log'!$D$4:$D$803)))</f>
        <v/>
      </c>
      <c r="BV83" s="8" t="str">
        <f>IF($B83="","",IF(COUNTIF('Competency Event Log'!$U$4:$U$803,$B83&amp;"|"&amp;BV$5)=0,"",SUMIF('Competency Event Log'!$U$4:$U$803,$B83&amp;"|"&amp;BV$5,'Competency Event Log'!$D$4:$D$803)))</f>
        <v/>
      </c>
      <c r="BW83" s="8" t="str">
        <f>IF($B83="","",IF(COUNTIF('Competency Event Log'!$U$4:$U$803,$B83&amp;"|"&amp;BW$5)=0,"",SUMIF('Competency Event Log'!$U$4:$U$803,$B83&amp;"|"&amp;BW$5,'Competency Event Log'!$D$4:$D$803)))</f>
        <v/>
      </c>
      <c r="BX83" s="8" t="str">
        <f>IF($B83="","",IF(COUNTIF('Competency Event Log'!$U$4:$U$803,$B83&amp;"|"&amp;BX$5)=0,"",SUMIF('Competency Event Log'!$U$4:$U$803,$B83&amp;"|"&amp;BX$5,'Competency Event Log'!$D$4:$D$803)))</f>
        <v/>
      </c>
      <c r="BY83" s="8" t="str">
        <f>IF($B83="","",IF(COUNTIF('Competency Event Log'!$U$4:$U$803,$B83&amp;"|"&amp;BY$5)=0,"",SUMIF('Competency Event Log'!$U$4:$U$803,$B83&amp;"|"&amp;BY$5,'Competency Event Log'!$D$4:$D$803)))</f>
        <v/>
      </c>
      <c r="BZ83" s="8" t="str">
        <f>IF($B83="","",IF(COUNTIF('Competency Event Log'!$U$4:$U$803,$B83&amp;"|"&amp;BZ$5)=0,"",SUMIF('Competency Event Log'!$U$4:$U$803,$B83&amp;"|"&amp;BZ$5,'Competency Event Log'!$D$4:$D$803)))</f>
        <v/>
      </c>
      <c r="CA83" s="8" t="str">
        <f>IF($B83="","",IF(COUNTIF('Competency Event Log'!$U$4:$U$803,$B83&amp;"|"&amp;CA$5)=0,"",SUMIF('Competency Event Log'!$U$4:$U$803,$B83&amp;"|"&amp;CA$5,'Competency Event Log'!$D$4:$D$803)))</f>
        <v/>
      </c>
      <c r="CB83" s="8" t="str">
        <f>IF($B83="","",IF(COUNTIF('Competency Event Log'!$U$4:$U$803,$B83&amp;"|"&amp;CB$5)=0,"",SUMIF('Competency Event Log'!$U$4:$U$803,$B83&amp;"|"&amp;CB$5,'Competency Event Log'!$D$4:$D$803)))</f>
        <v/>
      </c>
      <c r="CC83" s="8" t="str">
        <f>IF($B83="","",IF(COUNTIF('Competency Event Log'!$U$4:$U$803,$B83&amp;"|"&amp;CC$5)=0,"",SUMIF('Competency Event Log'!$U$4:$U$803,$B83&amp;"|"&amp;CC$5,'Competency Event Log'!$D$4:$D$803)))</f>
        <v/>
      </c>
      <c r="CD83" s="8" t="str">
        <f>IF($B83="","",IF(COUNTIF('Competency Event Log'!$U$4:$U$803,$B83&amp;"|"&amp;CD$5)=0,"",SUMIF('Competency Event Log'!$U$4:$U$803,$B83&amp;"|"&amp;CD$5,'Competency Event Log'!$D$4:$D$803)))</f>
        <v/>
      </c>
      <c r="CE83" s="8" t="str">
        <f>IF($B83="","",IF(COUNTIF('Competency Event Log'!$U$4:$U$803,$B83&amp;"|"&amp;CE$5)=0,"",SUMIF('Competency Event Log'!$U$4:$U$803,$B83&amp;"|"&amp;CE$5,'Competency Event Log'!$D$4:$D$803)))</f>
        <v/>
      </c>
      <c r="CF83" s="8" t="str">
        <f>IF($B83="","",IF(COUNTIF('Competency Event Log'!$U$4:$U$803,$B83&amp;"|"&amp;CF$5)=0,"",SUMIF('Competency Event Log'!$U$4:$U$803,$B83&amp;"|"&amp;CF$5,'Competency Event Log'!$D$4:$D$803)))</f>
        <v/>
      </c>
      <c r="CG83" s="8" t="str">
        <f>IF($B83="","",IF(COUNTIF('Competency Event Log'!$U$4:$U$803,$B83&amp;"|"&amp;CG$5)=0,"",SUMIF('Competency Event Log'!$U$4:$U$803,$B83&amp;"|"&amp;CG$5,'Competency Event Log'!$D$4:$D$803)))</f>
        <v/>
      </c>
      <c r="CH83" s="8" t="str">
        <f>IF($B83="","",IF(COUNTIF('Competency Event Log'!$U$4:$U$803,$B83&amp;"|"&amp;CH$5)=0,"",SUMIF('Competency Event Log'!$U$4:$U$803,$B83&amp;"|"&amp;CH$5,'Competency Event Log'!$D$4:$D$803)))</f>
        <v/>
      </c>
      <c r="CI83" s="8" t="str">
        <f>IF($B83="","",IF(COUNTIF('Competency Event Log'!$U$4:$U$803,$B83&amp;"|"&amp;CI$5)=0,"",SUMIF('Competency Event Log'!$U$4:$U$803,$B83&amp;"|"&amp;CI$5,'Competency Event Log'!$D$4:$D$803)))</f>
        <v/>
      </c>
      <c r="CJ83" s="8" t="str">
        <f>IF($B83="","",IF(COUNTIF('Competency Event Log'!$U$4:$U$803,$B83&amp;"|"&amp;CJ$5)=0,"",SUMIF('Competency Event Log'!$U$4:$U$803,$B83&amp;"|"&amp;CJ$5,'Competency Event Log'!$D$4:$D$803)))</f>
        <v/>
      </c>
      <c r="CK83" s="8" t="str">
        <f>IF($B83="","",IF(COUNTIF('Competency Event Log'!$U$4:$U$803,$B83&amp;"|"&amp;CK$5)=0,"",SUMIF('Competency Event Log'!$U$4:$U$803,$B83&amp;"|"&amp;CK$5,'Competency Event Log'!$D$4:$D$803)))</f>
        <v/>
      </c>
      <c r="CL83" s="8" t="str">
        <f>IF($B83="","",IF(COUNTIF('Competency Event Log'!$U$4:$U$803,$B83&amp;"|"&amp;CL$5)=0,"",SUMIF('Competency Event Log'!$U$4:$U$803,$B83&amp;"|"&amp;CL$5,'Competency Event Log'!$D$4:$D$803)))</f>
        <v/>
      </c>
      <c r="CM83" s="8" t="str">
        <f>IF($B83="","",IF(COUNTIF('Competency Event Log'!$U$4:$U$803,$B83&amp;"|"&amp;CM$5)=0,"",SUMIF('Competency Event Log'!$U$4:$U$803,$B83&amp;"|"&amp;CM$5,'Competency Event Log'!$D$4:$D$803)))</f>
        <v/>
      </c>
      <c r="CN83" s="8" t="str">
        <f>IF($B83="","",IF(COUNTIF('Competency Event Log'!$U$4:$U$803,$B83&amp;"|"&amp;CN$5)=0,"",SUMIF('Competency Event Log'!$U$4:$U$803,$B83&amp;"|"&amp;CN$5,'Competency Event Log'!$D$4:$D$803)))</f>
        <v/>
      </c>
      <c r="CO83" s="8" t="str">
        <f>IF($B83="","",IF(COUNTIF('Competency Event Log'!$U$4:$U$803,$B83&amp;"|"&amp;CO$5)=0,"",SUMIF('Competency Event Log'!$U$4:$U$803,$B83&amp;"|"&amp;CO$5,'Competency Event Log'!$D$4:$D$803)))</f>
        <v/>
      </c>
      <c r="CP83" s="8" t="str">
        <f>IF($B83="","",IF(COUNTIF('Competency Event Log'!$U$4:$U$803,$B83&amp;"|"&amp;CP$5)=0,"",SUMIF('Competency Event Log'!$U$4:$U$803,$B83&amp;"|"&amp;CP$5,'Competency Event Log'!$D$4:$D$803)))</f>
        <v/>
      </c>
      <c r="CQ83" s="8" t="str">
        <f>IF($B83="","",IF(COUNTIF('Competency Event Log'!$U$4:$U$803,$B83&amp;"|"&amp;CQ$5)=0,"",SUMIF('Competency Event Log'!$U$4:$U$803,$B83&amp;"|"&amp;CQ$5,'Competency Event Log'!$D$4:$D$803)))</f>
        <v/>
      </c>
      <c r="CR83" s="8" t="str">
        <f>IF($B83="","",IF(COUNTIF('Competency Event Log'!$U$4:$U$803,$B83&amp;"|"&amp;CR$5)=0,"",SUMIF('Competency Event Log'!$U$4:$U$803,$B83&amp;"|"&amp;CR$5,'Competency Event Log'!$D$4:$D$803)))</f>
        <v/>
      </c>
      <c r="CS83" s="8" t="str">
        <f>IF($B83="","",IF(COUNTIF('Competency Event Log'!$U$4:$U$803,$B83&amp;"|"&amp;CS$5)=0,"",SUMIF('Competency Event Log'!$U$4:$U$803,$B83&amp;"|"&amp;CS$5,'Competency Event Log'!$D$4:$D$803)))</f>
        <v/>
      </c>
      <c r="CT83" s="8" t="str">
        <f>IF($B83="","",IF(COUNTIF('Competency Event Log'!$U$4:$U$803,$B83&amp;"|"&amp;CT$5)=0,"",SUMIF('Competency Event Log'!$U$4:$U$803,$B83&amp;"|"&amp;CT$5,'Competency Event Log'!$D$4:$D$803)))</f>
        <v/>
      </c>
      <c r="CU83" s="8" t="str">
        <f>IF($B83="","",IF(COUNTIF('Competency Event Log'!$U$4:$U$803,$B83&amp;"|"&amp;CU$5)=0,"",SUMIF('Competency Event Log'!$U$4:$U$803,$B83&amp;"|"&amp;CU$5,'Competency Event Log'!$D$4:$D$803)))</f>
        <v/>
      </c>
      <c r="CV83" s="8" t="str">
        <f>IF($B83="","",IF(COUNTIF('Competency Event Log'!$U$4:$U$803,$B83&amp;"|"&amp;CV$5)=0,"",SUMIF('Competency Event Log'!$U$4:$U$803,$B83&amp;"|"&amp;CV$5,'Competency Event Log'!$D$4:$D$803)))</f>
        <v/>
      </c>
      <c r="CW83" s="8" t="str">
        <f>IF($B83="","",IF(COUNTIF('Competency Event Log'!$U$4:$U$803,$B83&amp;"|"&amp;CW$5)=0,"",SUMIF('Competency Event Log'!$U$4:$U$803,$B83&amp;"|"&amp;CW$5,'Competency Event Log'!$D$4:$D$803)))</f>
        <v/>
      </c>
      <c r="CX83" s="8" t="str">
        <f>IF($B83="","",IF(COUNTIF('Competency Event Log'!$U$4:$U$803,$B83&amp;"|"&amp;CX$5)=0,"",SUMIF('Competency Event Log'!$U$4:$U$803,$B83&amp;"|"&amp;CX$5,'Competency Event Log'!$D$4:$D$803)))</f>
        <v/>
      </c>
      <c r="CY83" s="8" t="str">
        <f>IF($B83="","",IF(COUNTIF('Competency Event Log'!$U$4:$U$803,$B83&amp;"|"&amp;CY$5)=0,"",SUMIF('Competency Event Log'!$U$4:$U$803,$B83&amp;"|"&amp;CY$5,'Competency Event Log'!$D$4:$D$803)))</f>
        <v/>
      </c>
      <c r="CZ83" s="8" t="str">
        <f>IF($B83="","",IF(COUNTIF('Competency Event Log'!$U$4:$U$803,$B83&amp;"|"&amp;CZ$5)=0,"",SUMIF('Competency Event Log'!$U$4:$U$803,$B83&amp;"|"&amp;CZ$5,'Competency Event Log'!$D$4:$D$803)))</f>
        <v/>
      </c>
      <c r="DA83" s="8" t="str">
        <f>IF($B83="","",IF(COUNTIF('Competency Event Log'!$U$4:$U$803,$B83&amp;"|"&amp;DA$5)=0,"",SUMIF('Competency Event Log'!$U$4:$U$803,$B83&amp;"|"&amp;DA$5,'Competency Event Log'!$D$4:$D$803)))</f>
        <v/>
      </c>
      <c r="DB83" s="8" t="str">
        <f>IF($B83="","",IF(COUNTIF('Competency Event Log'!$U$4:$U$803,$B83&amp;"|"&amp;DB$5)=0,"",SUMIF('Competency Event Log'!$U$4:$U$803,$B83&amp;"|"&amp;DB$5,'Competency Event Log'!$D$4:$D$803)))</f>
        <v/>
      </c>
      <c r="DC83" s="8" t="str">
        <f>IF($B83="","",IF(COUNTIF('Competency Event Log'!$U$4:$U$803,$B83&amp;"|"&amp;DC$5)=0,"",SUMIF('Competency Event Log'!$U$4:$U$803,$B83&amp;"|"&amp;DC$5,'Competency Event Log'!$D$4:$D$803)))</f>
        <v/>
      </c>
      <c r="DD83" s="8" t="str">
        <f>IF($B83="","",IF(COUNTIF('Competency Event Log'!$U$4:$U$803,$B83&amp;"|"&amp;DD$5)=0,"",SUMIF('Competency Event Log'!$U$4:$U$803,$B83&amp;"|"&amp;DD$5,'Competency Event Log'!$D$4:$D$803)))</f>
        <v/>
      </c>
      <c r="DE83" s="8" t="str">
        <f>IF($B83="","",IF(COUNTIF('Competency Event Log'!$U$4:$U$803,$B83&amp;"|"&amp;DE$5)=0,"",SUMIF('Competency Event Log'!$U$4:$U$803,$B83&amp;"|"&amp;DE$5,'Competency Event Log'!$D$4:$D$803)))</f>
        <v/>
      </c>
      <c r="DF83" s="8" t="str">
        <f t="shared" si="8"/>
        <v/>
      </c>
      <c r="DG83" s="8" t="str">
        <f t="shared" si="9"/>
        <v/>
      </c>
      <c r="DH83" s="8" t="str">
        <f t="shared" si="10"/>
        <v/>
      </c>
      <c r="DI83" s="11" t="str">
        <f t="shared" si="11"/>
        <v/>
      </c>
    </row>
    <row r="84" spans="1:113">
      <c r="A84" s="7"/>
      <c r="B84" s="7"/>
      <c r="C84" s="8"/>
      <c r="D84" s="9"/>
      <c r="E84" s="10"/>
      <c r="F84" s="8"/>
      <c r="G84" s="8" t="str">
        <f>IF($B84="","",IF(COUNTIF('Competency Event Log'!$U$4:$U$803,$B84&amp;"|"&amp;G$5)=0,"",SUMIF('Competency Event Log'!$U$4:$U$803,$B84&amp;"|"&amp;G$5,'Competency Event Log'!$D$4:$D$803)))</f>
        <v/>
      </c>
      <c r="H84" s="8" t="str">
        <f>IF($B84="","",IF(COUNTIF('Competency Event Log'!$U$4:$U$803,$B84&amp;"|"&amp;H$5)=0,"",SUMIF('Competency Event Log'!$U$4:$U$803,$B84&amp;"|"&amp;H$5,'Competency Event Log'!$D$4:$D$803)))</f>
        <v/>
      </c>
      <c r="I84" s="8" t="str">
        <f>IF($B84="","",IF(COUNTIF('Competency Event Log'!$U$4:$U$803,$B84&amp;"|"&amp;I$5)=0,"",SUMIF('Competency Event Log'!$U$4:$U$803,$B84&amp;"|"&amp;I$5,'Competency Event Log'!$D$4:$D$803)))</f>
        <v/>
      </c>
      <c r="J84" s="8" t="str">
        <f>IF($B84="","",IF(COUNTIF('Competency Event Log'!$U$4:$U$803,$B84&amp;"|"&amp;J$5)=0,"",SUMIF('Competency Event Log'!$U$4:$U$803,$B84&amp;"|"&amp;J$5,'Competency Event Log'!$D$4:$D$803)))</f>
        <v/>
      </c>
      <c r="K84" s="8" t="str">
        <f>IF($B84="","",IF(COUNTIF('Competency Event Log'!$U$4:$U$803,$B84&amp;"|"&amp;K$5)=0,"",SUMIF('Competency Event Log'!$U$4:$U$803,$B84&amp;"|"&amp;K$5,'Competency Event Log'!$D$4:$D$803)))</f>
        <v/>
      </c>
      <c r="L84" s="8" t="str">
        <f>IF($B84="","",IF(COUNTIF('Competency Event Log'!$U$4:$U$803,$B84&amp;"|"&amp;L$5)=0,"",SUMIF('Competency Event Log'!$U$4:$U$803,$B84&amp;"|"&amp;L$5,'Competency Event Log'!$D$4:$D$803)))</f>
        <v/>
      </c>
      <c r="M84" s="8" t="str">
        <f>IF($B84="","",IF(COUNTIF('Competency Event Log'!$U$4:$U$803,$B84&amp;"|"&amp;M$5)=0,"",SUMIF('Competency Event Log'!$U$4:$U$803,$B84&amp;"|"&amp;M$5,'Competency Event Log'!$D$4:$D$803)))</f>
        <v/>
      </c>
      <c r="N84" s="8" t="str">
        <f>IF($B84="","",IF(COUNTIF('Competency Event Log'!$U$4:$U$803,$B84&amp;"|"&amp;N$5)=0,"",SUMIF('Competency Event Log'!$U$4:$U$803,$B84&amp;"|"&amp;N$5,'Competency Event Log'!$D$4:$D$803)))</f>
        <v/>
      </c>
      <c r="O84" s="8" t="str">
        <f>IF($B84="","",IF(COUNTIF('Competency Event Log'!$U$4:$U$803,$B84&amp;"|"&amp;O$5)=0,"",SUMIF('Competency Event Log'!$U$4:$U$803,$B84&amp;"|"&amp;O$5,'Competency Event Log'!$D$4:$D$803)))</f>
        <v/>
      </c>
      <c r="P84" s="8" t="str">
        <f>IF($B84="","",IF(COUNTIF('Competency Event Log'!$U$4:$U$803,$B84&amp;"|"&amp;P$5)=0,"",SUMIF('Competency Event Log'!$U$4:$U$803,$B84&amp;"|"&amp;P$5,'Competency Event Log'!$D$4:$D$803)))</f>
        <v/>
      </c>
      <c r="Q84" s="8" t="str">
        <f>IF($B84="","",IF(COUNTIF('Competency Event Log'!$U$4:$U$803,$B84&amp;"|"&amp;Q$5)=0,"",SUMIF('Competency Event Log'!$U$4:$U$803,$B84&amp;"|"&amp;Q$5,'Competency Event Log'!$D$4:$D$803)))</f>
        <v/>
      </c>
      <c r="R84" s="8" t="str">
        <f>IF($B84="","",IF(COUNTIF('Competency Event Log'!$U$4:$U$803,$B84&amp;"|"&amp;R$5)=0,"",SUMIF('Competency Event Log'!$U$4:$U$803,$B84&amp;"|"&amp;R$5,'Competency Event Log'!$D$4:$D$803)))</f>
        <v/>
      </c>
      <c r="S84" s="8" t="str">
        <f>IF($B84="","",IF(COUNTIF('Competency Event Log'!$U$4:$U$803,$B84&amp;"|"&amp;S$5)=0,"",SUMIF('Competency Event Log'!$U$4:$U$803,$B84&amp;"|"&amp;S$5,'Competency Event Log'!$D$4:$D$803)))</f>
        <v/>
      </c>
      <c r="T84" s="8" t="str">
        <f>IF($B84="","",IF(COUNTIF('Competency Event Log'!$U$4:$U$803,$B84&amp;"|"&amp;T$5)=0,"",SUMIF('Competency Event Log'!$U$4:$U$803,$B84&amp;"|"&amp;T$5,'Competency Event Log'!$D$4:$D$803)))</f>
        <v/>
      </c>
      <c r="U84" s="8" t="str">
        <f>IF($B84="","",IF(COUNTIF('Competency Event Log'!$U$4:$U$803,$B84&amp;"|"&amp;U$5)=0,"",SUMIF('Competency Event Log'!$U$4:$U$803,$B84&amp;"|"&amp;U$5,'Competency Event Log'!$D$4:$D$803)))</f>
        <v/>
      </c>
      <c r="V84" s="8" t="str">
        <f>IF($B84="","",IF(COUNTIF('Competency Event Log'!$U$4:$U$803,$B84&amp;"|"&amp;V$5)=0,"",SUMIF('Competency Event Log'!$U$4:$U$803,$B84&amp;"|"&amp;V$5,'Competency Event Log'!$D$4:$D$803)))</f>
        <v/>
      </c>
      <c r="W84" s="8" t="str">
        <f>IF($B84="","",IF(COUNTIF('Competency Event Log'!$U$4:$U$803,$B84&amp;"|"&amp;W$5)=0,"",SUMIF('Competency Event Log'!$U$4:$U$803,$B84&amp;"|"&amp;W$5,'Competency Event Log'!$D$4:$D$803)))</f>
        <v/>
      </c>
      <c r="X84" s="8" t="str">
        <f>IF($B84="","",IF(COUNTIF('Competency Event Log'!$U$4:$U$803,$B84&amp;"|"&amp;X$5)=0,"",SUMIF('Competency Event Log'!$U$4:$U$803,$B84&amp;"|"&amp;X$5,'Competency Event Log'!$D$4:$D$803)))</f>
        <v/>
      </c>
      <c r="Y84" s="8" t="str">
        <f>IF($B84="","",IF(COUNTIF('Competency Event Log'!$U$4:$U$803,$B84&amp;"|"&amp;Y$5)=0,"",SUMIF('Competency Event Log'!$U$4:$U$803,$B84&amp;"|"&amp;Y$5,'Competency Event Log'!$D$4:$D$803)))</f>
        <v/>
      </c>
      <c r="Z84" s="8" t="str">
        <f>IF($B84="","",IF(COUNTIF('Competency Event Log'!$U$4:$U$803,$B84&amp;"|"&amp;Z$5)=0,"",SUMIF('Competency Event Log'!$U$4:$U$803,$B84&amp;"|"&amp;Z$5,'Competency Event Log'!$D$4:$D$803)))</f>
        <v/>
      </c>
      <c r="AA84" s="8" t="str">
        <f>IF($B84="","",IF(COUNTIF('Competency Event Log'!$U$4:$U$803,$B84&amp;"|"&amp;AA$5)=0,"",SUMIF('Competency Event Log'!$U$4:$U$803,$B84&amp;"|"&amp;AA$5,'Competency Event Log'!$D$4:$D$803)))</f>
        <v/>
      </c>
      <c r="AB84" s="8" t="str">
        <f>IF($B84="","",IF(COUNTIF('Competency Event Log'!$U$4:$U$803,$B84&amp;"|"&amp;AB$5)=0,"",SUMIF('Competency Event Log'!$U$4:$U$803,$B84&amp;"|"&amp;AB$5,'Competency Event Log'!$D$4:$D$803)))</f>
        <v/>
      </c>
      <c r="AC84" s="8" t="str">
        <f>IF($B84="","",IF(COUNTIF('Competency Event Log'!$U$4:$U$803,$B84&amp;"|"&amp;AC$5)=0,"",SUMIF('Competency Event Log'!$U$4:$U$803,$B84&amp;"|"&amp;AC$5,'Competency Event Log'!$D$4:$D$803)))</f>
        <v/>
      </c>
      <c r="AD84" s="8" t="str">
        <f>IF($B84="","",IF(COUNTIF('Competency Event Log'!$U$4:$U$803,$B84&amp;"|"&amp;AD$5)=0,"",SUMIF('Competency Event Log'!$U$4:$U$803,$B84&amp;"|"&amp;AD$5,'Competency Event Log'!$D$4:$D$803)))</f>
        <v/>
      </c>
      <c r="AE84" s="8" t="str">
        <f>IF($B84="","",IF(COUNTIF('Competency Event Log'!$U$4:$U$803,$B84&amp;"|"&amp;AE$5)=0,"",SUMIF('Competency Event Log'!$U$4:$U$803,$B84&amp;"|"&amp;AE$5,'Competency Event Log'!$D$4:$D$803)))</f>
        <v/>
      </c>
      <c r="AF84" s="8" t="str">
        <f>IF($B84="","",IF(COUNTIF('Competency Event Log'!$U$4:$U$803,$B84&amp;"|"&amp;AF$5)=0,"",SUMIF('Competency Event Log'!$U$4:$U$803,$B84&amp;"|"&amp;AF$5,'Competency Event Log'!$D$4:$D$803)))</f>
        <v/>
      </c>
      <c r="AG84" s="8" t="str">
        <f>IF($B84="","",IF(COUNTIF('Competency Event Log'!$U$4:$U$803,$B84&amp;"|"&amp;AG$5)=0,"",SUMIF('Competency Event Log'!$U$4:$U$803,$B84&amp;"|"&amp;AG$5,'Competency Event Log'!$D$4:$D$803)))</f>
        <v/>
      </c>
      <c r="AH84" s="8" t="str">
        <f>IF($B84="","",IF(COUNTIF('Competency Event Log'!$U$4:$U$803,$B84&amp;"|"&amp;AH$5)=0,"",SUMIF('Competency Event Log'!$U$4:$U$803,$B84&amp;"|"&amp;AH$5,'Competency Event Log'!$D$4:$D$803)))</f>
        <v/>
      </c>
      <c r="AI84" s="8" t="str">
        <f>IF($B84="","",IF(COUNTIF('Competency Event Log'!$U$4:$U$803,$B84&amp;"|"&amp;AI$5)=0,"",SUMIF('Competency Event Log'!$U$4:$U$803,$B84&amp;"|"&amp;AI$5,'Competency Event Log'!$D$4:$D$803)))</f>
        <v/>
      </c>
      <c r="AJ84" s="8" t="str">
        <f>IF($B84="","",IF(COUNTIF('Competency Event Log'!$U$4:$U$803,$B84&amp;"|"&amp;AJ$5)=0,"",SUMIF('Competency Event Log'!$U$4:$U$803,$B84&amp;"|"&amp;AJ$5,'Competency Event Log'!$D$4:$D$803)))</f>
        <v/>
      </c>
      <c r="AK84" s="8" t="str">
        <f>IF($B84="","",IF(COUNTIF('Competency Event Log'!$U$4:$U$803,$B84&amp;"|"&amp;AK$5)=0,"",SUMIF('Competency Event Log'!$U$4:$U$803,$B84&amp;"|"&amp;AK$5,'Competency Event Log'!$D$4:$D$803)))</f>
        <v/>
      </c>
      <c r="AL84" s="8" t="str">
        <f>IF($B84="","",IF(COUNTIF('Competency Event Log'!$U$4:$U$803,$B84&amp;"|"&amp;AL$5)=0,"",SUMIF('Competency Event Log'!$U$4:$U$803,$B84&amp;"|"&amp;AL$5,'Competency Event Log'!$D$4:$D$803)))</f>
        <v/>
      </c>
      <c r="AM84" s="8" t="str">
        <f>IF($B84="","",IF(COUNTIF('Competency Event Log'!$U$4:$U$803,$B84&amp;"|"&amp;AM$5)=0,"",SUMIF('Competency Event Log'!$U$4:$U$803,$B84&amp;"|"&amp;AM$5,'Competency Event Log'!$D$4:$D$803)))</f>
        <v/>
      </c>
      <c r="AN84" s="8" t="str">
        <f>IF($B84="","",IF(COUNTIF('Competency Event Log'!$U$4:$U$803,$B84&amp;"|"&amp;AN$5)=0,"",SUMIF('Competency Event Log'!$U$4:$U$803,$B84&amp;"|"&amp;AN$5,'Competency Event Log'!$D$4:$D$803)))</f>
        <v/>
      </c>
      <c r="AO84" s="8" t="str">
        <f>IF($B84="","",IF(COUNTIF('Competency Event Log'!$U$4:$U$803,$B84&amp;"|"&amp;AO$5)=0,"",SUMIF('Competency Event Log'!$U$4:$U$803,$B84&amp;"|"&amp;AO$5,'Competency Event Log'!$D$4:$D$803)))</f>
        <v/>
      </c>
      <c r="AP84" s="8" t="str">
        <f>IF($B84="","",IF(COUNTIF('Competency Event Log'!$U$4:$U$803,$B84&amp;"|"&amp;AP$5)=0,"",SUMIF('Competency Event Log'!$U$4:$U$803,$B84&amp;"|"&amp;AP$5,'Competency Event Log'!$D$4:$D$803)))</f>
        <v/>
      </c>
      <c r="AQ84" s="8" t="str">
        <f>IF($B84="","",IF(COUNTIF('Competency Event Log'!$U$4:$U$803,$B84&amp;"|"&amp;AQ$5)=0,"",SUMIF('Competency Event Log'!$U$4:$U$803,$B84&amp;"|"&amp;AQ$5,'Competency Event Log'!$D$4:$D$803)))</f>
        <v/>
      </c>
      <c r="AR84" s="8" t="str">
        <f>IF($B84="","",IF(COUNTIF('Competency Event Log'!$U$4:$U$803,$B84&amp;"|"&amp;AR$5)=0,"",SUMIF('Competency Event Log'!$U$4:$U$803,$B84&amp;"|"&amp;AR$5,'Competency Event Log'!$D$4:$D$803)))</f>
        <v/>
      </c>
      <c r="AS84" s="8" t="str">
        <f>IF($B84="","",IF(COUNTIF('Competency Event Log'!$U$4:$U$803,$B84&amp;"|"&amp;AS$5)=0,"",SUMIF('Competency Event Log'!$U$4:$U$803,$B84&amp;"|"&amp;AS$5,'Competency Event Log'!$D$4:$D$803)))</f>
        <v/>
      </c>
      <c r="AT84" s="8" t="str">
        <f>IF($B84="","",IF(COUNTIF('Competency Event Log'!$U$4:$U$803,$B84&amp;"|"&amp;AT$5)=0,"",SUMIF('Competency Event Log'!$U$4:$U$803,$B84&amp;"|"&amp;AT$5,'Competency Event Log'!$D$4:$D$803)))</f>
        <v/>
      </c>
      <c r="AU84" s="8" t="str">
        <f>IF($B84="","",IF(COUNTIF('Competency Event Log'!$U$4:$U$803,$B84&amp;"|"&amp;AU$5)=0,"",SUMIF('Competency Event Log'!$U$4:$U$803,$B84&amp;"|"&amp;AU$5,'Competency Event Log'!$D$4:$D$803)))</f>
        <v/>
      </c>
      <c r="AV84" s="8" t="str">
        <f>IF($B84="","",IF(COUNTIF('Competency Event Log'!$U$4:$U$803,$B84&amp;"|"&amp;AV$5)=0,"",SUMIF('Competency Event Log'!$U$4:$U$803,$B84&amp;"|"&amp;AV$5,'Competency Event Log'!$D$4:$D$803)))</f>
        <v/>
      </c>
      <c r="AW84" s="8" t="str">
        <f>IF($B84="","",IF(COUNTIF('Competency Event Log'!$U$4:$U$803,$B84&amp;"|"&amp;AW$5)=0,"",SUMIF('Competency Event Log'!$U$4:$U$803,$B84&amp;"|"&amp;AW$5,'Competency Event Log'!$D$4:$D$803)))</f>
        <v/>
      </c>
      <c r="AX84" s="8" t="str">
        <f>IF($B84="","",IF(COUNTIF('Competency Event Log'!$U$4:$U$803,$B84&amp;"|"&amp;AX$5)=0,"",SUMIF('Competency Event Log'!$U$4:$U$803,$B84&amp;"|"&amp;AX$5,'Competency Event Log'!$D$4:$D$803)))</f>
        <v/>
      </c>
      <c r="AY84" s="8" t="str">
        <f>IF($B84="","",IF(COUNTIF('Competency Event Log'!$U$4:$U$803,$B84&amp;"|"&amp;AY$5)=0,"",SUMIF('Competency Event Log'!$U$4:$U$803,$B84&amp;"|"&amp;AY$5,'Competency Event Log'!$D$4:$D$803)))</f>
        <v/>
      </c>
      <c r="AZ84" s="8" t="str">
        <f>IF($B84="","",IF(COUNTIF('Competency Event Log'!$U$4:$U$803,$B84&amp;"|"&amp;AZ$5)=0,"",SUMIF('Competency Event Log'!$U$4:$U$803,$B84&amp;"|"&amp;AZ$5,'Competency Event Log'!$D$4:$D$803)))</f>
        <v/>
      </c>
      <c r="BA84" s="8" t="str">
        <f>IF($B84="","",IF(COUNTIF('Competency Event Log'!$U$4:$U$803,$B84&amp;"|"&amp;BA$5)=0,"",SUMIF('Competency Event Log'!$U$4:$U$803,$B84&amp;"|"&amp;BA$5,'Competency Event Log'!$D$4:$D$803)))</f>
        <v/>
      </c>
      <c r="BB84" s="8" t="str">
        <f>IF($B84="","",IF(COUNTIF('Competency Event Log'!$U$4:$U$803,$B84&amp;"|"&amp;BB$5)=0,"",SUMIF('Competency Event Log'!$U$4:$U$803,$B84&amp;"|"&amp;BB$5,'Competency Event Log'!$D$4:$D$803)))</f>
        <v/>
      </c>
      <c r="BC84" s="8" t="str">
        <f>IF($B84="","",IF(COUNTIF('Competency Event Log'!$U$4:$U$803,$B84&amp;"|"&amp;BC$5)=0,"",SUMIF('Competency Event Log'!$U$4:$U$803,$B84&amp;"|"&amp;BC$5,'Competency Event Log'!$D$4:$D$803)))</f>
        <v/>
      </c>
      <c r="BD84" s="8" t="str">
        <f>IF($B84="","",IF(COUNTIF('Competency Event Log'!$U$4:$U$803,$B84&amp;"|"&amp;BD$5)=0,"",SUMIF('Competency Event Log'!$U$4:$U$803,$B84&amp;"|"&amp;BD$5,'Competency Event Log'!$D$4:$D$803)))</f>
        <v/>
      </c>
      <c r="BE84" s="8" t="str">
        <f>IF($B84="","",IF(COUNTIF('Competency Event Log'!$U$4:$U$803,$B84&amp;"|"&amp;BE$5)=0,"",SUMIF('Competency Event Log'!$U$4:$U$803,$B84&amp;"|"&amp;BE$5,'Competency Event Log'!$D$4:$D$803)))</f>
        <v/>
      </c>
      <c r="BF84" s="8" t="str">
        <f>IF($B84="","",IF(COUNTIF('Competency Event Log'!$U$4:$U$803,$B84&amp;"|"&amp;BF$5)=0,"",SUMIF('Competency Event Log'!$U$4:$U$803,$B84&amp;"|"&amp;BF$5,'Competency Event Log'!$D$4:$D$803)))</f>
        <v/>
      </c>
      <c r="BG84" s="8" t="str">
        <f>IF($B84="","",IF(COUNTIF('Competency Event Log'!$U$4:$U$803,$B84&amp;"|"&amp;BG$5)=0,"",SUMIF('Competency Event Log'!$U$4:$U$803,$B84&amp;"|"&amp;BG$5,'Competency Event Log'!$D$4:$D$803)))</f>
        <v/>
      </c>
      <c r="BH84" s="8" t="str">
        <f>IF($B84="","",IF(COUNTIF('Competency Event Log'!$U$4:$U$803,$B84&amp;"|"&amp;BH$5)=0,"",SUMIF('Competency Event Log'!$U$4:$U$803,$B84&amp;"|"&amp;BH$5,'Competency Event Log'!$D$4:$D$803)))</f>
        <v/>
      </c>
      <c r="BI84" s="8" t="str">
        <f>IF($B84="","",IF(COUNTIF('Competency Event Log'!$U$4:$U$803,$B84&amp;"|"&amp;BI$5)=0,"",SUMIF('Competency Event Log'!$U$4:$U$803,$B84&amp;"|"&amp;BI$5,'Competency Event Log'!$D$4:$D$803)))</f>
        <v/>
      </c>
      <c r="BJ84" s="8" t="str">
        <f>IF($B84="","",IF(COUNTIF('Competency Event Log'!$U$4:$U$803,$B84&amp;"|"&amp;BJ$5)=0,"",SUMIF('Competency Event Log'!$U$4:$U$803,$B84&amp;"|"&amp;BJ$5,'Competency Event Log'!$D$4:$D$803)))</f>
        <v/>
      </c>
      <c r="BK84" s="8" t="str">
        <f>IF($B84="","",IF(COUNTIF('Competency Event Log'!$U$4:$U$803,$B84&amp;"|"&amp;BK$5)=0,"",SUMIF('Competency Event Log'!$U$4:$U$803,$B84&amp;"|"&amp;BK$5,'Competency Event Log'!$D$4:$D$803)))</f>
        <v/>
      </c>
      <c r="BL84" s="8" t="str">
        <f>IF($B84="","",IF(COUNTIF('Competency Event Log'!$U$4:$U$803,$B84&amp;"|"&amp;BL$5)=0,"",SUMIF('Competency Event Log'!$U$4:$U$803,$B84&amp;"|"&amp;BL$5,'Competency Event Log'!$D$4:$D$803)))</f>
        <v/>
      </c>
      <c r="BM84" s="8" t="str">
        <f>IF($B84="","",IF(COUNTIF('Competency Event Log'!$U$4:$U$803,$B84&amp;"|"&amp;BM$5)=0,"",SUMIF('Competency Event Log'!$U$4:$U$803,$B84&amp;"|"&amp;BM$5,'Competency Event Log'!$D$4:$D$803)))</f>
        <v/>
      </c>
      <c r="BN84" s="8" t="str">
        <f>IF($B84="","",IF(COUNTIF('Competency Event Log'!$U$4:$U$803,$B84&amp;"|"&amp;BN$5)=0,"",SUMIF('Competency Event Log'!$U$4:$U$803,$B84&amp;"|"&amp;BN$5,'Competency Event Log'!$D$4:$D$803)))</f>
        <v/>
      </c>
      <c r="BO84" s="8" t="str">
        <f>IF($B84="","",IF(COUNTIF('Competency Event Log'!$U$4:$U$803,$B84&amp;"|"&amp;BO$5)=0,"",SUMIF('Competency Event Log'!$U$4:$U$803,$B84&amp;"|"&amp;BO$5,'Competency Event Log'!$D$4:$D$803)))</f>
        <v/>
      </c>
      <c r="BP84" s="8" t="str">
        <f>IF($B84="","",IF(COUNTIF('Competency Event Log'!$U$4:$U$803,$B84&amp;"|"&amp;BP$5)=0,"",SUMIF('Competency Event Log'!$U$4:$U$803,$B84&amp;"|"&amp;BP$5,'Competency Event Log'!$D$4:$D$803)))</f>
        <v/>
      </c>
      <c r="BQ84" s="8" t="str">
        <f>IF($B84="","",IF(COUNTIF('Competency Event Log'!$U$4:$U$803,$B84&amp;"|"&amp;BQ$5)=0,"",SUMIF('Competency Event Log'!$U$4:$U$803,$B84&amp;"|"&amp;BQ$5,'Competency Event Log'!$D$4:$D$803)))</f>
        <v/>
      </c>
      <c r="BR84" s="8" t="str">
        <f>IF($B84="","",IF(COUNTIF('Competency Event Log'!$U$4:$U$803,$B84&amp;"|"&amp;BR$5)=0,"",SUMIF('Competency Event Log'!$U$4:$U$803,$B84&amp;"|"&amp;BR$5,'Competency Event Log'!$D$4:$D$803)))</f>
        <v/>
      </c>
      <c r="BS84" s="8" t="str">
        <f>IF($B84="","",IF(COUNTIF('Competency Event Log'!$U$4:$U$803,$B84&amp;"|"&amp;BS$5)=0,"",SUMIF('Competency Event Log'!$U$4:$U$803,$B84&amp;"|"&amp;BS$5,'Competency Event Log'!$D$4:$D$803)))</f>
        <v/>
      </c>
      <c r="BT84" s="8" t="str">
        <f>IF($B84="","",IF(COUNTIF('Competency Event Log'!$U$4:$U$803,$B84&amp;"|"&amp;BT$5)=0,"",SUMIF('Competency Event Log'!$U$4:$U$803,$B84&amp;"|"&amp;BT$5,'Competency Event Log'!$D$4:$D$803)))</f>
        <v/>
      </c>
      <c r="BU84" s="8" t="str">
        <f>IF($B84="","",IF(COUNTIF('Competency Event Log'!$U$4:$U$803,$B84&amp;"|"&amp;BU$5)=0,"",SUMIF('Competency Event Log'!$U$4:$U$803,$B84&amp;"|"&amp;BU$5,'Competency Event Log'!$D$4:$D$803)))</f>
        <v/>
      </c>
      <c r="BV84" s="8" t="str">
        <f>IF($B84="","",IF(COUNTIF('Competency Event Log'!$U$4:$U$803,$B84&amp;"|"&amp;BV$5)=0,"",SUMIF('Competency Event Log'!$U$4:$U$803,$B84&amp;"|"&amp;BV$5,'Competency Event Log'!$D$4:$D$803)))</f>
        <v/>
      </c>
      <c r="BW84" s="8" t="str">
        <f>IF($B84="","",IF(COUNTIF('Competency Event Log'!$U$4:$U$803,$B84&amp;"|"&amp;BW$5)=0,"",SUMIF('Competency Event Log'!$U$4:$U$803,$B84&amp;"|"&amp;BW$5,'Competency Event Log'!$D$4:$D$803)))</f>
        <v/>
      </c>
      <c r="BX84" s="8" t="str">
        <f>IF($B84="","",IF(COUNTIF('Competency Event Log'!$U$4:$U$803,$B84&amp;"|"&amp;BX$5)=0,"",SUMIF('Competency Event Log'!$U$4:$U$803,$B84&amp;"|"&amp;BX$5,'Competency Event Log'!$D$4:$D$803)))</f>
        <v/>
      </c>
      <c r="BY84" s="8" t="str">
        <f>IF($B84="","",IF(COUNTIF('Competency Event Log'!$U$4:$U$803,$B84&amp;"|"&amp;BY$5)=0,"",SUMIF('Competency Event Log'!$U$4:$U$803,$B84&amp;"|"&amp;BY$5,'Competency Event Log'!$D$4:$D$803)))</f>
        <v/>
      </c>
      <c r="BZ84" s="8" t="str">
        <f>IF($B84="","",IF(COUNTIF('Competency Event Log'!$U$4:$U$803,$B84&amp;"|"&amp;BZ$5)=0,"",SUMIF('Competency Event Log'!$U$4:$U$803,$B84&amp;"|"&amp;BZ$5,'Competency Event Log'!$D$4:$D$803)))</f>
        <v/>
      </c>
      <c r="CA84" s="8" t="str">
        <f>IF($B84="","",IF(COUNTIF('Competency Event Log'!$U$4:$U$803,$B84&amp;"|"&amp;CA$5)=0,"",SUMIF('Competency Event Log'!$U$4:$U$803,$B84&amp;"|"&amp;CA$5,'Competency Event Log'!$D$4:$D$803)))</f>
        <v/>
      </c>
      <c r="CB84" s="8" t="str">
        <f>IF($B84="","",IF(COUNTIF('Competency Event Log'!$U$4:$U$803,$B84&amp;"|"&amp;CB$5)=0,"",SUMIF('Competency Event Log'!$U$4:$U$803,$B84&amp;"|"&amp;CB$5,'Competency Event Log'!$D$4:$D$803)))</f>
        <v/>
      </c>
      <c r="CC84" s="8" t="str">
        <f>IF($B84="","",IF(COUNTIF('Competency Event Log'!$U$4:$U$803,$B84&amp;"|"&amp;CC$5)=0,"",SUMIF('Competency Event Log'!$U$4:$U$803,$B84&amp;"|"&amp;CC$5,'Competency Event Log'!$D$4:$D$803)))</f>
        <v/>
      </c>
      <c r="CD84" s="8" t="str">
        <f>IF($B84="","",IF(COUNTIF('Competency Event Log'!$U$4:$U$803,$B84&amp;"|"&amp;CD$5)=0,"",SUMIF('Competency Event Log'!$U$4:$U$803,$B84&amp;"|"&amp;CD$5,'Competency Event Log'!$D$4:$D$803)))</f>
        <v/>
      </c>
      <c r="CE84" s="8" t="str">
        <f>IF($B84="","",IF(COUNTIF('Competency Event Log'!$U$4:$U$803,$B84&amp;"|"&amp;CE$5)=0,"",SUMIF('Competency Event Log'!$U$4:$U$803,$B84&amp;"|"&amp;CE$5,'Competency Event Log'!$D$4:$D$803)))</f>
        <v/>
      </c>
      <c r="CF84" s="8" t="str">
        <f>IF($B84="","",IF(COUNTIF('Competency Event Log'!$U$4:$U$803,$B84&amp;"|"&amp;CF$5)=0,"",SUMIF('Competency Event Log'!$U$4:$U$803,$B84&amp;"|"&amp;CF$5,'Competency Event Log'!$D$4:$D$803)))</f>
        <v/>
      </c>
      <c r="CG84" s="8" t="str">
        <f>IF($B84="","",IF(COUNTIF('Competency Event Log'!$U$4:$U$803,$B84&amp;"|"&amp;CG$5)=0,"",SUMIF('Competency Event Log'!$U$4:$U$803,$B84&amp;"|"&amp;CG$5,'Competency Event Log'!$D$4:$D$803)))</f>
        <v/>
      </c>
      <c r="CH84" s="8" t="str">
        <f>IF($B84="","",IF(COUNTIF('Competency Event Log'!$U$4:$U$803,$B84&amp;"|"&amp;CH$5)=0,"",SUMIF('Competency Event Log'!$U$4:$U$803,$B84&amp;"|"&amp;CH$5,'Competency Event Log'!$D$4:$D$803)))</f>
        <v/>
      </c>
      <c r="CI84" s="8" t="str">
        <f>IF($B84="","",IF(COUNTIF('Competency Event Log'!$U$4:$U$803,$B84&amp;"|"&amp;CI$5)=0,"",SUMIF('Competency Event Log'!$U$4:$U$803,$B84&amp;"|"&amp;CI$5,'Competency Event Log'!$D$4:$D$803)))</f>
        <v/>
      </c>
      <c r="CJ84" s="8" t="str">
        <f>IF($B84="","",IF(COUNTIF('Competency Event Log'!$U$4:$U$803,$B84&amp;"|"&amp;CJ$5)=0,"",SUMIF('Competency Event Log'!$U$4:$U$803,$B84&amp;"|"&amp;CJ$5,'Competency Event Log'!$D$4:$D$803)))</f>
        <v/>
      </c>
      <c r="CK84" s="8" t="str">
        <f>IF($B84="","",IF(COUNTIF('Competency Event Log'!$U$4:$U$803,$B84&amp;"|"&amp;CK$5)=0,"",SUMIF('Competency Event Log'!$U$4:$U$803,$B84&amp;"|"&amp;CK$5,'Competency Event Log'!$D$4:$D$803)))</f>
        <v/>
      </c>
      <c r="CL84" s="8" t="str">
        <f>IF($B84="","",IF(COUNTIF('Competency Event Log'!$U$4:$U$803,$B84&amp;"|"&amp;CL$5)=0,"",SUMIF('Competency Event Log'!$U$4:$U$803,$B84&amp;"|"&amp;CL$5,'Competency Event Log'!$D$4:$D$803)))</f>
        <v/>
      </c>
      <c r="CM84" s="8" t="str">
        <f>IF($B84="","",IF(COUNTIF('Competency Event Log'!$U$4:$U$803,$B84&amp;"|"&amp;CM$5)=0,"",SUMIF('Competency Event Log'!$U$4:$U$803,$B84&amp;"|"&amp;CM$5,'Competency Event Log'!$D$4:$D$803)))</f>
        <v/>
      </c>
      <c r="CN84" s="8" t="str">
        <f>IF($B84="","",IF(COUNTIF('Competency Event Log'!$U$4:$U$803,$B84&amp;"|"&amp;CN$5)=0,"",SUMIF('Competency Event Log'!$U$4:$U$803,$B84&amp;"|"&amp;CN$5,'Competency Event Log'!$D$4:$D$803)))</f>
        <v/>
      </c>
      <c r="CO84" s="8" t="str">
        <f>IF($B84="","",IF(COUNTIF('Competency Event Log'!$U$4:$U$803,$B84&amp;"|"&amp;CO$5)=0,"",SUMIF('Competency Event Log'!$U$4:$U$803,$B84&amp;"|"&amp;CO$5,'Competency Event Log'!$D$4:$D$803)))</f>
        <v/>
      </c>
      <c r="CP84" s="8" t="str">
        <f>IF($B84="","",IF(COUNTIF('Competency Event Log'!$U$4:$U$803,$B84&amp;"|"&amp;CP$5)=0,"",SUMIF('Competency Event Log'!$U$4:$U$803,$B84&amp;"|"&amp;CP$5,'Competency Event Log'!$D$4:$D$803)))</f>
        <v/>
      </c>
      <c r="CQ84" s="8" t="str">
        <f>IF($B84="","",IF(COUNTIF('Competency Event Log'!$U$4:$U$803,$B84&amp;"|"&amp;CQ$5)=0,"",SUMIF('Competency Event Log'!$U$4:$U$803,$B84&amp;"|"&amp;CQ$5,'Competency Event Log'!$D$4:$D$803)))</f>
        <v/>
      </c>
      <c r="CR84" s="8" t="str">
        <f>IF($B84="","",IF(COUNTIF('Competency Event Log'!$U$4:$U$803,$B84&amp;"|"&amp;CR$5)=0,"",SUMIF('Competency Event Log'!$U$4:$U$803,$B84&amp;"|"&amp;CR$5,'Competency Event Log'!$D$4:$D$803)))</f>
        <v/>
      </c>
      <c r="CS84" s="8" t="str">
        <f>IF($B84="","",IF(COUNTIF('Competency Event Log'!$U$4:$U$803,$B84&amp;"|"&amp;CS$5)=0,"",SUMIF('Competency Event Log'!$U$4:$U$803,$B84&amp;"|"&amp;CS$5,'Competency Event Log'!$D$4:$D$803)))</f>
        <v/>
      </c>
      <c r="CT84" s="8" t="str">
        <f>IF($B84="","",IF(COUNTIF('Competency Event Log'!$U$4:$U$803,$B84&amp;"|"&amp;CT$5)=0,"",SUMIF('Competency Event Log'!$U$4:$U$803,$B84&amp;"|"&amp;CT$5,'Competency Event Log'!$D$4:$D$803)))</f>
        <v/>
      </c>
      <c r="CU84" s="8" t="str">
        <f>IF($B84="","",IF(COUNTIF('Competency Event Log'!$U$4:$U$803,$B84&amp;"|"&amp;CU$5)=0,"",SUMIF('Competency Event Log'!$U$4:$U$803,$B84&amp;"|"&amp;CU$5,'Competency Event Log'!$D$4:$D$803)))</f>
        <v/>
      </c>
      <c r="CV84" s="8" t="str">
        <f>IF($B84="","",IF(COUNTIF('Competency Event Log'!$U$4:$U$803,$B84&amp;"|"&amp;CV$5)=0,"",SUMIF('Competency Event Log'!$U$4:$U$803,$B84&amp;"|"&amp;CV$5,'Competency Event Log'!$D$4:$D$803)))</f>
        <v/>
      </c>
      <c r="CW84" s="8" t="str">
        <f>IF($B84="","",IF(COUNTIF('Competency Event Log'!$U$4:$U$803,$B84&amp;"|"&amp;CW$5)=0,"",SUMIF('Competency Event Log'!$U$4:$U$803,$B84&amp;"|"&amp;CW$5,'Competency Event Log'!$D$4:$D$803)))</f>
        <v/>
      </c>
      <c r="CX84" s="8" t="str">
        <f>IF($B84="","",IF(COUNTIF('Competency Event Log'!$U$4:$U$803,$B84&amp;"|"&amp;CX$5)=0,"",SUMIF('Competency Event Log'!$U$4:$U$803,$B84&amp;"|"&amp;CX$5,'Competency Event Log'!$D$4:$D$803)))</f>
        <v/>
      </c>
      <c r="CY84" s="8" t="str">
        <f>IF($B84="","",IF(COUNTIF('Competency Event Log'!$U$4:$U$803,$B84&amp;"|"&amp;CY$5)=0,"",SUMIF('Competency Event Log'!$U$4:$U$803,$B84&amp;"|"&amp;CY$5,'Competency Event Log'!$D$4:$D$803)))</f>
        <v/>
      </c>
      <c r="CZ84" s="8" t="str">
        <f>IF($B84="","",IF(COUNTIF('Competency Event Log'!$U$4:$U$803,$B84&amp;"|"&amp;CZ$5)=0,"",SUMIF('Competency Event Log'!$U$4:$U$803,$B84&amp;"|"&amp;CZ$5,'Competency Event Log'!$D$4:$D$803)))</f>
        <v/>
      </c>
      <c r="DA84" s="8" t="str">
        <f>IF($B84="","",IF(COUNTIF('Competency Event Log'!$U$4:$U$803,$B84&amp;"|"&amp;DA$5)=0,"",SUMIF('Competency Event Log'!$U$4:$U$803,$B84&amp;"|"&amp;DA$5,'Competency Event Log'!$D$4:$D$803)))</f>
        <v/>
      </c>
      <c r="DB84" s="8" t="str">
        <f>IF($B84="","",IF(COUNTIF('Competency Event Log'!$U$4:$U$803,$B84&amp;"|"&amp;DB$5)=0,"",SUMIF('Competency Event Log'!$U$4:$U$803,$B84&amp;"|"&amp;DB$5,'Competency Event Log'!$D$4:$D$803)))</f>
        <v/>
      </c>
      <c r="DC84" s="8" t="str">
        <f>IF($B84="","",IF(COUNTIF('Competency Event Log'!$U$4:$U$803,$B84&amp;"|"&amp;DC$5)=0,"",SUMIF('Competency Event Log'!$U$4:$U$803,$B84&amp;"|"&amp;DC$5,'Competency Event Log'!$D$4:$D$803)))</f>
        <v/>
      </c>
      <c r="DD84" s="8" t="str">
        <f>IF($B84="","",IF(COUNTIF('Competency Event Log'!$U$4:$U$803,$B84&amp;"|"&amp;DD$5)=0,"",SUMIF('Competency Event Log'!$U$4:$U$803,$B84&amp;"|"&amp;DD$5,'Competency Event Log'!$D$4:$D$803)))</f>
        <v/>
      </c>
      <c r="DE84" s="8" t="str">
        <f>IF($B84="","",IF(COUNTIF('Competency Event Log'!$U$4:$U$803,$B84&amp;"|"&amp;DE$5)=0,"",SUMIF('Competency Event Log'!$U$4:$U$803,$B84&amp;"|"&amp;DE$5,'Competency Event Log'!$D$4:$D$803)))</f>
        <v/>
      </c>
      <c r="DF84" s="8" t="str">
        <f t="shared" si="8"/>
        <v/>
      </c>
      <c r="DG84" s="8" t="str">
        <f t="shared" si="9"/>
        <v/>
      </c>
      <c r="DH84" s="8" t="str">
        <f t="shared" si="10"/>
        <v/>
      </c>
      <c r="DI84" s="11" t="str">
        <f t="shared" si="11"/>
        <v/>
      </c>
    </row>
    <row r="85" spans="1:113">
      <c r="A85" s="7"/>
      <c r="B85" s="7"/>
      <c r="C85" s="8"/>
      <c r="D85" s="9"/>
      <c r="E85" s="10"/>
      <c r="F85" s="8"/>
      <c r="G85" s="8" t="str">
        <f>IF($B85="","",IF(COUNTIF('Competency Event Log'!$U$4:$U$803,$B85&amp;"|"&amp;G$5)=0,"",SUMIF('Competency Event Log'!$U$4:$U$803,$B85&amp;"|"&amp;G$5,'Competency Event Log'!$D$4:$D$803)))</f>
        <v/>
      </c>
      <c r="H85" s="8" t="str">
        <f>IF($B85="","",IF(COUNTIF('Competency Event Log'!$U$4:$U$803,$B85&amp;"|"&amp;H$5)=0,"",SUMIF('Competency Event Log'!$U$4:$U$803,$B85&amp;"|"&amp;H$5,'Competency Event Log'!$D$4:$D$803)))</f>
        <v/>
      </c>
      <c r="I85" s="8" t="str">
        <f>IF($B85="","",IF(COUNTIF('Competency Event Log'!$U$4:$U$803,$B85&amp;"|"&amp;I$5)=0,"",SUMIF('Competency Event Log'!$U$4:$U$803,$B85&amp;"|"&amp;I$5,'Competency Event Log'!$D$4:$D$803)))</f>
        <v/>
      </c>
      <c r="J85" s="8" t="str">
        <f>IF($B85="","",IF(COUNTIF('Competency Event Log'!$U$4:$U$803,$B85&amp;"|"&amp;J$5)=0,"",SUMIF('Competency Event Log'!$U$4:$U$803,$B85&amp;"|"&amp;J$5,'Competency Event Log'!$D$4:$D$803)))</f>
        <v/>
      </c>
      <c r="K85" s="8" t="str">
        <f>IF($B85="","",IF(COUNTIF('Competency Event Log'!$U$4:$U$803,$B85&amp;"|"&amp;K$5)=0,"",SUMIF('Competency Event Log'!$U$4:$U$803,$B85&amp;"|"&amp;K$5,'Competency Event Log'!$D$4:$D$803)))</f>
        <v/>
      </c>
      <c r="L85" s="8" t="str">
        <f>IF($B85="","",IF(COUNTIF('Competency Event Log'!$U$4:$U$803,$B85&amp;"|"&amp;L$5)=0,"",SUMIF('Competency Event Log'!$U$4:$U$803,$B85&amp;"|"&amp;L$5,'Competency Event Log'!$D$4:$D$803)))</f>
        <v/>
      </c>
      <c r="M85" s="8" t="str">
        <f>IF($B85="","",IF(COUNTIF('Competency Event Log'!$U$4:$U$803,$B85&amp;"|"&amp;M$5)=0,"",SUMIF('Competency Event Log'!$U$4:$U$803,$B85&amp;"|"&amp;M$5,'Competency Event Log'!$D$4:$D$803)))</f>
        <v/>
      </c>
      <c r="N85" s="8" t="str">
        <f>IF($B85="","",IF(COUNTIF('Competency Event Log'!$U$4:$U$803,$B85&amp;"|"&amp;N$5)=0,"",SUMIF('Competency Event Log'!$U$4:$U$803,$B85&amp;"|"&amp;N$5,'Competency Event Log'!$D$4:$D$803)))</f>
        <v/>
      </c>
      <c r="O85" s="8" t="str">
        <f>IF($B85="","",IF(COUNTIF('Competency Event Log'!$U$4:$U$803,$B85&amp;"|"&amp;O$5)=0,"",SUMIF('Competency Event Log'!$U$4:$U$803,$B85&amp;"|"&amp;O$5,'Competency Event Log'!$D$4:$D$803)))</f>
        <v/>
      </c>
      <c r="P85" s="8" t="str">
        <f>IF($B85="","",IF(COUNTIF('Competency Event Log'!$U$4:$U$803,$B85&amp;"|"&amp;P$5)=0,"",SUMIF('Competency Event Log'!$U$4:$U$803,$B85&amp;"|"&amp;P$5,'Competency Event Log'!$D$4:$D$803)))</f>
        <v/>
      </c>
      <c r="Q85" s="8" t="str">
        <f>IF($B85="","",IF(COUNTIF('Competency Event Log'!$U$4:$U$803,$B85&amp;"|"&amp;Q$5)=0,"",SUMIF('Competency Event Log'!$U$4:$U$803,$B85&amp;"|"&amp;Q$5,'Competency Event Log'!$D$4:$D$803)))</f>
        <v/>
      </c>
      <c r="R85" s="8" t="str">
        <f>IF($B85="","",IF(COUNTIF('Competency Event Log'!$U$4:$U$803,$B85&amp;"|"&amp;R$5)=0,"",SUMIF('Competency Event Log'!$U$4:$U$803,$B85&amp;"|"&amp;R$5,'Competency Event Log'!$D$4:$D$803)))</f>
        <v/>
      </c>
      <c r="S85" s="8" t="str">
        <f>IF($B85="","",IF(COUNTIF('Competency Event Log'!$U$4:$U$803,$B85&amp;"|"&amp;S$5)=0,"",SUMIF('Competency Event Log'!$U$4:$U$803,$B85&amp;"|"&amp;S$5,'Competency Event Log'!$D$4:$D$803)))</f>
        <v/>
      </c>
      <c r="T85" s="8" t="str">
        <f>IF($B85="","",IF(COUNTIF('Competency Event Log'!$U$4:$U$803,$B85&amp;"|"&amp;T$5)=0,"",SUMIF('Competency Event Log'!$U$4:$U$803,$B85&amp;"|"&amp;T$5,'Competency Event Log'!$D$4:$D$803)))</f>
        <v/>
      </c>
      <c r="U85" s="8" t="str">
        <f>IF($B85="","",IF(COUNTIF('Competency Event Log'!$U$4:$U$803,$B85&amp;"|"&amp;U$5)=0,"",SUMIF('Competency Event Log'!$U$4:$U$803,$B85&amp;"|"&amp;U$5,'Competency Event Log'!$D$4:$D$803)))</f>
        <v/>
      </c>
      <c r="V85" s="8" t="str">
        <f>IF($B85="","",IF(COUNTIF('Competency Event Log'!$U$4:$U$803,$B85&amp;"|"&amp;V$5)=0,"",SUMIF('Competency Event Log'!$U$4:$U$803,$B85&amp;"|"&amp;V$5,'Competency Event Log'!$D$4:$D$803)))</f>
        <v/>
      </c>
      <c r="W85" s="8" t="str">
        <f>IF($B85="","",IF(COUNTIF('Competency Event Log'!$U$4:$U$803,$B85&amp;"|"&amp;W$5)=0,"",SUMIF('Competency Event Log'!$U$4:$U$803,$B85&amp;"|"&amp;W$5,'Competency Event Log'!$D$4:$D$803)))</f>
        <v/>
      </c>
      <c r="X85" s="8" t="str">
        <f>IF($B85="","",IF(COUNTIF('Competency Event Log'!$U$4:$U$803,$B85&amp;"|"&amp;X$5)=0,"",SUMIF('Competency Event Log'!$U$4:$U$803,$B85&amp;"|"&amp;X$5,'Competency Event Log'!$D$4:$D$803)))</f>
        <v/>
      </c>
      <c r="Y85" s="8" t="str">
        <f>IF($B85="","",IF(COUNTIF('Competency Event Log'!$U$4:$U$803,$B85&amp;"|"&amp;Y$5)=0,"",SUMIF('Competency Event Log'!$U$4:$U$803,$B85&amp;"|"&amp;Y$5,'Competency Event Log'!$D$4:$D$803)))</f>
        <v/>
      </c>
      <c r="Z85" s="8" t="str">
        <f>IF($B85="","",IF(COUNTIF('Competency Event Log'!$U$4:$U$803,$B85&amp;"|"&amp;Z$5)=0,"",SUMIF('Competency Event Log'!$U$4:$U$803,$B85&amp;"|"&amp;Z$5,'Competency Event Log'!$D$4:$D$803)))</f>
        <v/>
      </c>
      <c r="AA85" s="8" t="str">
        <f>IF($B85="","",IF(COUNTIF('Competency Event Log'!$U$4:$U$803,$B85&amp;"|"&amp;AA$5)=0,"",SUMIF('Competency Event Log'!$U$4:$U$803,$B85&amp;"|"&amp;AA$5,'Competency Event Log'!$D$4:$D$803)))</f>
        <v/>
      </c>
      <c r="AB85" s="8" t="str">
        <f>IF($B85="","",IF(COUNTIF('Competency Event Log'!$U$4:$U$803,$B85&amp;"|"&amp;AB$5)=0,"",SUMIF('Competency Event Log'!$U$4:$U$803,$B85&amp;"|"&amp;AB$5,'Competency Event Log'!$D$4:$D$803)))</f>
        <v/>
      </c>
      <c r="AC85" s="8" t="str">
        <f>IF($B85="","",IF(COUNTIF('Competency Event Log'!$U$4:$U$803,$B85&amp;"|"&amp;AC$5)=0,"",SUMIF('Competency Event Log'!$U$4:$U$803,$B85&amp;"|"&amp;AC$5,'Competency Event Log'!$D$4:$D$803)))</f>
        <v/>
      </c>
      <c r="AD85" s="8" t="str">
        <f>IF($B85="","",IF(COUNTIF('Competency Event Log'!$U$4:$U$803,$B85&amp;"|"&amp;AD$5)=0,"",SUMIF('Competency Event Log'!$U$4:$U$803,$B85&amp;"|"&amp;AD$5,'Competency Event Log'!$D$4:$D$803)))</f>
        <v/>
      </c>
      <c r="AE85" s="8" t="str">
        <f>IF($B85="","",IF(COUNTIF('Competency Event Log'!$U$4:$U$803,$B85&amp;"|"&amp;AE$5)=0,"",SUMIF('Competency Event Log'!$U$4:$U$803,$B85&amp;"|"&amp;AE$5,'Competency Event Log'!$D$4:$D$803)))</f>
        <v/>
      </c>
      <c r="AF85" s="8" t="str">
        <f>IF($B85="","",IF(COUNTIF('Competency Event Log'!$U$4:$U$803,$B85&amp;"|"&amp;AF$5)=0,"",SUMIF('Competency Event Log'!$U$4:$U$803,$B85&amp;"|"&amp;AF$5,'Competency Event Log'!$D$4:$D$803)))</f>
        <v/>
      </c>
      <c r="AG85" s="8" t="str">
        <f>IF($B85="","",IF(COUNTIF('Competency Event Log'!$U$4:$U$803,$B85&amp;"|"&amp;AG$5)=0,"",SUMIF('Competency Event Log'!$U$4:$U$803,$B85&amp;"|"&amp;AG$5,'Competency Event Log'!$D$4:$D$803)))</f>
        <v/>
      </c>
      <c r="AH85" s="8" t="str">
        <f>IF($B85="","",IF(COUNTIF('Competency Event Log'!$U$4:$U$803,$B85&amp;"|"&amp;AH$5)=0,"",SUMIF('Competency Event Log'!$U$4:$U$803,$B85&amp;"|"&amp;AH$5,'Competency Event Log'!$D$4:$D$803)))</f>
        <v/>
      </c>
      <c r="AI85" s="8" t="str">
        <f>IF($B85="","",IF(COUNTIF('Competency Event Log'!$U$4:$U$803,$B85&amp;"|"&amp;AI$5)=0,"",SUMIF('Competency Event Log'!$U$4:$U$803,$B85&amp;"|"&amp;AI$5,'Competency Event Log'!$D$4:$D$803)))</f>
        <v/>
      </c>
      <c r="AJ85" s="8" t="str">
        <f>IF($B85="","",IF(COUNTIF('Competency Event Log'!$U$4:$U$803,$B85&amp;"|"&amp;AJ$5)=0,"",SUMIF('Competency Event Log'!$U$4:$U$803,$B85&amp;"|"&amp;AJ$5,'Competency Event Log'!$D$4:$D$803)))</f>
        <v/>
      </c>
      <c r="AK85" s="8" t="str">
        <f>IF($B85="","",IF(COUNTIF('Competency Event Log'!$U$4:$U$803,$B85&amp;"|"&amp;AK$5)=0,"",SUMIF('Competency Event Log'!$U$4:$U$803,$B85&amp;"|"&amp;AK$5,'Competency Event Log'!$D$4:$D$803)))</f>
        <v/>
      </c>
      <c r="AL85" s="8" t="str">
        <f>IF($B85="","",IF(COUNTIF('Competency Event Log'!$U$4:$U$803,$B85&amp;"|"&amp;AL$5)=0,"",SUMIF('Competency Event Log'!$U$4:$U$803,$B85&amp;"|"&amp;AL$5,'Competency Event Log'!$D$4:$D$803)))</f>
        <v/>
      </c>
      <c r="AM85" s="8" t="str">
        <f>IF($B85="","",IF(COUNTIF('Competency Event Log'!$U$4:$U$803,$B85&amp;"|"&amp;AM$5)=0,"",SUMIF('Competency Event Log'!$U$4:$U$803,$B85&amp;"|"&amp;AM$5,'Competency Event Log'!$D$4:$D$803)))</f>
        <v/>
      </c>
      <c r="AN85" s="8" t="str">
        <f>IF($B85="","",IF(COUNTIF('Competency Event Log'!$U$4:$U$803,$B85&amp;"|"&amp;AN$5)=0,"",SUMIF('Competency Event Log'!$U$4:$U$803,$B85&amp;"|"&amp;AN$5,'Competency Event Log'!$D$4:$D$803)))</f>
        <v/>
      </c>
      <c r="AO85" s="8" t="str">
        <f>IF($B85="","",IF(COUNTIF('Competency Event Log'!$U$4:$U$803,$B85&amp;"|"&amp;AO$5)=0,"",SUMIF('Competency Event Log'!$U$4:$U$803,$B85&amp;"|"&amp;AO$5,'Competency Event Log'!$D$4:$D$803)))</f>
        <v/>
      </c>
      <c r="AP85" s="8" t="str">
        <f>IF($B85="","",IF(COUNTIF('Competency Event Log'!$U$4:$U$803,$B85&amp;"|"&amp;AP$5)=0,"",SUMIF('Competency Event Log'!$U$4:$U$803,$B85&amp;"|"&amp;AP$5,'Competency Event Log'!$D$4:$D$803)))</f>
        <v/>
      </c>
      <c r="AQ85" s="8" t="str">
        <f>IF($B85="","",IF(COUNTIF('Competency Event Log'!$U$4:$U$803,$B85&amp;"|"&amp;AQ$5)=0,"",SUMIF('Competency Event Log'!$U$4:$U$803,$B85&amp;"|"&amp;AQ$5,'Competency Event Log'!$D$4:$D$803)))</f>
        <v/>
      </c>
      <c r="AR85" s="8" t="str">
        <f>IF($B85="","",IF(COUNTIF('Competency Event Log'!$U$4:$U$803,$B85&amp;"|"&amp;AR$5)=0,"",SUMIF('Competency Event Log'!$U$4:$U$803,$B85&amp;"|"&amp;AR$5,'Competency Event Log'!$D$4:$D$803)))</f>
        <v/>
      </c>
      <c r="AS85" s="8" t="str">
        <f>IF($B85="","",IF(COUNTIF('Competency Event Log'!$U$4:$U$803,$B85&amp;"|"&amp;AS$5)=0,"",SUMIF('Competency Event Log'!$U$4:$U$803,$B85&amp;"|"&amp;AS$5,'Competency Event Log'!$D$4:$D$803)))</f>
        <v/>
      </c>
      <c r="AT85" s="8" t="str">
        <f>IF($B85="","",IF(COUNTIF('Competency Event Log'!$U$4:$U$803,$B85&amp;"|"&amp;AT$5)=0,"",SUMIF('Competency Event Log'!$U$4:$U$803,$B85&amp;"|"&amp;AT$5,'Competency Event Log'!$D$4:$D$803)))</f>
        <v/>
      </c>
      <c r="AU85" s="8" t="str">
        <f>IF($B85="","",IF(COUNTIF('Competency Event Log'!$U$4:$U$803,$B85&amp;"|"&amp;AU$5)=0,"",SUMIF('Competency Event Log'!$U$4:$U$803,$B85&amp;"|"&amp;AU$5,'Competency Event Log'!$D$4:$D$803)))</f>
        <v/>
      </c>
      <c r="AV85" s="8" t="str">
        <f>IF($B85="","",IF(COUNTIF('Competency Event Log'!$U$4:$U$803,$B85&amp;"|"&amp;AV$5)=0,"",SUMIF('Competency Event Log'!$U$4:$U$803,$B85&amp;"|"&amp;AV$5,'Competency Event Log'!$D$4:$D$803)))</f>
        <v/>
      </c>
      <c r="AW85" s="8" t="str">
        <f>IF($B85="","",IF(COUNTIF('Competency Event Log'!$U$4:$U$803,$B85&amp;"|"&amp;AW$5)=0,"",SUMIF('Competency Event Log'!$U$4:$U$803,$B85&amp;"|"&amp;AW$5,'Competency Event Log'!$D$4:$D$803)))</f>
        <v/>
      </c>
      <c r="AX85" s="8" t="str">
        <f>IF($B85="","",IF(COUNTIF('Competency Event Log'!$U$4:$U$803,$B85&amp;"|"&amp;AX$5)=0,"",SUMIF('Competency Event Log'!$U$4:$U$803,$B85&amp;"|"&amp;AX$5,'Competency Event Log'!$D$4:$D$803)))</f>
        <v/>
      </c>
      <c r="AY85" s="8" t="str">
        <f>IF($B85="","",IF(COUNTIF('Competency Event Log'!$U$4:$U$803,$B85&amp;"|"&amp;AY$5)=0,"",SUMIF('Competency Event Log'!$U$4:$U$803,$B85&amp;"|"&amp;AY$5,'Competency Event Log'!$D$4:$D$803)))</f>
        <v/>
      </c>
      <c r="AZ85" s="8" t="str">
        <f>IF($B85="","",IF(COUNTIF('Competency Event Log'!$U$4:$U$803,$B85&amp;"|"&amp;AZ$5)=0,"",SUMIF('Competency Event Log'!$U$4:$U$803,$B85&amp;"|"&amp;AZ$5,'Competency Event Log'!$D$4:$D$803)))</f>
        <v/>
      </c>
      <c r="BA85" s="8" t="str">
        <f>IF($B85="","",IF(COUNTIF('Competency Event Log'!$U$4:$U$803,$B85&amp;"|"&amp;BA$5)=0,"",SUMIF('Competency Event Log'!$U$4:$U$803,$B85&amp;"|"&amp;BA$5,'Competency Event Log'!$D$4:$D$803)))</f>
        <v/>
      </c>
      <c r="BB85" s="8" t="str">
        <f>IF($B85="","",IF(COUNTIF('Competency Event Log'!$U$4:$U$803,$B85&amp;"|"&amp;BB$5)=0,"",SUMIF('Competency Event Log'!$U$4:$U$803,$B85&amp;"|"&amp;BB$5,'Competency Event Log'!$D$4:$D$803)))</f>
        <v/>
      </c>
      <c r="BC85" s="8" t="str">
        <f>IF($B85="","",IF(COUNTIF('Competency Event Log'!$U$4:$U$803,$B85&amp;"|"&amp;BC$5)=0,"",SUMIF('Competency Event Log'!$U$4:$U$803,$B85&amp;"|"&amp;BC$5,'Competency Event Log'!$D$4:$D$803)))</f>
        <v/>
      </c>
      <c r="BD85" s="8" t="str">
        <f>IF($B85="","",IF(COUNTIF('Competency Event Log'!$U$4:$U$803,$B85&amp;"|"&amp;BD$5)=0,"",SUMIF('Competency Event Log'!$U$4:$U$803,$B85&amp;"|"&amp;BD$5,'Competency Event Log'!$D$4:$D$803)))</f>
        <v/>
      </c>
      <c r="BE85" s="8" t="str">
        <f>IF($B85="","",IF(COUNTIF('Competency Event Log'!$U$4:$U$803,$B85&amp;"|"&amp;BE$5)=0,"",SUMIF('Competency Event Log'!$U$4:$U$803,$B85&amp;"|"&amp;BE$5,'Competency Event Log'!$D$4:$D$803)))</f>
        <v/>
      </c>
      <c r="BF85" s="8" t="str">
        <f>IF($B85="","",IF(COUNTIF('Competency Event Log'!$U$4:$U$803,$B85&amp;"|"&amp;BF$5)=0,"",SUMIF('Competency Event Log'!$U$4:$U$803,$B85&amp;"|"&amp;BF$5,'Competency Event Log'!$D$4:$D$803)))</f>
        <v/>
      </c>
      <c r="BG85" s="8" t="str">
        <f>IF($B85="","",IF(COUNTIF('Competency Event Log'!$U$4:$U$803,$B85&amp;"|"&amp;BG$5)=0,"",SUMIF('Competency Event Log'!$U$4:$U$803,$B85&amp;"|"&amp;BG$5,'Competency Event Log'!$D$4:$D$803)))</f>
        <v/>
      </c>
      <c r="BH85" s="8" t="str">
        <f>IF($B85="","",IF(COUNTIF('Competency Event Log'!$U$4:$U$803,$B85&amp;"|"&amp;BH$5)=0,"",SUMIF('Competency Event Log'!$U$4:$U$803,$B85&amp;"|"&amp;BH$5,'Competency Event Log'!$D$4:$D$803)))</f>
        <v/>
      </c>
      <c r="BI85" s="8" t="str">
        <f>IF($B85="","",IF(COUNTIF('Competency Event Log'!$U$4:$U$803,$B85&amp;"|"&amp;BI$5)=0,"",SUMIF('Competency Event Log'!$U$4:$U$803,$B85&amp;"|"&amp;BI$5,'Competency Event Log'!$D$4:$D$803)))</f>
        <v/>
      </c>
      <c r="BJ85" s="8" t="str">
        <f>IF($B85="","",IF(COUNTIF('Competency Event Log'!$U$4:$U$803,$B85&amp;"|"&amp;BJ$5)=0,"",SUMIF('Competency Event Log'!$U$4:$U$803,$B85&amp;"|"&amp;BJ$5,'Competency Event Log'!$D$4:$D$803)))</f>
        <v/>
      </c>
      <c r="BK85" s="8" t="str">
        <f>IF($B85="","",IF(COUNTIF('Competency Event Log'!$U$4:$U$803,$B85&amp;"|"&amp;BK$5)=0,"",SUMIF('Competency Event Log'!$U$4:$U$803,$B85&amp;"|"&amp;BK$5,'Competency Event Log'!$D$4:$D$803)))</f>
        <v/>
      </c>
      <c r="BL85" s="8" t="str">
        <f>IF($B85="","",IF(COUNTIF('Competency Event Log'!$U$4:$U$803,$B85&amp;"|"&amp;BL$5)=0,"",SUMIF('Competency Event Log'!$U$4:$U$803,$B85&amp;"|"&amp;BL$5,'Competency Event Log'!$D$4:$D$803)))</f>
        <v/>
      </c>
      <c r="BM85" s="8" t="str">
        <f>IF($B85="","",IF(COUNTIF('Competency Event Log'!$U$4:$U$803,$B85&amp;"|"&amp;BM$5)=0,"",SUMIF('Competency Event Log'!$U$4:$U$803,$B85&amp;"|"&amp;BM$5,'Competency Event Log'!$D$4:$D$803)))</f>
        <v/>
      </c>
      <c r="BN85" s="8" t="str">
        <f>IF($B85="","",IF(COUNTIF('Competency Event Log'!$U$4:$U$803,$B85&amp;"|"&amp;BN$5)=0,"",SUMIF('Competency Event Log'!$U$4:$U$803,$B85&amp;"|"&amp;BN$5,'Competency Event Log'!$D$4:$D$803)))</f>
        <v/>
      </c>
      <c r="BO85" s="8" t="str">
        <f>IF($B85="","",IF(COUNTIF('Competency Event Log'!$U$4:$U$803,$B85&amp;"|"&amp;BO$5)=0,"",SUMIF('Competency Event Log'!$U$4:$U$803,$B85&amp;"|"&amp;BO$5,'Competency Event Log'!$D$4:$D$803)))</f>
        <v/>
      </c>
      <c r="BP85" s="8" t="str">
        <f>IF($B85="","",IF(COUNTIF('Competency Event Log'!$U$4:$U$803,$B85&amp;"|"&amp;BP$5)=0,"",SUMIF('Competency Event Log'!$U$4:$U$803,$B85&amp;"|"&amp;BP$5,'Competency Event Log'!$D$4:$D$803)))</f>
        <v/>
      </c>
      <c r="BQ85" s="8" t="str">
        <f>IF($B85="","",IF(COUNTIF('Competency Event Log'!$U$4:$U$803,$B85&amp;"|"&amp;BQ$5)=0,"",SUMIF('Competency Event Log'!$U$4:$U$803,$B85&amp;"|"&amp;BQ$5,'Competency Event Log'!$D$4:$D$803)))</f>
        <v/>
      </c>
      <c r="BR85" s="8" t="str">
        <f>IF($B85="","",IF(COUNTIF('Competency Event Log'!$U$4:$U$803,$B85&amp;"|"&amp;BR$5)=0,"",SUMIF('Competency Event Log'!$U$4:$U$803,$B85&amp;"|"&amp;BR$5,'Competency Event Log'!$D$4:$D$803)))</f>
        <v/>
      </c>
      <c r="BS85" s="8" t="str">
        <f>IF($B85="","",IF(COUNTIF('Competency Event Log'!$U$4:$U$803,$B85&amp;"|"&amp;BS$5)=0,"",SUMIF('Competency Event Log'!$U$4:$U$803,$B85&amp;"|"&amp;BS$5,'Competency Event Log'!$D$4:$D$803)))</f>
        <v/>
      </c>
      <c r="BT85" s="8" t="str">
        <f>IF($B85="","",IF(COUNTIF('Competency Event Log'!$U$4:$U$803,$B85&amp;"|"&amp;BT$5)=0,"",SUMIF('Competency Event Log'!$U$4:$U$803,$B85&amp;"|"&amp;BT$5,'Competency Event Log'!$D$4:$D$803)))</f>
        <v/>
      </c>
      <c r="BU85" s="8" t="str">
        <f>IF($B85="","",IF(COUNTIF('Competency Event Log'!$U$4:$U$803,$B85&amp;"|"&amp;BU$5)=0,"",SUMIF('Competency Event Log'!$U$4:$U$803,$B85&amp;"|"&amp;BU$5,'Competency Event Log'!$D$4:$D$803)))</f>
        <v/>
      </c>
      <c r="BV85" s="8" t="str">
        <f>IF($B85="","",IF(COUNTIF('Competency Event Log'!$U$4:$U$803,$B85&amp;"|"&amp;BV$5)=0,"",SUMIF('Competency Event Log'!$U$4:$U$803,$B85&amp;"|"&amp;BV$5,'Competency Event Log'!$D$4:$D$803)))</f>
        <v/>
      </c>
      <c r="BW85" s="8" t="str">
        <f>IF($B85="","",IF(COUNTIF('Competency Event Log'!$U$4:$U$803,$B85&amp;"|"&amp;BW$5)=0,"",SUMIF('Competency Event Log'!$U$4:$U$803,$B85&amp;"|"&amp;BW$5,'Competency Event Log'!$D$4:$D$803)))</f>
        <v/>
      </c>
      <c r="BX85" s="8" t="str">
        <f>IF($B85="","",IF(COUNTIF('Competency Event Log'!$U$4:$U$803,$B85&amp;"|"&amp;BX$5)=0,"",SUMIF('Competency Event Log'!$U$4:$U$803,$B85&amp;"|"&amp;BX$5,'Competency Event Log'!$D$4:$D$803)))</f>
        <v/>
      </c>
      <c r="BY85" s="8" t="str">
        <f>IF($B85="","",IF(COUNTIF('Competency Event Log'!$U$4:$U$803,$B85&amp;"|"&amp;BY$5)=0,"",SUMIF('Competency Event Log'!$U$4:$U$803,$B85&amp;"|"&amp;BY$5,'Competency Event Log'!$D$4:$D$803)))</f>
        <v/>
      </c>
      <c r="BZ85" s="8" t="str">
        <f>IF($B85="","",IF(COUNTIF('Competency Event Log'!$U$4:$U$803,$B85&amp;"|"&amp;BZ$5)=0,"",SUMIF('Competency Event Log'!$U$4:$U$803,$B85&amp;"|"&amp;BZ$5,'Competency Event Log'!$D$4:$D$803)))</f>
        <v/>
      </c>
      <c r="CA85" s="8" t="str">
        <f>IF($B85="","",IF(COUNTIF('Competency Event Log'!$U$4:$U$803,$B85&amp;"|"&amp;CA$5)=0,"",SUMIF('Competency Event Log'!$U$4:$U$803,$B85&amp;"|"&amp;CA$5,'Competency Event Log'!$D$4:$D$803)))</f>
        <v/>
      </c>
      <c r="CB85" s="8" t="str">
        <f>IF($B85="","",IF(COUNTIF('Competency Event Log'!$U$4:$U$803,$B85&amp;"|"&amp;CB$5)=0,"",SUMIF('Competency Event Log'!$U$4:$U$803,$B85&amp;"|"&amp;CB$5,'Competency Event Log'!$D$4:$D$803)))</f>
        <v/>
      </c>
      <c r="CC85" s="8" t="str">
        <f>IF($B85="","",IF(COUNTIF('Competency Event Log'!$U$4:$U$803,$B85&amp;"|"&amp;CC$5)=0,"",SUMIF('Competency Event Log'!$U$4:$U$803,$B85&amp;"|"&amp;CC$5,'Competency Event Log'!$D$4:$D$803)))</f>
        <v/>
      </c>
      <c r="CD85" s="8" t="str">
        <f>IF($B85="","",IF(COUNTIF('Competency Event Log'!$U$4:$U$803,$B85&amp;"|"&amp;CD$5)=0,"",SUMIF('Competency Event Log'!$U$4:$U$803,$B85&amp;"|"&amp;CD$5,'Competency Event Log'!$D$4:$D$803)))</f>
        <v/>
      </c>
      <c r="CE85" s="8" t="str">
        <f>IF($B85="","",IF(COUNTIF('Competency Event Log'!$U$4:$U$803,$B85&amp;"|"&amp;CE$5)=0,"",SUMIF('Competency Event Log'!$U$4:$U$803,$B85&amp;"|"&amp;CE$5,'Competency Event Log'!$D$4:$D$803)))</f>
        <v/>
      </c>
      <c r="CF85" s="8" t="str">
        <f>IF($B85="","",IF(COUNTIF('Competency Event Log'!$U$4:$U$803,$B85&amp;"|"&amp;CF$5)=0,"",SUMIF('Competency Event Log'!$U$4:$U$803,$B85&amp;"|"&amp;CF$5,'Competency Event Log'!$D$4:$D$803)))</f>
        <v/>
      </c>
      <c r="CG85" s="8" t="str">
        <f>IF($B85="","",IF(COUNTIF('Competency Event Log'!$U$4:$U$803,$B85&amp;"|"&amp;CG$5)=0,"",SUMIF('Competency Event Log'!$U$4:$U$803,$B85&amp;"|"&amp;CG$5,'Competency Event Log'!$D$4:$D$803)))</f>
        <v/>
      </c>
      <c r="CH85" s="8" t="str">
        <f>IF($B85="","",IF(COUNTIF('Competency Event Log'!$U$4:$U$803,$B85&amp;"|"&amp;CH$5)=0,"",SUMIF('Competency Event Log'!$U$4:$U$803,$B85&amp;"|"&amp;CH$5,'Competency Event Log'!$D$4:$D$803)))</f>
        <v/>
      </c>
      <c r="CI85" s="8" t="str">
        <f>IF($B85="","",IF(COUNTIF('Competency Event Log'!$U$4:$U$803,$B85&amp;"|"&amp;CI$5)=0,"",SUMIF('Competency Event Log'!$U$4:$U$803,$B85&amp;"|"&amp;CI$5,'Competency Event Log'!$D$4:$D$803)))</f>
        <v/>
      </c>
      <c r="CJ85" s="8" t="str">
        <f>IF($B85="","",IF(COUNTIF('Competency Event Log'!$U$4:$U$803,$B85&amp;"|"&amp;CJ$5)=0,"",SUMIF('Competency Event Log'!$U$4:$U$803,$B85&amp;"|"&amp;CJ$5,'Competency Event Log'!$D$4:$D$803)))</f>
        <v/>
      </c>
      <c r="CK85" s="8" t="str">
        <f>IF($B85="","",IF(COUNTIF('Competency Event Log'!$U$4:$U$803,$B85&amp;"|"&amp;CK$5)=0,"",SUMIF('Competency Event Log'!$U$4:$U$803,$B85&amp;"|"&amp;CK$5,'Competency Event Log'!$D$4:$D$803)))</f>
        <v/>
      </c>
      <c r="CL85" s="8" t="str">
        <f>IF($B85="","",IF(COUNTIF('Competency Event Log'!$U$4:$U$803,$B85&amp;"|"&amp;CL$5)=0,"",SUMIF('Competency Event Log'!$U$4:$U$803,$B85&amp;"|"&amp;CL$5,'Competency Event Log'!$D$4:$D$803)))</f>
        <v/>
      </c>
      <c r="CM85" s="8" t="str">
        <f>IF($B85="","",IF(COUNTIF('Competency Event Log'!$U$4:$U$803,$B85&amp;"|"&amp;CM$5)=0,"",SUMIF('Competency Event Log'!$U$4:$U$803,$B85&amp;"|"&amp;CM$5,'Competency Event Log'!$D$4:$D$803)))</f>
        <v/>
      </c>
      <c r="CN85" s="8" t="str">
        <f>IF($B85="","",IF(COUNTIF('Competency Event Log'!$U$4:$U$803,$B85&amp;"|"&amp;CN$5)=0,"",SUMIF('Competency Event Log'!$U$4:$U$803,$B85&amp;"|"&amp;CN$5,'Competency Event Log'!$D$4:$D$803)))</f>
        <v/>
      </c>
      <c r="CO85" s="8" t="str">
        <f>IF($B85="","",IF(COUNTIF('Competency Event Log'!$U$4:$U$803,$B85&amp;"|"&amp;CO$5)=0,"",SUMIF('Competency Event Log'!$U$4:$U$803,$B85&amp;"|"&amp;CO$5,'Competency Event Log'!$D$4:$D$803)))</f>
        <v/>
      </c>
      <c r="CP85" s="8" t="str">
        <f>IF($B85="","",IF(COUNTIF('Competency Event Log'!$U$4:$U$803,$B85&amp;"|"&amp;CP$5)=0,"",SUMIF('Competency Event Log'!$U$4:$U$803,$B85&amp;"|"&amp;CP$5,'Competency Event Log'!$D$4:$D$803)))</f>
        <v/>
      </c>
      <c r="CQ85" s="8" t="str">
        <f>IF($B85="","",IF(COUNTIF('Competency Event Log'!$U$4:$U$803,$B85&amp;"|"&amp;CQ$5)=0,"",SUMIF('Competency Event Log'!$U$4:$U$803,$B85&amp;"|"&amp;CQ$5,'Competency Event Log'!$D$4:$D$803)))</f>
        <v/>
      </c>
      <c r="CR85" s="8" t="str">
        <f>IF($B85="","",IF(COUNTIF('Competency Event Log'!$U$4:$U$803,$B85&amp;"|"&amp;CR$5)=0,"",SUMIF('Competency Event Log'!$U$4:$U$803,$B85&amp;"|"&amp;CR$5,'Competency Event Log'!$D$4:$D$803)))</f>
        <v/>
      </c>
      <c r="CS85" s="8" t="str">
        <f>IF($B85="","",IF(COUNTIF('Competency Event Log'!$U$4:$U$803,$B85&amp;"|"&amp;CS$5)=0,"",SUMIF('Competency Event Log'!$U$4:$U$803,$B85&amp;"|"&amp;CS$5,'Competency Event Log'!$D$4:$D$803)))</f>
        <v/>
      </c>
      <c r="CT85" s="8" t="str">
        <f>IF($B85="","",IF(COUNTIF('Competency Event Log'!$U$4:$U$803,$B85&amp;"|"&amp;CT$5)=0,"",SUMIF('Competency Event Log'!$U$4:$U$803,$B85&amp;"|"&amp;CT$5,'Competency Event Log'!$D$4:$D$803)))</f>
        <v/>
      </c>
      <c r="CU85" s="8" t="str">
        <f>IF($B85="","",IF(COUNTIF('Competency Event Log'!$U$4:$U$803,$B85&amp;"|"&amp;CU$5)=0,"",SUMIF('Competency Event Log'!$U$4:$U$803,$B85&amp;"|"&amp;CU$5,'Competency Event Log'!$D$4:$D$803)))</f>
        <v/>
      </c>
      <c r="CV85" s="8" t="str">
        <f>IF($B85="","",IF(COUNTIF('Competency Event Log'!$U$4:$U$803,$B85&amp;"|"&amp;CV$5)=0,"",SUMIF('Competency Event Log'!$U$4:$U$803,$B85&amp;"|"&amp;CV$5,'Competency Event Log'!$D$4:$D$803)))</f>
        <v/>
      </c>
      <c r="CW85" s="8" t="str">
        <f>IF($B85="","",IF(COUNTIF('Competency Event Log'!$U$4:$U$803,$B85&amp;"|"&amp;CW$5)=0,"",SUMIF('Competency Event Log'!$U$4:$U$803,$B85&amp;"|"&amp;CW$5,'Competency Event Log'!$D$4:$D$803)))</f>
        <v/>
      </c>
      <c r="CX85" s="8" t="str">
        <f>IF($B85="","",IF(COUNTIF('Competency Event Log'!$U$4:$U$803,$B85&amp;"|"&amp;CX$5)=0,"",SUMIF('Competency Event Log'!$U$4:$U$803,$B85&amp;"|"&amp;CX$5,'Competency Event Log'!$D$4:$D$803)))</f>
        <v/>
      </c>
      <c r="CY85" s="8" t="str">
        <f>IF($B85="","",IF(COUNTIF('Competency Event Log'!$U$4:$U$803,$B85&amp;"|"&amp;CY$5)=0,"",SUMIF('Competency Event Log'!$U$4:$U$803,$B85&amp;"|"&amp;CY$5,'Competency Event Log'!$D$4:$D$803)))</f>
        <v/>
      </c>
      <c r="CZ85" s="8" t="str">
        <f>IF($B85="","",IF(COUNTIF('Competency Event Log'!$U$4:$U$803,$B85&amp;"|"&amp;CZ$5)=0,"",SUMIF('Competency Event Log'!$U$4:$U$803,$B85&amp;"|"&amp;CZ$5,'Competency Event Log'!$D$4:$D$803)))</f>
        <v/>
      </c>
      <c r="DA85" s="8" t="str">
        <f>IF($B85="","",IF(COUNTIF('Competency Event Log'!$U$4:$U$803,$B85&amp;"|"&amp;DA$5)=0,"",SUMIF('Competency Event Log'!$U$4:$U$803,$B85&amp;"|"&amp;DA$5,'Competency Event Log'!$D$4:$D$803)))</f>
        <v/>
      </c>
      <c r="DB85" s="8" t="str">
        <f>IF($B85="","",IF(COUNTIF('Competency Event Log'!$U$4:$U$803,$B85&amp;"|"&amp;DB$5)=0,"",SUMIF('Competency Event Log'!$U$4:$U$803,$B85&amp;"|"&amp;DB$5,'Competency Event Log'!$D$4:$D$803)))</f>
        <v/>
      </c>
      <c r="DC85" s="8" t="str">
        <f>IF($B85="","",IF(COUNTIF('Competency Event Log'!$U$4:$U$803,$B85&amp;"|"&amp;DC$5)=0,"",SUMIF('Competency Event Log'!$U$4:$U$803,$B85&amp;"|"&amp;DC$5,'Competency Event Log'!$D$4:$D$803)))</f>
        <v/>
      </c>
      <c r="DD85" s="8" t="str">
        <f>IF($B85="","",IF(COUNTIF('Competency Event Log'!$U$4:$U$803,$B85&amp;"|"&amp;DD$5)=0,"",SUMIF('Competency Event Log'!$U$4:$U$803,$B85&amp;"|"&amp;DD$5,'Competency Event Log'!$D$4:$D$803)))</f>
        <v/>
      </c>
      <c r="DE85" s="8" t="str">
        <f>IF($B85="","",IF(COUNTIF('Competency Event Log'!$U$4:$U$803,$B85&amp;"|"&amp;DE$5)=0,"",SUMIF('Competency Event Log'!$U$4:$U$803,$B85&amp;"|"&amp;DE$5,'Competency Event Log'!$D$4:$D$803)))</f>
        <v/>
      </c>
      <c r="DF85" s="8" t="str">
        <f t="shared" si="8"/>
        <v/>
      </c>
      <c r="DG85" s="8" t="str">
        <f t="shared" si="9"/>
        <v/>
      </c>
      <c r="DH85" s="8" t="str">
        <f t="shared" si="10"/>
        <v/>
      </c>
      <c r="DI85" s="11" t="str">
        <f t="shared" si="11"/>
        <v/>
      </c>
    </row>
    <row r="86" spans="1:113">
      <c r="A86" s="7"/>
      <c r="B86" s="7"/>
      <c r="C86" s="8"/>
      <c r="D86" s="9"/>
      <c r="E86" s="10"/>
      <c r="F86" s="8"/>
      <c r="G86" s="8" t="str">
        <f>IF($B86="","",IF(COUNTIF('Competency Event Log'!$U$4:$U$803,$B86&amp;"|"&amp;G$5)=0,"",SUMIF('Competency Event Log'!$U$4:$U$803,$B86&amp;"|"&amp;G$5,'Competency Event Log'!$D$4:$D$803)))</f>
        <v/>
      </c>
      <c r="H86" s="8" t="str">
        <f>IF($B86="","",IF(COUNTIF('Competency Event Log'!$U$4:$U$803,$B86&amp;"|"&amp;H$5)=0,"",SUMIF('Competency Event Log'!$U$4:$U$803,$B86&amp;"|"&amp;H$5,'Competency Event Log'!$D$4:$D$803)))</f>
        <v/>
      </c>
      <c r="I86" s="8" t="str">
        <f>IF($B86="","",IF(COUNTIF('Competency Event Log'!$U$4:$U$803,$B86&amp;"|"&amp;I$5)=0,"",SUMIF('Competency Event Log'!$U$4:$U$803,$B86&amp;"|"&amp;I$5,'Competency Event Log'!$D$4:$D$803)))</f>
        <v/>
      </c>
      <c r="J86" s="8" t="str">
        <f>IF($B86="","",IF(COUNTIF('Competency Event Log'!$U$4:$U$803,$B86&amp;"|"&amp;J$5)=0,"",SUMIF('Competency Event Log'!$U$4:$U$803,$B86&amp;"|"&amp;J$5,'Competency Event Log'!$D$4:$D$803)))</f>
        <v/>
      </c>
      <c r="K86" s="8" t="str">
        <f>IF($B86="","",IF(COUNTIF('Competency Event Log'!$U$4:$U$803,$B86&amp;"|"&amp;K$5)=0,"",SUMIF('Competency Event Log'!$U$4:$U$803,$B86&amp;"|"&amp;K$5,'Competency Event Log'!$D$4:$D$803)))</f>
        <v/>
      </c>
      <c r="L86" s="8" t="str">
        <f>IF($B86="","",IF(COUNTIF('Competency Event Log'!$U$4:$U$803,$B86&amp;"|"&amp;L$5)=0,"",SUMIF('Competency Event Log'!$U$4:$U$803,$B86&amp;"|"&amp;L$5,'Competency Event Log'!$D$4:$D$803)))</f>
        <v/>
      </c>
      <c r="M86" s="8" t="str">
        <f>IF($B86="","",IF(COUNTIF('Competency Event Log'!$U$4:$U$803,$B86&amp;"|"&amp;M$5)=0,"",SUMIF('Competency Event Log'!$U$4:$U$803,$B86&amp;"|"&amp;M$5,'Competency Event Log'!$D$4:$D$803)))</f>
        <v/>
      </c>
      <c r="N86" s="8" t="str">
        <f>IF($B86="","",IF(COUNTIF('Competency Event Log'!$U$4:$U$803,$B86&amp;"|"&amp;N$5)=0,"",SUMIF('Competency Event Log'!$U$4:$U$803,$B86&amp;"|"&amp;N$5,'Competency Event Log'!$D$4:$D$803)))</f>
        <v/>
      </c>
      <c r="O86" s="8" t="str">
        <f>IF($B86="","",IF(COUNTIF('Competency Event Log'!$U$4:$U$803,$B86&amp;"|"&amp;O$5)=0,"",SUMIF('Competency Event Log'!$U$4:$U$803,$B86&amp;"|"&amp;O$5,'Competency Event Log'!$D$4:$D$803)))</f>
        <v/>
      </c>
      <c r="P86" s="8" t="str">
        <f>IF($B86="","",IF(COUNTIF('Competency Event Log'!$U$4:$U$803,$B86&amp;"|"&amp;P$5)=0,"",SUMIF('Competency Event Log'!$U$4:$U$803,$B86&amp;"|"&amp;P$5,'Competency Event Log'!$D$4:$D$803)))</f>
        <v/>
      </c>
      <c r="Q86" s="8" t="str">
        <f>IF($B86="","",IF(COUNTIF('Competency Event Log'!$U$4:$U$803,$B86&amp;"|"&amp;Q$5)=0,"",SUMIF('Competency Event Log'!$U$4:$U$803,$B86&amp;"|"&amp;Q$5,'Competency Event Log'!$D$4:$D$803)))</f>
        <v/>
      </c>
      <c r="R86" s="8" t="str">
        <f>IF($B86="","",IF(COUNTIF('Competency Event Log'!$U$4:$U$803,$B86&amp;"|"&amp;R$5)=0,"",SUMIF('Competency Event Log'!$U$4:$U$803,$B86&amp;"|"&amp;R$5,'Competency Event Log'!$D$4:$D$803)))</f>
        <v/>
      </c>
      <c r="S86" s="8" t="str">
        <f>IF($B86="","",IF(COUNTIF('Competency Event Log'!$U$4:$U$803,$B86&amp;"|"&amp;S$5)=0,"",SUMIF('Competency Event Log'!$U$4:$U$803,$B86&amp;"|"&amp;S$5,'Competency Event Log'!$D$4:$D$803)))</f>
        <v/>
      </c>
      <c r="T86" s="8" t="str">
        <f>IF($B86="","",IF(COUNTIF('Competency Event Log'!$U$4:$U$803,$B86&amp;"|"&amp;T$5)=0,"",SUMIF('Competency Event Log'!$U$4:$U$803,$B86&amp;"|"&amp;T$5,'Competency Event Log'!$D$4:$D$803)))</f>
        <v/>
      </c>
      <c r="U86" s="8" t="str">
        <f>IF($B86="","",IF(COUNTIF('Competency Event Log'!$U$4:$U$803,$B86&amp;"|"&amp;U$5)=0,"",SUMIF('Competency Event Log'!$U$4:$U$803,$B86&amp;"|"&amp;U$5,'Competency Event Log'!$D$4:$D$803)))</f>
        <v/>
      </c>
      <c r="V86" s="8" t="str">
        <f>IF($B86="","",IF(COUNTIF('Competency Event Log'!$U$4:$U$803,$B86&amp;"|"&amp;V$5)=0,"",SUMIF('Competency Event Log'!$U$4:$U$803,$B86&amp;"|"&amp;V$5,'Competency Event Log'!$D$4:$D$803)))</f>
        <v/>
      </c>
      <c r="W86" s="8" t="str">
        <f>IF($B86="","",IF(COUNTIF('Competency Event Log'!$U$4:$U$803,$B86&amp;"|"&amp;W$5)=0,"",SUMIF('Competency Event Log'!$U$4:$U$803,$B86&amp;"|"&amp;W$5,'Competency Event Log'!$D$4:$D$803)))</f>
        <v/>
      </c>
      <c r="X86" s="8" t="str">
        <f>IF($B86="","",IF(COUNTIF('Competency Event Log'!$U$4:$U$803,$B86&amp;"|"&amp;X$5)=0,"",SUMIF('Competency Event Log'!$U$4:$U$803,$B86&amp;"|"&amp;X$5,'Competency Event Log'!$D$4:$D$803)))</f>
        <v/>
      </c>
      <c r="Y86" s="8" t="str">
        <f>IF($B86="","",IF(COUNTIF('Competency Event Log'!$U$4:$U$803,$B86&amp;"|"&amp;Y$5)=0,"",SUMIF('Competency Event Log'!$U$4:$U$803,$B86&amp;"|"&amp;Y$5,'Competency Event Log'!$D$4:$D$803)))</f>
        <v/>
      </c>
      <c r="Z86" s="8" t="str">
        <f>IF($B86="","",IF(COUNTIF('Competency Event Log'!$U$4:$U$803,$B86&amp;"|"&amp;Z$5)=0,"",SUMIF('Competency Event Log'!$U$4:$U$803,$B86&amp;"|"&amp;Z$5,'Competency Event Log'!$D$4:$D$803)))</f>
        <v/>
      </c>
      <c r="AA86" s="8" t="str">
        <f>IF($B86="","",IF(COUNTIF('Competency Event Log'!$U$4:$U$803,$B86&amp;"|"&amp;AA$5)=0,"",SUMIF('Competency Event Log'!$U$4:$U$803,$B86&amp;"|"&amp;AA$5,'Competency Event Log'!$D$4:$D$803)))</f>
        <v/>
      </c>
      <c r="AB86" s="8" t="str">
        <f>IF($B86="","",IF(COUNTIF('Competency Event Log'!$U$4:$U$803,$B86&amp;"|"&amp;AB$5)=0,"",SUMIF('Competency Event Log'!$U$4:$U$803,$B86&amp;"|"&amp;AB$5,'Competency Event Log'!$D$4:$D$803)))</f>
        <v/>
      </c>
      <c r="AC86" s="8" t="str">
        <f>IF($B86="","",IF(COUNTIF('Competency Event Log'!$U$4:$U$803,$B86&amp;"|"&amp;AC$5)=0,"",SUMIF('Competency Event Log'!$U$4:$U$803,$B86&amp;"|"&amp;AC$5,'Competency Event Log'!$D$4:$D$803)))</f>
        <v/>
      </c>
      <c r="AD86" s="8" t="str">
        <f>IF($B86="","",IF(COUNTIF('Competency Event Log'!$U$4:$U$803,$B86&amp;"|"&amp;AD$5)=0,"",SUMIF('Competency Event Log'!$U$4:$U$803,$B86&amp;"|"&amp;AD$5,'Competency Event Log'!$D$4:$D$803)))</f>
        <v/>
      </c>
      <c r="AE86" s="8" t="str">
        <f>IF($B86="","",IF(COUNTIF('Competency Event Log'!$U$4:$U$803,$B86&amp;"|"&amp;AE$5)=0,"",SUMIF('Competency Event Log'!$U$4:$U$803,$B86&amp;"|"&amp;AE$5,'Competency Event Log'!$D$4:$D$803)))</f>
        <v/>
      </c>
      <c r="AF86" s="8" t="str">
        <f>IF($B86="","",IF(COUNTIF('Competency Event Log'!$U$4:$U$803,$B86&amp;"|"&amp;AF$5)=0,"",SUMIF('Competency Event Log'!$U$4:$U$803,$B86&amp;"|"&amp;AF$5,'Competency Event Log'!$D$4:$D$803)))</f>
        <v/>
      </c>
      <c r="AG86" s="8" t="str">
        <f>IF($B86="","",IF(COUNTIF('Competency Event Log'!$U$4:$U$803,$B86&amp;"|"&amp;AG$5)=0,"",SUMIF('Competency Event Log'!$U$4:$U$803,$B86&amp;"|"&amp;AG$5,'Competency Event Log'!$D$4:$D$803)))</f>
        <v/>
      </c>
      <c r="AH86" s="8" t="str">
        <f>IF($B86="","",IF(COUNTIF('Competency Event Log'!$U$4:$U$803,$B86&amp;"|"&amp;AH$5)=0,"",SUMIF('Competency Event Log'!$U$4:$U$803,$B86&amp;"|"&amp;AH$5,'Competency Event Log'!$D$4:$D$803)))</f>
        <v/>
      </c>
      <c r="AI86" s="8" t="str">
        <f>IF($B86="","",IF(COUNTIF('Competency Event Log'!$U$4:$U$803,$B86&amp;"|"&amp;AI$5)=0,"",SUMIF('Competency Event Log'!$U$4:$U$803,$B86&amp;"|"&amp;AI$5,'Competency Event Log'!$D$4:$D$803)))</f>
        <v/>
      </c>
      <c r="AJ86" s="8" t="str">
        <f>IF($B86="","",IF(COUNTIF('Competency Event Log'!$U$4:$U$803,$B86&amp;"|"&amp;AJ$5)=0,"",SUMIF('Competency Event Log'!$U$4:$U$803,$B86&amp;"|"&amp;AJ$5,'Competency Event Log'!$D$4:$D$803)))</f>
        <v/>
      </c>
      <c r="AK86" s="8" t="str">
        <f>IF($B86="","",IF(COUNTIF('Competency Event Log'!$U$4:$U$803,$B86&amp;"|"&amp;AK$5)=0,"",SUMIF('Competency Event Log'!$U$4:$U$803,$B86&amp;"|"&amp;AK$5,'Competency Event Log'!$D$4:$D$803)))</f>
        <v/>
      </c>
      <c r="AL86" s="8" t="str">
        <f>IF($B86="","",IF(COUNTIF('Competency Event Log'!$U$4:$U$803,$B86&amp;"|"&amp;AL$5)=0,"",SUMIF('Competency Event Log'!$U$4:$U$803,$B86&amp;"|"&amp;AL$5,'Competency Event Log'!$D$4:$D$803)))</f>
        <v/>
      </c>
      <c r="AM86" s="8" t="str">
        <f>IF($B86="","",IF(COUNTIF('Competency Event Log'!$U$4:$U$803,$B86&amp;"|"&amp;AM$5)=0,"",SUMIF('Competency Event Log'!$U$4:$U$803,$B86&amp;"|"&amp;AM$5,'Competency Event Log'!$D$4:$D$803)))</f>
        <v/>
      </c>
      <c r="AN86" s="8" t="str">
        <f>IF($B86="","",IF(COUNTIF('Competency Event Log'!$U$4:$U$803,$B86&amp;"|"&amp;AN$5)=0,"",SUMIF('Competency Event Log'!$U$4:$U$803,$B86&amp;"|"&amp;AN$5,'Competency Event Log'!$D$4:$D$803)))</f>
        <v/>
      </c>
      <c r="AO86" s="8" t="str">
        <f>IF($B86="","",IF(COUNTIF('Competency Event Log'!$U$4:$U$803,$B86&amp;"|"&amp;AO$5)=0,"",SUMIF('Competency Event Log'!$U$4:$U$803,$B86&amp;"|"&amp;AO$5,'Competency Event Log'!$D$4:$D$803)))</f>
        <v/>
      </c>
      <c r="AP86" s="8" t="str">
        <f>IF($B86="","",IF(COUNTIF('Competency Event Log'!$U$4:$U$803,$B86&amp;"|"&amp;AP$5)=0,"",SUMIF('Competency Event Log'!$U$4:$U$803,$B86&amp;"|"&amp;AP$5,'Competency Event Log'!$D$4:$D$803)))</f>
        <v/>
      </c>
      <c r="AQ86" s="8" t="str">
        <f>IF($B86="","",IF(COUNTIF('Competency Event Log'!$U$4:$U$803,$B86&amp;"|"&amp;AQ$5)=0,"",SUMIF('Competency Event Log'!$U$4:$U$803,$B86&amp;"|"&amp;AQ$5,'Competency Event Log'!$D$4:$D$803)))</f>
        <v/>
      </c>
      <c r="AR86" s="8" t="str">
        <f>IF($B86="","",IF(COUNTIF('Competency Event Log'!$U$4:$U$803,$B86&amp;"|"&amp;AR$5)=0,"",SUMIF('Competency Event Log'!$U$4:$U$803,$B86&amp;"|"&amp;AR$5,'Competency Event Log'!$D$4:$D$803)))</f>
        <v/>
      </c>
      <c r="AS86" s="8" t="str">
        <f>IF($B86="","",IF(COUNTIF('Competency Event Log'!$U$4:$U$803,$B86&amp;"|"&amp;AS$5)=0,"",SUMIF('Competency Event Log'!$U$4:$U$803,$B86&amp;"|"&amp;AS$5,'Competency Event Log'!$D$4:$D$803)))</f>
        <v/>
      </c>
      <c r="AT86" s="8" t="str">
        <f>IF($B86="","",IF(COUNTIF('Competency Event Log'!$U$4:$U$803,$B86&amp;"|"&amp;AT$5)=0,"",SUMIF('Competency Event Log'!$U$4:$U$803,$B86&amp;"|"&amp;AT$5,'Competency Event Log'!$D$4:$D$803)))</f>
        <v/>
      </c>
      <c r="AU86" s="8" t="str">
        <f>IF($B86="","",IF(COUNTIF('Competency Event Log'!$U$4:$U$803,$B86&amp;"|"&amp;AU$5)=0,"",SUMIF('Competency Event Log'!$U$4:$U$803,$B86&amp;"|"&amp;AU$5,'Competency Event Log'!$D$4:$D$803)))</f>
        <v/>
      </c>
      <c r="AV86" s="8" t="str">
        <f>IF($B86="","",IF(COUNTIF('Competency Event Log'!$U$4:$U$803,$B86&amp;"|"&amp;AV$5)=0,"",SUMIF('Competency Event Log'!$U$4:$U$803,$B86&amp;"|"&amp;AV$5,'Competency Event Log'!$D$4:$D$803)))</f>
        <v/>
      </c>
      <c r="AW86" s="8" t="str">
        <f>IF($B86="","",IF(COUNTIF('Competency Event Log'!$U$4:$U$803,$B86&amp;"|"&amp;AW$5)=0,"",SUMIF('Competency Event Log'!$U$4:$U$803,$B86&amp;"|"&amp;AW$5,'Competency Event Log'!$D$4:$D$803)))</f>
        <v/>
      </c>
      <c r="AX86" s="8" t="str">
        <f>IF($B86="","",IF(COUNTIF('Competency Event Log'!$U$4:$U$803,$B86&amp;"|"&amp;AX$5)=0,"",SUMIF('Competency Event Log'!$U$4:$U$803,$B86&amp;"|"&amp;AX$5,'Competency Event Log'!$D$4:$D$803)))</f>
        <v/>
      </c>
      <c r="AY86" s="8" t="str">
        <f>IF($B86="","",IF(COUNTIF('Competency Event Log'!$U$4:$U$803,$B86&amp;"|"&amp;AY$5)=0,"",SUMIF('Competency Event Log'!$U$4:$U$803,$B86&amp;"|"&amp;AY$5,'Competency Event Log'!$D$4:$D$803)))</f>
        <v/>
      </c>
      <c r="AZ86" s="8" t="str">
        <f>IF($B86="","",IF(COUNTIF('Competency Event Log'!$U$4:$U$803,$B86&amp;"|"&amp;AZ$5)=0,"",SUMIF('Competency Event Log'!$U$4:$U$803,$B86&amp;"|"&amp;AZ$5,'Competency Event Log'!$D$4:$D$803)))</f>
        <v/>
      </c>
      <c r="BA86" s="8" t="str">
        <f>IF($B86="","",IF(COUNTIF('Competency Event Log'!$U$4:$U$803,$B86&amp;"|"&amp;BA$5)=0,"",SUMIF('Competency Event Log'!$U$4:$U$803,$B86&amp;"|"&amp;BA$5,'Competency Event Log'!$D$4:$D$803)))</f>
        <v/>
      </c>
      <c r="BB86" s="8" t="str">
        <f>IF($B86="","",IF(COUNTIF('Competency Event Log'!$U$4:$U$803,$B86&amp;"|"&amp;BB$5)=0,"",SUMIF('Competency Event Log'!$U$4:$U$803,$B86&amp;"|"&amp;BB$5,'Competency Event Log'!$D$4:$D$803)))</f>
        <v/>
      </c>
      <c r="BC86" s="8" t="str">
        <f>IF($B86="","",IF(COUNTIF('Competency Event Log'!$U$4:$U$803,$B86&amp;"|"&amp;BC$5)=0,"",SUMIF('Competency Event Log'!$U$4:$U$803,$B86&amp;"|"&amp;BC$5,'Competency Event Log'!$D$4:$D$803)))</f>
        <v/>
      </c>
      <c r="BD86" s="8" t="str">
        <f>IF($B86="","",IF(COUNTIF('Competency Event Log'!$U$4:$U$803,$B86&amp;"|"&amp;BD$5)=0,"",SUMIF('Competency Event Log'!$U$4:$U$803,$B86&amp;"|"&amp;BD$5,'Competency Event Log'!$D$4:$D$803)))</f>
        <v/>
      </c>
      <c r="BE86" s="8" t="str">
        <f>IF($B86="","",IF(COUNTIF('Competency Event Log'!$U$4:$U$803,$B86&amp;"|"&amp;BE$5)=0,"",SUMIF('Competency Event Log'!$U$4:$U$803,$B86&amp;"|"&amp;BE$5,'Competency Event Log'!$D$4:$D$803)))</f>
        <v/>
      </c>
      <c r="BF86" s="8" t="str">
        <f>IF($B86="","",IF(COUNTIF('Competency Event Log'!$U$4:$U$803,$B86&amp;"|"&amp;BF$5)=0,"",SUMIF('Competency Event Log'!$U$4:$U$803,$B86&amp;"|"&amp;BF$5,'Competency Event Log'!$D$4:$D$803)))</f>
        <v/>
      </c>
      <c r="BG86" s="8" t="str">
        <f>IF($B86="","",IF(COUNTIF('Competency Event Log'!$U$4:$U$803,$B86&amp;"|"&amp;BG$5)=0,"",SUMIF('Competency Event Log'!$U$4:$U$803,$B86&amp;"|"&amp;BG$5,'Competency Event Log'!$D$4:$D$803)))</f>
        <v/>
      </c>
      <c r="BH86" s="8" t="str">
        <f>IF($B86="","",IF(COUNTIF('Competency Event Log'!$U$4:$U$803,$B86&amp;"|"&amp;BH$5)=0,"",SUMIF('Competency Event Log'!$U$4:$U$803,$B86&amp;"|"&amp;BH$5,'Competency Event Log'!$D$4:$D$803)))</f>
        <v/>
      </c>
      <c r="BI86" s="8" t="str">
        <f>IF($B86="","",IF(COUNTIF('Competency Event Log'!$U$4:$U$803,$B86&amp;"|"&amp;BI$5)=0,"",SUMIF('Competency Event Log'!$U$4:$U$803,$B86&amp;"|"&amp;BI$5,'Competency Event Log'!$D$4:$D$803)))</f>
        <v/>
      </c>
      <c r="BJ86" s="8" t="str">
        <f>IF($B86="","",IF(COUNTIF('Competency Event Log'!$U$4:$U$803,$B86&amp;"|"&amp;BJ$5)=0,"",SUMIF('Competency Event Log'!$U$4:$U$803,$B86&amp;"|"&amp;BJ$5,'Competency Event Log'!$D$4:$D$803)))</f>
        <v/>
      </c>
      <c r="BK86" s="8" t="str">
        <f>IF($B86="","",IF(COUNTIF('Competency Event Log'!$U$4:$U$803,$B86&amp;"|"&amp;BK$5)=0,"",SUMIF('Competency Event Log'!$U$4:$U$803,$B86&amp;"|"&amp;BK$5,'Competency Event Log'!$D$4:$D$803)))</f>
        <v/>
      </c>
      <c r="BL86" s="8" t="str">
        <f>IF($B86="","",IF(COUNTIF('Competency Event Log'!$U$4:$U$803,$B86&amp;"|"&amp;BL$5)=0,"",SUMIF('Competency Event Log'!$U$4:$U$803,$B86&amp;"|"&amp;BL$5,'Competency Event Log'!$D$4:$D$803)))</f>
        <v/>
      </c>
      <c r="BM86" s="8" t="str">
        <f>IF($B86="","",IF(COUNTIF('Competency Event Log'!$U$4:$U$803,$B86&amp;"|"&amp;BM$5)=0,"",SUMIF('Competency Event Log'!$U$4:$U$803,$B86&amp;"|"&amp;BM$5,'Competency Event Log'!$D$4:$D$803)))</f>
        <v/>
      </c>
      <c r="BN86" s="8" t="str">
        <f>IF($B86="","",IF(COUNTIF('Competency Event Log'!$U$4:$U$803,$B86&amp;"|"&amp;BN$5)=0,"",SUMIF('Competency Event Log'!$U$4:$U$803,$B86&amp;"|"&amp;BN$5,'Competency Event Log'!$D$4:$D$803)))</f>
        <v/>
      </c>
      <c r="BO86" s="8" t="str">
        <f>IF($B86="","",IF(COUNTIF('Competency Event Log'!$U$4:$U$803,$B86&amp;"|"&amp;BO$5)=0,"",SUMIF('Competency Event Log'!$U$4:$U$803,$B86&amp;"|"&amp;BO$5,'Competency Event Log'!$D$4:$D$803)))</f>
        <v/>
      </c>
      <c r="BP86" s="8" t="str">
        <f>IF($B86="","",IF(COUNTIF('Competency Event Log'!$U$4:$U$803,$B86&amp;"|"&amp;BP$5)=0,"",SUMIF('Competency Event Log'!$U$4:$U$803,$B86&amp;"|"&amp;BP$5,'Competency Event Log'!$D$4:$D$803)))</f>
        <v/>
      </c>
      <c r="BQ86" s="8" t="str">
        <f>IF($B86="","",IF(COUNTIF('Competency Event Log'!$U$4:$U$803,$B86&amp;"|"&amp;BQ$5)=0,"",SUMIF('Competency Event Log'!$U$4:$U$803,$B86&amp;"|"&amp;BQ$5,'Competency Event Log'!$D$4:$D$803)))</f>
        <v/>
      </c>
      <c r="BR86" s="8" t="str">
        <f>IF($B86="","",IF(COUNTIF('Competency Event Log'!$U$4:$U$803,$B86&amp;"|"&amp;BR$5)=0,"",SUMIF('Competency Event Log'!$U$4:$U$803,$B86&amp;"|"&amp;BR$5,'Competency Event Log'!$D$4:$D$803)))</f>
        <v/>
      </c>
      <c r="BS86" s="8" t="str">
        <f>IF($B86="","",IF(COUNTIF('Competency Event Log'!$U$4:$U$803,$B86&amp;"|"&amp;BS$5)=0,"",SUMIF('Competency Event Log'!$U$4:$U$803,$B86&amp;"|"&amp;BS$5,'Competency Event Log'!$D$4:$D$803)))</f>
        <v/>
      </c>
      <c r="BT86" s="8" t="str">
        <f>IF($B86="","",IF(COUNTIF('Competency Event Log'!$U$4:$U$803,$B86&amp;"|"&amp;BT$5)=0,"",SUMIF('Competency Event Log'!$U$4:$U$803,$B86&amp;"|"&amp;BT$5,'Competency Event Log'!$D$4:$D$803)))</f>
        <v/>
      </c>
      <c r="BU86" s="8" t="str">
        <f>IF($B86="","",IF(COUNTIF('Competency Event Log'!$U$4:$U$803,$B86&amp;"|"&amp;BU$5)=0,"",SUMIF('Competency Event Log'!$U$4:$U$803,$B86&amp;"|"&amp;BU$5,'Competency Event Log'!$D$4:$D$803)))</f>
        <v/>
      </c>
      <c r="BV86" s="8" t="str">
        <f>IF($B86="","",IF(COUNTIF('Competency Event Log'!$U$4:$U$803,$B86&amp;"|"&amp;BV$5)=0,"",SUMIF('Competency Event Log'!$U$4:$U$803,$B86&amp;"|"&amp;BV$5,'Competency Event Log'!$D$4:$D$803)))</f>
        <v/>
      </c>
      <c r="BW86" s="8" t="str">
        <f>IF($B86="","",IF(COUNTIF('Competency Event Log'!$U$4:$U$803,$B86&amp;"|"&amp;BW$5)=0,"",SUMIF('Competency Event Log'!$U$4:$U$803,$B86&amp;"|"&amp;BW$5,'Competency Event Log'!$D$4:$D$803)))</f>
        <v/>
      </c>
      <c r="BX86" s="8" t="str">
        <f>IF($B86="","",IF(COUNTIF('Competency Event Log'!$U$4:$U$803,$B86&amp;"|"&amp;BX$5)=0,"",SUMIF('Competency Event Log'!$U$4:$U$803,$B86&amp;"|"&amp;BX$5,'Competency Event Log'!$D$4:$D$803)))</f>
        <v/>
      </c>
      <c r="BY86" s="8" t="str">
        <f>IF($B86="","",IF(COUNTIF('Competency Event Log'!$U$4:$U$803,$B86&amp;"|"&amp;BY$5)=0,"",SUMIF('Competency Event Log'!$U$4:$U$803,$B86&amp;"|"&amp;BY$5,'Competency Event Log'!$D$4:$D$803)))</f>
        <v/>
      </c>
      <c r="BZ86" s="8" t="str">
        <f>IF($B86="","",IF(COUNTIF('Competency Event Log'!$U$4:$U$803,$B86&amp;"|"&amp;BZ$5)=0,"",SUMIF('Competency Event Log'!$U$4:$U$803,$B86&amp;"|"&amp;BZ$5,'Competency Event Log'!$D$4:$D$803)))</f>
        <v/>
      </c>
      <c r="CA86" s="8" t="str">
        <f>IF($B86="","",IF(COUNTIF('Competency Event Log'!$U$4:$U$803,$B86&amp;"|"&amp;CA$5)=0,"",SUMIF('Competency Event Log'!$U$4:$U$803,$B86&amp;"|"&amp;CA$5,'Competency Event Log'!$D$4:$D$803)))</f>
        <v/>
      </c>
      <c r="CB86" s="8" t="str">
        <f>IF($B86="","",IF(COUNTIF('Competency Event Log'!$U$4:$U$803,$B86&amp;"|"&amp;CB$5)=0,"",SUMIF('Competency Event Log'!$U$4:$U$803,$B86&amp;"|"&amp;CB$5,'Competency Event Log'!$D$4:$D$803)))</f>
        <v/>
      </c>
      <c r="CC86" s="8" t="str">
        <f>IF($B86="","",IF(COUNTIF('Competency Event Log'!$U$4:$U$803,$B86&amp;"|"&amp;CC$5)=0,"",SUMIF('Competency Event Log'!$U$4:$U$803,$B86&amp;"|"&amp;CC$5,'Competency Event Log'!$D$4:$D$803)))</f>
        <v/>
      </c>
      <c r="CD86" s="8" t="str">
        <f>IF($B86="","",IF(COUNTIF('Competency Event Log'!$U$4:$U$803,$B86&amp;"|"&amp;CD$5)=0,"",SUMIF('Competency Event Log'!$U$4:$U$803,$B86&amp;"|"&amp;CD$5,'Competency Event Log'!$D$4:$D$803)))</f>
        <v/>
      </c>
      <c r="CE86" s="8" t="str">
        <f>IF($B86="","",IF(COUNTIF('Competency Event Log'!$U$4:$U$803,$B86&amp;"|"&amp;CE$5)=0,"",SUMIF('Competency Event Log'!$U$4:$U$803,$B86&amp;"|"&amp;CE$5,'Competency Event Log'!$D$4:$D$803)))</f>
        <v/>
      </c>
      <c r="CF86" s="8" t="str">
        <f>IF($B86="","",IF(COUNTIF('Competency Event Log'!$U$4:$U$803,$B86&amp;"|"&amp;CF$5)=0,"",SUMIF('Competency Event Log'!$U$4:$U$803,$B86&amp;"|"&amp;CF$5,'Competency Event Log'!$D$4:$D$803)))</f>
        <v/>
      </c>
      <c r="CG86" s="8" t="str">
        <f>IF($B86="","",IF(COUNTIF('Competency Event Log'!$U$4:$U$803,$B86&amp;"|"&amp;CG$5)=0,"",SUMIF('Competency Event Log'!$U$4:$U$803,$B86&amp;"|"&amp;CG$5,'Competency Event Log'!$D$4:$D$803)))</f>
        <v/>
      </c>
      <c r="CH86" s="8" t="str">
        <f>IF($B86="","",IF(COUNTIF('Competency Event Log'!$U$4:$U$803,$B86&amp;"|"&amp;CH$5)=0,"",SUMIF('Competency Event Log'!$U$4:$U$803,$B86&amp;"|"&amp;CH$5,'Competency Event Log'!$D$4:$D$803)))</f>
        <v/>
      </c>
      <c r="CI86" s="8" t="str">
        <f>IF($B86="","",IF(COUNTIF('Competency Event Log'!$U$4:$U$803,$B86&amp;"|"&amp;CI$5)=0,"",SUMIF('Competency Event Log'!$U$4:$U$803,$B86&amp;"|"&amp;CI$5,'Competency Event Log'!$D$4:$D$803)))</f>
        <v/>
      </c>
      <c r="CJ86" s="8" t="str">
        <f>IF($B86="","",IF(COUNTIF('Competency Event Log'!$U$4:$U$803,$B86&amp;"|"&amp;CJ$5)=0,"",SUMIF('Competency Event Log'!$U$4:$U$803,$B86&amp;"|"&amp;CJ$5,'Competency Event Log'!$D$4:$D$803)))</f>
        <v/>
      </c>
      <c r="CK86" s="8" t="str">
        <f>IF($B86="","",IF(COUNTIF('Competency Event Log'!$U$4:$U$803,$B86&amp;"|"&amp;CK$5)=0,"",SUMIF('Competency Event Log'!$U$4:$U$803,$B86&amp;"|"&amp;CK$5,'Competency Event Log'!$D$4:$D$803)))</f>
        <v/>
      </c>
      <c r="CL86" s="8" t="str">
        <f>IF($B86="","",IF(COUNTIF('Competency Event Log'!$U$4:$U$803,$B86&amp;"|"&amp;CL$5)=0,"",SUMIF('Competency Event Log'!$U$4:$U$803,$B86&amp;"|"&amp;CL$5,'Competency Event Log'!$D$4:$D$803)))</f>
        <v/>
      </c>
      <c r="CM86" s="8" t="str">
        <f>IF($B86="","",IF(COUNTIF('Competency Event Log'!$U$4:$U$803,$B86&amp;"|"&amp;CM$5)=0,"",SUMIF('Competency Event Log'!$U$4:$U$803,$B86&amp;"|"&amp;CM$5,'Competency Event Log'!$D$4:$D$803)))</f>
        <v/>
      </c>
      <c r="CN86" s="8" t="str">
        <f>IF($B86="","",IF(COUNTIF('Competency Event Log'!$U$4:$U$803,$B86&amp;"|"&amp;CN$5)=0,"",SUMIF('Competency Event Log'!$U$4:$U$803,$B86&amp;"|"&amp;CN$5,'Competency Event Log'!$D$4:$D$803)))</f>
        <v/>
      </c>
      <c r="CO86" s="8" t="str">
        <f>IF($B86="","",IF(COUNTIF('Competency Event Log'!$U$4:$U$803,$B86&amp;"|"&amp;CO$5)=0,"",SUMIF('Competency Event Log'!$U$4:$U$803,$B86&amp;"|"&amp;CO$5,'Competency Event Log'!$D$4:$D$803)))</f>
        <v/>
      </c>
      <c r="CP86" s="8" t="str">
        <f>IF($B86="","",IF(COUNTIF('Competency Event Log'!$U$4:$U$803,$B86&amp;"|"&amp;CP$5)=0,"",SUMIF('Competency Event Log'!$U$4:$U$803,$B86&amp;"|"&amp;CP$5,'Competency Event Log'!$D$4:$D$803)))</f>
        <v/>
      </c>
      <c r="CQ86" s="8" t="str">
        <f>IF($B86="","",IF(COUNTIF('Competency Event Log'!$U$4:$U$803,$B86&amp;"|"&amp;CQ$5)=0,"",SUMIF('Competency Event Log'!$U$4:$U$803,$B86&amp;"|"&amp;CQ$5,'Competency Event Log'!$D$4:$D$803)))</f>
        <v/>
      </c>
      <c r="CR86" s="8" t="str">
        <f>IF($B86="","",IF(COUNTIF('Competency Event Log'!$U$4:$U$803,$B86&amp;"|"&amp;CR$5)=0,"",SUMIF('Competency Event Log'!$U$4:$U$803,$B86&amp;"|"&amp;CR$5,'Competency Event Log'!$D$4:$D$803)))</f>
        <v/>
      </c>
      <c r="CS86" s="8" t="str">
        <f>IF($B86="","",IF(COUNTIF('Competency Event Log'!$U$4:$U$803,$B86&amp;"|"&amp;CS$5)=0,"",SUMIF('Competency Event Log'!$U$4:$U$803,$B86&amp;"|"&amp;CS$5,'Competency Event Log'!$D$4:$D$803)))</f>
        <v/>
      </c>
      <c r="CT86" s="8" t="str">
        <f>IF($B86="","",IF(COUNTIF('Competency Event Log'!$U$4:$U$803,$B86&amp;"|"&amp;CT$5)=0,"",SUMIF('Competency Event Log'!$U$4:$U$803,$B86&amp;"|"&amp;CT$5,'Competency Event Log'!$D$4:$D$803)))</f>
        <v/>
      </c>
      <c r="CU86" s="8" t="str">
        <f>IF($B86="","",IF(COUNTIF('Competency Event Log'!$U$4:$U$803,$B86&amp;"|"&amp;CU$5)=0,"",SUMIF('Competency Event Log'!$U$4:$U$803,$B86&amp;"|"&amp;CU$5,'Competency Event Log'!$D$4:$D$803)))</f>
        <v/>
      </c>
      <c r="CV86" s="8" t="str">
        <f>IF($B86="","",IF(COUNTIF('Competency Event Log'!$U$4:$U$803,$B86&amp;"|"&amp;CV$5)=0,"",SUMIF('Competency Event Log'!$U$4:$U$803,$B86&amp;"|"&amp;CV$5,'Competency Event Log'!$D$4:$D$803)))</f>
        <v/>
      </c>
      <c r="CW86" s="8" t="str">
        <f>IF($B86="","",IF(COUNTIF('Competency Event Log'!$U$4:$U$803,$B86&amp;"|"&amp;CW$5)=0,"",SUMIF('Competency Event Log'!$U$4:$U$803,$B86&amp;"|"&amp;CW$5,'Competency Event Log'!$D$4:$D$803)))</f>
        <v/>
      </c>
      <c r="CX86" s="8" t="str">
        <f>IF($B86="","",IF(COUNTIF('Competency Event Log'!$U$4:$U$803,$B86&amp;"|"&amp;CX$5)=0,"",SUMIF('Competency Event Log'!$U$4:$U$803,$B86&amp;"|"&amp;CX$5,'Competency Event Log'!$D$4:$D$803)))</f>
        <v/>
      </c>
      <c r="CY86" s="8" t="str">
        <f>IF($B86="","",IF(COUNTIF('Competency Event Log'!$U$4:$U$803,$B86&amp;"|"&amp;CY$5)=0,"",SUMIF('Competency Event Log'!$U$4:$U$803,$B86&amp;"|"&amp;CY$5,'Competency Event Log'!$D$4:$D$803)))</f>
        <v/>
      </c>
      <c r="CZ86" s="8" t="str">
        <f>IF($B86="","",IF(COUNTIF('Competency Event Log'!$U$4:$U$803,$B86&amp;"|"&amp;CZ$5)=0,"",SUMIF('Competency Event Log'!$U$4:$U$803,$B86&amp;"|"&amp;CZ$5,'Competency Event Log'!$D$4:$D$803)))</f>
        <v/>
      </c>
      <c r="DA86" s="8" t="str">
        <f>IF($B86="","",IF(COUNTIF('Competency Event Log'!$U$4:$U$803,$B86&amp;"|"&amp;DA$5)=0,"",SUMIF('Competency Event Log'!$U$4:$U$803,$B86&amp;"|"&amp;DA$5,'Competency Event Log'!$D$4:$D$803)))</f>
        <v/>
      </c>
      <c r="DB86" s="8" t="str">
        <f>IF($B86="","",IF(COUNTIF('Competency Event Log'!$U$4:$U$803,$B86&amp;"|"&amp;DB$5)=0,"",SUMIF('Competency Event Log'!$U$4:$U$803,$B86&amp;"|"&amp;DB$5,'Competency Event Log'!$D$4:$D$803)))</f>
        <v/>
      </c>
      <c r="DC86" s="8" t="str">
        <f>IF($B86="","",IF(COUNTIF('Competency Event Log'!$U$4:$U$803,$B86&amp;"|"&amp;DC$5)=0,"",SUMIF('Competency Event Log'!$U$4:$U$803,$B86&amp;"|"&amp;DC$5,'Competency Event Log'!$D$4:$D$803)))</f>
        <v/>
      </c>
      <c r="DD86" s="8" t="str">
        <f>IF($B86="","",IF(COUNTIF('Competency Event Log'!$U$4:$U$803,$B86&amp;"|"&amp;DD$5)=0,"",SUMIF('Competency Event Log'!$U$4:$U$803,$B86&amp;"|"&amp;DD$5,'Competency Event Log'!$D$4:$D$803)))</f>
        <v/>
      </c>
      <c r="DE86" s="8" t="str">
        <f>IF($B86="","",IF(COUNTIF('Competency Event Log'!$U$4:$U$803,$B86&amp;"|"&amp;DE$5)=0,"",SUMIF('Competency Event Log'!$U$4:$U$803,$B86&amp;"|"&amp;DE$5,'Competency Event Log'!$D$4:$D$803)))</f>
        <v/>
      </c>
      <c r="DF86" s="8" t="str">
        <f t="shared" si="8"/>
        <v/>
      </c>
      <c r="DG86" s="8" t="str">
        <f t="shared" si="9"/>
        <v/>
      </c>
      <c r="DH86" s="8" t="str">
        <f t="shared" si="10"/>
        <v/>
      </c>
      <c r="DI86" s="11" t="str">
        <f t="shared" si="11"/>
        <v/>
      </c>
    </row>
    <row r="87" spans="1:113">
      <c r="A87" s="7"/>
      <c r="B87" s="7"/>
      <c r="C87" s="8"/>
      <c r="D87" s="9"/>
      <c r="E87" s="10"/>
      <c r="F87" s="8"/>
      <c r="G87" s="8" t="str">
        <f>IF($B87="","",IF(COUNTIF('Competency Event Log'!$U$4:$U$803,$B87&amp;"|"&amp;G$5)=0,"",SUMIF('Competency Event Log'!$U$4:$U$803,$B87&amp;"|"&amp;G$5,'Competency Event Log'!$D$4:$D$803)))</f>
        <v/>
      </c>
      <c r="H87" s="8" t="str">
        <f>IF($B87="","",IF(COUNTIF('Competency Event Log'!$U$4:$U$803,$B87&amp;"|"&amp;H$5)=0,"",SUMIF('Competency Event Log'!$U$4:$U$803,$B87&amp;"|"&amp;H$5,'Competency Event Log'!$D$4:$D$803)))</f>
        <v/>
      </c>
      <c r="I87" s="8" t="str">
        <f>IF($B87="","",IF(COUNTIF('Competency Event Log'!$U$4:$U$803,$B87&amp;"|"&amp;I$5)=0,"",SUMIF('Competency Event Log'!$U$4:$U$803,$B87&amp;"|"&amp;I$5,'Competency Event Log'!$D$4:$D$803)))</f>
        <v/>
      </c>
      <c r="J87" s="8" t="str">
        <f>IF($B87="","",IF(COUNTIF('Competency Event Log'!$U$4:$U$803,$B87&amp;"|"&amp;J$5)=0,"",SUMIF('Competency Event Log'!$U$4:$U$803,$B87&amp;"|"&amp;J$5,'Competency Event Log'!$D$4:$D$803)))</f>
        <v/>
      </c>
      <c r="K87" s="8" t="str">
        <f>IF($B87="","",IF(COUNTIF('Competency Event Log'!$U$4:$U$803,$B87&amp;"|"&amp;K$5)=0,"",SUMIF('Competency Event Log'!$U$4:$U$803,$B87&amp;"|"&amp;K$5,'Competency Event Log'!$D$4:$D$803)))</f>
        <v/>
      </c>
      <c r="L87" s="8" t="str">
        <f>IF($B87="","",IF(COUNTIF('Competency Event Log'!$U$4:$U$803,$B87&amp;"|"&amp;L$5)=0,"",SUMIF('Competency Event Log'!$U$4:$U$803,$B87&amp;"|"&amp;L$5,'Competency Event Log'!$D$4:$D$803)))</f>
        <v/>
      </c>
      <c r="M87" s="8" t="str">
        <f>IF($B87="","",IF(COUNTIF('Competency Event Log'!$U$4:$U$803,$B87&amp;"|"&amp;M$5)=0,"",SUMIF('Competency Event Log'!$U$4:$U$803,$B87&amp;"|"&amp;M$5,'Competency Event Log'!$D$4:$D$803)))</f>
        <v/>
      </c>
      <c r="N87" s="8" t="str">
        <f>IF($B87="","",IF(COUNTIF('Competency Event Log'!$U$4:$U$803,$B87&amp;"|"&amp;N$5)=0,"",SUMIF('Competency Event Log'!$U$4:$U$803,$B87&amp;"|"&amp;N$5,'Competency Event Log'!$D$4:$D$803)))</f>
        <v/>
      </c>
      <c r="O87" s="8" t="str">
        <f>IF($B87="","",IF(COUNTIF('Competency Event Log'!$U$4:$U$803,$B87&amp;"|"&amp;O$5)=0,"",SUMIF('Competency Event Log'!$U$4:$U$803,$B87&amp;"|"&amp;O$5,'Competency Event Log'!$D$4:$D$803)))</f>
        <v/>
      </c>
      <c r="P87" s="8" t="str">
        <f>IF($B87="","",IF(COUNTIF('Competency Event Log'!$U$4:$U$803,$B87&amp;"|"&amp;P$5)=0,"",SUMIF('Competency Event Log'!$U$4:$U$803,$B87&amp;"|"&amp;P$5,'Competency Event Log'!$D$4:$D$803)))</f>
        <v/>
      </c>
      <c r="Q87" s="8" t="str">
        <f>IF($B87="","",IF(COUNTIF('Competency Event Log'!$U$4:$U$803,$B87&amp;"|"&amp;Q$5)=0,"",SUMIF('Competency Event Log'!$U$4:$U$803,$B87&amp;"|"&amp;Q$5,'Competency Event Log'!$D$4:$D$803)))</f>
        <v/>
      </c>
      <c r="R87" s="8" t="str">
        <f>IF($B87="","",IF(COUNTIF('Competency Event Log'!$U$4:$U$803,$B87&amp;"|"&amp;R$5)=0,"",SUMIF('Competency Event Log'!$U$4:$U$803,$B87&amp;"|"&amp;R$5,'Competency Event Log'!$D$4:$D$803)))</f>
        <v/>
      </c>
      <c r="S87" s="8" t="str">
        <f>IF($B87="","",IF(COUNTIF('Competency Event Log'!$U$4:$U$803,$B87&amp;"|"&amp;S$5)=0,"",SUMIF('Competency Event Log'!$U$4:$U$803,$B87&amp;"|"&amp;S$5,'Competency Event Log'!$D$4:$D$803)))</f>
        <v/>
      </c>
      <c r="T87" s="8" t="str">
        <f>IF($B87="","",IF(COUNTIF('Competency Event Log'!$U$4:$U$803,$B87&amp;"|"&amp;T$5)=0,"",SUMIF('Competency Event Log'!$U$4:$U$803,$B87&amp;"|"&amp;T$5,'Competency Event Log'!$D$4:$D$803)))</f>
        <v/>
      </c>
      <c r="U87" s="8" t="str">
        <f>IF($B87="","",IF(COUNTIF('Competency Event Log'!$U$4:$U$803,$B87&amp;"|"&amp;U$5)=0,"",SUMIF('Competency Event Log'!$U$4:$U$803,$B87&amp;"|"&amp;U$5,'Competency Event Log'!$D$4:$D$803)))</f>
        <v/>
      </c>
      <c r="V87" s="8" t="str">
        <f>IF($B87="","",IF(COUNTIF('Competency Event Log'!$U$4:$U$803,$B87&amp;"|"&amp;V$5)=0,"",SUMIF('Competency Event Log'!$U$4:$U$803,$B87&amp;"|"&amp;V$5,'Competency Event Log'!$D$4:$D$803)))</f>
        <v/>
      </c>
      <c r="W87" s="8" t="str">
        <f>IF($B87="","",IF(COUNTIF('Competency Event Log'!$U$4:$U$803,$B87&amp;"|"&amp;W$5)=0,"",SUMIF('Competency Event Log'!$U$4:$U$803,$B87&amp;"|"&amp;W$5,'Competency Event Log'!$D$4:$D$803)))</f>
        <v/>
      </c>
      <c r="X87" s="8" t="str">
        <f>IF($B87="","",IF(COUNTIF('Competency Event Log'!$U$4:$U$803,$B87&amp;"|"&amp;X$5)=0,"",SUMIF('Competency Event Log'!$U$4:$U$803,$B87&amp;"|"&amp;X$5,'Competency Event Log'!$D$4:$D$803)))</f>
        <v/>
      </c>
      <c r="Y87" s="8" t="str">
        <f>IF($B87="","",IF(COUNTIF('Competency Event Log'!$U$4:$U$803,$B87&amp;"|"&amp;Y$5)=0,"",SUMIF('Competency Event Log'!$U$4:$U$803,$B87&amp;"|"&amp;Y$5,'Competency Event Log'!$D$4:$D$803)))</f>
        <v/>
      </c>
      <c r="Z87" s="8" t="str">
        <f>IF($B87="","",IF(COUNTIF('Competency Event Log'!$U$4:$U$803,$B87&amp;"|"&amp;Z$5)=0,"",SUMIF('Competency Event Log'!$U$4:$U$803,$B87&amp;"|"&amp;Z$5,'Competency Event Log'!$D$4:$D$803)))</f>
        <v/>
      </c>
      <c r="AA87" s="8" t="str">
        <f>IF($B87="","",IF(COUNTIF('Competency Event Log'!$U$4:$U$803,$B87&amp;"|"&amp;AA$5)=0,"",SUMIF('Competency Event Log'!$U$4:$U$803,$B87&amp;"|"&amp;AA$5,'Competency Event Log'!$D$4:$D$803)))</f>
        <v/>
      </c>
      <c r="AB87" s="8" t="str">
        <f>IF($B87="","",IF(COUNTIF('Competency Event Log'!$U$4:$U$803,$B87&amp;"|"&amp;AB$5)=0,"",SUMIF('Competency Event Log'!$U$4:$U$803,$B87&amp;"|"&amp;AB$5,'Competency Event Log'!$D$4:$D$803)))</f>
        <v/>
      </c>
      <c r="AC87" s="8" t="str">
        <f>IF($B87="","",IF(COUNTIF('Competency Event Log'!$U$4:$U$803,$B87&amp;"|"&amp;AC$5)=0,"",SUMIF('Competency Event Log'!$U$4:$U$803,$B87&amp;"|"&amp;AC$5,'Competency Event Log'!$D$4:$D$803)))</f>
        <v/>
      </c>
      <c r="AD87" s="8" t="str">
        <f>IF($B87="","",IF(COUNTIF('Competency Event Log'!$U$4:$U$803,$B87&amp;"|"&amp;AD$5)=0,"",SUMIF('Competency Event Log'!$U$4:$U$803,$B87&amp;"|"&amp;AD$5,'Competency Event Log'!$D$4:$D$803)))</f>
        <v/>
      </c>
      <c r="AE87" s="8" t="str">
        <f>IF($B87="","",IF(COUNTIF('Competency Event Log'!$U$4:$U$803,$B87&amp;"|"&amp;AE$5)=0,"",SUMIF('Competency Event Log'!$U$4:$U$803,$B87&amp;"|"&amp;AE$5,'Competency Event Log'!$D$4:$D$803)))</f>
        <v/>
      </c>
      <c r="AF87" s="8" t="str">
        <f>IF($B87="","",IF(COUNTIF('Competency Event Log'!$U$4:$U$803,$B87&amp;"|"&amp;AF$5)=0,"",SUMIF('Competency Event Log'!$U$4:$U$803,$B87&amp;"|"&amp;AF$5,'Competency Event Log'!$D$4:$D$803)))</f>
        <v/>
      </c>
      <c r="AG87" s="8" t="str">
        <f>IF($B87="","",IF(COUNTIF('Competency Event Log'!$U$4:$U$803,$B87&amp;"|"&amp;AG$5)=0,"",SUMIF('Competency Event Log'!$U$4:$U$803,$B87&amp;"|"&amp;AG$5,'Competency Event Log'!$D$4:$D$803)))</f>
        <v/>
      </c>
      <c r="AH87" s="8" t="str">
        <f>IF($B87="","",IF(COUNTIF('Competency Event Log'!$U$4:$U$803,$B87&amp;"|"&amp;AH$5)=0,"",SUMIF('Competency Event Log'!$U$4:$U$803,$B87&amp;"|"&amp;AH$5,'Competency Event Log'!$D$4:$D$803)))</f>
        <v/>
      </c>
      <c r="AI87" s="8" t="str">
        <f>IF($B87="","",IF(COUNTIF('Competency Event Log'!$U$4:$U$803,$B87&amp;"|"&amp;AI$5)=0,"",SUMIF('Competency Event Log'!$U$4:$U$803,$B87&amp;"|"&amp;AI$5,'Competency Event Log'!$D$4:$D$803)))</f>
        <v/>
      </c>
      <c r="AJ87" s="8" t="str">
        <f>IF($B87="","",IF(COUNTIF('Competency Event Log'!$U$4:$U$803,$B87&amp;"|"&amp;AJ$5)=0,"",SUMIF('Competency Event Log'!$U$4:$U$803,$B87&amp;"|"&amp;AJ$5,'Competency Event Log'!$D$4:$D$803)))</f>
        <v/>
      </c>
      <c r="AK87" s="8" t="str">
        <f>IF($B87="","",IF(COUNTIF('Competency Event Log'!$U$4:$U$803,$B87&amp;"|"&amp;AK$5)=0,"",SUMIF('Competency Event Log'!$U$4:$U$803,$B87&amp;"|"&amp;AK$5,'Competency Event Log'!$D$4:$D$803)))</f>
        <v/>
      </c>
      <c r="AL87" s="8" t="str">
        <f>IF($B87="","",IF(COUNTIF('Competency Event Log'!$U$4:$U$803,$B87&amp;"|"&amp;AL$5)=0,"",SUMIF('Competency Event Log'!$U$4:$U$803,$B87&amp;"|"&amp;AL$5,'Competency Event Log'!$D$4:$D$803)))</f>
        <v/>
      </c>
      <c r="AM87" s="8" t="str">
        <f>IF($B87="","",IF(COUNTIF('Competency Event Log'!$U$4:$U$803,$B87&amp;"|"&amp;AM$5)=0,"",SUMIF('Competency Event Log'!$U$4:$U$803,$B87&amp;"|"&amp;AM$5,'Competency Event Log'!$D$4:$D$803)))</f>
        <v/>
      </c>
      <c r="AN87" s="8" t="str">
        <f>IF($B87="","",IF(COUNTIF('Competency Event Log'!$U$4:$U$803,$B87&amp;"|"&amp;AN$5)=0,"",SUMIF('Competency Event Log'!$U$4:$U$803,$B87&amp;"|"&amp;AN$5,'Competency Event Log'!$D$4:$D$803)))</f>
        <v/>
      </c>
      <c r="AO87" s="8" t="str">
        <f>IF($B87="","",IF(COUNTIF('Competency Event Log'!$U$4:$U$803,$B87&amp;"|"&amp;AO$5)=0,"",SUMIF('Competency Event Log'!$U$4:$U$803,$B87&amp;"|"&amp;AO$5,'Competency Event Log'!$D$4:$D$803)))</f>
        <v/>
      </c>
      <c r="AP87" s="8" t="str">
        <f>IF($B87="","",IF(COUNTIF('Competency Event Log'!$U$4:$U$803,$B87&amp;"|"&amp;AP$5)=0,"",SUMIF('Competency Event Log'!$U$4:$U$803,$B87&amp;"|"&amp;AP$5,'Competency Event Log'!$D$4:$D$803)))</f>
        <v/>
      </c>
      <c r="AQ87" s="8" t="str">
        <f>IF($B87="","",IF(COUNTIF('Competency Event Log'!$U$4:$U$803,$B87&amp;"|"&amp;AQ$5)=0,"",SUMIF('Competency Event Log'!$U$4:$U$803,$B87&amp;"|"&amp;AQ$5,'Competency Event Log'!$D$4:$D$803)))</f>
        <v/>
      </c>
      <c r="AR87" s="8" t="str">
        <f>IF($B87="","",IF(COUNTIF('Competency Event Log'!$U$4:$U$803,$B87&amp;"|"&amp;AR$5)=0,"",SUMIF('Competency Event Log'!$U$4:$U$803,$B87&amp;"|"&amp;AR$5,'Competency Event Log'!$D$4:$D$803)))</f>
        <v/>
      </c>
      <c r="AS87" s="8" t="str">
        <f>IF($B87="","",IF(COUNTIF('Competency Event Log'!$U$4:$U$803,$B87&amp;"|"&amp;AS$5)=0,"",SUMIF('Competency Event Log'!$U$4:$U$803,$B87&amp;"|"&amp;AS$5,'Competency Event Log'!$D$4:$D$803)))</f>
        <v/>
      </c>
      <c r="AT87" s="8" t="str">
        <f>IF($B87="","",IF(COUNTIF('Competency Event Log'!$U$4:$U$803,$B87&amp;"|"&amp;AT$5)=0,"",SUMIF('Competency Event Log'!$U$4:$U$803,$B87&amp;"|"&amp;AT$5,'Competency Event Log'!$D$4:$D$803)))</f>
        <v/>
      </c>
      <c r="AU87" s="8" t="str">
        <f>IF($B87="","",IF(COUNTIF('Competency Event Log'!$U$4:$U$803,$B87&amp;"|"&amp;AU$5)=0,"",SUMIF('Competency Event Log'!$U$4:$U$803,$B87&amp;"|"&amp;AU$5,'Competency Event Log'!$D$4:$D$803)))</f>
        <v/>
      </c>
      <c r="AV87" s="8" t="str">
        <f>IF($B87="","",IF(COUNTIF('Competency Event Log'!$U$4:$U$803,$B87&amp;"|"&amp;AV$5)=0,"",SUMIF('Competency Event Log'!$U$4:$U$803,$B87&amp;"|"&amp;AV$5,'Competency Event Log'!$D$4:$D$803)))</f>
        <v/>
      </c>
      <c r="AW87" s="8" t="str">
        <f>IF($B87="","",IF(COUNTIF('Competency Event Log'!$U$4:$U$803,$B87&amp;"|"&amp;AW$5)=0,"",SUMIF('Competency Event Log'!$U$4:$U$803,$B87&amp;"|"&amp;AW$5,'Competency Event Log'!$D$4:$D$803)))</f>
        <v/>
      </c>
      <c r="AX87" s="8" t="str">
        <f>IF($B87="","",IF(COUNTIF('Competency Event Log'!$U$4:$U$803,$B87&amp;"|"&amp;AX$5)=0,"",SUMIF('Competency Event Log'!$U$4:$U$803,$B87&amp;"|"&amp;AX$5,'Competency Event Log'!$D$4:$D$803)))</f>
        <v/>
      </c>
      <c r="AY87" s="8" t="str">
        <f>IF($B87="","",IF(COUNTIF('Competency Event Log'!$U$4:$U$803,$B87&amp;"|"&amp;AY$5)=0,"",SUMIF('Competency Event Log'!$U$4:$U$803,$B87&amp;"|"&amp;AY$5,'Competency Event Log'!$D$4:$D$803)))</f>
        <v/>
      </c>
      <c r="AZ87" s="8" t="str">
        <f>IF($B87="","",IF(COUNTIF('Competency Event Log'!$U$4:$U$803,$B87&amp;"|"&amp;AZ$5)=0,"",SUMIF('Competency Event Log'!$U$4:$U$803,$B87&amp;"|"&amp;AZ$5,'Competency Event Log'!$D$4:$D$803)))</f>
        <v/>
      </c>
      <c r="BA87" s="8" t="str">
        <f>IF($B87="","",IF(COUNTIF('Competency Event Log'!$U$4:$U$803,$B87&amp;"|"&amp;BA$5)=0,"",SUMIF('Competency Event Log'!$U$4:$U$803,$B87&amp;"|"&amp;BA$5,'Competency Event Log'!$D$4:$D$803)))</f>
        <v/>
      </c>
      <c r="BB87" s="8" t="str">
        <f>IF($B87="","",IF(COUNTIF('Competency Event Log'!$U$4:$U$803,$B87&amp;"|"&amp;BB$5)=0,"",SUMIF('Competency Event Log'!$U$4:$U$803,$B87&amp;"|"&amp;BB$5,'Competency Event Log'!$D$4:$D$803)))</f>
        <v/>
      </c>
      <c r="BC87" s="8" t="str">
        <f>IF($B87="","",IF(COUNTIF('Competency Event Log'!$U$4:$U$803,$B87&amp;"|"&amp;BC$5)=0,"",SUMIF('Competency Event Log'!$U$4:$U$803,$B87&amp;"|"&amp;BC$5,'Competency Event Log'!$D$4:$D$803)))</f>
        <v/>
      </c>
      <c r="BD87" s="8" t="str">
        <f>IF($B87="","",IF(COUNTIF('Competency Event Log'!$U$4:$U$803,$B87&amp;"|"&amp;BD$5)=0,"",SUMIF('Competency Event Log'!$U$4:$U$803,$B87&amp;"|"&amp;BD$5,'Competency Event Log'!$D$4:$D$803)))</f>
        <v/>
      </c>
      <c r="BE87" s="8" t="str">
        <f>IF($B87="","",IF(COUNTIF('Competency Event Log'!$U$4:$U$803,$B87&amp;"|"&amp;BE$5)=0,"",SUMIF('Competency Event Log'!$U$4:$U$803,$B87&amp;"|"&amp;BE$5,'Competency Event Log'!$D$4:$D$803)))</f>
        <v/>
      </c>
      <c r="BF87" s="8" t="str">
        <f>IF($B87="","",IF(COUNTIF('Competency Event Log'!$U$4:$U$803,$B87&amp;"|"&amp;BF$5)=0,"",SUMIF('Competency Event Log'!$U$4:$U$803,$B87&amp;"|"&amp;BF$5,'Competency Event Log'!$D$4:$D$803)))</f>
        <v/>
      </c>
      <c r="BG87" s="8" t="str">
        <f>IF($B87="","",IF(COUNTIF('Competency Event Log'!$U$4:$U$803,$B87&amp;"|"&amp;BG$5)=0,"",SUMIF('Competency Event Log'!$U$4:$U$803,$B87&amp;"|"&amp;BG$5,'Competency Event Log'!$D$4:$D$803)))</f>
        <v/>
      </c>
      <c r="BH87" s="8" t="str">
        <f>IF($B87="","",IF(COUNTIF('Competency Event Log'!$U$4:$U$803,$B87&amp;"|"&amp;BH$5)=0,"",SUMIF('Competency Event Log'!$U$4:$U$803,$B87&amp;"|"&amp;BH$5,'Competency Event Log'!$D$4:$D$803)))</f>
        <v/>
      </c>
      <c r="BI87" s="8" t="str">
        <f>IF($B87="","",IF(COUNTIF('Competency Event Log'!$U$4:$U$803,$B87&amp;"|"&amp;BI$5)=0,"",SUMIF('Competency Event Log'!$U$4:$U$803,$B87&amp;"|"&amp;BI$5,'Competency Event Log'!$D$4:$D$803)))</f>
        <v/>
      </c>
      <c r="BJ87" s="8" t="str">
        <f>IF($B87="","",IF(COUNTIF('Competency Event Log'!$U$4:$U$803,$B87&amp;"|"&amp;BJ$5)=0,"",SUMIF('Competency Event Log'!$U$4:$U$803,$B87&amp;"|"&amp;BJ$5,'Competency Event Log'!$D$4:$D$803)))</f>
        <v/>
      </c>
      <c r="BK87" s="8" t="str">
        <f>IF($B87="","",IF(COUNTIF('Competency Event Log'!$U$4:$U$803,$B87&amp;"|"&amp;BK$5)=0,"",SUMIF('Competency Event Log'!$U$4:$U$803,$B87&amp;"|"&amp;BK$5,'Competency Event Log'!$D$4:$D$803)))</f>
        <v/>
      </c>
      <c r="BL87" s="8" t="str">
        <f>IF($B87="","",IF(COUNTIF('Competency Event Log'!$U$4:$U$803,$B87&amp;"|"&amp;BL$5)=0,"",SUMIF('Competency Event Log'!$U$4:$U$803,$B87&amp;"|"&amp;BL$5,'Competency Event Log'!$D$4:$D$803)))</f>
        <v/>
      </c>
      <c r="BM87" s="8" t="str">
        <f>IF($B87="","",IF(COUNTIF('Competency Event Log'!$U$4:$U$803,$B87&amp;"|"&amp;BM$5)=0,"",SUMIF('Competency Event Log'!$U$4:$U$803,$B87&amp;"|"&amp;BM$5,'Competency Event Log'!$D$4:$D$803)))</f>
        <v/>
      </c>
      <c r="BN87" s="8" t="str">
        <f>IF($B87="","",IF(COUNTIF('Competency Event Log'!$U$4:$U$803,$B87&amp;"|"&amp;BN$5)=0,"",SUMIF('Competency Event Log'!$U$4:$U$803,$B87&amp;"|"&amp;BN$5,'Competency Event Log'!$D$4:$D$803)))</f>
        <v/>
      </c>
      <c r="BO87" s="8" t="str">
        <f>IF($B87="","",IF(COUNTIF('Competency Event Log'!$U$4:$U$803,$B87&amp;"|"&amp;BO$5)=0,"",SUMIF('Competency Event Log'!$U$4:$U$803,$B87&amp;"|"&amp;BO$5,'Competency Event Log'!$D$4:$D$803)))</f>
        <v/>
      </c>
      <c r="BP87" s="8" t="str">
        <f>IF($B87="","",IF(COUNTIF('Competency Event Log'!$U$4:$U$803,$B87&amp;"|"&amp;BP$5)=0,"",SUMIF('Competency Event Log'!$U$4:$U$803,$B87&amp;"|"&amp;BP$5,'Competency Event Log'!$D$4:$D$803)))</f>
        <v/>
      </c>
      <c r="BQ87" s="8" t="str">
        <f>IF($B87="","",IF(COUNTIF('Competency Event Log'!$U$4:$U$803,$B87&amp;"|"&amp;BQ$5)=0,"",SUMIF('Competency Event Log'!$U$4:$U$803,$B87&amp;"|"&amp;BQ$5,'Competency Event Log'!$D$4:$D$803)))</f>
        <v/>
      </c>
      <c r="BR87" s="8" t="str">
        <f>IF($B87="","",IF(COUNTIF('Competency Event Log'!$U$4:$U$803,$B87&amp;"|"&amp;BR$5)=0,"",SUMIF('Competency Event Log'!$U$4:$U$803,$B87&amp;"|"&amp;BR$5,'Competency Event Log'!$D$4:$D$803)))</f>
        <v/>
      </c>
      <c r="BS87" s="8" t="str">
        <f>IF($B87="","",IF(COUNTIF('Competency Event Log'!$U$4:$U$803,$B87&amp;"|"&amp;BS$5)=0,"",SUMIF('Competency Event Log'!$U$4:$U$803,$B87&amp;"|"&amp;BS$5,'Competency Event Log'!$D$4:$D$803)))</f>
        <v/>
      </c>
      <c r="BT87" s="8" t="str">
        <f>IF($B87="","",IF(COUNTIF('Competency Event Log'!$U$4:$U$803,$B87&amp;"|"&amp;BT$5)=0,"",SUMIF('Competency Event Log'!$U$4:$U$803,$B87&amp;"|"&amp;BT$5,'Competency Event Log'!$D$4:$D$803)))</f>
        <v/>
      </c>
      <c r="BU87" s="8" t="str">
        <f>IF($B87="","",IF(COUNTIF('Competency Event Log'!$U$4:$U$803,$B87&amp;"|"&amp;BU$5)=0,"",SUMIF('Competency Event Log'!$U$4:$U$803,$B87&amp;"|"&amp;BU$5,'Competency Event Log'!$D$4:$D$803)))</f>
        <v/>
      </c>
      <c r="BV87" s="8" t="str">
        <f>IF($B87="","",IF(COUNTIF('Competency Event Log'!$U$4:$U$803,$B87&amp;"|"&amp;BV$5)=0,"",SUMIF('Competency Event Log'!$U$4:$U$803,$B87&amp;"|"&amp;BV$5,'Competency Event Log'!$D$4:$D$803)))</f>
        <v/>
      </c>
      <c r="BW87" s="8" t="str">
        <f>IF($B87="","",IF(COUNTIF('Competency Event Log'!$U$4:$U$803,$B87&amp;"|"&amp;BW$5)=0,"",SUMIF('Competency Event Log'!$U$4:$U$803,$B87&amp;"|"&amp;BW$5,'Competency Event Log'!$D$4:$D$803)))</f>
        <v/>
      </c>
      <c r="BX87" s="8" t="str">
        <f>IF($B87="","",IF(COUNTIF('Competency Event Log'!$U$4:$U$803,$B87&amp;"|"&amp;BX$5)=0,"",SUMIF('Competency Event Log'!$U$4:$U$803,$B87&amp;"|"&amp;BX$5,'Competency Event Log'!$D$4:$D$803)))</f>
        <v/>
      </c>
      <c r="BY87" s="8" t="str">
        <f>IF($B87="","",IF(COUNTIF('Competency Event Log'!$U$4:$U$803,$B87&amp;"|"&amp;BY$5)=0,"",SUMIF('Competency Event Log'!$U$4:$U$803,$B87&amp;"|"&amp;BY$5,'Competency Event Log'!$D$4:$D$803)))</f>
        <v/>
      </c>
      <c r="BZ87" s="8" t="str">
        <f>IF($B87="","",IF(COUNTIF('Competency Event Log'!$U$4:$U$803,$B87&amp;"|"&amp;BZ$5)=0,"",SUMIF('Competency Event Log'!$U$4:$U$803,$B87&amp;"|"&amp;BZ$5,'Competency Event Log'!$D$4:$D$803)))</f>
        <v/>
      </c>
      <c r="CA87" s="8" t="str">
        <f>IF($B87="","",IF(COUNTIF('Competency Event Log'!$U$4:$U$803,$B87&amp;"|"&amp;CA$5)=0,"",SUMIF('Competency Event Log'!$U$4:$U$803,$B87&amp;"|"&amp;CA$5,'Competency Event Log'!$D$4:$D$803)))</f>
        <v/>
      </c>
      <c r="CB87" s="8" t="str">
        <f>IF($B87="","",IF(COUNTIF('Competency Event Log'!$U$4:$U$803,$B87&amp;"|"&amp;CB$5)=0,"",SUMIF('Competency Event Log'!$U$4:$U$803,$B87&amp;"|"&amp;CB$5,'Competency Event Log'!$D$4:$D$803)))</f>
        <v/>
      </c>
      <c r="CC87" s="8" t="str">
        <f>IF($B87="","",IF(COUNTIF('Competency Event Log'!$U$4:$U$803,$B87&amp;"|"&amp;CC$5)=0,"",SUMIF('Competency Event Log'!$U$4:$U$803,$B87&amp;"|"&amp;CC$5,'Competency Event Log'!$D$4:$D$803)))</f>
        <v/>
      </c>
      <c r="CD87" s="8" t="str">
        <f>IF($B87="","",IF(COUNTIF('Competency Event Log'!$U$4:$U$803,$B87&amp;"|"&amp;CD$5)=0,"",SUMIF('Competency Event Log'!$U$4:$U$803,$B87&amp;"|"&amp;CD$5,'Competency Event Log'!$D$4:$D$803)))</f>
        <v/>
      </c>
      <c r="CE87" s="8" t="str">
        <f>IF($B87="","",IF(COUNTIF('Competency Event Log'!$U$4:$U$803,$B87&amp;"|"&amp;CE$5)=0,"",SUMIF('Competency Event Log'!$U$4:$U$803,$B87&amp;"|"&amp;CE$5,'Competency Event Log'!$D$4:$D$803)))</f>
        <v/>
      </c>
      <c r="CF87" s="8" t="str">
        <f>IF($B87="","",IF(COUNTIF('Competency Event Log'!$U$4:$U$803,$B87&amp;"|"&amp;CF$5)=0,"",SUMIF('Competency Event Log'!$U$4:$U$803,$B87&amp;"|"&amp;CF$5,'Competency Event Log'!$D$4:$D$803)))</f>
        <v/>
      </c>
      <c r="CG87" s="8" t="str">
        <f>IF($B87="","",IF(COUNTIF('Competency Event Log'!$U$4:$U$803,$B87&amp;"|"&amp;CG$5)=0,"",SUMIF('Competency Event Log'!$U$4:$U$803,$B87&amp;"|"&amp;CG$5,'Competency Event Log'!$D$4:$D$803)))</f>
        <v/>
      </c>
      <c r="CH87" s="8" t="str">
        <f>IF($B87="","",IF(COUNTIF('Competency Event Log'!$U$4:$U$803,$B87&amp;"|"&amp;CH$5)=0,"",SUMIF('Competency Event Log'!$U$4:$U$803,$B87&amp;"|"&amp;CH$5,'Competency Event Log'!$D$4:$D$803)))</f>
        <v/>
      </c>
      <c r="CI87" s="8" t="str">
        <f>IF($B87="","",IF(COUNTIF('Competency Event Log'!$U$4:$U$803,$B87&amp;"|"&amp;CI$5)=0,"",SUMIF('Competency Event Log'!$U$4:$U$803,$B87&amp;"|"&amp;CI$5,'Competency Event Log'!$D$4:$D$803)))</f>
        <v/>
      </c>
      <c r="CJ87" s="8" t="str">
        <f>IF($B87="","",IF(COUNTIF('Competency Event Log'!$U$4:$U$803,$B87&amp;"|"&amp;CJ$5)=0,"",SUMIF('Competency Event Log'!$U$4:$U$803,$B87&amp;"|"&amp;CJ$5,'Competency Event Log'!$D$4:$D$803)))</f>
        <v/>
      </c>
      <c r="CK87" s="8" t="str">
        <f>IF($B87="","",IF(COUNTIF('Competency Event Log'!$U$4:$U$803,$B87&amp;"|"&amp;CK$5)=0,"",SUMIF('Competency Event Log'!$U$4:$U$803,$B87&amp;"|"&amp;CK$5,'Competency Event Log'!$D$4:$D$803)))</f>
        <v/>
      </c>
      <c r="CL87" s="8" t="str">
        <f>IF($B87="","",IF(COUNTIF('Competency Event Log'!$U$4:$U$803,$B87&amp;"|"&amp;CL$5)=0,"",SUMIF('Competency Event Log'!$U$4:$U$803,$B87&amp;"|"&amp;CL$5,'Competency Event Log'!$D$4:$D$803)))</f>
        <v/>
      </c>
      <c r="CM87" s="8" t="str">
        <f>IF($B87="","",IF(COUNTIF('Competency Event Log'!$U$4:$U$803,$B87&amp;"|"&amp;CM$5)=0,"",SUMIF('Competency Event Log'!$U$4:$U$803,$B87&amp;"|"&amp;CM$5,'Competency Event Log'!$D$4:$D$803)))</f>
        <v/>
      </c>
      <c r="CN87" s="8" t="str">
        <f>IF($B87="","",IF(COUNTIF('Competency Event Log'!$U$4:$U$803,$B87&amp;"|"&amp;CN$5)=0,"",SUMIF('Competency Event Log'!$U$4:$U$803,$B87&amp;"|"&amp;CN$5,'Competency Event Log'!$D$4:$D$803)))</f>
        <v/>
      </c>
      <c r="CO87" s="8" t="str">
        <f>IF($B87="","",IF(COUNTIF('Competency Event Log'!$U$4:$U$803,$B87&amp;"|"&amp;CO$5)=0,"",SUMIF('Competency Event Log'!$U$4:$U$803,$B87&amp;"|"&amp;CO$5,'Competency Event Log'!$D$4:$D$803)))</f>
        <v/>
      </c>
      <c r="CP87" s="8" t="str">
        <f>IF($B87="","",IF(COUNTIF('Competency Event Log'!$U$4:$U$803,$B87&amp;"|"&amp;CP$5)=0,"",SUMIF('Competency Event Log'!$U$4:$U$803,$B87&amp;"|"&amp;CP$5,'Competency Event Log'!$D$4:$D$803)))</f>
        <v/>
      </c>
      <c r="CQ87" s="8" t="str">
        <f>IF($B87="","",IF(COUNTIF('Competency Event Log'!$U$4:$U$803,$B87&amp;"|"&amp;CQ$5)=0,"",SUMIF('Competency Event Log'!$U$4:$U$803,$B87&amp;"|"&amp;CQ$5,'Competency Event Log'!$D$4:$D$803)))</f>
        <v/>
      </c>
      <c r="CR87" s="8" t="str">
        <f>IF($B87="","",IF(COUNTIF('Competency Event Log'!$U$4:$U$803,$B87&amp;"|"&amp;CR$5)=0,"",SUMIF('Competency Event Log'!$U$4:$U$803,$B87&amp;"|"&amp;CR$5,'Competency Event Log'!$D$4:$D$803)))</f>
        <v/>
      </c>
      <c r="CS87" s="8" t="str">
        <f>IF($B87="","",IF(COUNTIF('Competency Event Log'!$U$4:$U$803,$B87&amp;"|"&amp;CS$5)=0,"",SUMIF('Competency Event Log'!$U$4:$U$803,$B87&amp;"|"&amp;CS$5,'Competency Event Log'!$D$4:$D$803)))</f>
        <v/>
      </c>
      <c r="CT87" s="8" t="str">
        <f>IF($B87="","",IF(COUNTIF('Competency Event Log'!$U$4:$U$803,$B87&amp;"|"&amp;CT$5)=0,"",SUMIF('Competency Event Log'!$U$4:$U$803,$B87&amp;"|"&amp;CT$5,'Competency Event Log'!$D$4:$D$803)))</f>
        <v/>
      </c>
      <c r="CU87" s="8" t="str">
        <f>IF($B87="","",IF(COUNTIF('Competency Event Log'!$U$4:$U$803,$B87&amp;"|"&amp;CU$5)=0,"",SUMIF('Competency Event Log'!$U$4:$U$803,$B87&amp;"|"&amp;CU$5,'Competency Event Log'!$D$4:$D$803)))</f>
        <v/>
      </c>
      <c r="CV87" s="8" t="str">
        <f>IF($B87="","",IF(COUNTIF('Competency Event Log'!$U$4:$U$803,$B87&amp;"|"&amp;CV$5)=0,"",SUMIF('Competency Event Log'!$U$4:$U$803,$B87&amp;"|"&amp;CV$5,'Competency Event Log'!$D$4:$D$803)))</f>
        <v/>
      </c>
      <c r="CW87" s="8" t="str">
        <f>IF($B87="","",IF(COUNTIF('Competency Event Log'!$U$4:$U$803,$B87&amp;"|"&amp;CW$5)=0,"",SUMIF('Competency Event Log'!$U$4:$U$803,$B87&amp;"|"&amp;CW$5,'Competency Event Log'!$D$4:$D$803)))</f>
        <v/>
      </c>
      <c r="CX87" s="8" t="str">
        <f>IF($B87="","",IF(COUNTIF('Competency Event Log'!$U$4:$U$803,$B87&amp;"|"&amp;CX$5)=0,"",SUMIF('Competency Event Log'!$U$4:$U$803,$B87&amp;"|"&amp;CX$5,'Competency Event Log'!$D$4:$D$803)))</f>
        <v/>
      </c>
      <c r="CY87" s="8" t="str">
        <f>IF($B87="","",IF(COUNTIF('Competency Event Log'!$U$4:$U$803,$B87&amp;"|"&amp;CY$5)=0,"",SUMIF('Competency Event Log'!$U$4:$U$803,$B87&amp;"|"&amp;CY$5,'Competency Event Log'!$D$4:$D$803)))</f>
        <v/>
      </c>
      <c r="CZ87" s="8" t="str">
        <f>IF($B87="","",IF(COUNTIF('Competency Event Log'!$U$4:$U$803,$B87&amp;"|"&amp;CZ$5)=0,"",SUMIF('Competency Event Log'!$U$4:$U$803,$B87&amp;"|"&amp;CZ$5,'Competency Event Log'!$D$4:$D$803)))</f>
        <v/>
      </c>
      <c r="DA87" s="8" t="str">
        <f>IF($B87="","",IF(COUNTIF('Competency Event Log'!$U$4:$U$803,$B87&amp;"|"&amp;DA$5)=0,"",SUMIF('Competency Event Log'!$U$4:$U$803,$B87&amp;"|"&amp;DA$5,'Competency Event Log'!$D$4:$D$803)))</f>
        <v/>
      </c>
      <c r="DB87" s="8" t="str">
        <f>IF($B87="","",IF(COUNTIF('Competency Event Log'!$U$4:$U$803,$B87&amp;"|"&amp;DB$5)=0,"",SUMIF('Competency Event Log'!$U$4:$U$803,$B87&amp;"|"&amp;DB$5,'Competency Event Log'!$D$4:$D$803)))</f>
        <v/>
      </c>
      <c r="DC87" s="8" t="str">
        <f>IF($B87="","",IF(COUNTIF('Competency Event Log'!$U$4:$U$803,$B87&amp;"|"&amp;DC$5)=0,"",SUMIF('Competency Event Log'!$U$4:$U$803,$B87&amp;"|"&amp;DC$5,'Competency Event Log'!$D$4:$D$803)))</f>
        <v/>
      </c>
      <c r="DD87" s="8" t="str">
        <f>IF($B87="","",IF(COUNTIF('Competency Event Log'!$U$4:$U$803,$B87&amp;"|"&amp;DD$5)=0,"",SUMIF('Competency Event Log'!$U$4:$U$803,$B87&amp;"|"&amp;DD$5,'Competency Event Log'!$D$4:$D$803)))</f>
        <v/>
      </c>
      <c r="DE87" s="8" t="str">
        <f>IF($B87="","",IF(COUNTIF('Competency Event Log'!$U$4:$U$803,$B87&amp;"|"&amp;DE$5)=0,"",SUMIF('Competency Event Log'!$U$4:$U$803,$B87&amp;"|"&amp;DE$5,'Competency Event Log'!$D$4:$D$803)))</f>
        <v/>
      </c>
      <c r="DF87" s="8" t="str">
        <f t="shared" si="8"/>
        <v/>
      </c>
      <c r="DG87" s="8" t="str">
        <f t="shared" si="9"/>
        <v/>
      </c>
      <c r="DH87" s="8" t="str">
        <f t="shared" si="10"/>
        <v/>
      </c>
      <c r="DI87" s="11" t="str">
        <f t="shared" si="11"/>
        <v/>
      </c>
    </row>
    <row r="88" spans="1:113">
      <c r="A88" s="7"/>
      <c r="B88" s="7"/>
      <c r="C88" s="8"/>
      <c r="D88" s="9"/>
      <c r="E88" s="10"/>
      <c r="F88" s="8"/>
      <c r="G88" s="8" t="str">
        <f>IF($B88="","",IF(COUNTIF('Competency Event Log'!$U$4:$U$803,$B88&amp;"|"&amp;G$5)=0,"",SUMIF('Competency Event Log'!$U$4:$U$803,$B88&amp;"|"&amp;G$5,'Competency Event Log'!$D$4:$D$803)))</f>
        <v/>
      </c>
      <c r="H88" s="8" t="str">
        <f>IF($B88="","",IF(COUNTIF('Competency Event Log'!$U$4:$U$803,$B88&amp;"|"&amp;H$5)=0,"",SUMIF('Competency Event Log'!$U$4:$U$803,$B88&amp;"|"&amp;H$5,'Competency Event Log'!$D$4:$D$803)))</f>
        <v/>
      </c>
      <c r="I88" s="8" t="str">
        <f>IF($B88="","",IF(COUNTIF('Competency Event Log'!$U$4:$U$803,$B88&amp;"|"&amp;I$5)=0,"",SUMIF('Competency Event Log'!$U$4:$U$803,$B88&amp;"|"&amp;I$5,'Competency Event Log'!$D$4:$D$803)))</f>
        <v/>
      </c>
      <c r="J88" s="8" t="str">
        <f>IF($B88="","",IF(COUNTIF('Competency Event Log'!$U$4:$U$803,$B88&amp;"|"&amp;J$5)=0,"",SUMIF('Competency Event Log'!$U$4:$U$803,$B88&amp;"|"&amp;J$5,'Competency Event Log'!$D$4:$D$803)))</f>
        <v/>
      </c>
      <c r="K88" s="8" t="str">
        <f>IF($B88="","",IF(COUNTIF('Competency Event Log'!$U$4:$U$803,$B88&amp;"|"&amp;K$5)=0,"",SUMIF('Competency Event Log'!$U$4:$U$803,$B88&amp;"|"&amp;K$5,'Competency Event Log'!$D$4:$D$803)))</f>
        <v/>
      </c>
      <c r="L88" s="8" t="str">
        <f>IF($B88="","",IF(COUNTIF('Competency Event Log'!$U$4:$U$803,$B88&amp;"|"&amp;L$5)=0,"",SUMIF('Competency Event Log'!$U$4:$U$803,$B88&amp;"|"&amp;L$5,'Competency Event Log'!$D$4:$D$803)))</f>
        <v/>
      </c>
      <c r="M88" s="8" t="str">
        <f>IF($B88="","",IF(COUNTIF('Competency Event Log'!$U$4:$U$803,$B88&amp;"|"&amp;M$5)=0,"",SUMIF('Competency Event Log'!$U$4:$U$803,$B88&amp;"|"&amp;M$5,'Competency Event Log'!$D$4:$D$803)))</f>
        <v/>
      </c>
      <c r="N88" s="8" t="str">
        <f>IF($B88="","",IF(COUNTIF('Competency Event Log'!$U$4:$U$803,$B88&amp;"|"&amp;N$5)=0,"",SUMIF('Competency Event Log'!$U$4:$U$803,$B88&amp;"|"&amp;N$5,'Competency Event Log'!$D$4:$D$803)))</f>
        <v/>
      </c>
      <c r="O88" s="8" t="str">
        <f>IF($B88="","",IF(COUNTIF('Competency Event Log'!$U$4:$U$803,$B88&amp;"|"&amp;O$5)=0,"",SUMIF('Competency Event Log'!$U$4:$U$803,$B88&amp;"|"&amp;O$5,'Competency Event Log'!$D$4:$D$803)))</f>
        <v/>
      </c>
      <c r="P88" s="8" t="str">
        <f>IF($B88="","",IF(COUNTIF('Competency Event Log'!$U$4:$U$803,$B88&amp;"|"&amp;P$5)=0,"",SUMIF('Competency Event Log'!$U$4:$U$803,$B88&amp;"|"&amp;P$5,'Competency Event Log'!$D$4:$D$803)))</f>
        <v/>
      </c>
      <c r="Q88" s="8" t="str">
        <f>IF($B88="","",IF(COUNTIF('Competency Event Log'!$U$4:$U$803,$B88&amp;"|"&amp;Q$5)=0,"",SUMIF('Competency Event Log'!$U$4:$U$803,$B88&amp;"|"&amp;Q$5,'Competency Event Log'!$D$4:$D$803)))</f>
        <v/>
      </c>
      <c r="R88" s="8" t="str">
        <f>IF($B88="","",IF(COUNTIF('Competency Event Log'!$U$4:$U$803,$B88&amp;"|"&amp;R$5)=0,"",SUMIF('Competency Event Log'!$U$4:$U$803,$B88&amp;"|"&amp;R$5,'Competency Event Log'!$D$4:$D$803)))</f>
        <v/>
      </c>
      <c r="S88" s="8" t="str">
        <f>IF($B88="","",IF(COUNTIF('Competency Event Log'!$U$4:$U$803,$B88&amp;"|"&amp;S$5)=0,"",SUMIF('Competency Event Log'!$U$4:$U$803,$B88&amp;"|"&amp;S$5,'Competency Event Log'!$D$4:$D$803)))</f>
        <v/>
      </c>
      <c r="T88" s="8" t="str">
        <f>IF($B88="","",IF(COUNTIF('Competency Event Log'!$U$4:$U$803,$B88&amp;"|"&amp;T$5)=0,"",SUMIF('Competency Event Log'!$U$4:$U$803,$B88&amp;"|"&amp;T$5,'Competency Event Log'!$D$4:$D$803)))</f>
        <v/>
      </c>
      <c r="U88" s="8" t="str">
        <f>IF($B88="","",IF(COUNTIF('Competency Event Log'!$U$4:$U$803,$B88&amp;"|"&amp;U$5)=0,"",SUMIF('Competency Event Log'!$U$4:$U$803,$B88&amp;"|"&amp;U$5,'Competency Event Log'!$D$4:$D$803)))</f>
        <v/>
      </c>
      <c r="V88" s="8" t="str">
        <f>IF($B88="","",IF(COUNTIF('Competency Event Log'!$U$4:$U$803,$B88&amp;"|"&amp;V$5)=0,"",SUMIF('Competency Event Log'!$U$4:$U$803,$B88&amp;"|"&amp;V$5,'Competency Event Log'!$D$4:$D$803)))</f>
        <v/>
      </c>
      <c r="W88" s="8" t="str">
        <f>IF($B88="","",IF(COUNTIF('Competency Event Log'!$U$4:$U$803,$B88&amp;"|"&amp;W$5)=0,"",SUMIF('Competency Event Log'!$U$4:$U$803,$B88&amp;"|"&amp;W$5,'Competency Event Log'!$D$4:$D$803)))</f>
        <v/>
      </c>
      <c r="X88" s="8" t="str">
        <f>IF($B88="","",IF(COUNTIF('Competency Event Log'!$U$4:$U$803,$B88&amp;"|"&amp;X$5)=0,"",SUMIF('Competency Event Log'!$U$4:$U$803,$B88&amp;"|"&amp;X$5,'Competency Event Log'!$D$4:$D$803)))</f>
        <v/>
      </c>
      <c r="Y88" s="8" t="str">
        <f>IF($B88="","",IF(COUNTIF('Competency Event Log'!$U$4:$U$803,$B88&amp;"|"&amp;Y$5)=0,"",SUMIF('Competency Event Log'!$U$4:$U$803,$B88&amp;"|"&amp;Y$5,'Competency Event Log'!$D$4:$D$803)))</f>
        <v/>
      </c>
      <c r="Z88" s="8" t="str">
        <f>IF($B88="","",IF(COUNTIF('Competency Event Log'!$U$4:$U$803,$B88&amp;"|"&amp;Z$5)=0,"",SUMIF('Competency Event Log'!$U$4:$U$803,$B88&amp;"|"&amp;Z$5,'Competency Event Log'!$D$4:$D$803)))</f>
        <v/>
      </c>
      <c r="AA88" s="8" t="str">
        <f>IF($B88="","",IF(COUNTIF('Competency Event Log'!$U$4:$U$803,$B88&amp;"|"&amp;AA$5)=0,"",SUMIF('Competency Event Log'!$U$4:$U$803,$B88&amp;"|"&amp;AA$5,'Competency Event Log'!$D$4:$D$803)))</f>
        <v/>
      </c>
      <c r="AB88" s="8" t="str">
        <f>IF($B88="","",IF(COUNTIF('Competency Event Log'!$U$4:$U$803,$B88&amp;"|"&amp;AB$5)=0,"",SUMIF('Competency Event Log'!$U$4:$U$803,$B88&amp;"|"&amp;AB$5,'Competency Event Log'!$D$4:$D$803)))</f>
        <v/>
      </c>
      <c r="AC88" s="8" t="str">
        <f>IF($B88="","",IF(COUNTIF('Competency Event Log'!$U$4:$U$803,$B88&amp;"|"&amp;AC$5)=0,"",SUMIF('Competency Event Log'!$U$4:$U$803,$B88&amp;"|"&amp;AC$5,'Competency Event Log'!$D$4:$D$803)))</f>
        <v/>
      </c>
      <c r="AD88" s="8" t="str">
        <f>IF($B88="","",IF(COUNTIF('Competency Event Log'!$U$4:$U$803,$B88&amp;"|"&amp;AD$5)=0,"",SUMIF('Competency Event Log'!$U$4:$U$803,$B88&amp;"|"&amp;AD$5,'Competency Event Log'!$D$4:$D$803)))</f>
        <v/>
      </c>
      <c r="AE88" s="8" t="str">
        <f>IF($B88="","",IF(COUNTIF('Competency Event Log'!$U$4:$U$803,$B88&amp;"|"&amp;AE$5)=0,"",SUMIF('Competency Event Log'!$U$4:$U$803,$B88&amp;"|"&amp;AE$5,'Competency Event Log'!$D$4:$D$803)))</f>
        <v/>
      </c>
      <c r="AF88" s="8" t="str">
        <f>IF($B88="","",IF(COUNTIF('Competency Event Log'!$U$4:$U$803,$B88&amp;"|"&amp;AF$5)=0,"",SUMIF('Competency Event Log'!$U$4:$U$803,$B88&amp;"|"&amp;AF$5,'Competency Event Log'!$D$4:$D$803)))</f>
        <v/>
      </c>
      <c r="AG88" s="8" t="str">
        <f>IF($B88="","",IF(COUNTIF('Competency Event Log'!$U$4:$U$803,$B88&amp;"|"&amp;AG$5)=0,"",SUMIF('Competency Event Log'!$U$4:$U$803,$B88&amp;"|"&amp;AG$5,'Competency Event Log'!$D$4:$D$803)))</f>
        <v/>
      </c>
      <c r="AH88" s="8" t="str">
        <f>IF($B88="","",IF(COUNTIF('Competency Event Log'!$U$4:$U$803,$B88&amp;"|"&amp;AH$5)=0,"",SUMIF('Competency Event Log'!$U$4:$U$803,$B88&amp;"|"&amp;AH$5,'Competency Event Log'!$D$4:$D$803)))</f>
        <v/>
      </c>
      <c r="AI88" s="8" t="str">
        <f>IF($B88="","",IF(COUNTIF('Competency Event Log'!$U$4:$U$803,$B88&amp;"|"&amp;AI$5)=0,"",SUMIF('Competency Event Log'!$U$4:$U$803,$B88&amp;"|"&amp;AI$5,'Competency Event Log'!$D$4:$D$803)))</f>
        <v/>
      </c>
      <c r="AJ88" s="8" t="str">
        <f>IF($B88="","",IF(COUNTIF('Competency Event Log'!$U$4:$U$803,$B88&amp;"|"&amp;AJ$5)=0,"",SUMIF('Competency Event Log'!$U$4:$U$803,$B88&amp;"|"&amp;AJ$5,'Competency Event Log'!$D$4:$D$803)))</f>
        <v/>
      </c>
      <c r="AK88" s="8" t="str">
        <f>IF($B88="","",IF(COUNTIF('Competency Event Log'!$U$4:$U$803,$B88&amp;"|"&amp;AK$5)=0,"",SUMIF('Competency Event Log'!$U$4:$U$803,$B88&amp;"|"&amp;AK$5,'Competency Event Log'!$D$4:$D$803)))</f>
        <v/>
      </c>
      <c r="AL88" s="8" t="str">
        <f>IF($B88="","",IF(COUNTIF('Competency Event Log'!$U$4:$U$803,$B88&amp;"|"&amp;AL$5)=0,"",SUMIF('Competency Event Log'!$U$4:$U$803,$B88&amp;"|"&amp;AL$5,'Competency Event Log'!$D$4:$D$803)))</f>
        <v/>
      </c>
      <c r="AM88" s="8" t="str">
        <f>IF($B88="","",IF(COUNTIF('Competency Event Log'!$U$4:$U$803,$B88&amp;"|"&amp;AM$5)=0,"",SUMIF('Competency Event Log'!$U$4:$U$803,$B88&amp;"|"&amp;AM$5,'Competency Event Log'!$D$4:$D$803)))</f>
        <v/>
      </c>
      <c r="AN88" s="8" t="str">
        <f>IF($B88="","",IF(COUNTIF('Competency Event Log'!$U$4:$U$803,$B88&amp;"|"&amp;AN$5)=0,"",SUMIF('Competency Event Log'!$U$4:$U$803,$B88&amp;"|"&amp;AN$5,'Competency Event Log'!$D$4:$D$803)))</f>
        <v/>
      </c>
      <c r="AO88" s="8" t="str">
        <f>IF($B88="","",IF(COUNTIF('Competency Event Log'!$U$4:$U$803,$B88&amp;"|"&amp;AO$5)=0,"",SUMIF('Competency Event Log'!$U$4:$U$803,$B88&amp;"|"&amp;AO$5,'Competency Event Log'!$D$4:$D$803)))</f>
        <v/>
      </c>
      <c r="AP88" s="8" t="str">
        <f>IF($B88="","",IF(COUNTIF('Competency Event Log'!$U$4:$U$803,$B88&amp;"|"&amp;AP$5)=0,"",SUMIF('Competency Event Log'!$U$4:$U$803,$B88&amp;"|"&amp;AP$5,'Competency Event Log'!$D$4:$D$803)))</f>
        <v/>
      </c>
      <c r="AQ88" s="8" t="str">
        <f>IF($B88="","",IF(COUNTIF('Competency Event Log'!$U$4:$U$803,$B88&amp;"|"&amp;AQ$5)=0,"",SUMIF('Competency Event Log'!$U$4:$U$803,$B88&amp;"|"&amp;AQ$5,'Competency Event Log'!$D$4:$D$803)))</f>
        <v/>
      </c>
      <c r="AR88" s="8" t="str">
        <f>IF($B88="","",IF(COUNTIF('Competency Event Log'!$U$4:$U$803,$B88&amp;"|"&amp;AR$5)=0,"",SUMIF('Competency Event Log'!$U$4:$U$803,$B88&amp;"|"&amp;AR$5,'Competency Event Log'!$D$4:$D$803)))</f>
        <v/>
      </c>
      <c r="AS88" s="8" t="str">
        <f>IF($B88="","",IF(COUNTIF('Competency Event Log'!$U$4:$U$803,$B88&amp;"|"&amp;AS$5)=0,"",SUMIF('Competency Event Log'!$U$4:$U$803,$B88&amp;"|"&amp;AS$5,'Competency Event Log'!$D$4:$D$803)))</f>
        <v/>
      </c>
      <c r="AT88" s="8" t="str">
        <f>IF($B88="","",IF(COUNTIF('Competency Event Log'!$U$4:$U$803,$B88&amp;"|"&amp;AT$5)=0,"",SUMIF('Competency Event Log'!$U$4:$U$803,$B88&amp;"|"&amp;AT$5,'Competency Event Log'!$D$4:$D$803)))</f>
        <v/>
      </c>
      <c r="AU88" s="8" t="str">
        <f>IF($B88="","",IF(COUNTIF('Competency Event Log'!$U$4:$U$803,$B88&amp;"|"&amp;AU$5)=0,"",SUMIF('Competency Event Log'!$U$4:$U$803,$B88&amp;"|"&amp;AU$5,'Competency Event Log'!$D$4:$D$803)))</f>
        <v/>
      </c>
      <c r="AV88" s="8" t="str">
        <f>IF($B88="","",IF(COUNTIF('Competency Event Log'!$U$4:$U$803,$B88&amp;"|"&amp;AV$5)=0,"",SUMIF('Competency Event Log'!$U$4:$U$803,$B88&amp;"|"&amp;AV$5,'Competency Event Log'!$D$4:$D$803)))</f>
        <v/>
      </c>
      <c r="AW88" s="8" t="str">
        <f>IF($B88="","",IF(COUNTIF('Competency Event Log'!$U$4:$U$803,$B88&amp;"|"&amp;AW$5)=0,"",SUMIF('Competency Event Log'!$U$4:$U$803,$B88&amp;"|"&amp;AW$5,'Competency Event Log'!$D$4:$D$803)))</f>
        <v/>
      </c>
      <c r="AX88" s="8" t="str">
        <f>IF($B88="","",IF(COUNTIF('Competency Event Log'!$U$4:$U$803,$B88&amp;"|"&amp;AX$5)=0,"",SUMIF('Competency Event Log'!$U$4:$U$803,$B88&amp;"|"&amp;AX$5,'Competency Event Log'!$D$4:$D$803)))</f>
        <v/>
      </c>
      <c r="AY88" s="8" t="str">
        <f>IF($B88="","",IF(COUNTIF('Competency Event Log'!$U$4:$U$803,$B88&amp;"|"&amp;AY$5)=0,"",SUMIF('Competency Event Log'!$U$4:$U$803,$B88&amp;"|"&amp;AY$5,'Competency Event Log'!$D$4:$D$803)))</f>
        <v/>
      </c>
      <c r="AZ88" s="8" t="str">
        <f>IF($B88="","",IF(COUNTIF('Competency Event Log'!$U$4:$U$803,$B88&amp;"|"&amp;AZ$5)=0,"",SUMIF('Competency Event Log'!$U$4:$U$803,$B88&amp;"|"&amp;AZ$5,'Competency Event Log'!$D$4:$D$803)))</f>
        <v/>
      </c>
      <c r="BA88" s="8" t="str">
        <f>IF($B88="","",IF(COUNTIF('Competency Event Log'!$U$4:$U$803,$B88&amp;"|"&amp;BA$5)=0,"",SUMIF('Competency Event Log'!$U$4:$U$803,$B88&amp;"|"&amp;BA$5,'Competency Event Log'!$D$4:$D$803)))</f>
        <v/>
      </c>
      <c r="BB88" s="8" t="str">
        <f>IF($B88="","",IF(COUNTIF('Competency Event Log'!$U$4:$U$803,$B88&amp;"|"&amp;BB$5)=0,"",SUMIF('Competency Event Log'!$U$4:$U$803,$B88&amp;"|"&amp;BB$5,'Competency Event Log'!$D$4:$D$803)))</f>
        <v/>
      </c>
      <c r="BC88" s="8" t="str">
        <f>IF($B88="","",IF(COUNTIF('Competency Event Log'!$U$4:$U$803,$B88&amp;"|"&amp;BC$5)=0,"",SUMIF('Competency Event Log'!$U$4:$U$803,$B88&amp;"|"&amp;BC$5,'Competency Event Log'!$D$4:$D$803)))</f>
        <v/>
      </c>
      <c r="BD88" s="8" t="str">
        <f>IF($B88="","",IF(COUNTIF('Competency Event Log'!$U$4:$U$803,$B88&amp;"|"&amp;BD$5)=0,"",SUMIF('Competency Event Log'!$U$4:$U$803,$B88&amp;"|"&amp;BD$5,'Competency Event Log'!$D$4:$D$803)))</f>
        <v/>
      </c>
      <c r="BE88" s="8" t="str">
        <f>IF($B88="","",IF(COUNTIF('Competency Event Log'!$U$4:$U$803,$B88&amp;"|"&amp;BE$5)=0,"",SUMIF('Competency Event Log'!$U$4:$U$803,$B88&amp;"|"&amp;BE$5,'Competency Event Log'!$D$4:$D$803)))</f>
        <v/>
      </c>
      <c r="BF88" s="8" t="str">
        <f>IF($B88="","",IF(COUNTIF('Competency Event Log'!$U$4:$U$803,$B88&amp;"|"&amp;BF$5)=0,"",SUMIF('Competency Event Log'!$U$4:$U$803,$B88&amp;"|"&amp;BF$5,'Competency Event Log'!$D$4:$D$803)))</f>
        <v/>
      </c>
      <c r="BG88" s="8" t="str">
        <f>IF($B88="","",IF(COUNTIF('Competency Event Log'!$U$4:$U$803,$B88&amp;"|"&amp;BG$5)=0,"",SUMIF('Competency Event Log'!$U$4:$U$803,$B88&amp;"|"&amp;BG$5,'Competency Event Log'!$D$4:$D$803)))</f>
        <v/>
      </c>
      <c r="BH88" s="8" t="str">
        <f>IF($B88="","",IF(COUNTIF('Competency Event Log'!$U$4:$U$803,$B88&amp;"|"&amp;BH$5)=0,"",SUMIF('Competency Event Log'!$U$4:$U$803,$B88&amp;"|"&amp;BH$5,'Competency Event Log'!$D$4:$D$803)))</f>
        <v/>
      </c>
      <c r="BI88" s="8" t="str">
        <f>IF($B88="","",IF(COUNTIF('Competency Event Log'!$U$4:$U$803,$B88&amp;"|"&amp;BI$5)=0,"",SUMIF('Competency Event Log'!$U$4:$U$803,$B88&amp;"|"&amp;BI$5,'Competency Event Log'!$D$4:$D$803)))</f>
        <v/>
      </c>
      <c r="BJ88" s="8" t="str">
        <f>IF($B88="","",IF(COUNTIF('Competency Event Log'!$U$4:$U$803,$B88&amp;"|"&amp;BJ$5)=0,"",SUMIF('Competency Event Log'!$U$4:$U$803,$B88&amp;"|"&amp;BJ$5,'Competency Event Log'!$D$4:$D$803)))</f>
        <v/>
      </c>
      <c r="BK88" s="8" t="str">
        <f>IF($B88="","",IF(COUNTIF('Competency Event Log'!$U$4:$U$803,$B88&amp;"|"&amp;BK$5)=0,"",SUMIF('Competency Event Log'!$U$4:$U$803,$B88&amp;"|"&amp;BK$5,'Competency Event Log'!$D$4:$D$803)))</f>
        <v/>
      </c>
      <c r="BL88" s="8" t="str">
        <f>IF($B88="","",IF(COUNTIF('Competency Event Log'!$U$4:$U$803,$B88&amp;"|"&amp;BL$5)=0,"",SUMIF('Competency Event Log'!$U$4:$U$803,$B88&amp;"|"&amp;BL$5,'Competency Event Log'!$D$4:$D$803)))</f>
        <v/>
      </c>
      <c r="BM88" s="8" t="str">
        <f>IF($B88="","",IF(COUNTIF('Competency Event Log'!$U$4:$U$803,$B88&amp;"|"&amp;BM$5)=0,"",SUMIF('Competency Event Log'!$U$4:$U$803,$B88&amp;"|"&amp;BM$5,'Competency Event Log'!$D$4:$D$803)))</f>
        <v/>
      </c>
      <c r="BN88" s="8" t="str">
        <f>IF($B88="","",IF(COUNTIF('Competency Event Log'!$U$4:$U$803,$B88&amp;"|"&amp;BN$5)=0,"",SUMIF('Competency Event Log'!$U$4:$U$803,$B88&amp;"|"&amp;BN$5,'Competency Event Log'!$D$4:$D$803)))</f>
        <v/>
      </c>
      <c r="BO88" s="8" t="str">
        <f>IF($B88="","",IF(COUNTIF('Competency Event Log'!$U$4:$U$803,$B88&amp;"|"&amp;BO$5)=0,"",SUMIF('Competency Event Log'!$U$4:$U$803,$B88&amp;"|"&amp;BO$5,'Competency Event Log'!$D$4:$D$803)))</f>
        <v/>
      </c>
      <c r="BP88" s="8" t="str">
        <f>IF($B88="","",IF(COUNTIF('Competency Event Log'!$U$4:$U$803,$B88&amp;"|"&amp;BP$5)=0,"",SUMIF('Competency Event Log'!$U$4:$U$803,$B88&amp;"|"&amp;BP$5,'Competency Event Log'!$D$4:$D$803)))</f>
        <v/>
      </c>
      <c r="BQ88" s="8" t="str">
        <f>IF($B88="","",IF(COUNTIF('Competency Event Log'!$U$4:$U$803,$B88&amp;"|"&amp;BQ$5)=0,"",SUMIF('Competency Event Log'!$U$4:$U$803,$B88&amp;"|"&amp;BQ$5,'Competency Event Log'!$D$4:$D$803)))</f>
        <v/>
      </c>
      <c r="BR88" s="8" t="str">
        <f>IF($B88="","",IF(COUNTIF('Competency Event Log'!$U$4:$U$803,$B88&amp;"|"&amp;BR$5)=0,"",SUMIF('Competency Event Log'!$U$4:$U$803,$B88&amp;"|"&amp;BR$5,'Competency Event Log'!$D$4:$D$803)))</f>
        <v/>
      </c>
      <c r="BS88" s="8" t="str">
        <f>IF($B88="","",IF(COUNTIF('Competency Event Log'!$U$4:$U$803,$B88&amp;"|"&amp;BS$5)=0,"",SUMIF('Competency Event Log'!$U$4:$U$803,$B88&amp;"|"&amp;BS$5,'Competency Event Log'!$D$4:$D$803)))</f>
        <v/>
      </c>
      <c r="BT88" s="8" t="str">
        <f>IF($B88="","",IF(COUNTIF('Competency Event Log'!$U$4:$U$803,$B88&amp;"|"&amp;BT$5)=0,"",SUMIF('Competency Event Log'!$U$4:$U$803,$B88&amp;"|"&amp;BT$5,'Competency Event Log'!$D$4:$D$803)))</f>
        <v/>
      </c>
      <c r="BU88" s="8" t="str">
        <f>IF($B88="","",IF(COUNTIF('Competency Event Log'!$U$4:$U$803,$B88&amp;"|"&amp;BU$5)=0,"",SUMIF('Competency Event Log'!$U$4:$U$803,$B88&amp;"|"&amp;BU$5,'Competency Event Log'!$D$4:$D$803)))</f>
        <v/>
      </c>
      <c r="BV88" s="8" t="str">
        <f>IF($B88="","",IF(COUNTIF('Competency Event Log'!$U$4:$U$803,$B88&amp;"|"&amp;BV$5)=0,"",SUMIF('Competency Event Log'!$U$4:$U$803,$B88&amp;"|"&amp;BV$5,'Competency Event Log'!$D$4:$D$803)))</f>
        <v/>
      </c>
      <c r="BW88" s="8" t="str">
        <f>IF($B88="","",IF(COUNTIF('Competency Event Log'!$U$4:$U$803,$B88&amp;"|"&amp;BW$5)=0,"",SUMIF('Competency Event Log'!$U$4:$U$803,$B88&amp;"|"&amp;BW$5,'Competency Event Log'!$D$4:$D$803)))</f>
        <v/>
      </c>
      <c r="BX88" s="8" t="str">
        <f>IF($B88="","",IF(COUNTIF('Competency Event Log'!$U$4:$U$803,$B88&amp;"|"&amp;BX$5)=0,"",SUMIF('Competency Event Log'!$U$4:$U$803,$B88&amp;"|"&amp;BX$5,'Competency Event Log'!$D$4:$D$803)))</f>
        <v/>
      </c>
      <c r="BY88" s="8" t="str">
        <f>IF($B88="","",IF(COUNTIF('Competency Event Log'!$U$4:$U$803,$B88&amp;"|"&amp;BY$5)=0,"",SUMIF('Competency Event Log'!$U$4:$U$803,$B88&amp;"|"&amp;BY$5,'Competency Event Log'!$D$4:$D$803)))</f>
        <v/>
      </c>
      <c r="BZ88" s="8" t="str">
        <f>IF($B88="","",IF(COUNTIF('Competency Event Log'!$U$4:$U$803,$B88&amp;"|"&amp;BZ$5)=0,"",SUMIF('Competency Event Log'!$U$4:$U$803,$B88&amp;"|"&amp;BZ$5,'Competency Event Log'!$D$4:$D$803)))</f>
        <v/>
      </c>
      <c r="CA88" s="8" t="str">
        <f>IF($B88="","",IF(COUNTIF('Competency Event Log'!$U$4:$U$803,$B88&amp;"|"&amp;CA$5)=0,"",SUMIF('Competency Event Log'!$U$4:$U$803,$B88&amp;"|"&amp;CA$5,'Competency Event Log'!$D$4:$D$803)))</f>
        <v/>
      </c>
      <c r="CB88" s="8" t="str">
        <f>IF($B88="","",IF(COUNTIF('Competency Event Log'!$U$4:$U$803,$B88&amp;"|"&amp;CB$5)=0,"",SUMIF('Competency Event Log'!$U$4:$U$803,$B88&amp;"|"&amp;CB$5,'Competency Event Log'!$D$4:$D$803)))</f>
        <v/>
      </c>
      <c r="CC88" s="8" t="str">
        <f>IF($B88="","",IF(COUNTIF('Competency Event Log'!$U$4:$U$803,$B88&amp;"|"&amp;CC$5)=0,"",SUMIF('Competency Event Log'!$U$4:$U$803,$B88&amp;"|"&amp;CC$5,'Competency Event Log'!$D$4:$D$803)))</f>
        <v/>
      </c>
      <c r="CD88" s="8" t="str">
        <f>IF($B88="","",IF(COUNTIF('Competency Event Log'!$U$4:$U$803,$B88&amp;"|"&amp;CD$5)=0,"",SUMIF('Competency Event Log'!$U$4:$U$803,$B88&amp;"|"&amp;CD$5,'Competency Event Log'!$D$4:$D$803)))</f>
        <v/>
      </c>
      <c r="CE88" s="8" t="str">
        <f>IF($B88="","",IF(COUNTIF('Competency Event Log'!$U$4:$U$803,$B88&amp;"|"&amp;CE$5)=0,"",SUMIF('Competency Event Log'!$U$4:$U$803,$B88&amp;"|"&amp;CE$5,'Competency Event Log'!$D$4:$D$803)))</f>
        <v/>
      </c>
      <c r="CF88" s="8" t="str">
        <f>IF($B88="","",IF(COUNTIF('Competency Event Log'!$U$4:$U$803,$B88&amp;"|"&amp;CF$5)=0,"",SUMIF('Competency Event Log'!$U$4:$U$803,$B88&amp;"|"&amp;CF$5,'Competency Event Log'!$D$4:$D$803)))</f>
        <v/>
      </c>
      <c r="CG88" s="8" t="str">
        <f>IF($B88="","",IF(COUNTIF('Competency Event Log'!$U$4:$U$803,$B88&amp;"|"&amp;CG$5)=0,"",SUMIF('Competency Event Log'!$U$4:$U$803,$B88&amp;"|"&amp;CG$5,'Competency Event Log'!$D$4:$D$803)))</f>
        <v/>
      </c>
      <c r="CH88" s="8" t="str">
        <f>IF($B88="","",IF(COUNTIF('Competency Event Log'!$U$4:$U$803,$B88&amp;"|"&amp;CH$5)=0,"",SUMIF('Competency Event Log'!$U$4:$U$803,$B88&amp;"|"&amp;CH$5,'Competency Event Log'!$D$4:$D$803)))</f>
        <v/>
      </c>
      <c r="CI88" s="8" t="str">
        <f>IF($B88="","",IF(COUNTIF('Competency Event Log'!$U$4:$U$803,$B88&amp;"|"&amp;CI$5)=0,"",SUMIF('Competency Event Log'!$U$4:$U$803,$B88&amp;"|"&amp;CI$5,'Competency Event Log'!$D$4:$D$803)))</f>
        <v/>
      </c>
      <c r="CJ88" s="8" t="str">
        <f>IF($B88="","",IF(COUNTIF('Competency Event Log'!$U$4:$U$803,$B88&amp;"|"&amp;CJ$5)=0,"",SUMIF('Competency Event Log'!$U$4:$U$803,$B88&amp;"|"&amp;CJ$5,'Competency Event Log'!$D$4:$D$803)))</f>
        <v/>
      </c>
      <c r="CK88" s="8" t="str">
        <f>IF($B88="","",IF(COUNTIF('Competency Event Log'!$U$4:$U$803,$B88&amp;"|"&amp;CK$5)=0,"",SUMIF('Competency Event Log'!$U$4:$U$803,$B88&amp;"|"&amp;CK$5,'Competency Event Log'!$D$4:$D$803)))</f>
        <v/>
      </c>
      <c r="CL88" s="8" t="str">
        <f>IF($B88="","",IF(COUNTIF('Competency Event Log'!$U$4:$U$803,$B88&amp;"|"&amp;CL$5)=0,"",SUMIF('Competency Event Log'!$U$4:$U$803,$B88&amp;"|"&amp;CL$5,'Competency Event Log'!$D$4:$D$803)))</f>
        <v/>
      </c>
      <c r="CM88" s="8" t="str">
        <f>IF($B88="","",IF(COUNTIF('Competency Event Log'!$U$4:$U$803,$B88&amp;"|"&amp;CM$5)=0,"",SUMIF('Competency Event Log'!$U$4:$U$803,$B88&amp;"|"&amp;CM$5,'Competency Event Log'!$D$4:$D$803)))</f>
        <v/>
      </c>
      <c r="CN88" s="8" t="str">
        <f>IF($B88="","",IF(COUNTIF('Competency Event Log'!$U$4:$U$803,$B88&amp;"|"&amp;CN$5)=0,"",SUMIF('Competency Event Log'!$U$4:$U$803,$B88&amp;"|"&amp;CN$5,'Competency Event Log'!$D$4:$D$803)))</f>
        <v/>
      </c>
      <c r="CO88" s="8" t="str">
        <f>IF($B88="","",IF(COUNTIF('Competency Event Log'!$U$4:$U$803,$B88&amp;"|"&amp;CO$5)=0,"",SUMIF('Competency Event Log'!$U$4:$U$803,$B88&amp;"|"&amp;CO$5,'Competency Event Log'!$D$4:$D$803)))</f>
        <v/>
      </c>
      <c r="CP88" s="8" t="str">
        <f>IF($B88="","",IF(COUNTIF('Competency Event Log'!$U$4:$U$803,$B88&amp;"|"&amp;CP$5)=0,"",SUMIF('Competency Event Log'!$U$4:$U$803,$B88&amp;"|"&amp;CP$5,'Competency Event Log'!$D$4:$D$803)))</f>
        <v/>
      </c>
      <c r="CQ88" s="8" t="str">
        <f>IF($B88="","",IF(COUNTIF('Competency Event Log'!$U$4:$U$803,$B88&amp;"|"&amp;CQ$5)=0,"",SUMIF('Competency Event Log'!$U$4:$U$803,$B88&amp;"|"&amp;CQ$5,'Competency Event Log'!$D$4:$D$803)))</f>
        <v/>
      </c>
      <c r="CR88" s="8" t="str">
        <f>IF($B88="","",IF(COUNTIF('Competency Event Log'!$U$4:$U$803,$B88&amp;"|"&amp;CR$5)=0,"",SUMIF('Competency Event Log'!$U$4:$U$803,$B88&amp;"|"&amp;CR$5,'Competency Event Log'!$D$4:$D$803)))</f>
        <v/>
      </c>
      <c r="CS88" s="8" t="str">
        <f>IF($B88="","",IF(COUNTIF('Competency Event Log'!$U$4:$U$803,$B88&amp;"|"&amp;CS$5)=0,"",SUMIF('Competency Event Log'!$U$4:$U$803,$B88&amp;"|"&amp;CS$5,'Competency Event Log'!$D$4:$D$803)))</f>
        <v/>
      </c>
      <c r="CT88" s="8" t="str">
        <f>IF($B88="","",IF(COUNTIF('Competency Event Log'!$U$4:$U$803,$B88&amp;"|"&amp;CT$5)=0,"",SUMIF('Competency Event Log'!$U$4:$U$803,$B88&amp;"|"&amp;CT$5,'Competency Event Log'!$D$4:$D$803)))</f>
        <v/>
      </c>
      <c r="CU88" s="8" t="str">
        <f>IF($B88="","",IF(COUNTIF('Competency Event Log'!$U$4:$U$803,$B88&amp;"|"&amp;CU$5)=0,"",SUMIF('Competency Event Log'!$U$4:$U$803,$B88&amp;"|"&amp;CU$5,'Competency Event Log'!$D$4:$D$803)))</f>
        <v/>
      </c>
      <c r="CV88" s="8" t="str">
        <f>IF($B88="","",IF(COUNTIF('Competency Event Log'!$U$4:$U$803,$B88&amp;"|"&amp;CV$5)=0,"",SUMIF('Competency Event Log'!$U$4:$U$803,$B88&amp;"|"&amp;CV$5,'Competency Event Log'!$D$4:$D$803)))</f>
        <v/>
      </c>
      <c r="CW88" s="8" t="str">
        <f>IF($B88="","",IF(COUNTIF('Competency Event Log'!$U$4:$U$803,$B88&amp;"|"&amp;CW$5)=0,"",SUMIF('Competency Event Log'!$U$4:$U$803,$B88&amp;"|"&amp;CW$5,'Competency Event Log'!$D$4:$D$803)))</f>
        <v/>
      </c>
      <c r="CX88" s="8" t="str">
        <f>IF($B88="","",IF(COUNTIF('Competency Event Log'!$U$4:$U$803,$B88&amp;"|"&amp;CX$5)=0,"",SUMIF('Competency Event Log'!$U$4:$U$803,$B88&amp;"|"&amp;CX$5,'Competency Event Log'!$D$4:$D$803)))</f>
        <v/>
      </c>
      <c r="CY88" s="8" t="str">
        <f>IF($B88="","",IF(COUNTIF('Competency Event Log'!$U$4:$U$803,$B88&amp;"|"&amp;CY$5)=0,"",SUMIF('Competency Event Log'!$U$4:$U$803,$B88&amp;"|"&amp;CY$5,'Competency Event Log'!$D$4:$D$803)))</f>
        <v/>
      </c>
      <c r="CZ88" s="8" t="str">
        <f>IF($B88="","",IF(COUNTIF('Competency Event Log'!$U$4:$U$803,$B88&amp;"|"&amp;CZ$5)=0,"",SUMIF('Competency Event Log'!$U$4:$U$803,$B88&amp;"|"&amp;CZ$5,'Competency Event Log'!$D$4:$D$803)))</f>
        <v/>
      </c>
      <c r="DA88" s="8" t="str">
        <f>IF($B88="","",IF(COUNTIF('Competency Event Log'!$U$4:$U$803,$B88&amp;"|"&amp;DA$5)=0,"",SUMIF('Competency Event Log'!$U$4:$U$803,$B88&amp;"|"&amp;DA$5,'Competency Event Log'!$D$4:$D$803)))</f>
        <v/>
      </c>
      <c r="DB88" s="8" t="str">
        <f>IF($B88="","",IF(COUNTIF('Competency Event Log'!$U$4:$U$803,$B88&amp;"|"&amp;DB$5)=0,"",SUMIF('Competency Event Log'!$U$4:$U$803,$B88&amp;"|"&amp;DB$5,'Competency Event Log'!$D$4:$D$803)))</f>
        <v/>
      </c>
      <c r="DC88" s="8" t="str">
        <f>IF($B88="","",IF(COUNTIF('Competency Event Log'!$U$4:$U$803,$B88&amp;"|"&amp;DC$5)=0,"",SUMIF('Competency Event Log'!$U$4:$U$803,$B88&amp;"|"&amp;DC$5,'Competency Event Log'!$D$4:$D$803)))</f>
        <v/>
      </c>
      <c r="DD88" s="8" t="str">
        <f>IF($B88="","",IF(COUNTIF('Competency Event Log'!$U$4:$U$803,$B88&amp;"|"&amp;DD$5)=0,"",SUMIF('Competency Event Log'!$U$4:$U$803,$B88&amp;"|"&amp;DD$5,'Competency Event Log'!$D$4:$D$803)))</f>
        <v/>
      </c>
      <c r="DE88" s="8" t="str">
        <f>IF($B88="","",IF(COUNTIF('Competency Event Log'!$U$4:$U$803,$B88&amp;"|"&amp;DE$5)=0,"",SUMIF('Competency Event Log'!$U$4:$U$803,$B88&amp;"|"&amp;DE$5,'Competency Event Log'!$D$4:$D$803)))</f>
        <v/>
      </c>
      <c r="DF88" s="8" t="str">
        <f t="shared" si="8"/>
        <v/>
      </c>
      <c r="DG88" s="8" t="str">
        <f t="shared" si="9"/>
        <v/>
      </c>
      <c r="DH88" s="8" t="str">
        <f t="shared" si="10"/>
        <v/>
      </c>
      <c r="DI88" s="11" t="str">
        <f t="shared" si="11"/>
        <v/>
      </c>
    </row>
    <row r="89" spans="1:113">
      <c r="A89" s="7"/>
      <c r="B89" s="7"/>
      <c r="C89" s="8"/>
      <c r="D89" s="9"/>
      <c r="E89" s="10"/>
      <c r="F89" s="8"/>
      <c r="G89" s="8" t="str">
        <f>IF($B89="","",IF(COUNTIF('Competency Event Log'!$U$4:$U$803,$B89&amp;"|"&amp;G$5)=0,"",SUMIF('Competency Event Log'!$U$4:$U$803,$B89&amp;"|"&amp;G$5,'Competency Event Log'!$D$4:$D$803)))</f>
        <v/>
      </c>
      <c r="H89" s="8" t="str">
        <f>IF($B89="","",IF(COUNTIF('Competency Event Log'!$U$4:$U$803,$B89&amp;"|"&amp;H$5)=0,"",SUMIF('Competency Event Log'!$U$4:$U$803,$B89&amp;"|"&amp;H$5,'Competency Event Log'!$D$4:$D$803)))</f>
        <v/>
      </c>
      <c r="I89" s="8" t="str">
        <f>IF($B89="","",IF(COUNTIF('Competency Event Log'!$U$4:$U$803,$B89&amp;"|"&amp;I$5)=0,"",SUMIF('Competency Event Log'!$U$4:$U$803,$B89&amp;"|"&amp;I$5,'Competency Event Log'!$D$4:$D$803)))</f>
        <v/>
      </c>
      <c r="J89" s="8" t="str">
        <f>IF($B89="","",IF(COUNTIF('Competency Event Log'!$U$4:$U$803,$B89&amp;"|"&amp;J$5)=0,"",SUMIF('Competency Event Log'!$U$4:$U$803,$B89&amp;"|"&amp;J$5,'Competency Event Log'!$D$4:$D$803)))</f>
        <v/>
      </c>
      <c r="K89" s="8" t="str">
        <f>IF($B89="","",IF(COUNTIF('Competency Event Log'!$U$4:$U$803,$B89&amp;"|"&amp;K$5)=0,"",SUMIF('Competency Event Log'!$U$4:$U$803,$B89&amp;"|"&amp;K$5,'Competency Event Log'!$D$4:$D$803)))</f>
        <v/>
      </c>
      <c r="L89" s="8" t="str">
        <f>IF($B89="","",IF(COUNTIF('Competency Event Log'!$U$4:$U$803,$B89&amp;"|"&amp;L$5)=0,"",SUMIF('Competency Event Log'!$U$4:$U$803,$B89&amp;"|"&amp;L$5,'Competency Event Log'!$D$4:$D$803)))</f>
        <v/>
      </c>
      <c r="M89" s="8" t="str">
        <f>IF($B89="","",IF(COUNTIF('Competency Event Log'!$U$4:$U$803,$B89&amp;"|"&amp;M$5)=0,"",SUMIF('Competency Event Log'!$U$4:$U$803,$B89&amp;"|"&amp;M$5,'Competency Event Log'!$D$4:$D$803)))</f>
        <v/>
      </c>
      <c r="N89" s="8" t="str">
        <f>IF($B89="","",IF(COUNTIF('Competency Event Log'!$U$4:$U$803,$B89&amp;"|"&amp;N$5)=0,"",SUMIF('Competency Event Log'!$U$4:$U$803,$B89&amp;"|"&amp;N$5,'Competency Event Log'!$D$4:$D$803)))</f>
        <v/>
      </c>
      <c r="O89" s="8" t="str">
        <f>IF($B89="","",IF(COUNTIF('Competency Event Log'!$U$4:$U$803,$B89&amp;"|"&amp;O$5)=0,"",SUMIF('Competency Event Log'!$U$4:$U$803,$B89&amp;"|"&amp;O$5,'Competency Event Log'!$D$4:$D$803)))</f>
        <v/>
      </c>
      <c r="P89" s="8" t="str">
        <f>IF($B89="","",IF(COUNTIF('Competency Event Log'!$U$4:$U$803,$B89&amp;"|"&amp;P$5)=0,"",SUMIF('Competency Event Log'!$U$4:$U$803,$B89&amp;"|"&amp;P$5,'Competency Event Log'!$D$4:$D$803)))</f>
        <v/>
      </c>
      <c r="Q89" s="8" t="str">
        <f>IF($B89="","",IF(COUNTIF('Competency Event Log'!$U$4:$U$803,$B89&amp;"|"&amp;Q$5)=0,"",SUMIF('Competency Event Log'!$U$4:$U$803,$B89&amp;"|"&amp;Q$5,'Competency Event Log'!$D$4:$D$803)))</f>
        <v/>
      </c>
      <c r="R89" s="8" t="str">
        <f>IF($B89="","",IF(COUNTIF('Competency Event Log'!$U$4:$U$803,$B89&amp;"|"&amp;R$5)=0,"",SUMIF('Competency Event Log'!$U$4:$U$803,$B89&amp;"|"&amp;R$5,'Competency Event Log'!$D$4:$D$803)))</f>
        <v/>
      </c>
      <c r="S89" s="8" t="str">
        <f>IF($B89="","",IF(COUNTIF('Competency Event Log'!$U$4:$U$803,$B89&amp;"|"&amp;S$5)=0,"",SUMIF('Competency Event Log'!$U$4:$U$803,$B89&amp;"|"&amp;S$5,'Competency Event Log'!$D$4:$D$803)))</f>
        <v/>
      </c>
      <c r="T89" s="8" t="str">
        <f>IF($B89="","",IF(COUNTIF('Competency Event Log'!$U$4:$U$803,$B89&amp;"|"&amp;T$5)=0,"",SUMIF('Competency Event Log'!$U$4:$U$803,$B89&amp;"|"&amp;T$5,'Competency Event Log'!$D$4:$D$803)))</f>
        <v/>
      </c>
      <c r="U89" s="8" t="str">
        <f>IF($B89="","",IF(COUNTIF('Competency Event Log'!$U$4:$U$803,$B89&amp;"|"&amp;U$5)=0,"",SUMIF('Competency Event Log'!$U$4:$U$803,$B89&amp;"|"&amp;U$5,'Competency Event Log'!$D$4:$D$803)))</f>
        <v/>
      </c>
      <c r="V89" s="8" t="str">
        <f>IF($B89="","",IF(COUNTIF('Competency Event Log'!$U$4:$U$803,$B89&amp;"|"&amp;V$5)=0,"",SUMIF('Competency Event Log'!$U$4:$U$803,$B89&amp;"|"&amp;V$5,'Competency Event Log'!$D$4:$D$803)))</f>
        <v/>
      </c>
      <c r="W89" s="8" t="str">
        <f>IF($B89="","",IF(COUNTIF('Competency Event Log'!$U$4:$U$803,$B89&amp;"|"&amp;W$5)=0,"",SUMIF('Competency Event Log'!$U$4:$U$803,$B89&amp;"|"&amp;W$5,'Competency Event Log'!$D$4:$D$803)))</f>
        <v/>
      </c>
      <c r="X89" s="8" t="str">
        <f>IF($B89="","",IF(COUNTIF('Competency Event Log'!$U$4:$U$803,$B89&amp;"|"&amp;X$5)=0,"",SUMIF('Competency Event Log'!$U$4:$U$803,$B89&amp;"|"&amp;X$5,'Competency Event Log'!$D$4:$D$803)))</f>
        <v/>
      </c>
      <c r="Y89" s="8" t="str">
        <f>IF($B89="","",IF(COUNTIF('Competency Event Log'!$U$4:$U$803,$B89&amp;"|"&amp;Y$5)=0,"",SUMIF('Competency Event Log'!$U$4:$U$803,$B89&amp;"|"&amp;Y$5,'Competency Event Log'!$D$4:$D$803)))</f>
        <v/>
      </c>
      <c r="Z89" s="8" t="str">
        <f>IF($B89="","",IF(COUNTIF('Competency Event Log'!$U$4:$U$803,$B89&amp;"|"&amp;Z$5)=0,"",SUMIF('Competency Event Log'!$U$4:$U$803,$B89&amp;"|"&amp;Z$5,'Competency Event Log'!$D$4:$D$803)))</f>
        <v/>
      </c>
      <c r="AA89" s="8" t="str">
        <f>IF($B89="","",IF(COUNTIF('Competency Event Log'!$U$4:$U$803,$B89&amp;"|"&amp;AA$5)=0,"",SUMIF('Competency Event Log'!$U$4:$U$803,$B89&amp;"|"&amp;AA$5,'Competency Event Log'!$D$4:$D$803)))</f>
        <v/>
      </c>
      <c r="AB89" s="8" t="str">
        <f>IF($B89="","",IF(COUNTIF('Competency Event Log'!$U$4:$U$803,$B89&amp;"|"&amp;AB$5)=0,"",SUMIF('Competency Event Log'!$U$4:$U$803,$B89&amp;"|"&amp;AB$5,'Competency Event Log'!$D$4:$D$803)))</f>
        <v/>
      </c>
      <c r="AC89" s="8" t="str">
        <f>IF($B89="","",IF(COUNTIF('Competency Event Log'!$U$4:$U$803,$B89&amp;"|"&amp;AC$5)=0,"",SUMIF('Competency Event Log'!$U$4:$U$803,$B89&amp;"|"&amp;AC$5,'Competency Event Log'!$D$4:$D$803)))</f>
        <v/>
      </c>
      <c r="AD89" s="8" t="str">
        <f>IF($B89="","",IF(COUNTIF('Competency Event Log'!$U$4:$U$803,$B89&amp;"|"&amp;AD$5)=0,"",SUMIF('Competency Event Log'!$U$4:$U$803,$B89&amp;"|"&amp;AD$5,'Competency Event Log'!$D$4:$D$803)))</f>
        <v/>
      </c>
      <c r="AE89" s="8" t="str">
        <f>IF($B89="","",IF(COUNTIF('Competency Event Log'!$U$4:$U$803,$B89&amp;"|"&amp;AE$5)=0,"",SUMIF('Competency Event Log'!$U$4:$U$803,$B89&amp;"|"&amp;AE$5,'Competency Event Log'!$D$4:$D$803)))</f>
        <v/>
      </c>
      <c r="AF89" s="8" t="str">
        <f>IF($B89="","",IF(COUNTIF('Competency Event Log'!$U$4:$U$803,$B89&amp;"|"&amp;AF$5)=0,"",SUMIF('Competency Event Log'!$U$4:$U$803,$B89&amp;"|"&amp;AF$5,'Competency Event Log'!$D$4:$D$803)))</f>
        <v/>
      </c>
      <c r="AG89" s="8" t="str">
        <f>IF($B89="","",IF(COUNTIF('Competency Event Log'!$U$4:$U$803,$B89&amp;"|"&amp;AG$5)=0,"",SUMIF('Competency Event Log'!$U$4:$U$803,$B89&amp;"|"&amp;AG$5,'Competency Event Log'!$D$4:$D$803)))</f>
        <v/>
      </c>
      <c r="AH89" s="8" t="str">
        <f>IF($B89="","",IF(COUNTIF('Competency Event Log'!$U$4:$U$803,$B89&amp;"|"&amp;AH$5)=0,"",SUMIF('Competency Event Log'!$U$4:$U$803,$B89&amp;"|"&amp;AH$5,'Competency Event Log'!$D$4:$D$803)))</f>
        <v/>
      </c>
      <c r="AI89" s="8" t="str">
        <f>IF($B89="","",IF(COUNTIF('Competency Event Log'!$U$4:$U$803,$B89&amp;"|"&amp;AI$5)=0,"",SUMIF('Competency Event Log'!$U$4:$U$803,$B89&amp;"|"&amp;AI$5,'Competency Event Log'!$D$4:$D$803)))</f>
        <v/>
      </c>
      <c r="AJ89" s="8" t="str">
        <f>IF($B89="","",IF(COUNTIF('Competency Event Log'!$U$4:$U$803,$B89&amp;"|"&amp;AJ$5)=0,"",SUMIF('Competency Event Log'!$U$4:$U$803,$B89&amp;"|"&amp;AJ$5,'Competency Event Log'!$D$4:$D$803)))</f>
        <v/>
      </c>
      <c r="AK89" s="8" t="str">
        <f>IF($B89="","",IF(COUNTIF('Competency Event Log'!$U$4:$U$803,$B89&amp;"|"&amp;AK$5)=0,"",SUMIF('Competency Event Log'!$U$4:$U$803,$B89&amp;"|"&amp;AK$5,'Competency Event Log'!$D$4:$D$803)))</f>
        <v/>
      </c>
      <c r="AL89" s="8" t="str">
        <f>IF($B89="","",IF(COUNTIF('Competency Event Log'!$U$4:$U$803,$B89&amp;"|"&amp;AL$5)=0,"",SUMIF('Competency Event Log'!$U$4:$U$803,$B89&amp;"|"&amp;AL$5,'Competency Event Log'!$D$4:$D$803)))</f>
        <v/>
      </c>
      <c r="AM89" s="8" t="str">
        <f>IF($B89="","",IF(COUNTIF('Competency Event Log'!$U$4:$U$803,$B89&amp;"|"&amp;AM$5)=0,"",SUMIF('Competency Event Log'!$U$4:$U$803,$B89&amp;"|"&amp;AM$5,'Competency Event Log'!$D$4:$D$803)))</f>
        <v/>
      </c>
      <c r="AN89" s="8" t="str">
        <f>IF($B89="","",IF(COUNTIF('Competency Event Log'!$U$4:$U$803,$B89&amp;"|"&amp;AN$5)=0,"",SUMIF('Competency Event Log'!$U$4:$U$803,$B89&amp;"|"&amp;AN$5,'Competency Event Log'!$D$4:$D$803)))</f>
        <v/>
      </c>
      <c r="AO89" s="8" t="str">
        <f>IF($B89="","",IF(COUNTIF('Competency Event Log'!$U$4:$U$803,$B89&amp;"|"&amp;AO$5)=0,"",SUMIF('Competency Event Log'!$U$4:$U$803,$B89&amp;"|"&amp;AO$5,'Competency Event Log'!$D$4:$D$803)))</f>
        <v/>
      </c>
      <c r="AP89" s="8" t="str">
        <f>IF($B89="","",IF(COUNTIF('Competency Event Log'!$U$4:$U$803,$B89&amp;"|"&amp;AP$5)=0,"",SUMIF('Competency Event Log'!$U$4:$U$803,$B89&amp;"|"&amp;AP$5,'Competency Event Log'!$D$4:$D$803)))</f>
        <v/>
      </c>
      <c r="AQ89" s="8" t="str">
        <f>IF($B89="","",IF(COUNTIF('Competency Event Log'!$U$4:$U$803,$B89&amp;"|"&amp;AQ$5)=0,"",SUMIF('Competency Event Log'!$U$4:$U$803,$B89&amp;"|"&amp;AQ$5,'Competency Event Log'!$D$4:$D$803)))</f>
        <v/>
      </c>
      <c r="AR89" s="8" t="str">
        <f>IF($B89="","",IF(COUNTIF('Competency Event Log'!$U$4:$U$803,$B89&amp;"|"&amp;AR$5)=0,"",SUMIF('Competency Event Log'!$U$4:$U$803,$B89&amp;"|"&amp;AR$5,'Competency Event Log'!$D$4:$D$803)))</f>
        <v/>
      </c>
      <c r="AS89" s="8" t="str">
        <f>IF($B89="","",IF(COUNTIF('Competency Event Log'!$U$4:$U$803,$B89&amp;"|"&amp;AS$5)=0,"",SUMIF('Competency Event Log'!$U$4:$U$803,$B89&amp;"|"&amp;AS$5,'Competency Event Log'!$D$4:$D$803)))</f>
        <v/>
      </c>
      <c r="AT89" s="8" t="str">
        <f>IF($B89="","",IF(COUNTIF('Competency Event Log'!$U$4:$U$803,$B89&amp;"|"&amp;AT$5)=0,"",SUMIF('Competency Event Log'!$U$4:$U$803,$B89&amp;"|"&amp;AT$5,'Competency Event Log'!$D$4:$D$803)))</f>
        <v/>
      </c>
      <c r="AU89" s="8" t="str">
        <f>IF($B89="","",IF(COUNTIF('Competency Event Log'!$U$4:$U$803,$B89&amp;"|"&amp;AU$5)=0,"",SUMIF('Competency Event Log'!$U$4:$U$803,$B89&amp;"|"&amp;AU$5,'Competency Event Log'!$D$4:$D$803)))</f>
        <v/>
      </c>
      <c r="AV89" s="8" t="str">
        <f>IF($B89="","",IF(COUNTIF('Competency Event Log'!$U$4:$U$803,$B89&amp;"|"&amp;AV$5)=0,"",SUMIF('Competency Event Log'!$U$4:$U$803,$B89&amp;"|"&amp;AV$5,'Competency Event Log'!$D$4:$D$803)))</f>
        <v/>
      </c>
      <c r="AW89" s="8" t="str">
        <f>IF($B89="","",IF(COUNTIF('Competency Event Log'!$U$4:$U$803,$B89&amp;"|"&amp;AW$5)=0,"",SUMIF('Competency Event Log'!$U$4:$U$803,$B89&amp;"|"&amp;AW$5,'Competency Event Log'!$D$4:$D$803)))</f>
        <v/>
      </c>
      <c r="AX89" s="8" t="str">
        <f>IF($B89="","",IF(COUNTIF('Competency Event Log'!$U$4:$U$803,$B89&amp;"|"&amp;AX$5)=0,"",SUMIF('Competency Event Log'!$U$4:$U$803,$B89&amp;"|"&amp;AX$5,'Competency Event Log'!$D$4:$D$803)))</f>
        <v/>
      </c>
      <c r="AY89" s="8" t="str">
        <f>IF($B89="","",IF(COUNTIF('Competency Event Log'!$U$4:$U$803,$B89&amp;"|"&amp;AY$5)=0,"",SUMIF('Competency Event Log'!$U$4:$U$803,$B89&amp;"|"&amp;AY$5,'Competency Event Log'!$D$4:$D$803)))</f>
        <v/>
      </c>
      <c r="AZ89" s="8" t="str">
        <f>IF($B89="","",IF(COUNTIF('Competency Event Log'!$U$4:$U$803,$B89&amp;"|"&amp;AZ$5)=0,"",SUMIF('Competency Event Log'!$U$4:$U$803,$B89&amp;"|"&amp;AZ$5,'Competency Event Log'!$D$4:$D$803)))</f>
        <v/>
      </c>
      <c r="BA89" s="8" t="str">
        <f>IF($B89="","",IF(COUNTIF('Competency Event Log'!$U$4:$U$803,$B89&amp;"|"&amp;BA$5)=0,"",SUMIF('Competency Event Log'!$U$4:$U$803,$B89&amp;"|"&amp;BA$5,'Competency Event Log'!$D$4:$D$803)))</f>
        <v/>
      </c>
      <c r="BB89" s="8" t="str">
        <f>IF($B89="","",IF(COUNTIF('Competency Event Log'!$U$4:$U$803,$B89&amp;"|"&amp;BB$5)=0,"",SUMIF('Competency Event Log'!$U$4:$U$803,$B89&amp;"|"&amp;BB$5,'Competency Event Log'!$D$4:$D$803)))</f>
        <v/>
      </c>
      <c r="BC89" s="8" t="str">
        <f>IF($B89="","",IF(COUNTIF('Competency Event Log'!$U$4:$U$803,$B89&amp;"|"&amp;BC$5)=0,"",SUMIF('Competency Event Log'!$U$4:$U$803,$B89&amp;"|"&amp;BC$5,'Competency Event Log'!$D$4:$D$803)))</f>
        <v/>
      </c>
      <c r="BD89" s="8" t="str">
        <f>IF($B89="","",IF(COUNTIF('Competency Event Log'!$U$4:$U$803,$B89&amp;"|"&amp;BD$5)=0,"",SUMIF('Competency Event Log'!$U$4:$U$803,$B89&amp;"|"&amp;BD$5,'Competency Event Log'!$D$4:$D$803)))</f>
        <v/>
      </c>
      <c r="BE89" s="8" t="str">
        <f>IF($B89="","",IF(COUNTIF('Competency Event Log'!$U$4:$U$803,$B89&amp;"|"&amp;BE$5)=0,"",SUMIF('Competency Event Log'!$U$4:$U$803,$B89&amp;"|"&amp;BE$5,'Competency Event Log'!$D$4:$D$803)))</f>
        <v/>
      </c>
      <c r="BF89" s="8" t="str">
        <f>IF($B89="","",IF(COUNTIF('Competency Event Log'!$U$4:$U$803,$B89&amp;"|"&amp;BF$5)=0,"",SUMIF('Competency Event Log'!$U$4:$U$803,$B89&amp;"|"&amp;BF$5,'Competency Event Log'!$D$4:$D$803)))</f>
        <v/>
      </c>
      <c r="BG89" s="8" t="str">
        <f>IF($B89="","",IF(COUNTIF('Competency Event Log'!$U$4:$U$803,$B89&amp;"|"&amp;BG$5)=0,"",SUMIF('Competency Event Log'!$U$4:$U$803,$B89&amp;"|"&amp;BG$5,'Competency Event Log'!$D$4:$D$803)))</f>
        <v/>
      </c>
      <c r="BH89" s="8" t="str">
        <f>IF($B89="","",IF(COUNTIF('Competency Event Log'!$U$4:$U$803,$B89&amp;"|"&amp;BH$5)=0,"",SUMIF('Competency Event Log'!$U$4:$U$803,$B89&amp;"|"&amp;BH$5,'Competency Event Log'!$D$4:$D$803)))</f>
        <v/>
      </c>
      <c r="BI89" s="8" t="str">
        <f>IF($B89="","",IF(COUNTIF('Competency Event Log'!$U$4:$U$803,$B89&amp;"|"&amp;BI$5)=0,"",SUMIF('Competency Event Log'!$U$4:$U$803,$B89&amp;"|"&amp;BI$5,'Competency Event Log'!$D$4:$D$803)))</f>
        <v/>
      </c>
      <c r="BJ89" s="8" t="str">
        <f>IF($B89="","",IF(COUNTIF('Competency Event Log'!$U$4:$U$803,$B89&amp;"|"&amp;BJ$5)=0,"",SUMIF('Competency Event Log'!$U$4:$U$803,$B89&amp;"|"&amp;BJ$5,'Competency Event Log'!$D$4:$D$803)))</f>
        <v/>
      </c>
      <c r="BK89" s="8" t="str">
        <f>IF($B89="","",IF(COUNTIF('Competency Event Log'!$U$4:$U$803,$B89&amp;"|"&amp;BK$5)=0,"",SUMIF('Competency Event Log'!$U$4:$U$803,$B89&amp;"|"&amp;BK$5,'Competency Event Log'!$D$4:$D$803)))</f>
        <v/>
      </c>
      <c r="BL89" s="8" t="str">
        <f>IF($B89="","",IF(COUNTIF('Competency Event Log'!$U$4:$U$803,$B89&amp;"|"&amp;BL$5)=0,"",SUMIF('Competency Event Log'!$U$4:$U$803,$B89&amp;"|"&amp;BL$5,'Competency Event Log'!$D$4:$D$803)))</f>
        <v/>
      </c>
      <c r="BM89" s="8" t="str">
        <f>IF($B89="","",IF(COUNTIF('Competency Event Log'!$U$4:$U$803,$B89&amp;"|"&amp;BM$5)=0,"",SUMIF('Competency Event Log'!$U$4:$U$803,$B89&amp;"|"&amp;BM$5,'Competency Event Log'!$D$4:$D$803)))</f>
        <v/>
      </c>
      <c r="BN89" s="8" t="str">
        <f>IF($B89="","",IF(COUNTIF('Competency Event Log'!$U$4:$U$803,$B89&amp;"|"&amp;BN$5)=0,"",SUMIF('Competency Event Log'!$U$4:$U$803,$B89&amp;"|"&amp;BN$5,'Competency Event Log'!$D$4:$D$803)))</f>
        <v/>
      </c>
      <c r="BO89" s="8" t="str">
        <f>IF($B89="","",IF(COUNTIF('Competency Event Log'!$U$4:$U$803,$B89&amp;"|"&amp;BO$5)=0,"",SUMIF('Competency Event Log'!$U$4:$U$803,$B89&amp;"|"&amp;BO$5,'Competency Event Log'!$D$4:$D$803)))</f>
        <v/>
      </c>
      <c r="BP89" s="8" t="str">
        <f>IF($B89="","",IF(COUNTIF('Competency Event Log'!$U$4:$U$803,$B89&amp;"|"&amp;BP$5)=0,"",SUMIF('Competency Event Log'!$U$4:$U$803,$B89&amp;"|"&amp;BP$5,'Competency Event Log'!$D$4:$D$803)))</f>
        <v/>
      </c>
      <c r="BQ89" s="8" t="str">
        <f>IF($B89="","",IF(COUNTIF('Competency Event Log'!$U$4:$U$803,$B89&amp;"|"&amp;BQ$5)=0,"",SUMIF('Competency Event Log'!$U$4:$U$803,$B89&amp;"|"&amp;BQ$5,'Competency Event Log'!$D$4:$D$803)))</f>
        <v/>
      </c>
      <c r="BR89" s="8" t="str">
        <f>IF($B89="","",IF(COUNTIF('Competency Event Log'!$U$4:$U$803,$B89&amp;"|"&amp;BR$5)=0,"",SUMIF('Competency Event Log'!$U$4:$U$803,$B89&amp;"|"&amp;BR$5,'Competency Event Log'!$D$4:$D$803)))</f>
        <v/>
      </c>
      <c r="BS89" s="8" t="str">
        <f>IF($B89="","",IF(COUNTIF('Competency Event Log'!$U$4:$U$803,$B89&amp;"|"&amp;BS$5)=0,"",SUMIF('Competency Event Log'!$U$4:$U$803,$B89&amp;"|"&amp;BS$5,'Competency Event Log'!$D$4:$D$803)))</f>
        <v/>
      </c>
      <c r="BT89" s="8" t="str">
        <f>IF($B89="","",IF(COUNTIF('Competency Event Log'!$U$4:$U$803,$B89&amp;"|"&amp;BT$5)=0,"",SUMIF('Competency Event Log'!$U$4:$U$803,$B89&amp;"|"&amp;BT$5,'Competency Event Log'!$D$4:$D$803)))</f>
        <v/>
      </c>
      <c r="BU89" s="8" t="str">
        <f>IF($B89="","",IF(COUNTIF('Competency Event Log'!$U$4:$U$803,$B89&amp;"|"&amp;BU$5)=0,"",SUMIF('Competency Event Log'!$U$4:$U$803,$B89&amp;"|"&amp;BU$5,'Competency Event Log'!$D$4:$D$803)))</f>
        <v/>
      </c>
      <c r="BV89" s="8" t="str">
        <f>IF($B89="","",IF(COUNTIF('Competency Event Log'!$U$4:$U$803,$B89&amp;"|"&amp;BV$5)=0,"",SUMIF('Competency Event Log'!$U$4:$U$803,$B89&amp;"|"&amp;BV$5,'Competency Event Log'!$D$4:$D$803)))</f>
        <v/>
      </c>
      <c r="BW89" s="8" t="str">
        <f>IF($B89="","",IF(COUNTIF('Competency Event Log'!$U$4:$U$803,$B89&amp;"|"&amp;BW$5)=0,"",SUMIF('Competency Event Log'!$U$4:$U$803,$B89&amp;"|"&amp;BW$5,'Competency Event Log'!$D$4:$D$803)))</f>
        <v/>
      </c>
      <c r="BX89" s="8" t="str">
        <f>IF($B89="","",IF(COUNTIF('Competency Event Log'!$U$4:$U$803,$B89&amp;"|"&amp;BX$5)=0,"",SUMIF('Competency Event Log'!$U$4:$U$803,$B89&amp;"|"&amp;BX$5,'Competency Event Log'!$D$4:$D$803)))</f>
        <v/>
      </c>
      <c r="BY89" s="8" t="str">
        <f>IF($B89="","",IF(COUNTIF('Competency Event Log'!$U$4:$U$803,$B89&amp;"|"&amp;BY$5)=0,"",SUMIF('Competency Event Log'!$U$4:$U$803,$B89&amp;"|"&amp;BY$5,'Competency Event Log'!$D$4:$D$803)))</f>
        <v/>
      </c>
      <c r="BZ89" s="8" t="str">
        <f>IF($B89="","",IF(COUNTIF('Competency Event Log'!$U$4:$U$803,$B89&amp;"|"&amp;BZ$5)=0,"",SUMIF('Competency Event Log'!$U$4:$U$803,$B89&amp;"|"&amp;BZ$5,'Competency Event Log'!$D$4:$D$803)))</f>
        <v/>
      </c>
      <c r="CA89" s="8" t="str">
        <f>IF($B89="","",IF(COUNTIF('Competency Event Log'!$U$4:$U$803,$B89&amp;"|"&amp;CA$5)=0,"",SUMIF('Competency Event Log'!$U$4:$U$803,$B89&amp;"|"&amp;CA$5,'Competency Event Log'!$D$4:$D$803)))</f>
        <v/>
      </c>
      <c r="CB89" s="8" t="str">
        <f>IF($B89="","",IF(COUNTIF('Competency Event Log'!$U$4:$U$803,$B89&amp;"|"&amp;CB$5)=0,"",SUMIF('Competency Event Log'!$U$4:$U$803,$B89&amp;"|"&amp;CB$5,'Competency Event Log'!$D$4:$D$803)))</f>
        <v/>
      </c>
      <c r="CC89" s="8" t="str">
        <f>IF($B89="","",IF(COUNTIF('Competency Event Log'!$U$4:$U$803,$B89&amp;"|"&amp;CC$5)=0,"",SUMIF('Competency Event Log'!$U$4:$U$803,$B89&amp;"|"&amp;CC$5,'Competency Event Log'!$D$4:$D$803)))</f>
        <v/>
      </c>
      <c r="CD89" s="8" t="str">
        <f>IF($B89="","",IF(COUNTIF('Competency Event Log'!$U$4:$U$803,$B89&amp;"|"&amp;CD$5)=0,"",SUMIF('Competency Event Log'!$U$4:$U$803,$B89&amp;"|"&amp;CD$5,'Competency Event Log'!$D$4:$D$803)))</f>
        <v/>
      </c>
      <c r="CE89" s="8" t="str">
        <f>IF($B89="","",IF(COUNTIF('Competency Event Log'!$U$4:$U$803,$B89&amp;"|"&amp;CE$5)=0,"",SUMIF('Competency Event Log'!$U$4:$U$803,$B89&amp;"|"&amp;CE$5,'Competency Event Log'!$D$4:$D$803)))</f>
        <v/>
      </c>
      <c r="CF89" s="8" t="str">
        <f>IF($B89="","",IF(COUNTIF('Competency Event Log'!$U$4:$U$803,$B89&amp;"|"&amp;CF$5)=0,"",SUMIF('Competency Event Log'!$U$4:$U$803,$B89&amp;"|"&amp;CF$5,'Competency Event Log'!$D$4:$D$803)))</f>
        <v/>
      </c>
      <c r="CG89" s="8" t="str">
        <f>IF($B89="","",IF(COUNTIF('Competency Event Log'!$U$4:$U$803,$B89&amp;"|"&amp;CG$5)=0,"",SUMIF('Competency Event Log'!$U$4:$U$803,$B89&amp;"|"&amp;CG$5,'Competency Event Log'!$D$4:$D$803)))</f>
        <v/>
      </c>
      <c r="CH89" s="8" t="str">
        <f>IF($B89="","",IF(COUNTIF('Competency Event Log'!$U$4:$U$803,$B89&amp;"|"&amp;CH$5)=0,"",SUMIF('Competency Event Log'!$U$4:$U$803,$B89&amp;"|"&amp;CH$5,'Competency Event Log'!$D$4:$D$803)))</f>
        <v/>
      </c>
      <c r="CI89" s="8" t="str">
        <f>IF($B89="","",IF(COUNTIF('Competency Event Log'!$U$4:$U$803,$B89&amp;"|"&amp;CI$5)=0,"",SUMIF('Competency Event Log'!$U$4:$U$803,$B89&amp;"|"&amp;CI$5,'Competency Event Log'!$D$4:$D$803)))</f>
        <v/>
      </c>
      <c r="CJ89" s="8" t="str">
        <f>IF($B89="","",IF(COUNTIF('Competency Event Log'!$U$4:$U$803,$B89&amp;"|"&amp;CJ$5)=0,"",SUMIF('Competency Event Log'!$U$4:$U$803,$B89&amp;"|"&amp;CJ$5,'Competency Event Log'!$D$4:$D$803)))</f>
        <v/>
      </c>
      <c r="CK89" s="8" t="str">
        <f>IF($B89="","",IF(COUNTIF('Competency Event Log'!$U$4:$U$803,$B89&amp;"|"&amp;CK$5)=0,"",SUMIF('Competency Event Log'!$U$4:$U$803,$B89&amp;"|"&amp;CK$5,'Competency Event Log'!$D$4:$D$803)))</f>
        <v/>
      </c>
      <c r="CL89" s="8" t="str">
        <f>IF($B89="","",IF(COUNTIF('Competency Event Log'!$U$4:$U$803,$B89&amp;"|"&amp;CL$5)=0,"",SUMIF('Competency Event Log'!$U$4:$U$803,$B89&amp;"|"&amp;CL$5,'Competency Event Log'!$D$4:$D$803)))</f>
        <v/>
      </c>
      <c r="CM89" s="8" t="str">
        <f>IF($B89="","",IF(COUNTIF('Competency Event Log'!$U$4:$U$803,$B89&amp;"|"&amp;CM$5)=0,"",SUMIF('Competency Event Log'!$U$4:$U$803,$B89&amp;"|"&amp;CM$5,'Competency Event Log'!$D$4:$D$803)))</f>
        <v/>
      </c>
      <c r="CN89" s="8" t="str">
        <f>IF($B89="","",IF(COUNTIF('Competency Event Log'!$U$4:$U$803,$B89&amp;"|"&amp;CN$5)=0,"",SUMIF('Competency Event Log'!$U$4:$U$803,$B89&amp;"|"&amp;CN$5,'Competency Event Log'!$D$4:$D$803)))</f>
        <v/>
      </c>
      <c r="CO89" s="8" t="str">
        <f>IF($B89="","",IF(COUNTIF('Competency Event Log'!$U$4:$U$803,$B89&amp;"|"&amp;CO$5)=0,"",SUMIF('Competency Event Log'!$U$4:$U$803,$B89&amp;"|"&amp;CO$5,'Competency Event Log'!$D$4:$D$803)))</f>
        <v/>
      </c>
      <c r="CP89" s="8" t="str">
        <f>IF($B89="","",IF(COUNTIF('Competency Event Log'!$U$4:$U$803,$B89&amp;"|"&amp;CP$5)=0,"",SUMIF('Competency Event Log'!$U$4:$U$803,$B89&amp;"|"&amp;CP$5,'Competency Event Log'!$D$4:$D$803)))</f>
        <v/>
      </c>
      <c r="CQ89" s="8" t="str">
        <f>IF($B89="","",IF(COUNTIF('Competency Event Log'!$U$4:$U$803,$B89&amp;"|"&amp;CQ$5)=0,"",SUMIF('Competency Event Log'!$U$4:$U$803,$B89&amp;"|"&amp;CQ$5,'Competency Event Log'!$D$4:$D$803)))</f>
        <v/>
      </c>
      <c r="CR89" s="8" t="str">
        <f>IF($B89="","",IF(COUNTIF('Competency Event Log'!$U$4:$U$803,$B89&amp;"|"&amp;CR$5)=0,"",SUMIF('Competency Event Log'!$U$4:$U$803,$B89&amp;"|"&amp;CR$5,'Competency Event Log'!$D$4:$D$803)))</f>
        <v/>
      </c>
      <c r="CS89" s="8" t="str">
        <f>IF($B89="","",IF(COUNTIF('Competency Event Log'!$U$4:$U$803,$B89&amp;"|"&amp;CS$5)=0,"",SUMIF('Competency Event Log'!$U$4:$U$803,$B89&amp;"|"&amp;CS$5,'Competency Event Log'!$D$4:$D$803)))</f>
        <v/>
      </c>
      <c r="CT89" s="8" t="str">
        <f>IF($B89="","",IF(COUNTIF('Competency Event Log'!$U$4:$U$803,$B89&amp;"|"&amp;CT$5)=0,"",SUMIF('Competency Event Log'!$U$4:$U$803,$B89&amp;"|"&amp;CT$5,'Competency Event Log'!$D$4:$D$803)))</f>
        <v/>
      </c>
      <c r="CU89" s="8" t="str">
        <f>IF($B89="","",IF(COUNTIF('Competency Event Log'!$U$4:$U$803,$B89&amp;"|"&amp;CU$5)=0,"",SUMIF('Competency Event Log'!$U$4:$U$803,$B89&amp;"|"&amp;CU$5,'Competency Event Log'!$D$4:$D$803)))</f>
        <v/>
      </c>
      <c r="CV89" s="8" t="str">
        <f>IF($B89="","",IF(COUNTIF('Competency Event Log'!$U$4:$U$803,$B89&amp;"|"&amp;CV$5)=0,"",SUMIF('Competency Event Log'!$U$4:$U$803,$B89&amp;"|"&amp;CV$5,'Competency Event Log'!$D$4:$D$803)))</f>
        <v/>
      </c>
      <c r="CW89" s="8" t="str">
        <f>IF($B89="","",IF(COUNTIF('Competency Event Log'!$U$4:$U$803,$B89&amp;"|"&amp;CW$5)=0,"",SUMIF('Competency Event Log'!$U$4:$U$803,$B89&amp;"|"&amp;CW$5,'Competency Event Log'!$D$4:$D$803)))</f>
        <v/>
      </c>
      <c r="CX89" s="8" t="str">
        <f>IF($B89="","",IF(COUNTIF('Competency Event Log'!$U$4:$U$803,$B89&amp;"|"&amp;CX$5)=0,"",SUMIF('Competency Event Log'!$U$4:$U$803,$B89&amp;"|"&amp;CX$5,'Competency Event Log'!$D$4:$D$803)))</f>
        <v/>
      </c>
      <c r="CY89" s="8" t="str">
        <f>IF($B89="","",IF(COUNTIF('Competency Event Log'!$U$4:$U$803,$B89&amp;"|"&amp;CY$5)=0,"",SUMIF('Competency Event Log'!$U$4:$U$803,$B89&amp;"|"&amp;CY$5,'Competency Event Log'!$D$4:$D$803)))</f>
        <v/>
      </c>
      <c r="CZ89" s="8" t="str">
        <f>IF($B89="","",IF(COUNTIF('Competency Event Log'!$U$4:$U$803,$B89&amp;"|"&amp;CZ$5)=0,"",SUMIF('Competency Event Log'!$U$4:$U$803,$B89&amp;"|"&amp;CZ$5,'Competency Event Log'!$D$4:$D$803)))</f>
        <v/>
      </c>
      <c r="DA89" s="8" t="str">
        <f>IF($B89="","",IF(COUNTIF('Competency Event Log'!$U$4:$U$803,$B89&amp;"|"&amp;DA$5)=0,"",SUMIF('Competency Event Log'!$U$4:$U$803,$B89&amp;"|"&amp;DA$5,'Competency Event Log'!$D$4:$D$803)))</f>
        <v/>
      </c>
      <c r="DB89" s="8" t="str">
        <f>IF($B89="","",IF(COUNTIF('Competency Event Log'!$U$4:$U$803,$B89&amp;"|"&amp;DB$5)=0,"",SUMIF('Competency Event Log'!$U$4:$U$803,$B89&amp;"|"&amp;DB$5,'Competency Event Log'!$D$4:$D$803)))</f>
        <v/>
      </c>
      <c r="DC89" s="8" t="str">
        <f>IF($B89="","",IF(COUNTIF('Competency Event Log'!$U$4:$U$803,$B89&amp;"|"&amp;DC$5)=0,"",SUMIF('Competency Event Log'!$U$4:$U$803,$B89&amp;"|"&amp;DC$5,'Competency Event Log'!$D$4:$D$803)))</f>
        <v/>
      </c>
      <c r="DD89" s="8" t="str">
        <f>IF($B89="","",IF(COUNTIF('Competency Event Log'!$U$4:$U$803,$B89&amp;"|"&amp;DD$5)=0,"",SUMIF('Competency Event Log'!$U$4:$U$803,$B89&amp;"|"&amp;DD$5,'Competency Event Log'!$D$4:$D$803)))</f>
        <v/>
      </c>
      <c r="DE89" s="8" t="str">
        <f>IF($B89="","",IF(COUNTIF('Competency Event Log'!$U$4:$U$803,$B89&amp;"|"&amp;DE$5)=0,"",SUMIF('Competency Event Log'!$U$4:$U$803,$B89&amp;"|"&amp;DE$5,'Competency Event Log'!$D$4:$D$803)))</f>
        <v/>
      </c>
      <c r="DF89" s="8" t="str">
        <f t="shared" si="8"/>
        <v/>
      </c>
      <c r="DG89" s="8" t="str">
        <f t="shared" si="9"/>
        <v/>
      </c>
      <c r="DH89" s="8" t="str">
        <f t="shared" si="10"/>
        <v/>
      </c>
      <c r="DI89" s="11" t="str">
        <f t="shared" si="11"/>
        <v/>
      </c>
    </row>
    <row r="90" spans="1:113">
      <c r="A90" s="7"/>
      <c r="B90" s="7"/>
      <c r="C90" s="8"/>
      <c r="D90" s="9"/>
      <c r="E90" s="10"/>
      <c r="F90" s="8"/>
      <c r="G90" s="8" t="str">
        <f>IF($B90="","",IF(COUNTIF('Competency Event Log'!$U$4:$U$803,$B90&amp;"|"&amp;G$5)=0,"",SUMIF('Competency Event Log'!$U$4:$U$803,$B90&amp;"|"&amp;G$5,'Competency Event Log'!$D$4:$D$803)))</f>
        <v/>
      </c>
      <c r="H90" s="8" t="str">
        <f>IF($B90="","",IF(COUNTIF('Competency Event Log'!$U$4:$U$803,$B90&amp;"|"&amp;H$5)=0,"",SUMIF('Competency Event Log'!$U$4:$U$803,$B90&amp;"|"&amp;H$5,'Competency Event Log'!$D$4:$D$803)))</f>
        <v/>
      </c>
      <c r="I90" s="8" t="str">
        <f>IF($B90="","",IF(COUNTIF('Competency Event Log'!$U$4:$U$803,$B90&amp;"|"&amp;I$5)=0,"",SUMIF('Competency Event Log'!$U$4:$U$803,$B90&amp;"|"&amp;I$5,'Competency Event Log'!$D$4:$D$803)))</f>
        <v/>
      </c>
      <c r="J90" s="8" t="str">
        <f>IF($B90="","",IF(COUNTIF('Competency Event Log'!$U$4:$U$803,$B90&amp;"|"&amp;J$5)=0,"",SUMIF('Competency Event Log'!$U$4:$U$803,$B90&amp;"|"&amp;J$5,'Competency Event Log'!$D$4:$D$803)))</f>
        <v/>
      </c>
      <c r="K90" s="8" t="str">
        <f>IF($B90="","",IF(COUNTIF('Competency Event Log'!$U$4:$U$803,$B90&amp;"|"&amp;K$5)=0,"",SUMIF('Competency Event Log'!$U$4:$U$803,$B90&amp;"|"&amp;K$5,'Competency Event Log'!$D$4:$D$803)))</f>
        <v/>
      </c>
      <c r="L90" s="8" t="str">
        <f>IF($B90="","",IF(COUNTIF('Competency Event Log'!$U$4:$U$803,$B90&amp;"|"&amp;L$5)=0,"",SUMIF('Competency Event Log'!$U$4:$U$803,$B90&amp;"|"&amp;L$5,'Competency Event Log'!$D$4:$D$803)))</f>
        <v/>
      </c>
      <c r="M90" s="8" t="str">
        <f>IF($B90="","",IF(COUNTIF('Competency Event Log'!$U$4:$U$803,$B90&amp;"|"&amp;M$5)=0,"",SUMIF('Competency Event Log'!$U$4:$U$803,$B90&amp;"|"&amp;M$5,'Competency Event Log'!$D$4:$D$803)))</f>
        <v/>
      </c>
      <c r="N90" s="8" t="str">
        <f>IF($B90="","",IF(COUNTIF('Competency Event Log'!$U$4:$U$803,$B90&amp;"|"&amp;N$5)=0,"",SUMIF('Competency Event Log'!$U$4:$U$803,$B90&amp;"|"&amp;N$5,'Competency Event Log'!$D$4:$D$803)))</f>
        <v/>
      </c>
      <c r="O90" s="8" t="str">
        <f>IF($B90="","",IF(COUNTIF('Competency Event Log'!$U$4:$U$803,$B90&amp;"|"&amp;O$5)=0,"",SUMIF('Competency Event Log'!$U$4:$U$803,$B90&amp;"|"&amp;O$5,'Competency Event Log'!$D$4:$D$803)))</f>
        <v/>
      </c>
      <c r="P90" s="8" t="str">
        <f>IF($B90="","",IF(COUNTIF('Competency Event Log'!$U$4:$U$803,$B90&amp;"|"&amp;P$5)=0,"",SUMIF('Competency Event Log'!$U$4:$U$803,$B90&amp;"|"&amp;P$5,'Competency Event Log'!$D$4:$D$803)))</f>
        <v/>
      </c>
      <c r="Q90" s="8" t="str">
        <f>IF($B90="","",IF(COUNTIF('Competency Event Log'!$U$4:$U$803,$B90&amp;"|"&amp;Q$5)=0,"",SUMIF('Competency Event Log'!$U$4:$U$803,$B90&amp;"|"&amp;Q$5,'Competency Event Log'!$D$4:$D$803)))</f>
        <v/>
      </c>
      <c r="R90" s="8" t="str">
        <f>IF($B90="","",IF(COUNTIF('Competency Event Log'!$U$4:$U$803,$B90&amp;"|"&amp;R$5)=0,"",SUMIF('Competency Event Log'!$U$4:$U$803,$B90&amp;"|"&amp;R$5,'Competency Event Log'!$D$4:$D$803)))</f>
        <v/>
      </c>
      <c r="S90" s="8" t="str">
        <f>IF($B90="","",IF(COUNTIF('Competency Event Log'!$U$4:$U$803,$B90&amp;"|"&amp;S$5)=0,"",SUMIF('Competency Event Log'!$U$4:$U$803,$B90&amp;"|"&amp;S$5,'Competency Event Log'!$D$4:$D$803)))</f>
        <v/>
      </c>
      <c r="T90" s="8" t="str">
        <f>IF($B90="","",IF(COUNTIF('Competency Event Log'!$U$4:$U$803,$B90&amp;"|"&amp;T$5)=0,"",SUMIF('Competency Event Log'!$U$4:$U$803,$B90&amp;"|"&amp;T$5,'Competency Event Log'!$D$4:$D$803)))</f>
        <v/>
      </c>
      <c r="U90" s="8" t="str">
        <f>IF($B90="","",IF(COUNTIF('Competency Event Log'!$U$4:$U$803,$B90&amp;"|"&amp;U$5)=0,"",SUMIF('Competency Event Log'!$U$4:$U$803,$B90&amp;"|"&amp;U$5,'Competency Event Log'!$D$4:$D$803)))</f>
        <v/>
      </c>
      <c r="V90" s="8" t="str">
        <f>IF($B90="","",IF(COUNTIF('Competency Event Log'!$U$4:$U$803,$B90&amp;"|"&amp;V$5)=0,"",SUMIF('Competency Event Log'!$U$4:$U$803,$B90&amp;"|"&amp;V$5,'Competency Event Log'!$D$4:$D$803)))</f>
        <v/>
      </c>
      <c r="W90" s="8" t="str">
        <f>IF($B90="","",IF(COUNTIF('Competency Event Log'!$U$4:$U$803,$B90&amp;"|"&amp;W$5)=0,"",SUMIF('Competency Event Log'!$U$4:$U$803,$B90&amp;"|"&amp;W$5,'Competency Event Log'!$D$4:$D$803)))</f>
        <v/>
      </c>
      <c r="X90" s="8" t="str">
        <f>IF($B90="","",IF(COUNTIF('Competency Event Log'!$U$4:$U$803,$B90&amp;"|"&amp;X$5)=0,"",SUMIF('Competency Event Log'!$U$4:$U$803,$B90&amp;"|"&amp;X$5,'Competency Event Log'!$D$4:$D$803)))</f>
        <v/>
      </c>
      <c r="Y90" s="8" t="str">
        <f>IF($B90="","",IF(COUNTIF('Competency Event Log'!$U$4:$U$803,$B90&amp;"|"&amp;Y$5)=0,"",SUMIF('Competency Event Log'!$U$4:$U$803,$B90&amp;"|"&amp;Y$5,'Competency Event Log'!$D$4:$D$803)))</f>
        <v/>
      </c>
      <c r="Z90" s="8" t="str">
        <f>IF($B90="","",IF(COUNTIF('Competency Event Log'!$U$4:$U$803,$B90&amp;"|"&amp;Z$5)=0,"",SUMIF('Competency Event Log'!$U$4:$U$803,$B90&amp;"|"&amp;Z$5,'Competency Event Log'!$D$4:$D$803)))</f>
        <v/>
      </c>
      <c r="AA90" s="8" t="str">
        <f>IF($B90="","",IF(COUNTIF('Competency Event Log'!$U$4:$U$803,$B90&amp;"|"&amp;AA$5)=0,"",SUMIF('Competency Event Log'!$U$4:$U$803,$B90&amp;"|"&amp;AA$5,'Competency Event Log'!$D$4:$D$803)))</f>
        <v/>
      </c>
      <c r="AB90" s="8" t="str">
        <f>IF($B90="","",IF(COUNTIF('Competency Event Log'!$U$4:$U$803,$B90&amp;"|"&amp;AB$5)=0,"",SUMIF('Competency Event Log'!$U$4:$U$803,$B90&amp;"|"&amp;AB$5,'Competency Event Log'!$D$4:$D$803)))</f>
        <v/>
      </c>
      <c r="AC90" s="8" t="str">
        <f>IF($B90="","",IF(COUNTIF('Competency Event Log'!$U$4:$U$803,$B90&amp;"|"&amp;AC$5)=0,"",SUMIF('Competency Event Log'!$U$4:$U$803,$B90&amp;"|"&amp;AC$5,'Competency Event Log'!$D$4:$D$803)))</f>
        <v/>
      </c>
      <c r="AD90" s="8" t="str">
        <f>IF($B90="","",IF(COUNTIF('Competency Event Log'!$U$4:$U$803,$B90&amp;"|"&amp;AD$5)=0,"",SUMIF('Competency Event Log'!$U$4:$U$803,$B90&amp;"|"&amp;AD$5,'Competency Event Log'!$D$4:$D$803)))</f>
        <v/>
      </c>
      <c r="AE90" s="8" t="str">
        <f>IF($B90="","",IF(COUNTIF('Competency Event Log'!$U$4:$U$803,$B90&amp;"|"&amp;AE$5)=0,"",SUMIF('Competency Event Log'!$U$4:$U$803,$B90&amp;"|"&amp;AE$5,'Competency Event Log'!$D$4:$D$803)))</f>
        <v/>
      </c>
      <c r="AF90" s="8" t="str">
        <f>IF($B90="","",IF(COUNTIF('Competency Event Log'!$U$4:$U$803,$B90&amp;"|"&amp;AF$5)=0,"",SUMIF('Competency Event Log'!$U$4:$U$803,$B90&amp;"|"&amp;AF$5,'Competency Event Log'!$D$4:$D$803)))</f>
        <v/>
      </c>
      <c r="AG90" s="8" t="str">
        <f>IF($B90="","",IF(COUNTIF('Competency Event Log'!$U$4:$U$803,$B90&amp;"|"&amp;AG$5)=0,"",SUMIF('Competency Event Log'!$U$4:$U$803,$B90&amp;"|"&amp;AG$5,'Competency Event Log'!$D$4:$D$803)))</f>
        <v/>
      </c>
      <c r="AH90" s="8" t="str">
        <f>IF($B90="","",IF(COUNTIF('Competency Event Log'!$U$4:$U$803,$B90&amp;"|"&amp;AH$5)=0,"",SUMIF('Competency Event Log'!$U$4:$U$803,$B90&amp;"|"&amp;AH$5,'Competency Event Log'!$D$4:$D$803)))</f>
        <v/>
      </c>
      <c r="AI90" s="8" t="str">
        <f>IF($B90="","",IF(COUNTIF('Competency Event Log'!$U$4:$U$803,$B90&amp;"|"&amp;AI$5)=0,"",SUMIF('Competency Event Log'!$U$4:$U$803,$B90&amp;"|"&amp;AI$5,'Competency Event Log'!$D$4:$D$803)))</f>
        <v/>
      </c>
      <c r="AJ90" s="8" t="str">
        <f>IF($B90="","",IF(COUNTIF('Competency Event Log'!$U$4:$U$803,$B90&amp;"|"&amp;AJ$5)=0,"",SUMIF('Competency Event Log'!$U$4:$U$803,$B90&amp;"|"&amp;AJ$5,'Competency Event Log'!$D$4:$D$803)))</f>
        <v/>
      </c>
      <c r="AK90" s="8" t="str">
        <f>IF($B90="","",IF(COUNTIF('Competency Event Log'!$U$4:$U$803,$B90&amp;"|"&amp;AK$5)=0,"",SUMIF('Competency Event Log'!$U$4:$U$803,$B90&amp;"|"&amp;AK$5,'Competency Event Log'!$D$4:$D$803)))</f>
        <v/>
      </c>
      <c r="AL90" s="8" t="str">
        <f>IF($B90="","",IF(COUNTIF('Competency Event Log'!$U$4:$U$803,$B90&amp;"|"&amp;AL$5)=0,"",SUMIF('Competency Event Log'!$U$4:$U$803,$B90&amp;"|"&amp;AL$5,'Competency Event Log'!$D$4:$D$803)))</f>
        <v/>
      </c>
      <c r="AM90" s="8" t="str">
        <f>IF($B90="","",IF(COUNTIF('Competency Event Log'!$U$4:$U$803,$B90&amp;"|"&amp;AM$5)=0,"",SUMIF('Competency Event Log'!$U$4:$U$803,$B90&amp;"|"&amp;AM$5,'Competency Event Log'!$D$4:$D$803)))</f>
        <v/>
      </c>
      <c r="AN90" s="8" t="str">
        <f>IF($B90="","",IF(COUNTIF('Competency Event Log'!$U$4:$U$803,$B90&amp;"|"&amp;AN$5)=0,"",SUMIF('Competency Event Log'!$U$4:$U$803,$B90&amp;"|"&amp;AN$5,'Competency Event Log'!$D$4:$D$803)))</f>
        <v/>
      </c>
      <c r="AO90" s="8" t="str">
        <f>IF($B90="","",IF(COUNTIF('Competency Event Log'!$U$4:$U$803,$B90&amp;"|"&amp;AO$5)=0,"",SUMIF('Competency Event Log'!$U$4:$U$803,$B90&amp;"|"&amp;AO$5,'Competency Event Log'!$D$4:$D$803)))</f>
        <v/>
      </c>
      <c r="AP90" s="8" t="str">
        <f>IF($B90="","",IF(COUNTIF('Competency Event Log'!$U$4:$U$803,$B90&amp;"|"&amp;AP$5)=0,"",SUMIF('Competency Event Log'!$U$4:$U$803,$B90&amp;"|"&amp;AP$5,'Competency Event Log'!$D$4:$D$803)))</f>
        <v/>
      </c>
      <c r="AQ90" s="8" t="str">
        <f>IF($B90="","",IF(COUNTIF('Competency Event Log'!$U$4:$U$803,$B90&amp;"|"&amp;AQ$5)=0,"",SUMIF('Competency Event Log'!$U$4:$U$803,$B90&amp;"|"&amp;AQ$5,'Competency Event Log'!$D$4:$D$803)))</f>
        <v/>
      </c>
      <c r="AR90" s="8" t="str">
        <f>IF($B90="","",IF(COUNTIF('Competency Event Log'!$U$4:$U$803,$B90&amp;"|"&amp;AR$5)=0,"",SUMIF('Competency Event Log'!$U$4:$U$803,$B90&amp;"|"&amp;AR$5,'Competency Event Log'!$D$4:$D$803)))</f>
        <v/>
      </c>
      <c r="AS90" s="8" t="str">
        <f>IF($B90="","",IF(COUNTIF('Competency Event Log'!$U$4:$U$803,$B90&amp;"|"&amp;AS$5)=0,"",SUMIF('Competency Event Log'!$U$4:$U$803,$B90&amp;"|"&amp;AS$5,'Competency Event Log'!$D$4:$D$803)))</f>
        <v/>
      </c>
      <c r="AT90" s="8" t="str">
        <f>IF($B90="","",IF(COUNTIF('Competency Event Log'!$U$4:$U$803,$B90&amp;"|"&amp;AT$5)=0,"",SUMIF('Competency Event Log'!$U$4:$U$803,$B90&amp;"|"&amp;AT$5,'Competency Event Log'!$D$4:$D$803)))</f>
        <v/>
      </c>
      <c r="AU90" s="8" t="str">
        <f>IF($B90="","",IF(COUNTIF('Competency Event Log'!$U$4:$U$803,$B90&amp;"|"&amp;AU$5)=0,"",SUMIF('Competency Event Log'!$U$4:$U$803,$B90&amp;"|"&amp;AU$5,'Competency Event Log'!$D$4:$D$803)))</f>
        <v/>
      </c>
      <c r="AV90" s="8" t="str">
        <f>IF($B90="","",IF(COUNTIF('Competency Event Log'!$U$4:$U$803,$B90&amp;"|"&amp;AV$5)=0,"",SUMIF('Competency Event Log'!$U$4:$U$803,$B90&amp;"|"&amp;AV$5,'Competency Event Log'!$D$4:$D$803)))</f>
        <v/>
      </c>
      <c r="AW90" s="8" t="str">
        <f>IF($B90="","",IF(COUNTIF('Competency Event Log'!$U$4:$U$803,$B90&amp;"|"&amp;AW$5)=0,"",SUMIF('Competency Event Log'!$U$4:$U$803,$B90&amp;"|"&amp;AW$5,'Competency Event Log'!$D$4:$D$803)))</f>
        <v/>
      </c>
      <c r="AX90" s="8" t="str">
        <f>IF($B90="","",IF(COUNTIF('Competency Event Log'!$U$4:$U$803,$B90&amp;"|"&amp;AX$5)=0,"",SUMIF('Competency Event Log'!$U$4:$U$803,$B90&amp;"|"&amp;AX$5,'Competency Event Log'!$D$4:$D$803)))</f>
        <v/>
      </c>
      <c r="AY90" s="8" t="str">
        <f>IF($B90="","",IF(COUNTIF('Competency Event Log'!$U$4:$U$803,$B90&amp;"|"&amp;AY$5)=0,"",SUMIF('Competency Event Log'!$U$4:$U$803,$B90&amp;"|"&amp;AY$5,'Competency Event Log'!$D$4:$D$803)))</f>
        <v/>
      </c>
      <c r="AZ90" s="8" t="str">
        <f>IF($B90="","",IF(COUNTIF('Competency Event Log'!$U$4:$U$803,$B90&amp;"|"&amp;AZ$5)=0,"",SUMIF('Competency Event Log'!$U$4:$U$803,$B90&amp;"|"&amp;AZ$5,'Competency Event Log'!$D$4:$D$803)))</f>
        <v/>
      </c>
      <c r="BA90" s="8" t="str">
        <f>IF($B90="","",IF(COUNTIF('Competency Event Log'!$U$4:$U$803,$B90&amp;"|"&amp;BA$5)=0,"",SUMIF('Competency Event Log'!$U$4:$U$803,$B90&amp;"|"&amp;BA$5,'Competency Event Log'!$D$4:$D$803)))</f>
        <v/>
      </c>
      <c r="BB90" s="8" t="str">
        <f>IF($B90="","",IF(COUNTIF('Competency Event Log'!$U$4:$U$803,$B90&amp;"|"&amp;BB$5)=0,"",SUMIF('Competency Event Log'!$U$4:$U$803,$B90&amp;"|"&amp;BB$5,'Competency Event Log'!$D$4:$D$803)))</f>
        <v/>
      </c>
      <c r="BC90" s="8" t="str">
        <f>IF($B90="","",IF(COUNTIF('Competency Event Log'!$U$4:$U$803,$B90&amp;"|"&amp;BC$5)=0,"",SUMIF('Competency Event Log'!$U$4:$U$803,$B90&amp;"|"&amp;BC$5,'Competency Event Log'!$D$4:$D$803)))</f>
        <v/>
      </c>
      <c r="BD90" s="8" t="str">
        <f>IF($B90="","",IF(COUNTIF('Competency Event Log'!$U$4:$U$803,$B90&amp;"|"&amp;BD$5)=0,"",SUMIF('Competency Event Log'!$U$4:$U$803,$B90&amp;"|"&amp;BD$5,'Competency Event Log'!$D$4:$D$803)))</f>
        <v/>
      </c>
      <c r="BE90" s="8" t="str">
        <f>IF($B90="","",IF(COUNTIF('Competency Event Log'!$U$4:$U$803,$B90&amp;"|"&amp;BE$5)=0,"",SUMIF('Competency Event Log'!$U$4:$U$803,$B90&amp;"|"&amp;BE$5,'Competency Event Log'!$D$4:$D$803)))</f>
        <v/>
      </c>
      <c r="BF90" s="8" t="str">
        <f>IF($B90="","",IF(COUNTIF('Competency Event Log'!$U$4:$U$803,$B90&amp;"|"&amp;BF$5)=0,"",SUMIF('Competency Event Log'!$U$4:$U$803,$B90&amp;"|"&amp;BF$5,'Competency Event Log'!$D$4:$D$803)))</f>
        <v/>
      </c>
      <c r="BG90" s="8" t="str">
        <f>IF($B90="","",IF(COUNTIF('Competency Event Log'!$U$4:$U$803,$B90&amp;"|"&amp;BG$5)=0,"",SUMIF('Competency Event Log'!$U$4:$U$803,$B90&amp;"|"&amp;BG$5,'Competency Event Log'!$D$4:$D$803)))</f>
        <v/>
      </c>
      <c r="BH90" s="8" t="str">
        <f>IF($B90="","",IF(COUNTIF('Competency Event Log'!$U$4:$U$803,$B90&amp;"|"&amp;BH$5)=0,"",SUMIF('Competency Event Log'!$U$4:$U$803,$B90&amp;"|"&amp;BH$5,'Competency Event Log'!$D$4:$D$803)))</f>
        <v/>
      </c>
      <c r="BI90" s="8" t="str">
        <f>IF($B90="","",IF(COUNTIF('Competency Event Log'!$U$4:$U$803,$B90&amp;"|"&amp;BI$5)=0,"",SUMIF('Competency Event Log'!$U$4:$U$803,$B90&amp;"|"&amp;BI$5,'Competency Event Log'!$D$4:$D$803)))</f>
        <v/>
      </c>
      <c r="BJ90" s="8" t="str">
        <f>IF($B90="","",IF(COUNTIF('Competency Event Log'!$U$4:$U$803,$B90&amp;"|"&amp;BJ$5)=0,"",SUMIF('Competency Event Log'!$U$4:$U$803,$B90&amp;"|"&amp;BJ$5,'Competency Event Log'!$D$4:$D$803)))</f>
        <v/>
      </c>
      <c r="BK90" s="8" t="str">
        <f>IF($B90="","",IF(COUNTIF('Competency Event Log'!$U$4:$U$803,$B90&amp;"|"&amp;BK$5)=0,"",SUMIF('Competency Event Log'!$U$4:$U$803,$B90&amp;"|"&amp;BK$5,'Competency Event Log'!$D$4:$D$803)))</f>
        <v/>
      </c>
      <c r="BL90" s="8" t="str">
        <f>IF($B90="","",IF(COUNTIF('Competency Event Log'!$U$4:$U$803,$B90&amp;"|"&amp;BL$5)=0,"",SUMIF('Competency Event Log'!$U$4:$U$803,$B90&amp;"|"&amp;BL$5,'Competency Event Log'!$D$4:$D$803)))</f>
        <v/>
      </c>
      <c r="BM90" s="8" t="str">
        <f>IF($B90="","",IF(COUNTIF('Competency Event Log'!$U$4:$U$803,$B90&amp;"|"&amp;BM$5)=0,"",SUMIF('Competency Event Log'!$U$4:$U$803,$B90&amp;"|"&amp;BM$5,'Competency Event Log'!$D$4:$D$803)))</f>
        <v/>
      </c>
      <c r="BN90" s="8" t="str">
        <f>IF($B90="","",IF(COUNTIF('Competency Event Log'!$U$4:$U$803,$B90&amp;"|"&amp;BN$5)=0,"",SUMIF('Competency Event Log'!$U$4:$U$803,$B90&amp;"|"&amp;BN$5,'Competency Event Log'!$D$4:$D$803)))</f>
        <v/>
      </c>
      <c r="BO90" s="8" t="str">
        <f>IF($B90="","",IF(COUNTIF('Competency Event Log'!$U$4:$U$803,$B90&amp;"|"&amp;BO$5)=0,"",SUMIF('Competency Event Log'!$U$4:$U$803,$B90&amp;"|"&amp;BO$5,'Competency Event Log'!$D$4:$D$803)))</f>
        <v/>
      </c>
      <c r="BP90" s="8" t="str">
        <f>IF($B90="","",IF(COUNTIF('Competency Event Log'!$U$4:$U$803,$B90&amp;"|"&amp;BP$5)=0,"",SUMIF('Competency Event Log'!$U$4:$U$803,$B90&amp;"|"&amp;BP$5,'Competency Event Log'!$D$4:$D$803)))</f>
        <v/>
      </c>
      <c r="BQ90" s="8" t="str">
        <f>IF($B90="","",IF(COUNTIF('Competency Event Log'!$U$4:$U$803,$B90&amp;"|"&amp;BQ$5)=0,"",SUMIF('Competency Event Log'!$U$4:$U$803,$B90&amp;"|"&amp;BQ$5,'Competency Event Log'!$D$4:$D$803)))</f>
        <v/>
      </c>
      <c r="BR90" s="8" t="str">
        <f>IF($B90="","",IF(COUNTIF('Competency Event Log'!$U$4:$U$803,$B90&amp;"|"&amp;BR$5)=0,"",SUMIF('Competency Event Log'!$U$4:$U$803,$B90&amp;"|"&amp;BR$5,'Competency Event Log'!$D$4:$D$803)))</f>
        <v/>
      </c>
      <c r="BS90" s="8" t="str">
        <f>IF($B90="","",IF(COUNTIF('Competency Event Log'!$U$4:$U$803,$B90&amp;"|"&amp;BS$5)=0,"",SUMIF('Competency Event Log'!$U$4:$U$803,$B90&amp;"|"&amp;BS$5,'Competency Event Log'!$D$4:$D$803)))</f>
        <v/>
      </c>
      <c r="BT90" s="8" t="str">
        <f>IF($B90="","",IF(COUNTIF('Competency Event Log'!$U$4:$U$803,$B90&amp;"|"&amp;BT$5)=0,"",SUMIF('Competency Event Log'!$U$4:$U$803,$B90&amp;"|"&amp;BT$5,'Competency Event Log'!$D$4:$D$803)))</f>
        <v/>
      </c>
      <c r="BU90" s="8" t="str">
        <f>IF($B90="","",IF(COUNTIF('Competency Event Log'!$U$4:$U$803,$B90&amp;"|"&amp;BU$5)=0,"",SUMIF('Competency Event Log'!$U$4:$U$803,$B90&amp;"|"&amp;BU$5,'Competency Event Log'!$D$4:$D$803)))</f>
        <v/>
      </c>
      <c r="BV90" s="8" t="str">
        <f>IF($B90="","",IF(COUNTIF('Competency Event Log'!$U$4:$U$803,$B90&amp;"|"&amp;BV$5)=0,"",SUMIF('Competency Event Log'!$U$4:$U$803,$B90&amp;"|"&amp;BV$5,'Competency Event Log'!$D$4:$D$803)))</f>
        <v/>
      </c>
      <c r="BW90" s="8" t="str">
        <f>IF($B90="","",IF(COUNTIF('Competency Event Log'!$U$4:$U$803,$B90&amp;"|"&amp;BW$5)=0,"",SUMIF('Competency Event Log'!$U$4:$U$803,$B90&amp;"|"&amp;BW$5,'Competency Event Log'!$D$4:$D$803)))</f>
        <v/>
      </c>
      <c r="BX90" s="8" t="str">
        <f>IF($B90="","",IF(COUNTIF('Competency Event Log'!$U$4:$U$803,$B90&amp;"|"&amp;BX$5)=0,"",SUMIF('Competency Event Log'!$U$4:$U$803,$B90&amp;"|"&amp;BX$5,'Competency Event Log'!$D$4:$D$803)))</f>
        <v/>
      </c>
      <c r="BY90" s="8" t="str">
        <f>IF($B90="","",IF(COUNTIF('Competency Event Log'!$U$4:$U$803,$B90&amp;"|"&amp;BY$5)=0,"",SUMIF('Competency Event Log'!$U$4:$U$803,$B90&amp;"|"&amp;BY$5,'Competency Event Log'!$D$4:$D$803)))</f>
        <v/>
      </c>
      <c r="BZ90" s="8" t="str">
        <f>IF($B90="","",IF(COUNTIF('Competency Event Log'!$U$4:$U$803,$B90&amp;"|"&amp;BZ$5)=0,"",SUMIF('Competency Event Log'!$U$4:$U$803,$B90&amp;"|"&amp;BZ$5,'Competency Event Log'!$D$4:$D$803)))</f>
        <v/>
      </c>
      <c r="CA90" s="8" t="str">
        <f>IF($B90="","",IF(COUNTIF('Competency Event Log'!$U$4:$U$803,$B90&amp;"|"&amp;CA$5)=0,"",SUMIF('Competency Event Log'!$U$4:$U$803,$B90&amp;"|"&amp;CA$5,'Competency Event Log'!$D$4:$D$803)))</f>
        <v/>
      </c>
      <c r="CB90" s="8" t="str">
        <f>IF($B90="","",IF(COUNTIF('Competency Event Log'!$U$4:$U$803,$B90&amp;"|"&amp;CB$5)=0,"",SUMIF('Competency Event Log'!$U$4:$U$803,$B90&amp;"|"&amp;CB$5,'Competency Event Log'!$D$4:$D$803)))</f>
        <v/>
      </c>
      <c r="CC90" s="8" t="str">
        <f>IF($B90="","",IF(COUNTIF('Competency Event Log'!$U$4:$U$803,$B90&amp;"|"&amp;CC$5)=0,"",SUMIF('Competency Event Log'!$U$4:$U$803,$B90&amp;"|"&amp;CC$5,'Competency Event Log'!$D$4:$D$803)))</f>
        <v/>
      </c>
      <c r="CD90" s="8" t="str">
        <f>IF($B90="","",IF(COUNTIF('Competency Event Log'!$U$4:$U$803,$B90&amp;"|"&amp;CD$5)=0,"",SUMIF('Competency Event Log'!$U$4:$U$803,$B90&amp;"|"&amp;CD$5,'Competency Event Log'!$D$4:$D$803)))</f>
        <v/>
      </c>
      <c r="CE90" s="8" t="str">
        <f>IF($B90="","",IF(COUNTIF('Competency Event Log'!$U$4:$U$803,$B90&amp;"|"&amp;CE$5)=0,"",SUMIF('Competency Event Log'!$U$4:$U$803,$B90&amp;"|"&amp;CE$5,'Competency Event Log'!$D$4:$D$803)))</f>
        <v/>
      </c>
      <c r="CF90" s="8" t="str">
        <f>IF($B90="","",IF(COUNTIF('Competency Event Log'!$U$4:$U$803,$B90&amp;"|"&amp;CF$5)=0,"",SUMIF('Competency Event Log'!$U$4:$U$803,$B90&amp;"|"&amp;CF$5,'Competency Event Log'!$D$4:$D$803)))</f>
        <v/>
      </c>
      <c r="CG90" s="8" t="str">
        <f>IF($B90="","",IF(COUNTIF('Competency Event Log'!$U$4:$U$803,$B90&amp;"|"&amp;CG$5)=0,"",SUMIF('Competency Event Log'!$U$4:$U$803,$B90&amp;"|"&amp;CG$5,'Competency Event Log'!$D$4:$D$803)))</f>
        <v/>
      </c>
      <c r="CH90" s="8" t="str">
        <f>IF($B90="","",IF(COUNTIF('Competency Event Log'!$U$4:$U$803,$B90&amp;"|"&amp;CH$5)=0,"",SUMIF('Competency Event Log'!$U$4:$U$803,$B90&amp;"|"&amp;CH$5,'Competency Event Log'!$D$4:$D$803)))</f>
        <v/>
      </c>
      <c r="CI90" s="8" t="str">
        <f>IF($B90="","",IF(COUNTIF('Competency Event Log'!$U$4:$U$803,$B90&amp;"|"&amp;CI$5)=0,"",SUMIF('Competency Event Log'!$U$4:$U$803,$B90&amp;"|"&amp;CI$5,'Competency Event Log'!$D$4:$D$803)))</f>
        <v/>
      </c>
      <c r="CJ90" s="8" t="str">
        <f>IF($B90="","",IF(COUNTIF('Competency Event Log'!$U$4:$U$803,$B90&amp;"|"&amp;CJ$5)=0,"",SUMIF('Competency Event Log'!$U$4:$U$803,$B90&amp;"|"&amp;CJ$5,'Competency Event Log'!$D$4:$D$803)))</f>
        <v/>
      </c>
      <c r="CK90" s="8" t="str">
        <f>IF($B90="","",IF(COUNTIF('Competency Event Log'!$U$4:$U$803,$B90&amp;"|"&amp;CK$5)=0,"",SUMIF('Competency Event Log'!$U$4:$U$803,$B90&amp;"|"&amp;CK$5,'Competency Event Log'!$D$4:$D$803)))</f>
        <v/>
      </c>
      <c r="CL90" s="8" t="str">
        <f>IF($B90="","",IF(COUNTIF('Competency Event Log'!$U$4:$U$803,$B90&amp;"|"&amp;CL$5)=0,"",SUMIF('Competency Event Log'!$U$4:$U$803,$B90&amp;"|"&amp;CL$5,'Competency Event Log'!$D$4:$D$803)))</f>
        <v/>
      </c>
      <c r="CM90" s="8" t="str">
        <f>IF($B90="","",IF(COUNTIF('Competency Event Log'!$U$4:$U$803,$B90&amp;"|"&amp;CM$5)=0,"",SUMIF('Competency Event Log'!$U$4:$U$803,$B90&amp;"|"&amp;CM$5,'Competency Event Log'!$D$4:$D$803)))</f>
        <v/>
      </c>
      <c r="CN90" s="8" t="str">
        <f>IF($B90="","",IF(COUNTIF('Competency Event Log'!$U$4:$U$803,$B90&amp;"|"&amp;CN$5)=0,"",SUMIF('Competency Event Log'!$U$4:$U$803,$B90&amp;"|"&amp;CN$5,'Competency Event Log'!$D$4:$D$803)))</f>
        <v/>
      </c>
      <c r="CO90" s="8" t="str">
        <f>IF($B90="","",IF(COUNTIF('Competency Event Log'!$U$4:$U$803,$B90&amp;"|"&amp;CO$5)=0,"",SUMIF('Competency Event Log'!$U$4:$U$803,$B90&amp;"|"&amp;CO$5,'Competency Event Log'!$D$4:$D$803)))</f>
        <v/>
      </c>
      <c r="CP90" s="8" t="str">
        <f>IF($B90="","",IF(COUNTIF('Competency Event Log'!$U$4:$U$803,$B90&amp;"|"&amp;CP$5)=0,"",SUMIF('Competency Event Log'!$U$4:$U$803,$B90&amp;"|"&amp;CP$5,'Competency Event Log'!$D$4:$D$803)))</f>
        <v/>
      </c>
      <c r="CQ90" s="8" t="str">
        <f>IF($B90="","",IF(COUNTIF('Competency Event Log'!$U$4:$U$803,$B90&amp;"|"&amp;CQ$5)=0,"",SUMIF('Competency Event Log'!$U$4:$U$803,$B90&amp;"|"&amp;CQ$5,'Competency Event Log'!$D$4:$D$803)))</f>
        <v/>
      </c>
      <c r="CR90" s="8" t="str">
        <f>IF($B90="","",IF(COUNTIF('Competency Event Log'!$U$4:$U$803,$B90&amp;"|"&amp;CR$5)=0,"",SUMIF('Competency Event Log'!$U$4:$U$803,$B90&amp;"|"&amp;CR$5,'Competency Event Log'!$D$4:$D$803)))</f>
        <v/>
      </c>
      <c r="CS90" s="8" t="str">
        <f>IF($B90="","",IF(COUNTIF('Competency Event Log'!$U$4:$U$803,$B90&amp;"|"&amp;CS$5)=0,"",SUMIF('Competency Event Log'!$U$4:$U$803,$B90&amp;"|"&amp;CS$5,'Competency Event Log'!$D$4:$D$803)))</f>
        <v/>
      </c>
      <c r="CT90" s="8" t="str">
        <f>IF($B90="","",IF(COUNTIF('Competency Event Log'!$U$4:$U$803,$B90&amp;"|"&amp;CT$5)=0,"",SUMIF('Competency Event Log'!$U$4:$U$803,$B90&amp;"|"&amp;CT$5,'Competency Event Log'!$D$4:$D$803)))</f>
        <v/>
      </c>
      <c r="CU90" s="8" t="str">
        <f>IF($B90="","",IF(COUNTIF('Competency Event Log'!$U$4:$U$803,$B90&amp;"|"&amp;CU$5)=0,"",SUMIF('Competency Event Log'!$U$4:$U$803,$B90&amp;"|"&amp;CU$5,'Competency Event Log'!$D$4:$D$803)))</f>
        <v/>
      </c>
      <c r="CV90" s="8" t="str">
        <f>IF($B90="","",IF(COUNTIF('Competency Event Log'!$U$4:$U$803,$B90&amp;"|"&amp;CV$5)=0,"",SUMIF('Competency Event Log'!$U$4:$U$803,$B90&amp;"|"&amp;CV$5,'Competency Event Log'!$D$4:$D$803)))</f>
        <v/>
      </c>
      <c r="CW90" s="8" t="str">
        <f>IF($B90="","",IF(COUNTIF('Competency Event Log'!$U$4:$U$803,$B90&amp;"|"&amp;CW$5)=0,"",SUMIF('Competency Event Log'!$U$4:$U$803,$B90&amp;"|"&amp;CW$5,'Competency Event Log'!$D$4:$D$803)))</f>
        <v/>
      </c>
      <c r="CX90" s="8" t="str">
        <f>IF($B90="","",IF(COUNTIF('Competency Event Log'!$U$4:$U$803,$B90&amp;"|"&amp;CX$5)=0,"",SUMIF('Competency Event Log'!$U$4:$U$803,$B90&amp;"|"&amp;CX$5,'Competency Event Log'!$D$4:$D$803)))</f>
        <v/>
      </c>
      <c r="CY90" s="8" t="str">
        <f>IF($B90="","",IF(COUNTIF('Competency Event Log'!$U$4:$U$803,$B90&amp;"|"&amp;CY$5)=0,"",SUMIF('Competency Event Log'!$U$4:$U$803,$B90&amp;"|"&amp;CY$5,'Competency Event Log'!$D$4:$D$803)))</f>
        <v/>
      </c>
      <c r="CZ90" s="8" t="str">
        <f>IF($B90="","",IF(COUNTIF('Competency Event Log'!$U$4:$U$803,$B90&amp;"|"&amp;CZ$5)=0,"",SUMIF('Competency Event Log'!$U$4:$U$803,$B90&amp;"|"&amp;CZ$5,'Competency Event Log'!$D$4:$D$803)))</f>
        <v/>
      </c>
      <c r="DA90" s="8" t="str">
        <f>IF($B90="","",IF(COUNTIF('Competency Event Log'!$U$4:$U$803,$B90&amp;"|"&amp;DA$5)=0,"",SUMIF('Competency Event Log'!$U$4:$U$803,$B90&amp;"|"&amp;DA$5,'Competency Event Log'!$D$4:$D$803)))</f>
        <v/>
      </c>
      <c r="DB90" s="8" t="str">
        <f>IF($B90="","",IF(COUNTIF('Competency Event Log'!$U$4:$U$803,$B90&amp;"|"&amp;DB$5)=0,"",SUMIF('Competency Event Log'!$U$4:$U$803,$B90&amp;"|"&amp;DB$5,'Competency Event Log'!$D$4:$D$803)))</f>
        <v/>
      </c>
      <c r="DC90" s="8" t="str">
        <f>IF($B90="","",IF(COUNTIF('Competency Event Log'!$U$4:$U$803,$B90&amp;"|"&amp;DC$5)=0,"",SUMIF('Competency Event Log'!$U$4:$U$803,$B90&amp;"|"&amp;DC$5,'Competency Event Log'!$D$4:$D$803)))</f>
        <v/>
      </c>
      <c r="DD90" s="8" t="str">
        <f>IF($B90="","",IF(COUNTIF('Competency Event Log'!$U$4:$U$803,$B90&amp;"|"&amp;DD$5)=0,"",SUMIF('Competency Event Log'!$U$4:$U$803,$B90&amp;"|"&amp;DD$5,'Competency Event Log'!$D$4:$D$803)))</f>
        <v/>
      </c>
      <c r="DE90" s="8" t="str">
        <f>IF($B90="","",IF(COUNTIF('Competency Event Log'!$U$4:$U$803,$B90&amp;"|"&amp;DE$5)=0,"",SUMIF('Competency Event Log'!$U$4:$U$803,$B90&amp;"|"&amp;DE$5,'Competency Event Log'!$D$4:$D$803)))</f>
        <v/>
      </c>
      <c r="DF90" s="8" t="str">
        <f t="shared" si="8"/>
        <v/>
      </c>
      <c r="DG90" s="8" t="str">
        <f t="shared" si="9"/>
        <v/>
      </c>
      <c r="DH90" s="8" t="str">
        <f t="shared" si="10"/>
        <v/>
      </c>
      <c r="DI90" s="11" t="str">
        <f t="shared" si="11"/>
        <v/>
      </c>
    </row>
    <row r="91" spans="1:113">
      <c r="A91" s="7"/>
      <c r="B91" s="7"/>
      <c r="C91" s="8"/>
      <c r="D91" s="9"/>
      <c r="E91" s="10"/>
      <c r="F91" s="8"/>
      <c r="G91" s="8" t="str">
        <f>IF($B91="","",IF(COUNTIF('Competency Event Log'!$U$4:$U$803,$B91&amp;"|"&amp;G$5)=0,"",SUMIF('Competency Event Log'!$U$4:$U$803,$B91&amp;"|"&amp;G$5,'Competency Event Log'!$D$4:$D$803)))</f>
        <v/>
      </c>
      <c r="H91" s="8" t="str">
        <f>IF($B91="","",IF(COUNTIF('Competency Event Log'!$U$4:$U$803,$B91&amp;"|"&amp;H$5)=0,"",SUMIF('Competency Event Log'!$U$4:$U$803,$B91&amp;"|"&amp;H$5,'Competency Event Log'!$D$4:$D$803)))</f>
        <v/>
      </c>
      <c r="I91" s="8" t="str">
        <f>IF($B91="","",IF(COUNTIF('Competency Event Log'!$U$4:$U$803,$B91&amp;"|"&amp;I$5)=0,"",SUMIF('Competency Event Log'!$U$4:$U$803,$B91&amp;"|"&amp;I$5,'Competency Event Log'!$D$4:$D$803)))</f>
        <v/>
      </c>
      <c r="J91" s="8" t="str">
        <f>IF($B91="","",IF(COUNTIF('Competency Event Log'!$U$4:$U$803,$B91&amp;"|"&amp;J$5)=0,"",SUMIF('Competency Event Log'!$U$4:$U$803,$B91&amp;"|"&amp;J$5,'Competency Event Log'!$D$4:$D$803)))</f>
        <v/>
      </c>
      <c r="K91" s="8" t="str">
        <f>IF($B91="","",IF(COUNTIF('Competency Event Log'!$U$4:$U$803,$B91&amp;"|"&amp;K$5)=0,"",SUMIF('Competency Event Log'!$U$4:$U$803,$B91&amp;"|"&amp;K$5,'Competency Event Log'!$D$4:$D$803)))</f>
        <v/>
      </c>
      <c r="L91" s="8" t="str">
        <f>IF($B91="","",IF(COUNTIF('Competency Event Log'!$U$4:$U$803,$B91&amp;"|"&amp;L$5)=0,"",SUMIF('Competency Event Log'!$U$4:$U$803,$B91&amp;"|"&amp;L$5,'Competency Event Log'!$D$4:$D$803)))</f>
        <v/>
      </c>
      <c r="M91" s="8" t="str">
        <f>IF($B91="","",IF(COUNTIF('Competency Event Log'!$U$4:$U$803,$B91&amp;"|"&amp;M$5)=0,"",SUMIF('Competency Event Log'!$U$4:$U$803,$B91&amp;"|"&amp;M$5,'Competency Event Log'!$D$4:$D$803)))</f>
        <v/>
      </c>
      <c r="N91" s="8" t="str">
        <f>IF($B91="","",IF(COUNTIF('Competency Event Log'!$U$4:$U$803,$B91&amp;"|"&amp;N$5)=0,"",SUMIF('Competency Event Log'!$U$4:$U$803,$B91&amp;"|"&amp;N$5,'Competency Event Log'!$D$4:$D$803)))</f>
        <v/>
      </c>
      <c r="O91" s="8" t="str">
        <f>IF($B91="","",IF(COUNTIF('Competency Event Log'!$U$4:$U$803,$B91&amp;"|"&amp;O$5)=0,"",SUMIF('Competency Event Log'!$U$4:$U$803,$B91&amp;"|"&amp;O$5,'Competency Event Log'!$D$4:$D$803)))</f>
        <v/>
      </c>
      <c r="P91" s="8" t="str">
        <f>IF($B91="","",IF(COUNTIF('Competency Event Log'!$U$4:$U$803,$B91&amp;"|"&amp;P$5)=0,"",SUMIF('Competency Event Log'!$U$4:$U$803,$B91&amp;"|"&amp;P$5,'Competency Event Log'!$D$4:$D$803)))</f>
        <v/>
      </c>
      <c r="Q91" s="8" t="str">
        <f>IF($B91="","",IF(COUNTIF('Competency Event Log'!$U$4:$U$803,$B91&amp;"|"&amp;Q$5)=0,"",SUMIF('Competency Event Log'!$U$4:$U$803,$B91&amp;"|"&amp;Q$5,'Competency Event Log'!$D$4:$D$803)))</f>
        <v/>
      </c>
      <c r="R91" s="8" t="str">
        <f>IF($B91="","",IF(COUNTIF('Competency Event Log'!$U$4:$U$803,$B91&amp;"|"&amp;R$5)=0,"",SUMIF('Competency Event Log'!$U$4:$U$803,$B91&amp;"|"&amp;R$5,'Competency Event Log'!$D$4:$D$803)))</f>
        <v/>
      </c>
      <c r="S91" s="8" t="str">
        <f>IF($B91="","",IF(COUNTIF('Competency Event Log'!$U$4:$U$803,$B91&amp;"|"&amp;S$5)=0,"",SUMIF('Competency Event Log'!$U$4:$U$803,$B91&amp;"|"&amp;S$5,'Competency Event Log'!$D$4:$D$803)))</f>
        <v/>
      </c>
      <c r="T91" s="8" t="str">
        <f>IF($B91="","",IF(COUNTIF('Competency Event Log'!$U$4:$U$803,$B91&amp;"|"&amp;T$5)=0,"",SUMIF('Competency Event Log'!$U$4:$U$803,$B91&amp;"|"&amp;T$5,'Competency Event Log'!$D$4:$D$803)))</f>
        <v/>
      </c>
      <c r="U91" s="8" t="str">
        <f>IF($B91="","",IF(COUNTIF('Competency Event Log'!$U$4:$U$803,$B91&amp;"|"&amp;U$5)=0,"",SUMIF('Competency Event Log'!$U$4:$U$803,$B91&amp;"|"&amp;U$5,'Competency Event Log'!$D$4:$D$803)))</f>
        <v/>
      </c>
      <c r="V91" s="8" t="str">
        <f>IF($B91="","",IF(COUNTIF('Competency Event Log'!$U$4:$U$803,$B91&amp;"|"&amp;V$5)=0,"",SUMIF('Competency Event Log'!$U$4:$U$803,$B91&amp;"|"&amp;V$5,'Competency Event Log'!$D$4:$D$803)))</f>
        <v/>
      </c>
      <c r="W91" s="8" t="str">
        <f>IF($B91="","",IF(COUNTIF('Competency Event Log'!$U$4:$U$803,$B91&amp;"|"&amp;W$5)=0,"",SUMIF('Competency Event Log'!$U$4:$U$803,$B91&amp;"|"&amp;W$5,'Competency Event Log'!$D$4:$D$803)))</f>
        <v/>
      </c>
      <c r="X91" s="8" t="str">
        <f>IF($B91="","",IF(COUNTIF('Competency Event Log'!$U$4:$U$803,$B91&amp;"|"&amp;X$5)=0,"",SUMIF('Competency Event Log'!$U$4:$U$803,$B91&amp;"|"&amp;X$5,'Competency Event Log'!$D$4:$D$803)))</f>
        <v/>
      </c>
      <c r="Y91" s="8" t="str">
        <f>IF($B91="","",IF(COUNTIF('Competency Event Log'!$U$4:$U$803,$B91&amp;"|"&amp;Y$5)=0,"",SUMIF('Competency Event Log'!$U$4:$U$803,$B91&amp;"|"&amp;Y$5,'Competency Event Log'!$D$4:$D$803)))</f>
        <v/>
      </c>
      <c r="Z91" s="8" t="str">
        <f>IF($B91="","",IF(COUNTIF('Competency Event Log'!$U$4:$U$803,$B91&amp;"|"&amp;Z$5)=0,"",SUMIF('Competency Event Log'!$U$4:$U$803,$B91&amp;"|"&amp;Z$5,'Competency Event Log'!$D$4:$D$803)))</f>
        <v/>
      </c>
      <c r="AA91" s="8" t="str">
        <f>IF($B91="","",IF(COUNTIF('Competency Event Log'!$U$4:$U$803,$B91&amp;"|"&amp;AA$5)=0,"",SUMIF('Competency Event Log'!$U$4:$U$803,$B91&amp;"|"&amp;AA$5,'Competency Event Log'!$D$4:$D$803)))</f>
        <v/>
      </c>
      <c r="AB91" s="8" t="str">
        <f>IF($B91="","",IF(COUNTIF('Competency Event Log'!$U$4:$U$803,$B91&amp;"|"&amp;AB$5)=0,"",SUMIF('Competency Event Log'!$U$4:$U$803,$B91&amp;"|"&amp;AB$5,'Competency Event Log'!$D$4:$D$803)))</f>
        <v/>
      </c>
      <c r="AC91" s="8" t="str">
        <f>IF($B91="","",IF(COUNTIF('Competency Event Log'!$U$4:$U$803,$B91&amp;"|"&amp;AC$5)=0,"",SUMIF('Competency Event Log'!$U$4:$U$803,$B91&amp;"|"&amp;AC$5,'Competency Event Log'!$D$4:$D$803)))</f>
        <v/>
      </c>
      <c r="AD91" s="8" t="str">
        <f>IF($B91="","",IF(COUNTIF('Competency Event Log'!$U$4:$U$803,$B91&amp;"|"&amp;AD$5)=0,"",SUMIF('Competency Event Log'!$U$4:$U$803,$B91&amp;"|"&amp;AD$5,'Competency Event Log'!$D$4:$D$803)))</f>
        <v/>
      </c>
      <c r="AE91" s="8" t="str">
        <f>IF($B91="","",IF(COUNTIF('Competency Event Log'!$U$4:$U$803,$B91&amp;"|"&amp;AE$5)=0,"",SUMIF('Competency Event Log'!$U$4:$U$803,$B91&amp;"|"&amp;AE$5,'Competency Event Log'!$D$4:$D$803)))</f>
        <v/>
      </c>
      <c r="AF91" s="8" t="str">
        <f>IF($B91="","",IF(COUNTIF('Competency Event Log'!$U$4:$U$803,$B91&amp;"|"&amp;AF$5)=0,"",SUMIF('Competency Event Log'!$U$4:$U$803,$B91&amp;"|"&amp;AF$5,'Competency Event Log'!$D$4:$D$803)))</f>
        <v/>
      </c>
      <c r="AG91" s="8" t="str">
        <f>IF($B91="","",IF(COUNTIF('Competency Event Log'!$U$4:$U$803,$B91&amp;"|"&amp;AG$5)=0,"",SUMIF('Competency Event Log'!$U$4:$U$803,$B91&amp;"|"&amp;AG$5,'Competency Event Log'!$D$4:$D$803)))</f>
        <v/>
      </c>
      <c r="AH91" s="8" t="str">
        <f>IF($B91="","",IF(COUNTIF('Competency Event Log'!$U$4:$U$803,$B91&amp;"|"&amp;AH$5)=0,"",SUMIF('Competency Event Log'!$U$4:$U$803,$B91&amp;"|"&amp;AH$5,'Competency Event Log'!$D$4:$D$803)))</f>
        <v/>
      </c>
      <c r="AI91" s="8" t="str">
        <f>IF($B91="","",IF(COUNTIF('Competency Event Log'!$U$4:$U$803,$B91&amp;"|"&amp;AI$5)=0,"",SUMIF('Competency Event Log'!$U$4:$U$803,$B91&amp;"|"&amp;AI$5,'Competency Event Log'!$D$4:$D$803)))</f>
        <v/>
      </c>
      <c r="AJ91" s="8" t="str">
        <f>IF($B91="","",IF(COUNTIF('Competency Event Log'!$U$4:$U$803,$B91&amp;"|"&amp;AJ$5)=0,"",SUMIF('Competency Event Log'!$U$4:$U$803,$B91&amp;"|"&amp;AJ$5,'Competency Event Log'!$D$4:$D$803)))</f>
        <v/>
      </c>
      <c r="AK91" s="8" t="str">
        <f>IF($B91="","",IF(COUNTIF('Competency Event Log'!$U$4:$U$803,$B91&amp;"|"&amp;AK$5)=0,"",SUMIF('Competency Event Log'!$U$4:$U$803,$B91&amp;"|"&amp;AK$5,'Competency Event Log'!$D$4:$D$803)))</f>
        <v/>
      </c>
      <c r="AL91" s="8" t="str">
        <f>IF($B91="","",IF(COUNTIF('Competency Event Log'!$U$4:$U$803,$B91&amp;"|"&amp;AL$5)=0,"",SUMIF('Competency Event Log'!$U$4:$U$803,$B91&amp;"|"&amp;AL$5,'Competency Event Log'!$D$4:$D$803)))</f>
        <v/>
      </c>
      <c r="AM91" s="8" t="str">
        <f>IF($B91="","",IF(COUNTIF('Competency Event Log'!$U$4:$U$803,$B91&amp;"|"&amp;AM$5)=0,"",SUMIF('Competency Event Log'!$U$4:$U$803,$B91&amp;"|"&amp;AM$5,'Competency Event Log'!$D$4:$D$803)))</f>
        <v/>
      </c>
      <c r="AN91" s="8" t="str">
        <f>IF($B91="","",IF(COUNTIF('Competency Event Log'!$U$4:$U$803,$B91&amp;"|"&amp;AN$5)=0,"",SUMIF('Competency Event Log'!$U$4:$U$803,$B91&amp;"|"&amp;AN$5,'Competency Event Log'!$D$4:$D$803)))</f>
        <v/>
      </c>
      <c r="AO91" s="8" t="str">
        <f>IF($B91="","",IF(COUNTIF('Competency Event Log'!$U$4:$U$803,$B91&amp;"|"&amp;AO$5)=0,"",SUMIF('Competency Event Log'!$U$4:$U$803,$B91&amp;"|"&amp;AO$5,'Competency Event Log'!$D$4:$D$803)))</f>
        <v/>
      </c>
      <c r="AP91" s="8" t="str">
        <f>IF($B91="","",IF(COUNTIF('Competency Event Log'!$U$4:$U$803,$B91&amp;"|"&amp;AP$5)=0,"",SUMIF('Competency Event Log'!$U$4:$U$803,$B91&amp;"|"&amp;AP$5,'Competency Event Log'!$D$4:$D$803)))</f>
        <v/>
      </c>
      <c r="AQ91" s="8" t="str">
        <f>IF($B91="","",IF(COUNTIF('Competency Event Log'!$U$4:$U$803,$B91&amp;"|"&amp;AQ$5)=0,"",SUMIF('Competency Event Log'!$U$4:$U$803,$B91&amp;"|"&amp;AQ$5,'Competency Event Log'!$D$4:$D$803)))</f>
        <v/>
      </c>
      <c r="AR91" s="8" t="str">
        <f>IF($B91="","",IF(COUNTIF('Competency Event Log'!$U$4:$U$803,$B91&amp;"|"&amp;AR$5)=0,"",SUMIF('Competency Event Log'!$U$4:$U$803,$B91&amp;"|"&amp;AR$5,'Competency Event Log'!$D$4:$D$803)))</f>
        <v/>
      </c>
      <c r="AS91" s="8" t="str">
        <f>IF($B91="","",IF(COUNTIF('Competency Event Log'!$U$4:$U$803,$B91&amp;"|"&amp;AS$5)=0,"",SUMIF('Competency Event Log'!$U$4:$U$803,$B91&amp;"|"&amp;AS$5,'Competency Event Log'!$D$4:$D$803)))</f>
        <v/>
      </c>
      <c r="AT91" s="8" t="str">
        <f>IF($B91="","",IF(COUNTIF('Competency Event Log'!$U$4:$U$803,$B91&amp;"|"&amp;AT$5)=0,"",SUMIF('Competency Event Log'!$U$4:$U$803,$B91&amp;"|"&amp;AT$5,'Competency Event Log'!$D$4:$D$803)))</f>
        <v/>
      </c>
      <c r="AU91" s="8" t="str">
        <f>IF($B91="","",IF(COUNTIF('Competency Event Log'!$U$4:$U$803,$B91&amp;"|"&amp;AU$5)=0,"",SUMIF('Competency Event Log'!$U$4:$U$803,$B91&amp;"|"&amp;AU$5,'Competency Event Log'!$D$4:$D$803)))</f>
        <v/>
      </c>
      <c r="AV91" s="8" t="str">
        <f>IF($B91="","",IF(COUNTIF('Competency Event Log'!$U$4:$U$803,$B91&amp;"|"&amp;AV$5)=0,"",SUMIF('Competency Event Log'!$U$4:$U$803,$B91&amp;"|"&amp;AV$5,'Competency Event Log'!$D$4:$D$803)))</f>
        <v/>
      </c>
      <c r="AW91" s="8" t="str">
        <f>IF($B91="","",IF(COUNTIF('Competency Event Log'!$U$4:$U$803,$B91&amp;"|"&amp;AW$5)=0,"",SUMIF('Competency Event Log'!$U$4:$U$803,$B91&amp;"|"&amp;AW$5,'Competency Event Log'!$D$4:$D$803)))</f>
        <v/>
      </c>
      <c r="AX91" s="8" t="str">
        <f>IF($B91="","",IF(COUNTIF('Competency Event Log'!$U$4:$U$803,$B91&amp;"|"&amp;AX$5)=0,"",SUMIF('Competency Event Log'!$U$4:$U$803,$B91&amp;"|"&amp;AX$5,'Competency Event Log'!$D$4:$D$803)))</f>
        <v/>
      </c>
      <c r="AY91" s="8" t="str">
        <f>IF($B91="","",IF(COUNTIF('Competency Event Log'!$U$4:$U$803,$B91&amp;"|"&amp;AY$5)=0,"",SUMIF('Competency Event Log'!$U$4:$U$803,$B91&amp;"|"&amp;AY$5,'Competency Event Log'!$D$4:$D$803)))</f>
        <v/>
      </c>
      <c r="AZ91" s="8" t="str">
        <f>IF($B91="","",IF(COUNTIF('Competency Event Log'!$U$4:$U$803,$B91&amp;"|"&amp;AZ$5)=0,"",SUMIF('Competency Event Log'!$U$4:$U$803,$B91&amp;"|"&amp;AZ$5,'Competency Event Log'!$D$4:$D$803)))</f>
        <v/>
      </c>
      <c r="BA91" s="8" t="str">
        <f>IF($B91="","",IF(COUNTIF('Competency Event Log'!$U$4:$U$803,$B91&amp;"|"&amp;BA$5)=0,"",SUMIF('Competency Event Log'!$U$4:$U$803,$B91&amp;"|"&amp;BA$5,'Competency Event Log'!$D$4:$D$803)))</f>
        <v/>
      </c>
      <c r="BB91" s="8" t="str">
        <f>IF($B91="","",IF(COUNTIF('Competency Event Log'!$U$4:$U$803,$B91&amp;"|"&amp;BB$5)=0,"",SUMIF('Competency Event Log'!$U$4:$U$803,$B91&amp;"|"&amp;BB$5,'Competency Event Log'!$D$4:$D$803)))</f>
        <v/>
      </c>
      <c r="BC91" s="8" t="str">
        <f>IF($B91="","",IF(COUNTIF('Competency Event Log'!$U$4:$U$803,$B91&amp;"|"&amp;BC$5)=0,"",SUMIF('Competency Event Log'!$U$4:$U$803,$B91&amp;"|"&amp;BC$5,'Competency Event Log'!$D$4:$D$803)))</f>
        <v/>
      </c>
      <c r="BD91" s="8" t="str">
        <f>IF($B91="","",IF(COUNTIF('Competency Event Log'!$U$4:$U$803,$B91&amp;"|"&amp;BD$5)=0,"",SUMIF('Competency Event Log'!$U$4:$U$803,$B91&amp;"|"&amp;BD$5,'Competency Event Log'!$D$4:$D$803)))</f>
        <v/>
      </c>
      <c r="BE91" s="8" t="str">
        <f>IF($B91="","",IF(COUNTIF('Competency Event Log'!$U$4:$U$803,$B91&amp;"|"&amp;BE$5)=0,"",SUMIF('Competency Event Log'!$U$4:$U$803,$B91&amp;"|"&amp;BE$5,'Competency Event Log'!$D$4:$D$803)))</f>
        <v/>
      </c>
      <c r="BF91" s="8" t="str">
        <f>IF($B91="","",IF(COUNTIF('Competency Event Log'!$U$4:$U$803,$B91&amp;"|"&amp;BF$5)=0,"",SUMIF('Competency Event Log'!$U$4:$U$803,$B91&amp;"|"&amp;BF$5,'Competency Event Log'!$D$4:$D$803)))</f>
        <v/>
      </c>
      <c r="BG91" s="8" t="str">
        <f>IF($B91="","",IF(COUNTIF('Competency Event Log'!$U$4:$U$803,$B91&amp;"|"&amp;BG$5)=0,"",SUMIF('Competency Event Log'!$U$4:$U$803,$B91&amp;"|"&amp;BG$5,'Competency Event Log'!$D$4:$D$803)))</f>
        <v/>
      </c>
      <c r="BH91" s="8" t="str">
        <f>IF($B91="","",IF(COUNTIF('Competency Event Log'!$U$4:$U$803,$B91&amp;"|"&amp;BH$5)=0,"",SUMIF('Competency Event Log'!$U$4:$U$803,$B91&amp;"|"&amp;BH$5,'Competency Event Log'!$D$4:$D$803)))</f>
        <v/>
      </c>
      <c r="BI91" s="8" t="str">
        <f>IF($B91="","",IF(COUNTIF('Competency Event Log'!$U$4:$U$803,$B91&amp;"|"&amp;BI$5)=0,"",SUMIF('Competency Event Log'!$U$4:$U$803,$B91&amp;"|"&amp;BI$5,'Competency Event Log'!$D$4:$D$803)))</f>
        <v/>
      </c>
      <c r="BJ91" s="8" t="str">
        <f>IF($B91="","",IF(COUNTIF('Competency Event Log'!$U$4:$U$803,$B91&amp;"|"&amp;BJ$5)=0,"",SUMIF('Competency Event Log'!$U$4:$U$803,$B91&amp;"|"&amp;BJ$5,'Competency Event Log'!$D$4:$D$803)))</f>
        <v/>
      </c>
      <c r="BK91" s="8" t="str">
        <f>IF($B91="","",IF(COUNTIF('Competency Event Log'!$U$4:$U$803,$B91&amp;"|"&amp;BK$5)=0,"",SUMIF('Competency Event Log'!$U$4:$U$803,$B91&amp;"|"&amp;BK$5,'Competency Event Log'!$D$4:$D$803)))</f>
        <v/>
      </c>
      <c r="BL91" s="8" t="str">
        <f>IF($B91="","",IF(COUNTIF('Competency Event Log'!$U$4:$U$803,$B91&amp;"|"&amp;BL$5)=0,"",SUMIF('Competency Event Log'!$U$4:$U$803,$B91&amp;"|"&amp;BL$5,'Competency Event Log'!$D$4:$D$803)))</f>
        <v/>
      </c>
      <c r="BM91" s="8" t="str">
        <f>IF($B91="","",IF(COUNTIF('Competency Event Log'!$U$4:$U$803,$B91&amp;"|"&amp;BM$5)=0,"",SUMIF('Competency Event Log'!$U$4:$U$803,$B91&amp;"|"&amp;BM$5,'Competency Event Log'!$D$4:$D$803)))</f>
        <v/>
      </c>
      <c r="BN91" s="8" t="str">
        <f>IF($B91="","",IF(COUNTIF('Competency Event Log'!$U$4:$U$803,$B91&amp;"|"&amp;BN$5)=0,"",SUMIF('Competency Event Log'!$U$4:$U$803,$B91&amp;"|"&amp;BN$5,'Competency Event Log'!$D$4:$D$803)))</f>
        <v/>
      </c>
      <c r="BO91" s="8" t="str">
        <f>IF($B91="","",IF(COUNTIF('Competency Event Log'!$U$4:$U$803,$B91&amp;"|"&amp;BO$5)=0,"",SUMIF('Competency Event Log'!$U$4:$U$803,$B91&amp;"|"&amp;BO$5,'Competency Event Log'!$D$4:$D$803)))</f>
        <v/>
      </c>
      <c r="BP91" s="8" t="str">
        <f>IF($B91="","",IF(COUNTIF('Competency Event Log'!$U$4:$U$803,$B91&amp;"|"&amp;BP$5)=0,"",SUMIF('Competency Event Log'!$U$4:$U$803,$B91&amp;"|"&amp;BP$5,'Competency Event Log'!$D$4:$D$803)))</f>
        <v/>
      </c>
      <c r="BQ91" s="8" t="str">
        <f>IF($B91="","",IF(COUNTIF('Competency Event Log'!$U$4:$U$803,$B91&amp;"|"&amp;BQ$5)=0,"",SUMIF('Competency Event Log'!$U$4:$U$803,$B91&amp;"|"&amp;BQ$5,'Competency Event Log'!$D$4:$D$803)))</f>
        <v/>
      </c>
      <c r="BR91" s="8" t="str">
        <f>IF($B91="","",IF(COUNTIF('Competency Event Log'!$U$4:$U$803,$B91&amp;"|"&amp;BR$5)=0,"",SUMIF('Competency Event Log'!$U$4:$U$803,$B91&amp;"|"&amp;BR$5,'Competency Event Log'!$D$4:$D$803)))</f>
        <v/>
      </c>
      <c r="BS91" s="8" t="str">
        <f>IF($B91="","",IF(COUNTIF('Competency Event Log'!$U$4:$U$803,$B91&amp;"|"&amp;BS$5)=0,"",SUMIF('Competency Event Log'!$U$4:$U$803,$B91&amp;"|"&amp;BS$5,'Competency Event Log'!$D$4:$D$803)))</f>
        <v/>
      </c>
      <c r="BT91" s="8" t="str">
        <f>IF($B91="","",IF(COUNTIF('Competency Event Log'!$U$4:$U$803,$B91&amp;"|"&amp;BT$5)=0,"",SUMIF('Competency Event Log'!$U$4:$U$803,$B91&amp;"|"&amp;BT$5,'Competency Event Log'!$D$4:$D$803)))</f>
        <v/>
      </c>
      <c r="BU91" s="8" t="str">
        <f>IF($B91="","",IF(COUNTIF('Competency Event Log'!$U$4:$U$803,$B91&amp;"|"&amp;BU$5)=0,"",SUMIF('Competency Event Log'!$U$4:$U$803,$B91&amp;"|"&amp;BU$5,'Competency Event Log'!$D$4:$D$803)))</f>
        <v/>
      </c>
      <c r="BV91" s="8" t="str">
        <f>IF($B91="","",IF(COUNTIF('Competency Event Log'!$U$4:$U$803,$B91&amp;"|"&amp;BV$5)=0,"",SUMIF('Competency Event Log'!$U$4:$U$803,$B91&amp;"|"&amp;BV$5,'Competency Event Log'!$D$4:$D$803)))</f>
        <v/>
      </c>
      <c r="BW91" s="8" t="str">
        <f>IF($B91="","",IF(COUNTIF('Competency Event Log'!$U$4:$U$803,$B91&amp;"|"&amp;BW$5)=0,"",SUMIF('Competency Event Log'!$U$4:$U$803,$B91&amp;"|"&amp;BW$5,'Competency Event Log'!$D$4:$D$803)))</f>
        <v/>
      </c>
      <c r="BX91" s="8" t="str">
        <f>IF($B91="","",IF(COUNTIF('Competency Event Log'!$U$4:$U$803,$B91&amp;"|"&amp;BX$5)=0,"",SUMIF('Competency Event Log'!$U$4:$U$803,$B91&amp;"|"&amp;BX$5,'Competency Event Log'!$D$4:$D$803)))</f>
        <v/>
      </c>
      <c r="BY91" s="8" t="str">
        <f>IF($B91="","",IF(COUNTIF('Competency Event Log'!$U$4:$U$803,$B91&amp;"|"&amp;BY$5)=0,"",SUMIF('Competency Event Log'!$U$4:$U$803,$B91&amp;"|"&amp;BY$5,'Competency Event Log'!$D$4:$D$803)))</f>
        <v/>
      </c>
      <c r="BZ91" s="8" t="str">
        <f>IF($B91="","",IF(COUNTIF('Competency Event Log'!$U$4:$U$803,$B91&amp;"|"&amp;BZ$5)=0,"",SUMIF('Competency Event Log'!$U$4:$U$803,$B91&amp;"|"&amp;BZ$5,'Competency Event Log'!$D$4:$D$803)))</f>
        <v/>
      </c>
      <c r="CA91" s="8" t="str">
        <f>IF($B91="","",IF(COUNTIF('Competency Event Log'!$U$4:$U$803,$B91&amp;"|"&amp;CA$5)=0,"",SUMIF('Competency Event Log'!$U$4:$U$803,$B91&amp;"|"&amp;CA$5,'Competency Event Log'!$D$4:$D$803)))</f>
        <v/>
      </c>
      <c r="CB91" s="8" t="str">
        <f>IF($B91="","",IF(COUNTIF('Competency Event Log'!$U$4:$U$803,$B91&amp;"|"&amp;CB$5)=0,"",SUMIF('Competency Event Log'!$U$4:$U$803,$B91&amp;"|"&amp;CB$5,'Competency Event Log'!$D$4:$D$803)))</f>
        <v/>
      </c>
      <c r="CC91" s="8" t="str">
        <f>IF($B91="","",IF(COUNTIF('Competency Event Log'!$U$4:$U$803,$B91&amp;"|"&amp;CC$5)=0,"",SUMIF('Competency Event Log'!$U$4:$U$803,$B91&amp;"|"&amp;CC$5,'Competency Event Log'!$D$4:$D$803)))</f>
        <v/>
      </c>
      <c r="CD91" s="8" t="str">
        <f>IF($B91="","",IF(COUNTIF('Competency Event Log'!$U$4:$U$803,$B91&amp;"|"&amp;CD$5)=0,"",SUMIF('Competency Event Log'!$U$4:$U$803,$B91&amp;"|"&amp;CD$5,'Competency Event Log'!$D$4:$D$803)))</f>
        <v/>
      </c>
      <c r="CE91" s="8" t="str">
        <f>IF($B91="","",IF(COUNTIF('Competency Event Log'!$U$4:$U$803,$B91&amp;"|"&amp;CE$5)=0,"",SUMIF('Competency Event Log'!$U$4:$U$803,$B91&amp;"|"&amp;CE$5,'Competency Event Log'!$D$4:$D$803)))</f>
        <v/>
      </c>
      <c r="CF91" s="8" t="str">
        <f>IF($B91="","",IF(COUNTIF('Competency Event Log'!$U$4:$U$803,$B91&amp;"|"&amp;CF$5)=0,"",SUMIF('Competency Event Log'!$U$4:$U$803,$B91&amp;"|"&amp;CF$5,'Competency Event Log'!$D$4:$D$803)))</f>
        <v/>
      </c>
      <c r="CG91" s="8" t="str">
        <f>IF($B91="","",IF(COUNTIF('Competency Event Log'!$U$4:$U$803,$B91&amp;"|"&amp;CG$5)=0,"",SUMIF('Competency Event Log'!$U$4:$U$803,$B91&amp;"|"&amp;CG$5,'Competency Event Log'!$D$4:$D$803)))</f>
        <v/>
      </c>
      <c r="CH91" s="8" t="str">
        <f>IF($B91="","",IF(COUNTIF('Competency Event Log'!$U$4:$U$803,$B91&amp;"|"&amp;CH$5)=0,"",SUMIF('Competency Event Log'!$U$4:$U$803,$B91&amp;"|"&amp;CH$5,'Competency Event Log'!$D$4:$D$803)))</f>
        <v/>
      </c>
      <c r="CI91" s="8" t="str">
        <f>IF($B91="","",IF(COUNTIF('Competency Event Log'!$U$4:$U$803,$B91&amp;"|"&amp;CI$5)=0,"",SUMIF('Competency Event Log'!$U$4:$U$803,$B91&amp;"|"&amp;CI$5,'Competency Event Log'!$D$4:$D$803)))</f>
        <v/>
      </c>
      <c r="CJ91" s="8" t="str">
        <f>IF($B91="","",IF(COUNTIF('Competency Event Log'!$U$4:$U$803,$B91&amp;"|"&amp;CJ$5)=0,"",SUMIF('Competency Event Log'!$U$4:$U$803,$B91&amp;"|"&amp;CJ$5,'Competency Event Log'!$D$4:$D$803)))</f>
        <v/>
      </c>
      <c r="CK91" s="8" t="str">
        <f>IF($B91="","",IF(COUNTIF('Competency Event Log'!$U$4:$U$803,$B91&amp;"|"&amp;CK$5)=0,"",SUMIF('Competency Event Log'!$U$4:$U$803,$B91&amp;"|"&amp;CK$5,'Competency Event Log'!$D$4:$D$803)))</f>
        <v/>
      </c>
      <c r="CL91" s="8" t="str">
        <f>IF($B91="","",IF(COUNTIF('Competency Event Log'!$U$4:$U$803,$B91&amp;"|"&amp;CL$5)=0,"",SUMIF('Competency Event Log'!$U$4:$U$803,$B91&amp;"|"&amp;CL$5,'Competency Event Log'!$D$4:$D$803)))</f>
        <v/>
      </c>
      <c r="CM91" s="8" t="str">
        <f>IF($B91="","",IF(COUNTIF('Competency Event Log'!$U$4:$U$803,$B91&amp;"|"&amp;CM$5)=0,"",SUMIF('Competency Event Log'!$U$4:$U$803,$B91&amp;"|"&amp;CM$5,'Competency Event Log'!$D$4:$D$803)))</f>
        <v/>
      </c>
      <c r="CN91" s="8" t="str">
        <f>IF($B91="","",IF(COUNTIF('Competency Event Log'!$U$4:$U$803,$B91&amp;"|"&amp;CN$5)=0,"",SUMIF('Competency Event Log'!$U$4:$U$803,$B91&amp;"|"&amp;CN$5,'Competency Event Log'!$D$4:$D$803)))</f>
        <v/>
      </c>
      <c r="CO91" s="8" t="str">
        <f>IF($B91="","",IF(COUNTIF('Competency Event Log'!$U$4:$U$803,$B91&amp;"|"&amp;CO$5)=0,"",SUMIF('Competency Event Log'!$U$4:$U$803,$B91&amp;"|"&amp;CO$5,'Competency Event Log'!$D$4:$D$803)))</f>
        <v/>
      </c>
      <c r="CP91" s="8" t="str">
        <f>IF($B91="","",IF(COUNTIF('Competency Event Log'!$U$4:$U$803,$B91&amp;"|"&amp;CP$5)=0,"",SUMIF('Competency Event Log'!$U$4:$U$803,$B91&amp;"|"&amp;CP$5,'Competency Event Log'!$D$4:$D$803)))</f>
        <v/>
      </c>
      <c r="CQ91" s="8" t="str">
        <f>IF($B91="","",IF(COUNTIF('Competency Event Log'!$U$4:$U$803,$B91&amp;"|"&amp;CQ$5)=0,"",SUMIF('Competency Event Log'!$U$4:$U$803,$B91&amp;"|"&amp;CQ$5,'Competency Event Log'!$D$4:$D$803)))</f>
        <v/>
      </c>
      <c r="CR91" s="8" t="str">
        <f>IF($B91="","",IF(COUNTIF('Competency Event Log'!$U$4:$U$803,$B91&amp;"|"&amp;CR$5)=0,"",SUMIF('Competency Event Log'!$U$4:$U$803,$B91&amp;"|"&amp;CR$5,'Competency Event Log'!$D$4:$D$803)))</f>
        <v/>
      </c>
      <c r="CS91" s="8" t="str">
        <f>IF($B91="","",IF(COUNTIF('Competency Event Log'!$U$4:$U$803,$B91&amp;"|"&amp;CS$5)=0,"",SUMIF('Competency Event Log'!$U$4:$U$803,$B91&amp;"|"&amp;CS$5,'Competency Event Log'!$D$4:$D$803)))</f>
        <v/>
      </c>
      <c r="CT91" s="8" t="str">
        <f>IF($B91="","",IF(COUNTIF('Competency Event Log'!$U$4:$U$803,$B91&amp;"|"&amp;CT$5)=0,"",SUMIF('Competency Event Log'!$U$4:$U$803,$B91&amp;"|"&amp;CT$5,'Competency Event Log'!$D$4:$D$803)))</f>
        <v/>
      </c>
      <c r="CU91" s="8" t="str">
        <f>IF($B91="","",IF(COUNTIF('Competency Event Log'!$U$4:$U$803,$B91&amp;"|"&amp;CU$5)=0,"",SUMIF('Competency Event Log'!$U$4:$U$803,$B91&amp;"|"&amp;CU$5,'Competency Event Log'!$D$4:$D$803)))</f>
        <v/>
      </c>
      <c r="CV91" s="8" t="str">
        <f>IF($B91="","",IF(COUNTIF('Competency Event Log'!$U$4:$U$803,$B91&amp;"|"&amp;CV$5)=0,"",SUMIF('Competency Event Log'!$U$4:$U$803,$B91&amp;"|"&amp;CV$5,'Competency Event Log'!$D$4:$D$803)))</f>
        <v/>
      </c>
      <c r="CW91" s="8" t="str">
        <f>IF($B91="","",IF(COUNTIF('Competency Event Log'!$U$4:$U$803,$B91&amp;"|"&amp;CW$5)=0,"",SUMIF('Competency Event Log'!$U$4:$U$803,$B91&amp;"|"&amp;CW$5,'Competency Event Log'!$D$4:$D$803)))</f>
        <v/>
      </c>
      <c r="CX91" s="8" t="str">
        <f>IF($B91="","",IF(COUNTIF('Competency Event Log'!$U$4:$U$803,$B91&amp;"|"&amp;CX$5)=0,"",SUMIF('Competency Event Log'!$U$4:$U$803,$B91&amp;"|"&amp;CX$5,'Competency Event Log'!$D$4:$D$803)))</f>
        <v/>
      </c>
      <c r="CY91" s="8" t="str">
        <f>IF($B91="","",IF(COUNTIF('Competency Event Log'!$U$4:$U$803,$B91&amp;"|"&amp;CY$5)=0,"",SUMIF('Competency Event Log'!$U$4:$U$803,$B91&amp;"|"&amp;CY$5,'Competency Event Log'!$D$4:$D$803)))</f>
        <v/>
      </c>
      <c r="CZ91" s="8" t="str">
        <f>IF($B91="","",IF(COUNTIF('Competency Event Log'!$U$4:$U$803,$B91&amp;"|"&amp;CZ$5)=0,"",SUMIF('Competency Event Log'!$U$4:$U$803,$B91&amp;"|"&amp;CZ$5,'Competency Event Log'!$D$4:$D$803)))</f>
        <v/>
      </c>
      <c r="DA91" s="8" t="str">
        <f>IF($B91="","",IF(COUNTIF('Competency Event Log'!$U$4:$U$803,$B91&amp;"|"&amp;DA$5)=0,"",SUMIF('Competency Event Log'!$U$4:$U$803,$B91&amp;"|"&amp;DA$5,'Competency Event Log'!$D$4:$D$803)))</f>
        <v/>
      </c>
      <c r="DB91" s="8" t="str">
        <f>IF($B91="","",IF(COUNTIF('Competency Event Log'!$U$4:$U$803,$B91&amp;"|"&amp;DB$5)=0,"",SUMIF('Competency Event Log'!$U$4:$U$803,$B91&amp;"|"&amp;DB$5,'Competency Event Log'!$D$4:$D$803)))</f>
        <v/>
      </c>
      <c r="DC91" s="8" t="str">
        <f>IF($B91="","",IF(COUNTIF('Competency Event Log'!$U$4:$U$803,$B91&amp;"|"&amp;DC$5)=0,"",SUMIF('Competency Event Log'!$U$4:$U$803,$B91&amp;"|"&amp;DC$5,'Competency Event Log'!$D$4:$D$803)))</f>
        <v/>
      </c>
      <c r="DD91" s="8" t="str">
        <f>IF($B91="","",IF(COUNTIF('Competency Event Log'!$U$4:$U$803,$B91&amp;"|"&amp;DD$5)=0,"",SUMIF('Competency Event Log'!$U$4:$U$803,$B91&amp;"|"&amp;DD$5,'Competency Event Log'!$D$4:$D$803)))</f>
        <v/>
      </c>
      <c r="DE91" s="8" t="str">
        <f>IF($B91="","",IF(COUNTIF('Competency Event Log'!$U$4:$U$803,$B91&amp;"|"&amp;DE$5)=0,"",SUMIF('Competency Event Log'!$U$4:$U$803,$B91&amp;"|"&amp;DE$5,'Competency Event Log'!$D$4:$D$803)))</f>
        <v/>
      </c>
      <c r="DF91" s="8" t="str">
        <f t="shared" si="8"/>
        <v/>
      </c>
      <c r="DG91" s="8" t="str">
        <f t="shared" si="9"/>
        <v/>
      </c>
      <c r="DH91" s="8" t="str">
        <f t="shared" si="10"/>
        <v/>
      </c>
      <c r="DI91" s="11" t="str">
        <f t="shared" si="11"/>
        <v/>
      </c>
    </row>
    <row r="92" spans="1:113">
      <c r="A92" s="7"/>
      <c r="B92" s="7"/>
      <c r="C92" s="8"/>
      <c r="D92" s="9"/>
      <c r="E92" s="10"/>
      <c r="F92" s="8"/>
      <c r="G92" s="8" t="str">
        <f>IF($B92="","",IF(COUNTIF('Competency Event Log'!$U$4:$U$803,$B92&amp;"|"&amp;G$5)=0,"",SUMIF('Competency Event Log'!$U$4:$U$803,$B92&amp;"|"&amp;G$5,'Competency Event Log'!$D$4:$D$803)))</f>
        <v/>
      </c>
      <c r="H92" s="8" t="str">
        <f>IF($B92="","",IF(COUNTIF('Competency Event Log'!$U$4:$U$803,$B92&amp;"|"&amp;H$5)=0,"",SUMIF('Competency Event Log'!$U$4:$U$803,$B92&amp;"|"&amp;H$5,'Competency Event Log'!$D$4:$D$803)))</f>
        <v/>
      </c>
      <c r="I92" s="8" t="str">
        <f>IF($B92="","",IF(COUNTIF('Competency Event Log'!$U$4:$U$803,$B92&amp;"|"&amp;I$5)=0,"",SUMIF('Competency Event Log'!$U$4:$U$803,$B92&amp;"|"&amp;I$5,'Competency Event Log'!$D$4:$D$803)))</f>
        <v/>
      </c>
      <c r="J92" s="8" t="str">
        <f>IF($B92="","",IF(COUNTIF('Competency Event Log'!$U$4:$U$803,$B92&amp;"|"&amp;J$5)=0,"",SUMIF('Competency Event Log'!$U$4:$U$803,$B92&amp;"|"&amp;J$5,'Competency Event Log'!$D$4:$D$803)))</f>
        <v/>
      </c>
      <c r="K92" s="8" t="str">
        <f>IF($B92="","",IF(COUNTIF('Competency Event Log'!$U$4:$U$803,$B92&amp;"|"&amp;K$5)=0,"",SUMIF('Competency Event Log'!$U$4:$U$803,$B92&amp;"|"&amp;K$5,'Competency Event Log'!$D$4:$D$803)))</f>
        <v/>
      </c>
      <c r="L92" s="8" t="str">
        <f>IF($B92="","",IF(COUNTIF('Competency Event Log'!$U$4:$U$803,$B92&amp;"|"&amp;L$5)=0,"",SUMIF('Competency Event Log'!$U$4:$U$803,$B92&amp;"|"&amp;L$5,'Competency Event Log'!$D$4:$D$803)))</f>
        <v/>
      </c>
      <c r="M92" s="8" t="str">
        <f>IF($B92="","",IF(COUNTIF('Competency Event Log'!$U$4:$U$803,$B92&amp;"|"&amp;M$5)=0,"",SUMIF('Competency Event Log'!$U$4:$U$803,$B92&amp;"|"&amp;M$5,'Competency Event Log'!$D$4:$D$803)))</f>
        <v/>
      </c>
      <c r="N92" s="8" t="str">
        <f>IF($B92="","",IF(COUNTIF('Competency Event Log'!$U$4:$U$803,$B92&amp;"|"&amp;N$5)=0,"",SUMIF('Competency Event Log'!$U$4:$U$803,$B92&amp;"|"&amp;N$5,'Competency Event Log'!$D$4:$D$803)))</f>
        <v/>
      </c>
      <c r="O92" s="8" t="str">
        <f>IF($B92="","",IF(COUNTIF('Competency Event Log'!$U$4:$U$803,$B92&amp;"|"&amp;O$5)=0,"",SUMIF('Competency Event Log'!$U$4:$U$803,$B92&amp;"|"&amp;O$5,'Competency Event Log'!$D$4:$D$803)))</f>
        <v/>
      </c>
      <c r="P92" s="8" t="str">
        <f>IF($B92="","",IF(COUNTIF('Competency Event Log'!$U$4:$U$803,$B92&amp;"|"&amp;P$5)=0,"",SUMIF('Competency Event Log'!$U$4:$U$803,$B92&amp;"|"&amp;P$5,'Competency Event Log'!$D$4:$D$803)))</f>
        <v/>
      </c>
      <c r="Q92" s="8" t="str">
        <f>IF($B92="","",IF(COUNTIF('Competency Event Log'!$U$4:$U$803,$B92&amp;"|"&amp;Q$5)=0,"",SUMIF('Competency Event Log'!$U$4:$U$803,$B92&amp;"|"&amp;Q$5,'Competency Event Log'!$D$4:$D$803)))</f>
        <v/>
      </c>
      <c r="R92" s="8" t="str">
        <f>IF($B92="","",IF(COUNTIF('Competency Event Log'!$U$4:$U$803,$B92&amp;"|"&amp;R$5)=0,"",SUMIF('Competency Event Log'!$U$4:$U$803,$B92&amp;"|"&amp;R$5,'Competency Event Log'!$D$4:$D$803)))</f>
        <v/>
      </c>
      <c r="S92" s="8" t="str">
        <f>IF($B92="","",IF(COUNTIF('Competency Event Log'!$U$4:$U$803,$B92&amp;"|"&amp;S$5)=0,"",SUMIF('Competency Event Log'!$U$4:$U$803,$B92&amp;"|"&amp;S$5,'Competency Event Log'!$D$4:$D$803)))</f>
        <v/>
      </c>
      <c r="T92" s="8" t="str">
        <f>IF($B92="","",IF(COUNTIF('Competency Event Log'!$U$4:$U$803,$B92&amp;"|"&amp;T$5)=0,"",SUMIF('Competency Event Log'!$U$4:$U$803,$B92&amp;"|"&amp;T$5,'Competency Event Log'!$D$4:$D$803)))</f>
        <v/>
      </c>
      <c r="U92" s="8" t="str">
        <f>IF($B92="","",IF(COUNTIF('Competency Event Log'!$U$4:$U$803,$B92&amp;"|"&amp;U$5)=0,"",SUMIF('Competency Event Log'!$U$4:$U$803,$B92&amp;"|"&amp;U$5,'Competency Event Log'!$D$4:$D$803)))</f>
        <v/>
      </c>
      <c r="V92" s="8" t="str">
        <f>IF($B92="","",IF(COUNTIF('Competency Event Log'!$U$4:$U$803,$B92&amp;"|"&amp;V$5)=0,"",SUMIF('Competency Event Log'!$U$4:$U$803,$B92&amp;"|"&amp;V$5,'Competency Event Log'!$D$4:$D$803)))</f>
        <v/>
      </c>
      <c r="W92" s="8" t="str">
        <f>IF($B92="","",IF(COUNTIF('Competency Event Log'!$U$4:$U$803,$B92&amp;"|"&amp;W$5)=0,"",SUMIF('Competency Event Log'!$U$4:$U$803,$B92&amp;"|"&amp;W$5,'Competency Event Log'!$D$4:$D$803)))</f>
        <v/>
      </c>
      <c r="X92" s="8" t="str">
        <f>IF($B92="","",IF(COUNTIF('Competency Event Log'!$U$4:$U$803,$B92&amp;"|"&amp;X$5)=0,"",SUMIF('Competency Event Log'!$U$4:$U$803,$B92&amp;"|"&amp;X$5,'Competency Event Log'!$D$4:$D$803)))</f>
        <v/>
      </c>
      <c r="Y92" s="8" t="str">
        <f>IF($B92="","",IF(COUNTIF('Competency Event Log'!$U$4:$U$803,$B92&amp;"|"&amp;Y$5)=0,"",SUMIF('Competency Event Log'!$U$4:$U$803,$B92&amp;"|"&amp;Y$5,'Competency Event Log'!$D$4:$D$803)))</f>
        <v/>
      </c>
      <c r="Z92" s="8" t="str">
        <f>IF($B92="","",IF(COUNTIF('Competency Event Log'!$U$4:$U$803,$B92&amp;"|"&amp;Z$5)=0,"",SUMIF('Competency Event Log'!$U$4:$U$803,$B92&amp;"|"&amp;Z$5,'Competency Event Log'!$D$4:$D$803)))</f>
        <v/>
      </c>
      <c r="AA92" s="8" t="str">
        <f>IF($B92="","",IF(COUNTIF('Competency Event Log'!$U$4:$U$803,$B92&amp;"|"&amp;AA$5)=0,"",SUMIF('Competency Event Log'!$U$4:$U$803,$B92&amp;"|"&amp;AA$5,'Competency Event Log'!$D$4:$D$803)))</f>
        <v/>
      </c>
      <c r="AB92" s="8" t="str">
        <f>IF($B92="","",IF(COUNTIF('Competency Event Log'!$U$4:$U$803,$B92&amp;"|"&amp;AB$5)=0,"",SUMIF('Competency Event Log'!$U$4:$U$803,$B92&amp;"|"&amp;AB$5,'Competency Event Log'!$D$4:$D$803)))</f>
        <v/>
      </c>
      <c r="AC92" s="8" t="str">
        <f>IF($B92="","",IF(COUNTIF('Competency Event Log'!$U$4:$U$803,$B92&amp;"|"&amp;AC$5)=0,"",SUMIF('Competency Event Log'!$U$4:$U$803,$B92&amp;"|"&amp;AC$5,'Competency Event Log'!$D$4:$D$803)))</f>
        <v/>
      </c>
      <c r="AD92" s="8" t="str">
        <f>IF($B92="","",IF(COUNTIF('Competency Event Log'!$U$4:$U$803,$B92&amp;"|"&amp;AD$5)=0,"",SUMIF('Competency Event Log'!$U$4:$U$803,$B92&amp;"|"&amp;AD$5,'Competency Event Log'!$D$4:$D$803)))</f>
        <v/>
      </c>
      <c r="AE92" s="8" t="str">
        <f>IF($B92="","",IF(COUNTIF('Competency Event Log'!$U$4:$U$803,$B92&amp;"|"&amp;AE$5)=0,"",SUMIF('Competency Event Log'!$U$4:$U$803,$B92&amp;"|"&amp;AE$5,'Competency Event Log'!$D$4:$D$803)))</f>
        <v/>
      </c>
      <c r="AF92" s="8" t="str">
        <f>IF($B92="","",IF(COUNTIF('Competency Event Log'!$U$4:$U$803,$B92&amp;"|"&amp;AF$5)=0,"",SUMIF('Competency Event Log'!$U$4:$U$803,$B92&amp;"|"&amp;AF$5,'Competency Event Log'!$D$4:$D$803)))</f>
        <v/>
      </c>
      <c r="AG92" s="8" t="str">
        <f>IF($B92="","",IF(COUNTIF('Competency Event Log'!$U$4:$U$803,$B92&amp;"|"&amp;AG$5)=0,"",SUMIF('Competency Event Log'!$U$4:$U$803,$B92&amp;"|"&amp;AG$5,'Competency Event Log'!$D$4:$D$803)))</f>
        <v/>
      </c>
      <c r="AH92" s="8" t="str">
        <f>IF($B92="","",IF(COUNTIF('Competency Event Log'!$U$4:$U$803,$B92&amp;"|"&amp;AH$5)=0,"",SUMIF('Competency Event Log'!$U$4:$U$803,$B92&amp;"|"&amp;AH$5,'Competency Event Log'!$D$4:$D$803)))</f>
        <v/>
      </c>
      <c r="AI92" s="8" t="str">
        <f>IF($B92="","",IF(COUNTIF('Competency Event Log'!$U$4:$U$803,$B92&amp;"|"&amp;AI$5)=0,"",SUMIF('Competency Event Log'!$U$4:$U$803,$B92&amp;"|"&amp;AI$5,'Competency Event Log'!$D$4:$D$803)))</f>
        <v/>
      </c>
      <c r="AJ92" s="8" t="str">
        <f>IF($B92="","",IF(COUNTIF('Competency Event Log'!$U$4:$U$803,$B92&amp;"|"&amp;AJ$5)=0,"",SUMIF('Competency Event Log'!$U$4:$U$803,$B92&amp;"|"&amp;AJ$5,'Competency Event Log'!$D$4:$D$803)))</f>
        <v/>
      </c>
      <c r="AK92" s="8" t="str">
        <f>IF($B92="","",IF(COUNTIF('Competency Event Log'!$U$4:$U$803,$B92&amp;"|"&amp;AK$5)=0,"",SUMIF('Competency Event Log'!$U$4:$U$803,$B92&amp;"|"&amp;AK$5,'Competency Event Log'!$D$4:$D$803)))</f>
        <v/>
      </c>
      <c r="AL92" s="8" t="str">
        <f>IF($B92="","",IF(COUNTIF('Competency Event Log'!$U$4:$U$803,$B92&amp;"|"&amp;AL$5)=0,"",SUMIF('Competency Event Log'!$U$4:$U$803,$B92&amp;"|"&amp;AL$5,'Competency Event Log'!$D$4:$D$803)))</f>
        <v/>
      </c>
      <c r="AM92" s="8" t="str">
        <f>IF($B92="","",IF(COUNTIF('Competency Event Log'!$U$4:$U$803,$B92&amp;"|"&amp;AM$5)=0,"",SUMIF('Competency Event Log'!$U$4:$U$803,$B92&amp;"|"&amp;AM$5,'Competency Event Log'!$D$4:$D$803)))</f>
        <v/>
      </c>
      <c r="AN92" s="8" t="str">
        <f>IF($B92="","",IF(COUNTIF('Competency Event Log'!$U$4:$U$803,$B92&amp;"|"&amp;AN$5)=0,"",SUMIF('Competency Event Log'!$U$4:$U$803,$B92&amp;"|"&amp;AN$5,'Competency Event Log'!$D$4:$D$803)))</f>
        <v/>
      </c>
      <c r="AO92" s="8" t="str">
        <f>IF($B92="","",IF(COUNTIF('Competency Event Log'!$U$4:$U$803,$B92&amp;"|"&amp;AO$5)=0,"",SUMIF('Competency Event Log'!$U$4:$U$803,$B92&amp;"|"&amp;AO$5,'Competency Event Log'!$D$4:$D$803)))</f>
        <v/>
      </c>
      <c r="AP92" s="8" t="str">
        <f>IF($B92="","",IF(COUNTIF('Competency Event Log'!$U$4:$U$803,$B92&amp;"|"&amp;AP$5)=0,"",SUMIF('Competency Event Log'!$U$4:$U$803,$B92&amp;"|"&amp;AP$5,'Competency Event Log'!$D$4:$D$803)))</f>
        <v/>
      </c>
      <c r="AQ92" s="8" t="str">
        <f>IF($B92="","",IF(COUNTIF('Competency Event Log'!$U$4:$U$803,$B92&amp;"|"&amp;AQ$5)=0,"",SUMIF('Competency Event Log'!$U$4:$U$803,$B92&amp;"|"&amp;AQ$5,'Competency Event Log'!$D$4:$D$803)))</f>
        <v/>
      </c>
      <c r="AR92" s="8" t="str">
        <f>IF($B92="","",IF(COUNTIF('Competency Event Log'!$U$4:$U$803,$B92&amp;"|"&amp;AR$5)=0,"",SUMIF('Competency Event Log'!$U$4:$U$803,$B92&amp;"|"&amp;AR$5,'Competency Event Log'!$D$4:$D$803)))</f>
        <v/>
      </c>
      <c r="AS92" s="8" t="str">
        <f>IF($B92="","",IF(COUNTIF('Competency Event Log'!$U$4:$U$803,$B92&amp;"|"&amp;AS$5)=0,"",SUMIF('Competency Event Log'!$U$4:$U$803,$B92&amp;"|"&amp;AS$5,'Competency Event Log'!$D$4:$D$803)))</f>
        <v/>
      </c>
      <c r="AT92" s="8" t="str">
        <f>IF($B92="","",IF(COUNTIF('Competency Event Log'!$U$4:$U$803,$B92&amp;"|"&amp;AT$5)=0,"",SUMIF('Competency Event Log'!$U$4:$U$803,$B92&amp;"|"&amp;AT$5,'Competency Event Log'!$D$4:$D$803)))</f>
        <v/>
      </c>
      <c r="AU92" s="8" t="str">
        <f>IF($B92="","",IF(COUNTIF('Competency Event Log'!$U$4:$U$803,$B92&amp;"|"&amp;AU$5)=0,"",SUMIF('Competency Event Log'!$U$4:$U$803,$B92&amp;"|"&amp;AU$5,'Competency Event Log'!$D$4:$D$803)))</f>
        <v/>
      </c>
      <c r="AV92" s="8" t="str">
        <f>IF($B92="","",IF(COUNTIF('Competency Event Log'!$U$4:$U$803,$B92&amp;"|"&amp;AV$5)=0,"",SUMIF('Competency Event Log'!$U$4:$U$803,$B92&amp;"|"&amp;AV$5,'Competency Event Log'!$D$4:$D$803)))</f>
        <v/>
      </c>
      <c r="AW92" s="8" t="str">
        <f>IF($B92="","",IF(COUNTIF('Competency Event Log'!$U$4:$U$803,$B92&amp;"|"&amp;AW$5)=0,"",SUMIF('Competency Event Log'!$U$4:$U$803,$B92&amp;"|"&amp;AW$5,'Competency Event Log'!$D$4:$D$803)))</f>
        <v/>
      </c>
      <c r="AX92" s="8" t="str">
        <f>IF($B92="","",IF(COUNTIF('Competency Event Log'!$U$4:$U$803,$B92&amp;"|"&amp;AX$5)=0,"",SUMIF('Competency Event Log'!$U$4:$U$803,$B92&amp;"|"&amp;AX$5,'Competency Event Log'!$D$4:$D$803)))</f>
        <v/>
      </c>
      <c r="AY92" s="8" t="str">
        <f>IF($B92="","",IF(COUNTIF('Competency Event Log'!$U$4:$U$803,$B92&amp;"|"&amp;AY$5)=0,"",SUMIF('Competency Event Log'!$U$4:$U$803,$B92&amp;"|"&amp;AY$5,'Competency Event Log'!$D$4:$D$803)))</f>
        <v/>
      </c>
      <c r="AZ92" s="8" t="str">
        <f>IF($B92="","",IF(COUNTIF('Competency Event Log'!$U$4:$U$803,$B92&amp;"|"&amp;AZ$5)=0,"",SUMIF('Competency Event Log'!$U$4:$U$803,$B92&amp;"|"&amp;AZ$5,'Competency Event Log'!$D$4:$D$803)))</f>
        <v/>
      </c>
      <c r="BA92" s="8" t="str">
        <f>IF($B92="","",IF(COUNTIF('Competency Event Log'!$U$4:$U$803,$B92&amp;"|"&amp;BA$5)=0,"",SUMIF('Competency Event Log'!$U$4:$U$803,$B92&amp;"|"&amp;BA$5,'Competency Event Log'!$D$4:$D$803)))</f>
        <v/>
      </c>
      <c r="BB92" s="8" t="str">
        <f>IF($B92="","",IF(COUNTIF('Competency Event Log'!$U$4:$U$803,$B92&amp;"|"&amp;BB$5)=0,"",SUMIF('Competency Event Log'!$U$4:$U$803,$B92&amp;"|"&amp;BB$5,'Competency Event Log'!$D$4:$D$803)))</f>
        <v/>
      </c>
      <c r="BC92" s="8" t="str">
        <f>IF($B92="","",IF(COUNTIF('Competency Event Log'!$U$4:$U$803,$B92&amp;"|"&amp;BC$5)=0,"",SUMIF('Competency Event Log'!$U$4:$U$803,$B92&amp;"|"&amp;BC$5,'Competency Event Log'!$D$4:$D$803)))</f>
        <v/>
      </c>
      <c r="BD92" s="8" t="str">
        <f>IF($B92="","",IF(COUNTIF('Competency Event Log'!$U$4:$U$803,$B92&amp;"|"&amp;BD$5)=0,"",SUMIF('Competency Event Log'!$U$4:$U$803,$B92&amp;"|"&amp;BD$5,'Competency Event Log'!$D$4:$D$803)))</f>
        <v/>
      </c>
      <c r="BE92" s="8" t="str">
        <f>IF($B92="","",IF(COUNTIF('Competency Event Log'!$U$4:$U$803,$B92&amp;"|"&amp;BE$5)=0,"",SUMIF('Competency Event Log'!$U$4:$U$803,$B92&amp;"|"&amp;BE$5,'Competency Event Log'!$D$4:$D$803)))</f>
        <v/>
      </c>
      <c r="BF92" s="8" t="str">
        <f>IF($B92="","",IF(COUNTIF('Competency Event Log'!$U$4:$U$803,$B92&amp;"|"&amp;BF$5)=0,"",SUMIF('Competency Event Log'!$U$4:$U$803,$B92&amp;"|"&amp;BF$5,'Competency Event Log'!$D$4:$D$803)))</f>
        <v/>
      </c>
      <c r="BG92" s="8" t="str">
        <f>IF($B92="","",IF(COUNTIF('Competency Event Log'!$U$4:$U$803,$B92&amp;"|"&amp;BG$5)=0,"",SUMIF('Competency Event Log'!$U$4:$U$803,$B92&amp;"|"&amp;BG$5,'Competency Event Log'!$D$4:$D$803)))</f>
        <v/>
      </c>
      <c r="BH92" s="8" t="str">
        <f>IF($B92="","",IF(COUNTIF('Competency Event Log'!$U$4:$U$803,$B92&amp;"|"&amp;BH$5)=0,"",SUMIF('Competency Event Log'!$U$4:$U$803,$B92&amp;"|"&amp;BH$5,'Competency Event Log'!$D$4:$D$803)))</f>
        <v/>
      </c>
      <c r="BI92" s="8" t="str">
        <f>IF($B92="","",IF(COUNTIF('Competency Event Log'!$U$4:$U$803,$B92&amp;"|"&amp;BI$5)=0,"",SUMIF('Competency Event Log'!$U$4:$U$803,$B92&amp;"|"&amp;BI$5,'Competency Event Log'!$D$4:$D$803)))</f>
        <v/>
      </c>
      <c r="BJ92" s="8" t="str">
        <f>IF($B92="","",IF(COUNTIF('Competency Event Log'!$U$4:$U$803,$B92&amp;"|"&amp;BJ$5)=0,"",SUMIF('Competency Event Log'!$U$4:$U$803,$B92&amp;"|"&amp;BJ$5,'Competency Event Log'!$D$4:$D$803)))</f>
        <v/>
      </c>
      <c r="BK92" s="8" t="str">
        <f>IF($B92="","",IF(COUNTIF('Competency Event Log'!$U$4:$U$803,$B92&amp;"|"&amp;BK$5)=0,"",SUMIF('Competency Event Log'!$U$4:$U$803,$B92&amp;"|"&amp;BK$5,'Competency Event Log'!$D$4:$D$803)))</f>
        <v/>
      </c>
      <c r="BL92" s="8" t="str">
        <f>IF($B92="","",IF(COUNTIF('Competency Event Log'!$U$4:$U$803,$B92&amp;"|"&amp;BL$5)=0,"",SUMIF('Competency Event Log'!$U$4:$U$803,$B92&amp;"|"&amp;BL$5,'Competency Event Log'!$D$4:$D$803)))</f>
        <v/>
      </c>
      <c r="BM92" s="8" t="str">
        <f>IF($B92="","",IF(COUNTIF('Competency Event Log'!$U$4:$U$803,$B92&amp;"|"&amp;BM$5)=0,"",SUMIF('Competency Event Log'!$U$4:$U$803,$B92&amp;"|"&amp;BM$5,'Competency Event Log'!$D$4:$D$803)))</f>
        <v/>
      </c>
      <c r="BN92" s="8" t="str">
        <f>IF($B92="","",IF(COUNTIF('Competency Event Log'!$U$4:$U$803,$B92&amp;"|"&amp;BN$5)=0,"",SUMIF('Competency Event Log'!$U$4:$U$803,$B92&amp;"|"&amp;BN$5,'Competency Event Log'!$D$4:$D$803)))</f>
        <v/>
      </c>
      <c r="BO92" s="8" t="str">
        <f>IF($B92="","",IF(COUNTIF('Competency Event Log'!$U$4:$U$803,$B92&amp;"|"&amp;BO$5)=0,"",SUMIF('Competency Event Log'!$U$4:$U$803,$B92&amp;"|"&amp;BO$5,'Competency Event Log'!$D$4:$D$803)))</f>
        <v/>
      </c>
      <c r="BP92" s="8" t="str">
        <f>IF($B92="","",IF(COUNTIF('Competency Event Log'!$U$4:$U$803,$B92&amp;"|"&amp;BP$5)=0,"",SUMIF('Competency Event Log'!$U$4:$U$803,$B92&amp;"|"&amp;BP$5,'Competency Event Log'!$D$4:$D$803)))</f>
        <v/>
      </c>
      <c r="BQ92" s="8" t="str">
        <f>IF($B92="","",IF(COUNTIF('Competency Event Log'!$U$4:$U$803,$B92&amp;"|"&amp;BQ$5)=0,"",SUMIF('Competency Event Log'!$U$4:$U$803,$B92&amp;"|"&amp;BQ$5,'Competency Event Log'!$D$4:$D$803)))</f>
        <v/>
      </c>
      <c r="BR92" s="8" t="str">
        <f>IF($B92="","",IF(COUNTIF('Competency Event Log'!$U$4:$U$803,$B92&amp;"|"&amp;BR$5)=0,"",SUMIF('Competency Event Log'!$U$4:$U$803,$B92&amp;"|"&amp;BR$5,'Competency Event Log'!$D$4:$D$803)))</f>
        <v/>
      </c>
      <c r="BS92" s="8" t="str">
        <f>IF($B92="","",IF(COUNTIF('Competency Event Log'!$U$4:$U$803,$B92&amp;"|"&amp;BS$5)=0,"",SUMIF('Competency Event Log'!$U$4:$U$803,$B92&amp;"|"&amp;BS$5,'Competency Event Log'!$D$4:$D$803)))</f>
        <v/>
      </c>
      <c r="BT92" s="8" t="str">
        <f>IF($B92="","",IF(COUNTIF('Competency Event Log'!$U$4:$U$803,$B92&amp;"|"&amp;BT$5)=0,"",SUMIF('Competency Event Log'!$U$4:$U$803,$B92&amp;"|"&amp;BT$5,'Competency Event Log'!$D$4:$D$803)))</f>
        <v/>
      </c>
      <c r="BU92" s="8" t="str">
        <f>IF($B92="","",IF(COUNTIF('Competency Event Log'!$U$4:$U$803,$B92&amp;"|"&amp;BU$5)=0,"",SUMIF('Competency Event Log'!$U$4:$U$803,$B92&amp;"|"&amp;BU$5,'Competency Event Log'!$D$4:$D$803)))</f>
        <v/>
      </c>
      <c r="BV92" s="8" t="str">
        <f>IF($B92="","",IF(COUNTIF('Competency Event Log'!$U$4:$U$803,$B92&amp;"|"&amp;BV$5)=0,"",SUMIF('Competency Event Log'!$U$4:$U$803,$B92&amp;"|"&amp;BV$5,'Competency Event Log'!$D$4:$D$803)))</f>
        <v/>
      </c>
      <c r="BW92" s="8" t="str">
        <f>IF($B92="","",IF(COUNTIF('Competency Event Log'!$U$4:$U$803,$B92&amp;"|"&amp;BW$5)=0,"",SUMIF('Competency Event Log'!$U$4:$U$803,$B92&amp;"|"&amp;BW$5,'Competency Event Log'!$D$4:$D$803)))</f>
        <v/>
      </c>
      <c r="BX92" s="8" t="str">
        <f>IF($B92="","",IF(COUNTIF('Competency Event Log'!$U$4:$U$803,$B92&amp;"|"&amp;BX$5)=0,"",SUMIF('Competency Event Log'!$U$4:$U$803,$B92&amp;"|"&amp;BX$5,'Competency Event Log'!$D$4:$D$803)))</f>
        <v/>
      </c>
      <c r="BY92" s="8" t="str">
        <f>IF($B92="","",IF(COUNTIF('Competency Event Log'!$U$4:$U$803,$B92&amp;"|"&amp;BY$5)=0,"",SUMIF('Competency Event Log'!$U$4:$U$803,$B92&amp;"|"&amp;BY$5,'Competency Event Log'!$D$4:$D$803)))</f>
        <v/>
      </c>
      <c r="BZ92" s="8" t="str">
        <f>IF($B92="","",IF(COUNTIF('Competency Event Log'!$U$4:$U$803,$B92&amp;"|"&amp;BZ$5)=0,"",SUMIF('Competency Event Log'!$U$4:$U$803,$B92&amp;"|"&amp;BZ$5,'Competency Event Log'!$D$4:$D$803)))</f>
        <v/>
      </c>
      <c r="CA92" s="8" t="str">
        <f>IF($B92="","",IF(COUNTIF('Competency Event Log'!$U$4:$U$803,$B92&amp;"|"&amp;CA$5)=0,"",SUMIF('Competency Event Log'!$U$4:$U$803,$B92&amp;"|"&amp;CA$5,'Competency Event Log'!$D$4:$D$803)))</f>
        <v/>
      </c>
      <c r="CB92" s="8" t="str">
        <f>IF($B92="","",IF(COUNTIF('Competency Event Log'!$U$4:$U$803,$B92&amp;"|"&amp;CB$5)=0,"",SUMIF('Competency Event Log'!$U$4:$U$803,$B92&amp;"|"&amp;CB$5,'Competency Event Log'!$D$4:$D$803)))</f>
        <v/>
      </c>
      <c r="CC92" s="8" t="str">
        <f>IF($B92="","",IF(COUNTIF('Competency Event Log'!$U$4:$U$803,$B92&amp;"|"&amp;CC$5)=0,"",SUMIF('Competency Event Log'!$U$4:$U$803,$B92&amp;"|"&amp;CC$5,'Competency Event Log'!$D$4:$D$803)))</f>
        <v/>
      </c>
      <c r="CD92" s="8" t="str">
        <f>IF($B92="","",IF(COUNTIF('Competency Event Log'!$U$4:$U$803,$B92&amp;"|"&amp;CD$5)=0,"",SUMIF('Competency Event Log'!$U$4:$U$803,$B92&amp;"|"&amp;CD$5,'Competency Event Log'!$D$4:$D$803)))</f>
        <v/>
      </c>
      <c r="CE92" s="8" t="str">
        <f>IF($B92="","",IF(COUNTIF('Competency Event Log'!$U$4:$U$803,$B92&amp;"|"&amp;CE$5)=0,"",SUMIF('Competency Event Log'!$U$4:$U$803,$B92&amp;"|"&amp;CE$5,'Competency Event Log'!$D$4:$D$803)))</f>
        <v/>
      </c>
      <c r="CF92" s="8" t="str">
        <f>IF($B92="","",IF(COUNTIF('Competency Event Log'!$U$4:$U$803,$B92&amp;"|"&amp;CF$5)=0,"",SUMIF('Competency Event Log'!$U$4:$U$803,$B92&amp;"|"&amp;CF$5,'Competency Event Log'!$D$4:$D$803)))</f>
        <v/>
      </c>
      <c r="CG92" s="8" t="str">
        <f>IF($B92="","",IF(COUNTIF('Competency Event Log'!$U$4:$U$803,$B92&amp;"|"&amp;CG$5)=0,"",SUMIF('Competency Event Log'!$U$4:$U$803,$B92&amp;"|"&amp;CG$5,'Competency Event Log'!$D$4:$D$803)))</f>
        <v/>
      </c>
      <c r="CH92" s="8" t="str">
        <f>IF($B92="","",IF(COUNTIF('Competency Event Log'!$U$4:$U$803,$B92&amp;"|"&amp;CH$5)=0,"",SUMIF('Competency Event Log'!$U$4:$U$803,$B92&amp;"|"&amp;CH$5,'Competency Event Log'!$D$4:$D$803)))</f>
        <v/>
      </c>
      <c r="CI92" s="8" t="str">
        <f>IF($B92="","",IF(COUNTIF('Competency Event Log'!$U$4:$U$803,$B92&amp;"|"&amp;CI$5)=0,"",SUMIF('Competency Event Log'!$U$4:$U$803,$B92&amp;"|"&amp;CI$5,'Competency Event Log'!$D$4:$D$803)))</f>
        <v/>
      </c>
      <c r="CJ92" s="8" t="str">
        <f>IF($B92="","",IF(COUNTIF('Competency Event Log'!$U$4:$U$803,$B92&amp;"|"&amp;CJ$5)=0,"",SUMIF('Competency Event Log'!$U$4:$U$803,$B92&amp;"|"&amp;CJ$5,'Competency Event Log'!$D$4:$D$803)))</f>
        <v/>
      </c>
      <c r="CK92" s="8" t="str">
        <f>IF($B92="","",IF(COUNTIF('Competency Event Log'!$U$4:$U$803,$B92&amp;"|"&amp;CK$5)=0,"",SUMIF('Competency Event Log'!$U$4:$U$803,$B92&amp;"|"&amp;CK$5,'Competency Event Log'!$D$4:$D$803)))</f>
        <v/>
      </c>
      <c r="CL92" s="8" t="str">
        <f>IF($B92="","",IF(COUNTIF('Competency Event Log'!$U$4:$U$803,$B92&amp;"|"&amp;CL$5)=0,"",SUMIF('Competency Event Log'!$U$4:$U$803,$B92&amp;"|"&amp;CL$5,'Competency Event Log'!$D$4:$D$803)))</f>
        <v/>
      </c>
      <c r="CM92" s="8" t="str">
        <f>IF($B92="","",IF(COUNTIF('Competency Event Log'!$U$4:$U$803,$B92&amp;"|"&amp;CM$5)=0,"",SUMIF('Competency Event Log'!$U$4:$U$803,$B92&amp;"|"&amp;CM$5,'Competency Event Log'!$D$4:$D$803)))</f>
        <v/>
      </c>
      <c r="CN92" s="8" t="str">
        <f>IF($B92="","",IF(COUNTIF('Competency Event Log'!$U$4:$U$803,$B92&amp;"|"&amp;CN$5)=0,"",SUMIF('Competency Event Log'!$U$4:$U$803,$B92&amp;"|"&amp;CN$5,'Competency Event Log'!$D$4:$D$803)))</f>
        <v/>
      </c>
      <c r="CO92" s="8" t="str">
        <f>IF($B92="","",IF(COUNTIF('Competency Event Log'!$U$4:$U$803,$B92&amp;"|"&amp;CO$5)=0,"",SUMIF('Competency Event Log'!$U$4:$U$803,$B92&amp;"|"&amp;CO$5,'Competency Event Log'!$D$4:$D$803)))</f>
        <v/>
      </c>
      <c r="CP92" s="8" t="str">
        <f>IF($B92="","",IF(COUNTIF('Competency Event Log'!$U$4:$U$803,$B92&amp;"|"&amp;CP$5)=0,"",SUMIF('Competency Event Log'!$U$4:$U$803,$B92&amp;"|"&amp;CP$5,'Competency Event Log'!$D$4:$D$803)))</f>
        <v/>
      </c>
      <c r="CQ92" s="8" t="str">
        <f>IF($B92="","",IF(COUNTIF('Competency Event Log'!$U$4:$U$803,$B92&amp;"|"&amp;CQ$5)=0,"",SUMIF('Competency Event Log'!$U$4:$U$803,$B92&amp;"|"&amp;CQ$5,'Competency Event Log'!$D$4:$D$803)))</f>
        <v/>
      </c>
      <c r="CR92" s="8" t="str">
        <f>IF($B92="","",IF(COUNTIF('Competency Event Log'!$U$4:$U$803,$B92&amp;"|"&amp;CR$5)=0,"",SUMIF('Competency Event Log'!$U$4:$U$803,$B92&amp;"|"&amp;CR$5,'Competency Event Log'!$D$4:$D$803)))</f>
        <v/>
      </c>
      <c r="CS92" s="8" t="str">
        <f>IF($B92="","",IF(COUNTIF('Competency Event Log'!$U$4:$U$803,$B92&amp;"|"&amp;CS$5)=0,"",SUMIF('Competency Event Log'!$U$4:$U$803,$B92&amp;"|"&amp;CS$5,'Competency Event Log'!$D$4:$D$803)))</f>
        <v/>
      </c>
      <c r="CT92" s="8" t="str">
        <f>IF($B92="","",IF(COUNTIF('Competency Event Log'!$U$4:$U$803,$B92&amp;"|"&amp;CT$5)=0,"",SUMIF('Competency Event Log'!$U$4:$U$803,$B92&amp;"|"&amp;CT$5,'Competency Event Log'!$D$4:$D$803)))</f>
        <v/>
      </c>
      <c r="CU92" s="8" t="str">
        <f>IF($B92="","",IF(COUNTIF('Competency Event Log'!$U$4:$U$803,$B92&amp;"|"&amp;CU$5)=0,"",SUMIF('Competency Event Log'!$U$4:$U$803,$B92&amp;"|"&amp;CU$5,'Competency Event Log'!$D$4:$D$803)))</f>
        <v/>
      </c>
      <c r="CV92" s="8" t="str">
        <f>IF($B92="","",IF(COUNTIF('Competency Event Log'!$U$4:$U$803,$B92&amp;"|"&amp;CV$5)=0,"",SUMIF('Competency Event Log'!$U$4:$U$803,$B92&amp;"|"&amp;CV$5,'Competency Event Log'!$D$4:$D$803)))</f>
        <v/>
      </c>
      <c r="CW92" s="8" t="str">
        <f>IF($B92="","",IF(COUNTIF('Competency Event Log'!$U$4:$U$803,$B92&amp;"|"&amp;CW$5)=0,"",SUMIF('Competency Event Log'!$U$4:$U$803,$B92&amp;"|"&amp;CW$5,'Competency Event Log'!$D$4:$D$803)))</f>
        <v/>
      </c>
      <c r="CX92" s="8" t="str">
        <f>IF($B92="","",IF(COUNTIF('Competency Event Log'!$U$4:$U$803,$B92&amp;"|"&amp;CX$5)=0,"",SUMIF('Competency Event Log'!$U$4:$U$803,$B92&amp;"|"&amp;CX$5,'Competency Event Log'!$D$4:$D$803)))</f>
        <v/>
      </c>
      <c r="CY92" s="8" t="str">
        <f>IF($B92="","",IF(COUNTIF('Competency Event Log'!$U$4:$U$803,$B92&amp;"|"&amp;CY$5)=0,"",SUMIF('Competency Event Log'!$U$4:$U$803,$B92&amp;"|"&amp;CY$5,'Competency Event Log'!$D$4:$D$803)))</f>
        <v/>
      </c>
      <c r="CZ92" s="8" t="str">
        <f>IF($B92="","",IF(COUNTIF('Competency Event Log'!$U$4:$U$803,$B92&amp;"|"&amp;CZ$5)=0,"",SUMIF('Competency Event Log'!$U$4:$U$803,$B92&amp;"|"&amp;CZ$5,'Competency Event Log'!$D$4:$D$803)))</f>
        <v/>
      </c>
      <c r="DA92" s="8" t="str">
        <f>IF($B92="","",IF(COUNTIF('Competency Event Log'!$U$4:$U$803,$B92&amp;"|"&amp;DA$5)=0,"",SUMIF('Competency Event Log'!$U$4:$U$803,$B92&amp;"|"&amp;DA$5,'Competency Event Log'!$D$4:$D$803)))</f>
        <v/>
      </c>
      <c r="DB92" s="8" t="str">
        <f>IF($B92="","",IF(COUNTIF('Competency Event Log'!$U$4:$U$803,$B92&amp;"|"&amp;DB$5)=0,"",SUMIF('Competency Event Log'!$U$4:$U$803,$B92&amp;"|"&amp;DB$5,'Competency Event Log'!$D$4:$D$803)))</f>
        <v/>
      </c>
      <c r="DC92" s="8" t="str">
        <f>IF($B92="","",IF(COUNTIF('Competency Event Log'!$U$4:$U$803,$B92&amp;"|"&amp;DC$5)=0,"",SUMIF('Competency Event Log'!$U$4:$U$803,$B92&amp;"|"&amp;DC$5,'Competency Event Log'!$D$4:$D$803)))</f>
        <v/>
      </c>
      <c r="DD92" s="8" t="str">
        <f>IF($B92="","",IF(COUNTIF('Competency Event Log'!$U$4:$U$803,$B92&amp;"|"&amp;DD$5)=0,"",SUMIF('Competency Event Log'!$U$4:$U$803,$B92&amp;"|"&amp;DD$5,'Competency Event Log'!$D$4:$D$803)))</f>
        <v/>
      </c>
      <c r="DE92" s="8" t="str">
        <f>IF($B92="","",IF(COUNTIF('Competency Event Log'!$U$4:$U$803,$B92&amp;"|"&amp;DE$5)=0,"",SUMIF('Competency Event Log'!$U$4:$U$803,$B92&amp;"|"&amp;DE$5,'Competency Event Log'!$D$4:$D$803)))</f>
        <v/>
      </c>
      <c r="DF92" s="8" t="str">
        <f t="shared" si="8"/>
        <v/>
      </c>
      <c r="DG92" s="8" t="str">
        <f t="shared" si="9"/>
        <v/>
      </c>
      <c r="DH92" s="8" t="str">
        <f t="shared" si="10"/>
        <v/>
      </c>
      <c r="DI92" s="11" t="str">
        <f t="shared" si="11"/>
        <v/>
      </c>
    </row>
    <row r="93" spans="1:113">
      <c r="A93" s="7"/>
      <c r="B93" s="7"/>
      <c r="C93" s="8"/>
      <c r="D93" s="9"/>
      <c r="E93" s="10"/>
      <c r="F93" s="8"/>
      <c r="G93" s="8" t="str">
        <f>IF($B93="","",IF(COUNTIF('Competency Event Log'!$U$4:$U$803,$B93&amp;"|"&amp;G$5)=0,"",SUMIF('Competency Event Log'!$U$4:$U$803,$B93&amp;"|"&amp;G$5,'Competency Event Log'!$D$4:$D$803)))</f>
        <v/>
      </c>
      <c r="H93" s="8" t="str">
        <f>IF($B93="","",IF(COUNTIF('Competency Event Log'!$U$4:$U$803,$B93&amp;"|"&amp;H$5)=0,"",SUMIF('Competency Event Log'!$U$4:$U$803,$B93&amp;"|"&amp;H$5,'Competency Event Log'!$D$4:$D$803)))</f>
        <v/>
      </c>
      <c r="I93" s="8" t="str">
        <f>IF($B93="","",IF(COUNTIF('Competency Event Log'!$U$4:$U$803,$B93&amp;"|"&amp;I$5)=0,"",SUMIF('Competency Event Log'!$U$4:$U$803,$B93&amp;"|"&amp;I$5,'Competency Event Log'!$D$4:$D$803)))</f>
        <v/>
      </c>
      <c r="J93" s="8" t="str">
        <f>IF($B93="","",IF(COUNTIF('Competency Event Log'!$U$4:$U$803,$B93&amp;"|"&amp;J$5)=0,"",SUMIF('Competency Event Log'!$U$4:$U$803,$B93&amp;"|"&amp;J$5,'Competency Event Log'!$D$4:$D$803)))</f>
        <v/>
      </c>
      <c r="K93" s="8" t="str">
        <f>IF($B93="","",IF(COUNTIF('Competency Event Log'!$U$4:$U$803,$B93&amp;"|"&amp;K$5)=0,"",SUMIF('Competency Event Log'!$U$4:$U$803,$B93&amp;"|"&amp;K$5,'Competency Event Log'!$D$4:$D$803)))</f>
        <v/>
      </c>
      <c r="L93" s="8" t="str">
        <f>IF($B93="","",IF(COUNTIF('Competency Event Log'!$U$4:$U$803,$B93&amp;"|"&amp;L$5)=0,"",SUMIF('Competency Event Log'!$U$4:$U$803,$B93&amp;"|"&amp;L$5,'Competency Event Log'!$D$4:$D$803)))</f>
        <v/>
      </c>
      <c r="M93" s="8" t="str">
        <f>IF($B93="","",IF(COUNTIF('Competency Event Log'!$U$4:$U$803,$B93&amp;"|"&amp;M$5)=0,"",SUMIF('Competency Event Log'!$U$4:$U$803,$B93&amp;"|"&amp;M$5,'Competency Event Log'!$D$4:$D$803)))</f>
        <v/>
      </c>
      <c r="N93" s="8" t="str">
        <f>IF($B93="","",IF(COUNTIF('Competency Event Log'!$U$4:$U$803,$B93&amp;"|"&amp;N$5)=0,"",SUMIF('Competency Event Log'!$U$4:$U$803,$B93&amp;"|"&amp;N$5,'Competency Event Log'!$D$4:$D$803)))</f>
        <v/>
      </c>
      <c r="O93" s="8" t="str">
        <f>IF($B93="","",IF(COUNTIF('Competency Event Log'!$U$4:$U$803,$B93&amp;"|"&amp;O$5)=0,"",SUMIF('Competency Event Log'!$U$4:$U$803,$B93&amp;"|"&amp;O$5,'Competency Event Log'!$D$4:$D$803)))</f>
        <v/>
      </c>
      <c r="P93" s="8" t="str">
        <f>IF($B93="","",IF(COUNTIF('Competency Event Log'!$U$4:$U$803,$B93&amp;"|"&amp;P$5)=0,"",SUMIF('Competency Event Log'!$U$4:$U$803,$B93&amp;"|"&amp;P$5,'Competency Event Log'!$D$4:$D$803)))</f>
        <v/>
      </c>
      <c r="Q93" s="8" t="str">
        <f>IF($B93="","",IF(COUNTIF('Competency Event Log'!$U$4:$U$803,$B93&amp;"|"&amp;Q$5)=0,"",SUMIF('Competency Event Log'!$U$4:$U$803,$B93&amp;"|"&amp;Q$5,'Competency Event Log'!$D$4:$D$803)))</f>
        <v/>
      </c>
      <c r="R93" s="8" t="str">
        <f>IF($B93="","",IF(COUNTIF('Competency Event Log'!$U$4:$U$803,$B93&amp;"|"&amp;R$5)=0,"",SUMIF('Competency Event Log'!$U$4:$U$803,$B93&amp;"|"&amp;R$5,'Competency Event Log'!$D$4:$D$803)))</f>
        <v/>
      </c>
      <c r="S93" s="8" t="str">
        <f>IF($B93="","",IF(COUNTIF('Competency Event Log'!$U$4:$U$803,$B93&amp;"|"&amp;S$5)=0,"",SUMIF('Competency Event Log'!$U$4:$U$803,$B93&amp;"|"&amp;S$5,'Competency Event Log'!$D$4:$D$803)))</f>
        <v/>
      </c>
      <c r="T93" s="8" t="str">
        <f>IF($B93="","",IF(COUNTIF('Competency Event Log'!$U$4:$U$803,$B93&amp;"|"&amp;T$5)=0,"",SUMIF('Competency Event Log'!$U$4:$U$803,$B93&amp;"|"&amp;T$5,'Competency Event Log'!$D$4:$D$803)))</f>
        <v/>
      </c>
      <c r="U93" s="8" t="str">
        <f>IF($B93="","",IF(COUNTIF('Competency Event Log'!$U$4:$U$803,$B93&amp;"|"&amp;U$5)=0,"",SUMIF('Competency Event Log'!$U$4:$U$803,$B93&amp;"|"&amp;U$5,'Competency Event Log'!$D$4:$D$803)))</f>
        <v/>
      </c>
      <c r="V93" s="8" t="str">
        <f>IF($B93="","",IF(COUNTIF('Competency Event Log'!$U$4:$U$803,$B93&amp;"|"&amp;V$5)=0,"",SUMIF('Competency Event Log'!$U$4:$U$803,$B93&amp;"|"&amp;V$5,'Competency Event Log'!$D$4:$D$803)))</f>
        <v/>
      </c>
      <c r="W93" s="8" t="str">
        <f>IF($B93="","",IF(COUNTIF('Competency Event Log'!$U$4:$U$803,$B93&amp;"|"&amp;W$5)=0,"",SUMIF('Competency Event Log'!$U$4:$U$803,$B93&amp;"|"&amp;W$5,'Competency Event Log'!$D$4:$D$803)))</f>
        <v/>
      </c>
      <c r="X93" s="8" t="str">
        <f>IF($B93="","",IF(COUNTIF('Competency Event Log'!$U$4:$U$803,$B93&amp;"|"&amp;X$5)=0,"",SUMIF('Competency Event Log'!$U$4:$U$803,$B93&amp;"|"&amp;X$5,'Competency Event Log'!$D$4:$D$803)))</f>
        <v/>
      </c>
      <c r="Y93" s="8" t="str">
        <f>IF($B93="","",IF(COUNTIF('Competency Event Log'!$U$4:$U$803,$B93&amp;"|"&amp;Y$5)=0,"",SUMIF('Competency Event Log'!$U$4:$U$803,$B93&amp;"|"&amp;Y$5,'Competency Event Log'!$D$4:$D$803)))</f>
        <v/>
      </c>
      <c r="Z93" s="8" t="str">
        <f>IF($B93="","",IF(COUNTIF('Competency Event Log'!$U$4:$U$803,$B93&amp;"|"&amp;Z$5)=0,"",SUMIF('Competency Event Log'!$U$4:$U$803,$B93&amp;"|"&amp;Z$5,'Competency Event Log'!$D$4:$D$803)))</f>
        <v/>
      </c>
      <c r="AA93" s="8" t="str">
        <f>IF($B93="","",IF(COUNTIF('Competency Event Log'!$U$4:$U$803,$B93&amp;"|"&amp;AA$5)=0,"",SUMIF('Competency Event Log'!$U$4:$U$803,$B93&amp;"|"&amp;AA$5,'Competency Event Log'!$D$4:$D$803)))</f>
        <v/>
      </c>
      <c r="AB93" s="8" t="str">
        <f>IF($B93="","",IF(COUNTIF('Competency Event Log'!$U$4:$U$803,$B93&amp;"|"&amp;AB$5)=0,"",SUMIF('Competency Event Log'!$U$4:$U$803,$B93&amp;"|"&amp;AB$5,'Competency Event Log'!$D$4:$D$803)))</f>
        <v/>
      </c>
      <c r="AC93" s="8" t="str">
        <f>IF($B93="","",IF(COUNTIF('Competency Event Log'!$U$4:$U$803,$B93&amp;"|"&amp;AC$5)=0,"",SUMIF('Competency Event Log'!$U$4:$U$803,$B93&amp;"|"&amp;AC$5,'Competency Event Log'!$D$4:$D$803)))</f>
        <v/>
      </c>
      <c r="AD93" s="8" t="str">
        <f>IF($B93="","",IF(COUNTIF('Competency Event Log'!$U$4:$U$803,$B93&amp;"|"&amp;AD$5)=0,"",SUMIF('Competency Event Log'!$U$4:$U$803,$B93&amp;"|"&amp;AD$5,'Competency Event Log'!$D$4:$D$803)))</f>
        <v/>
      </c>
      <c r="AE93" s="8" t="str">
        <f>IF($B93="","",IF(COUNTIF('Competency Event Log'!$U$4:$U$803,$B93&amp;"|"&amp;AE$5)=0,"",SUMIF('Competency Event Log'!$U$4:$U$803,$B93&amp;"|"&amp;AE$5,'Competency Event Log'!$D$4:$D$803)))</f>
        <v/>
      </c>
      <c r="AF93" s="8" t="str">
        <f>IF($B93="","",IF(COUNTIF('Competency Event Log'!$U$4:$U$803,$B93&amp;"|"&amp;AF$5)=0,"",SUMIF('Competency Event Log'!$U$4:$U$803,$B93&amp;"|"&amp;AF$5,'Competency Event Log'!$D$4:$D$803)))</f>
        <v/>
      </c>
      <c r="AG93" s="8" t="str">
        <f>IF($B93="","",IF(COUNTIF('Competency Event Log'!$U$4:$U$803,$B93&amp;"|"&amp;AG$5)=0,"",SUMIF('Competency Event Log'!$U$4:$U$803,$B93&amp;"|"&amp;AG$5,'Competency Event Log'!$D$4:$D$803)))</f>
        <v/>
      </c>
      <c r="AH93" s="8" t="str">
        <f>IF($B93="","",IF(COUNTIF('Competency Event Log'!$U$4:$U$803,$B93&amp;"|"&amp;AH$5)=0,"",SUMIF('Competency Event Log'!$U$4:$U$803,$B93&amp;"|"&amp;AH$5,'Competency Event Log'!$D$4:$D$803)))</f>
        <v/>
      </c>
      <c r="AI93" s="8" t="str">
        <f>IF($B93="","",IF(COUNTIF('Competency Event Log'!$U$4:$U$803,$B93&amp;"|"&amp;AI$5)=0,"",SUMIF('Competency Event Log'!$U$4:$U$803,$B93&amp;"|"&amp;AI$5,'Competency Event Log'!$D$4:$D$803)))</f>
        <v/>
      </c>
      <c r="AJ93" s="8" t="str">
        <f>IF($B93="","",IF(COUNTIF('Competency Event Log'!$U$4:$U$803,$B93&amp;"|"&amp;AJ$5)=0,"",SUMIF('Competency Event Log'!$U$4:$U$803,$B93&amp;"|"&amp;AJ$5,'Competency Event Log'!$D$4:$D$803)))</f>
        <v/>
      </c>
      <c r="AK93" s="8" t="str">
        <f>IF($B93="","",IF(COUNTIF('Competency Event Log'!$U$4:$U$803,$B93&amp;"|"&amp;AK$5)=0,"",SUMIF('Competency Event Log'!$U$4:$U$803,$B93&amp;"|"&amp;AK$5,'Competency Event Log'!$D$4:$D$803)))</f>
        <v/>
      </c>
      <c r="AL93" s="8" t="str">
        <f>IF($B93="","",IF(COUNTIF('Competency Event Log'!$U$4:$U$803,$B93&amp;"|"&amp;AL$5)=0,"",SUMIF('Competency Event Log'!$U$4:$U$803,$B93&amp;"|"&amp;AL$5,'Competency Event Log'!$D$4:$D$803)))</f>
        <v/>
      </c>
      <c r="AM93" s="8" t="str">
        <f>IF($B93="","",IF(COUNTIF('Competency Event Log'!$U$4:$U$803,$B93&amp;"|"&amp;AM$5)=0,"",SUMIF('Competency Event Log'!$U$4:$U$803,$B93&amp;"|"&amp;AM$5,'Competency Event Log'!$D$4:$D$803)))</f>
        <v/>
      </c>
      <c r="AN93" s="8" t="str">
        <f>IF($B93="","",IF(COUNTIF('Competency Event Log'!$U$4:$U$803,$B93&amp;"|"&amp;AN$5)=0,"",SUMIF('Competency Event Log'!$U$4:$U$803,$B93&amp;"|"&amp;AN$5,'Competency Event Log'!$D$4:$D$803)))</f>
        <v/>
      </c>
      <c r="AO93" s="8" t="str">
        <f>IF($B93="","",IF(COUNTIF('Competency Event Log'!$U$4:$U$803,$B93&amp;"|"&amp;AO$5)=0,"",SUMIF('Competency Event Log'!$U$4:$U$803,$B93&amp;"|"&amp;AO$5,'Competency Event Log'!$D$4:$D$803)))</f>
        <v/>
      </c>
      <c r="AP93" s="8" t="str">
        <f>IF($B93="","",IF(COUNTIF('Competency Event Log'!$U$4:$U$803,$B93&amp;"|"&amp;AP$5)=0,"",SUMIF('Competency Event Log'!$U$4:$U$803,$B93&amp;"|"&amp;AP$5,'Competency Event Log'!$D$4:$D$803)))</f>
        <v/>
      </c>
      <c r="AQ93" s="8" t="str">
        <f>IF($B93="","",IF(COUNTIF('Competency Event Log'!$U$4:$U$803,$B93&amp;"|"&amp;AQ$5)=0,"",SUMIF('Competency Event Log'!$U$4:$U$803,$B93&amp;"|"&amp;AQ$5,'Competency Event Log'!$D$4:$D$803)))</f>
        <v/>
      </c>
      <c r="AR93" s="8" t="str">
        <f>IF($B93="","",IF(COUNTIF('Competency Event Log'!$U$4:$U$803,$B93&amp;"|"&amp;AR$5)=0,"",SUMIF('Competency Event Log'!$U$4:$U$803,$B93&amp;"|"&amp;AR$5,'Competency Event Log'!$D$4:$D$803)))</f>
        <v/>
      </c>
      <c r="AS93" s="8" t="str">
        <f>IF($B93="","",IF(COUNTIF('Competency Event Log'!$U$4:$U$803,$B93&amp;"|"&amp;AS$5)=0,"",SUMIF('Competency Event Log'!$U$4:$U$803,$B93&amp;"|"&amp;AS$5,'Competency Event Log'!$D$4:$D$803)))</f>
        <v/>
      </c>
      <c r="AT93" s="8" t="str">
        <f>IF($B93="","",IF(COUNTIF('Competency Event Log'!$U$4:$U$803,$B93&amp;"|"&amp;AT$5)=0,"",SUMIF('Competency Event Log'!$U$4:$U$803,$B93&amp;"|"&amp;AT$5,'Competency Event Log'!$D$4:$D$803)))</f>
        <v/>
      </c>
      <c r="AU93" s="8" t="str">
        <f>IF($B93="","",IF(COUNTIF('Competency Event Log'!$U$4:$U$803,$B93&amp;"|"&amp;AU$5)=0,"",SUMIF('Competency Event Log'!$U$4:$U$803,$B93&amp;"|"&amp;AU$5,'Competency Event Log'!$D$4:$D$803)))</f>
        <v/>
      </c>
      <c r="AV93" s="8" t="str">
        <f>IF($B93="","",IF(COUNTIF('Competency Event Log'!$U$4:$U$803,$B93&amp;"|"&amp;AV$5)=0,"",SUMIF('Competency Event Log'!$U$4:$U$803,$B93&amp;"|"&amp;AV$5,'Competency Event Log'!$D$4:$D$803)))</f>
        <v/>
      </c>
      <c r="AW93" s="8" t="str">
        <f>IF($B93="","",IF(COUNTIF('Competency Event Log'!$U$4:$U$803,$B93&amp;"|"&amp;AW$5)=0,"",SUMIF('Competency Event Log'!$U$4:$U$803,$B93&amp;"|"&amp;AW$5,'Competency Event Log'!$D$4:$D$803)))</f>
        <v/>
      </c>
      <c r="AX93" s="8" t="str">
        <f>IF($B93="","",IF(COUNTIF('Competency Event Log'!$U$4:$U$803,$B93&amp;"|"&amp;AX$5)=0,"",SUMIF('Competency Event Log'!$U$4:$U$803,$B93&amp;"|"&amp;AX$5,'Competency Event Log'!$D$4:$D$803)))</f>
        <v/>
      </c>
      <c r="AY93" s="8" t="str">
        <f>IF($B93="","",IF(COUNTIF('Competency Event Log'!$U$4:$U$803,$B93&amp;"|"&amp;AY$5)=0,"",SUMIF('Competency Event Log'!$U$4:$U$803,$B93&amp;"|"&amp;AY$5,'Competency Event Log'!$D$4:$D$803)))</f>
        <v/>
      </c>
      <c r="AZ93" s="8" t="str">
        <f>IF($B93="","",IF(COUNTIF('Competency Event Log'!$U$4:$U$803,$B93&amp;"|"&amp;AZ$5)=0,"",SUMIF('Competency Event Log'!$U$4:$U$803,$B93&amp;"|"&amp;AZ$5,'Competency Event Log'!$D$4:$D$803)))</f>
        <v/>
      </c>
      <c r="BA93" s="8" t="str">
        <f>IF($B93="","",IF(COUNTIF('Competency Event Log'!$U$4:$U$803,$B93&amp;"|"&amp;BA$5)=0,"",SUMIF('Competency Event Log'!$U$4:$U$803,$B93&amp;"|"&amp;BA$5,'Competency Event Log'!$D$4:$D$803)))</f>
        <v/>
      </c>
      <c r="BB93" s="8" t="str">
        <f>IF($B93="","",IF(COUNTIF('Competency Event Log'!$U$4:$U$803,$B93&amp;"|"&amp;BB$5)=0,"",SUMIF('Competency Event Log'!$U$4:$U$803,$B93&amp;"|"&amp;BB$5,'Competency Event Log'!$D$4:$D$803)))</f>
        <v/>
      </c>
      <c r="BC93" s="8" t="str">
        <f>IF($B93="","",IF(COUNTIF('Competency Event Log'!$U$4:$U$803,$B93&amp;"|"&amp;BC$5)=0,"",SUMIF('Competency Event Log'!$U$4:$U$803,$B93&amp;"|"&amp;BC$5,'Competency Event Log'!$D$4:$D$803)))</f>
        <v/>
      </c>
      <c r="BD93" s="8" t="str">
        <f>IF($B93="","",IF(COUNTIF('Competency Event Log'!$U$4:$U$803,$B93&amp;"|"&amp;BD$5)=0,"",SUMIF('Competency Event Log'!$U$4:$U$803,$B93&amp;"|"&amp;BD$5,'Competency Event Log'!$D$4:$D$803)))</f>
        <v/>
      </c>
      <c r="BE93" s="8" t="str">
        <f>IF($B93="","",IF(COUNTIF('Competency Event Log'!$U$4:$U$803,$B93&amp;"|"&amp;BE$5)=0,"",SUMIF('Competency Event Log'!$U$4:$U$803,$B93&amp;"|"&amp;BE$5,'Competency Event Log'!$D$4:$D$803)))</f>
        <v/>
      </c>
      <c r="BF93" s="8" t="str">
        <f>IF($B93="","",IF(COUNTIF('Competency Event Log'!$U$4:$U$803,$B93&amp;"|"&amp;BF$5)=0,"",SUMIF('Competency Event Log'!$U$4:$U$803,$B93&amp;"|"&amp;BF$5,'Competency Event Log'!$D$4:$D$803)))</f>
        <v/>
      </c>
      <c r="BG93" s="8" t="str">
        <f>IF($B93="","",IF(COUNTIF('Competency Event Log'!$U$4:$U$803,$B93&amp;"|"&amp;BG$5)=0,"",SUMIF('Competency Event Log'!$U$4:$U$803,$B93&amp;"|"&amp;BG$5,'Competency Event Log'!$D$4:$D$803)))</f>
        <v/>
      </c>
      <c r="BH93" s="8" t="str">
        <f>IF($B93="","",IF(COUNTIF('Competency Event Log'!$U$4:$U$803,$B93&amp;"|"&amp;BH$5)=0,"",SUMIF('Competency Event Log'!$U$4:$U$803,$B93&amp;"|"&amp;BH$5,'Competency Event Log'!$D$4:$D$803)))</f>
        <v/>
      </c>
      <c r="BI93" s="8" t="str">
        <f>IF($B93="","",IF(COUNTIF('Competency Event Log'!$U$4:$U$803,$B93&amp;"|"&amp;BI$5)=0,"",SUMIF('Competency Event Log'!$U$4:$U$803,$B93&amp;"|"&amp;BI$5,'Competency Event Log'!$D$4:$D$803)))</f>
        <v/>
      </c>
      <c r="BJ93" s="8" t="str">
        <f>IF($B93="","",IF(COUNTIF('Competency Event Log'!$U$4:$U$803,$B93&amp;"|"&amp;BJ$5)=0,"",SUMIF('Competency Event Log'!$U$4:$U$803,$B93&amp;"|"&amp;BJ$5,'Competency Event Log'!$D$4:$D$803)))</f>
        <v/>
      </c>
      <c r="BK93" s="8" t="str">
        <f>IF($B93="","",IF(COUNTIF('Competency Event Log'!$U$4:$U$803,$B93&amp;"|"&amp;BK$5)=0,"",SUMIF('Competency Event Log'!$U$4:$U$803,$B93&amp;"|"&amp;BK$5,'Competency Event Log'!$D$4:$D$803)))</f>
        <v/>
      </c>
      <c r="BL93" s="8" t="str">
        <f>IF($B93="","",IF(COUNTIF('Competency Event Log'!$U$4:$U$803,$B93&amp;"|"&amp;BL$5)=0,"",SUMIF('Competency Event Log'!$U$4:$U$803,$B93&amp;"|"&amp;BL$5,'Competency Event Log'!$D$4:$D$803)))</f>
        <v/>
      </c>
      <c r="BM93" s="8" t="str">
        <f>IF($B93="","",IF(COUNTIF('Competency Event Log'!$U$4:$U$803,$B93&amp;"|"&amp;BM$5)=0,"",SUMIF('Competency Event Log'!$U$4:$U$803,$B93&amp;"|"&amp;BM$5,'Competency Event Log'!$D$4:$D$803)))</f>
        <v/>
      </c>
      <c r="BN93" s="8" t="str">
        <f>IF($B93="","",IF(COUNTIF('Competency Event Log'!$U$4:$U$803,$B93&amp;"|"&amp;BN$5)=0,"",SUMIF('Competency Event Log'!$U$4:$U$803,$B93&amp;"|"&amp;BN$5,'Competency Event Log'!$D$4:$D$803)))</f>
        <v/>
      </c>
      <c r="BO93" s="8" t="str">
        <f>IF($B93="","",IF(COUNTIF('Competency Event Log'!$U$4:$U$803,$B93&amp;"|"&amp;BO$5)=0,"",SUMIF('Competency Event Log'!$U$4:$U$803,$B93&amp;"|"&amp;BO$5,'Competency Event Log'!$D$4:$D$803)))</f>
        <v/>
      </c>
      <c r="BP93" s="8" t="str">
        <f>IF($B93="","",IF(COUNTIF('Competency Event Log'!$U$4:$U$803,$B93&amp;"|"&amp;BP$5)=0,"",SUMIF('Competency Event Log'!$U$4:$U$803,$B93&amp;"|"&amp;BP$5,'Competency Event Log'!$D$4:$D$803)))</f>
        <v/>
      </c>
      <c r="BQ93" s="8" t="str">
        <f>IF($B93="","",IF(COUNTIF('Competency Event Log'!$U$4:$U$803,$B93&amp;"|"&amp;BQ$5)=0,"",SUMIF('Competency Event Log'!$U$4:$U$803,$B93&amp;"|"&amp;BQ$5,'Competency Event Log'!$D$4:$D$803)))</f>
        <v/>
      </c>
      <c r="BR93" s="8" t="str">
        <f>IF($B93="","",IF(COUNTIF('Competency Event Log'!$U$4:$U$803,$B93&amp;"|"&amp;BR$5)=0,"",SUMIF('Competency Event Log'!$U$4:$U$803,$B93&amp;"|"&amp;BR$5,'Competency Event Log'!$D$4:$D$803)))</f>
        <v/>
      </c>
      <c r="BS93" s="8" t="str">
        <f>IF($B93="","",IF(COUNTIF('Competency Event Log'!$U$4:$U$803,$B93&amp;"|"&amp;BS$5)=0,"",SUMIF('Competency Event Log'!$U$4:$U$803,$B93&amp;"|"&amp;BS$5,'Competency Event Log'!$D$4:$D$803)))</f>
        <v/>
      </c>
      <c r="BT93" s="8" t="str">
        <f>IF($B93="","",IF(COUNTIF('Competency Event Log'!$U$4:$U$803,$B93&amp;"|"&amp;BT$5)=0,"",SUMIF('Competency Event Log'!$U$4:$U$803,$B93&amp;"|"&amp;BT$5,'Competency Event Log'!$D$4:$D$803)))</f>
        <v/>
      </c>
      <c r="BU93" s="8" t="str">
        <f>IF($B93="","",IF(COUNTIF('Competency Event Log'!$U$4:$U$803,$B93&amp;"|"&amp;BU$5)=0,"",SUMIF('Competency Event Log'!$U$4:$U$803,$B93&amp;"|"&amp;BU$5,'Competency Event Log'!$D$4:$D$803)))</f>
        <v/>
      </c>
      <c r="BV93" s="8" t="str">
        <f>IF($B93="","",IF(COUNTIF('Competency Event Log'!$U$4:$U$803,$B93&amp;"|"&amp;BV$5)=0,"",SUMIF('Competency Event Log'!$U$4:$U$803,$B93&amp;"|"&amp;BV$5,'Competency Event Log'!$D$4:$D$803)))</f>
        <v/>
      </c>
      <c r="BW93" s="8" t="str">
        <f>IF($B93="","",IF(COUNTIF('Competency Event Log'!$U$4:$U$803,$B93&amp;"|"&amp;BW$5)=0,"",SUMIF('Competency Event Log'!$U$4:$U$803,$B93&amp;"|"&amp;BW$5,'Competency Event Log'!$D$4:$D$803)))</f>
        <v/>
      </c>
      <c r="BX93" s="8" t="str">
        <f>IF($B93="","",IF(COUNTIF('Competency Event Log'!$U$4:$U$803,$B93&amp;"|"&amp;BX$5)=0,"",SUMIF('Competency Event Log'!$U$4:$U$803,$B93&amp;"|"&amp;BX$5,'Competency Event Log'!$D$4:$D$803)))</f>
        <v/>
      </c>
      <c r="BY93" s="8" t="str">
        <f>IF($B93="","",IF(COUNTIF('Competency Event Log'!$U$4:$U$803,$B93&amp;"|"&amp;BY$5)=0,"",SUMIF('Competency Event Log'!$U$4:$U$803,$B93&amp;"|"&amp;BY$5,'Competency Event Log'!$D$4:$D$803)))</f>
        <v/>
      </c>
      <c r="BZ93" s="8" t="str">
        <f>IF($B93="","",IF(COUNTIF('Competency Event Log'!$U$4:$U$803,$B93&amp;"|"&amp;BZ$5)=0,"",SUMIF('Competency Event Log'!$U$4:$U$803,$B93&amp;"|"&amp;BZ$5,'Competency Event Log'!$D$4:$D$803)))</f>
        <v/>
      </c>
      <c r="CA93" s="8" t="str">
        <f>IF($B93="","",IF(COUNTIF('Competency Event Log'!$U$4:$U$803,$B93&amp;"|"&amp;CA$5)=0,"",SUMIF('Competency Event Log'!$U$4:$U$803,$B93&amp;"|"&amp;CA$5,'Competency Event Log'!$D$4:$D$803)))</f>
        <v/>
      </c>
      <c r="CB93" s="8" t="str">
        <f>IF($B93="","",IF(COUNTIF('Competency Event Log'!$U$4:$U$803,$B93&amp;"|"&amp;CB$5)=0,"",SUMIF('Competency Event Log'!$U$4:$U$803,$B93&amp;"|"&amp;CB$5,'Competency Event Log'!$D$4:$D$803)))</f>
        <v/>
      </c>
      <c r="CC93" s="8" t="str">
        <f>IF($B93="","",IF(COUNTIF('Competency Event Log'!$U$4:$U$803,$B93&amp;"|"&amp;CC$5)=0,"",SUMIF('Competency Event Log'!$U$4:$U$803,$B93&amp;"|"&amp;CC$5,'Competency Event Log'!$D$4:$D$803)))</f>
        <v/>
      </c>
      <c r="CD93" s="8" t="str">
        <f>IF($B93="","",IF(COUNTIF('Competency Event Log'!$U$4:$U$803,$B93&amp;"|"&amp;CD$5)=0,"",SUMIF('Competency Event Log'!$U$4:$U$803,$B93&amp;"|"&amp;CD$5,'Competency Event Log'!$D$4:$D$803)))</f>
        <v/>
      </c>
      <c r="CE93" s="8" t="str">
        <f>IF($B93="","",IF(COUNTIF('Competency Event Log'!$U$4:$U$803,$B93&amp;"|"&amp;CE$5)=0,"",SUMIF('Competency Event Log'!$U$4:$U$803,$B93&amp;"|"&amp;CE$5,'Competency Event Log'!$D$4:$D$803)))</f>
        <v/>
      </c>
      <c r="CF93" s="8" t="str">
        <f>IF($B93="","",IF(COUNTIF('Competency Event Log'!$U$4:$U$803,$B93&amp;"|"&amp;CF$5)=0,"",SUMIF('Competency Event Log'!$U$4:$U$803,$B93&amp;"|"&amp;CF$5,'Competency Event Log'!$D$4:$D$803)))</f>
        <v/>
      </c>
      <c r="CG93" s="8" t="str">
        <f>IF($B93="","",IF(COUNTIF('Competency Event Log'!$U$4:$U$803,$B93&amp;"|"&amp;CG$5)=0,"",SUMIF('Competency Event Log'!$U$4:$U$803,$B93&amp;"|"&amp;CG$5,'Competency Event Log'!$D$4:$D$803)))</f>
        <v/>
      </c>
      <c r="CH93" s="8" t="str">
        <f>IF($B93="","",IF(COUNTIF('Competency Event Log'!$U$4:$U$803,$B93&amp;"|"&amp;CH$5)=0,"",SUMIF('Competency Event Log'!$U$4:$U$803,$B93&amp;"|"&amp;CH$5,'Competency Event Log'!$D$4:$D$803)))</f>
        <v/>
      </c>
      <c r="CI93" s="8" t="str">
        <f>IF($B93="","",IF(COUNTIF('Competency Event Log'!$U$4:$U$803,$B93&amp;"|"&amp;CI$5)=0,"",SUMIF('Competency Event Log'!$U$4:$U$803,$B93&amp;"|"&amp;CI$5,'Competency Event Log'!$D$4:$D$803)))</f>
        <v/>
      </c>
      <c r="CJ93" s="8" t="str">
        <f>IF($B93="","",IF(COUNTIF('Competency Event Log'!$U$4:$U$803,$B93&amp;"|"&amp;CJ$5)=0,"",SUMIF('Competency Event Log'!$U$4:$U$803,$B93&amp;"|"&amp;CJ$5,'Competency Event Log'!$D$4:$D$803)))</f>
        <v/>
      </c>
      <c r="CK93" s="8" t="str">
        <f>IF($B93="","",IF(COUNTIF('Competency Event Log'!$U$4:$U$803,$B93&amp;"|"&amp;CK$5)=0,"",SUMIF('Competency Event Log'!$U$4:$U$803,$B93&amp;"|"&amp;CK$5,'Competency Event Log'!$D$4:$D$803)))</f>
        <v/>
      </c>
      <c r="CL93" s="8" t="str">
        <f>IF($B93="","",IF(COUNTIF('Competency Event Log'!$U$4:$U$803,$B93&amp;"|"&amp;CL$5)=0,"",SUMIF('Competency Event Log'!$U$4:$U$803,$B93&amp;"|"&amp;CL$5,'Competency Event Log'!$D$4:$D$803)))</f>
        <v/>
      </c>
      <c r="CM93" s="8" t="str">
        <f>IF($B93="","",IF(COUNTIF('Competency Event Log'!$U$4:$U$803,$B93&amp;"|"&amp;CM$5)=0,"",SUMIF('Competency Event Log'!$U$4:$U$803,$B93&amp;"|"&amp;CM$5,'Competency Event Log'!$D$4:$D$803)))</f>
        <v/>
      </c>
      <c r="CN93" s="8" t="str">
        <f>IF($B93="","",IF(COUNTIF('Competency Event Log'!$U$4:$U$803,$B93&amp;"|"&amp;CN$5)=0,"",SUMIF('Competency Event Log'!$U$4:$U$803,$B93&amp;"|"&amp;CN$5,'Competency Event Log'!$D$4:$D$803)))</f>
        <v/>
      </c>
      <c r="CO93" s="8" t="str">
        <f>IF($B93="","",IF(COUNTIF('Competency Event Log'!$U$4:$U$803,$B93&amp;"|"&amp;CO$5)=0,"",SUMIF('Competency Event Log'!$U$4:$U$803,$B93&amp;"|"&amp;CO$5,'Competency Event Log'!$D$4:$D$803)))</f>
        <v/>
      </c>
      <c r="CP93" s="8" t="str">
        <f>IF($B93="","",IF(COUNTIF('Competency Event Log'!$U$4:$U$803,$B93&amp;"|"&amp;CP$5)=0,"",SUMIF('Competency Event Log'!$U$4:$U$803,$B93&amp;"|"&amp;CP$5,'Competency Event Log'!$D$4:$D$803)))</f>
        <v/>
      </c>
      <c r="CQ93" s="8" t="str">
        <f>IF($B93="","",IF(COUNTIF('Competency Event Log'!$U$4:$U$803,$B93&amp;"|"&amp;CQ$5)=0,"",SUMIF('Competency Event Log'!$U$4:$U$803,$B93&amp;"|"&amp;CQ$5,'Competency Event Log'!$D$4:$D$803)))</f>
        <v/>
      </c>
      <c r="CR93" s="8" t="str">
        <f>IF($B93="","",IF(COUNTIF('Competency Event Log'!$U$4:$U$803,$B93&amp;"|"&amp;CR$5)=0,"",SUMIF('Competency Event Log'!$U$4:$U$803,$B93&amp;"|"&amp;CR$5,'Competency Event Log'!$D$4:$D$803)))</f>
        <v/>
      </c>
      <c r="CS93" s="8" t="str">
        <f>IF($B93="","",IF(COUNTIF('Competency Event Log'!$U$4:$U$803,$B93&amp;"|"&amp;CS$5)=0,"",SUMIF('Competency Event Log'!$U$4:$U$803,$B93&amp;"|"&amp;CS$5,'Competency Event Log'!$D$4:$D$803)))</f>
        <v/>
      </c>
      <c r="CT93" s="8" t="str">
        <f>IF($B93="","",IF(COUNTIF('Competency Event Log'!$U$4:$U$803,$B93&amp;"|"&amp;CT$5)=0,"",SUMIF('Competency Event Log'!$U$4:$U$803,$B93&amp;"|"&amp;CT$5,'Competency Event Log'!$D$4:$D$803)))</f>
        <v/>
      </c>
      <c r="CU93" s="8" t="str">
        <f>IF($B93="","",IF(COUNTIF('Competency Event Log'!$U$4:$U$803,$B93&amp;"|"&amp;CU$5)=0,"",SUMIF('Competency Event Log'!$U$4:$U$803,$B93&amp;"|"&amp;CU$5,'Competency Event Log'!$D$4:$D$803)))</f>
        <v/>
      </c>
      <c r="CV93" s="8" t="str">
        <f>IF($B93="","",IF(COUNTIF('Competency Event Log'!$U$4:$U$803,$B93&amp;"|"&amp;CV$5)=0,"",SUMIF('Competency Event Log'!$U$4:$U$803,$B93&amp;"|"&amp;CV$5,'Competency Event Log'!$D$4:$D$803)))</f>
        <v/>
      </c>
      <c r="CW93" s="8" t="str">
        <f>IF($B93="","",IF(COUNTIF('Competency Event Log'!$U$4:$U$803,$B93&amp;"|"&amp;CW$5)=0,"",SUMIF('Competency Event Log'!$U$4:$U$803,$B93&amp;"|"&amp;CW$5,'Competency Event Log'!$D$4:$D$803)))</f>
        <v/>
      </c>
      <c r="CX93" s="8" t="str">
        <f>IF($B93="","",IF(COUNTIF('Competency Event Log'!$U$4:$U$803,$B93&amp;"|"&amp;CX$5)=0,"",SUMIF('Competency Event Log'!$U$4:$U$803,$B93&amp;"|"&amp;CX$5,'Competency Event Log'!$D$4:$D$803)))</f>
        <v/>
      </c>
      <c r="CY93" s="8" t="str">
        <f>IF($B93="","",IF(COUNTIF('Competency Event Log'!$U$4:$U$803,$B93&amp;"|"&amp;CY$5)=0,"",SUMIF('Competency Event Log'!$U$4:$U$803,$B93&amp;"|"&amp;CY$5,'Competency Event Log'!$D$4:$D$803)))</f>
        <v/>
      </c>
      <c r="CZ93" s="8" t="str">
        <f>IF($B93="","",IF(COUNTIF('Competency Event Log'!$U$4:$U$803,$B93&amp;"|"&amp;CZ$5)=0,"",SUMIF('Competency Event Log'!$U$4:$U$803,$B93&amp;"|"&amp;CZ$5,'Competency Event Log'!$D$4:$D$803)))</f>
        <v/>
      </c>
      <c r="DA93" s="8" t="str">
        <f>IF($B93="","",IF(COUNTIF('Competency Event Log'!$U$4:$U$803,$B93&amp;"|"&amp;DA$5)=0,"",SUMIF('Competency Event Log'!$U$4:$U$803,$B93&amp;"|"&amp;DA$5,'Competency Event Log'!$D$4:$D$803)))</f>
        <v/>
      </c>
      <c r="DB93" s="8" t="str">
        <f>IF($B93="","",IF(COUNTIF('Competency Event Log'!$U$4:$U$803,$B93&amp;"|"&amp;DB$5)=0,"",SUMIF('Competency Event Log'!$U$4:$U$803,$B93&amp;"|"&amp;DB$5,'Competency Event Log'!$D$4:$D$803)))</f>
        <v/>
      </c>
      <c r="DC93" s="8" t="str">
        <f>IF($B93="","",IF(COUNTIF('Competency Event Log'!$U$4:$U$803,$B93&amp;"|"&amp;DC$5)=0,"",SUMIF('Competency Event Log'!$U$4:$U$803,$B93&amp;"|"&amp;DC$5,'Competency Event Log'!$D$4:$D$803)))</f>
        <v/>
      </c>
      <c r="DD93" s="8" t="str">
        <f>IF($B93="","",IF(COUNTIF('Competency Event Log'!$U$4:$U$803,$B93&amp;"|"&amp;DD$5)=0,"",SUMIF('Competency Event Log'!$U$4:$U$803,$B93&amp;"|"&amp;DD$5,'Competency Event Log'!$D$4:$D$803)))</f>
        <v/>
      </c>
      <c r="DE93" s="8" t="str">
        <f>IF($B93="","",IF(COUNTIF('Competency Event Log'!$U$4:$U$803,$B93&amp;"|"&amp;DE$5)=0,"",SUMIF('Competency Event Log'!$U$4:$U$803,$B93&amp;"|"&amp;DE$5,'Competency Event Log'!$D$4:$D$803)))</f>
        <v/>
      </c>
      <c r="DF93" s="8" t="str">
        <f t="shared" si="8"/>
        <v/>
      </c>
      <c r="DG93" s="8" t="str">
        <f t="shared" si="9"/>
        <v/>
      </c>
      <c r="DH93" s="8" t="str">
        <f t="shared" si="10"/>
        <v/>
      </c>
      <c r="DI93" s="11" t="str">
        <f t="shared" si="11"/>
        <v/>
      </c>
    </row>
    <row r="94" spans="1:113">
      <c r="A94" s="7"/>
      <c r="B94" s="7"/>
      <c r="C94" s="8"/>
      <c r="D94" s="9"/>
      <c r="E94" s="10"/>
      <c r="F94" s="8"/>
      <c r="G94" s="8" t="str">
        <f>IF($B94="","",IF(COUNTIF('Competency Event Log'!$U$4:$U$803,$B94&amp;"|"&amp;G$5)=0,"",SUMIF('Competency Event Log'!$U$4:$U$803,$B94&amp;"|"&amp;G$5,'Competency Event Log'!$D$4:$D$803)))</f>
        <v/>
      </c>
      <c r="H94" s="8" t="str">
        <f>IF($B94="","",IF(COUNTIF('Competency Event Log'!$U$4:$U$803,$B94&amp;"|"&amp;H$5)=0,"",SUMIF('Competency Event Log'!$U$4:$U$803,$B94&amp;"|"&amp;H$5,'Competency Event Log'!$D$4:$D$803)))</f>
        <v/>
      </c>
      <c r="I94" s="8" t="str">
        <f>IF($B94="","",IF(COUNTIF('Competency Event Log'!$U$4:$U$803,$B94&amp;"|"&amp;I$5)=0,"",SUMIF('Competency Event Log'!$U$4:$U$803,$B94&amp;"|"&amp;I$5,'Competency Event Log'!$D$4:$D$803)))</f>
        <v/>
      </c>
      <c r="J94" s="8" t="str">
        <f>IF($B94="","",IF(COUNTIF('Competency Event Log'!$U$4:$U$803,$B94&amp;"|"&amp;J$5)=0,"",SUMIF('Competency Event Log'!$U$4:$U$803,$B94&amp;"|"&amp;J$5,'Competency Event Log'!$D$4:$D$803)))</f>
        <v/>
      </c>
      <c r="K94" s="8" t="str">
        <f>IF($B94="","",IF(COUNTIF('Competency Event Log'!$U$4:$U$803,$B94&amp;"|"&amp;K$5)=0,"",SUMIF('Competency Event Log'!$U$4:$U$803,$B94&amp;"|"&amp;K$5,'Competency Event Log'!$D$4:$D$803)))</f>
        <v/>
      </c>
      <c r="L94" s="8" t="str">
        <f>IF($B94="","",IF(COUNTIF('Competency Event Log'!$U$4:$U$803,$B94&amp;"|"&amp;L$5)=0,"",SUMIF('Competency Event Log'!$U$4:$U$803,$B94&amp;"|"&amp;L$5,'Competency Event Log'!$D$4:$D$803)))</f>
        <v/>
      </c>
      <c r="M94" s="8" t="str">
        <f>IF($B94="","",IF(COUNTIF('Competency Event Log'!$U$4:$U$803,$B94&amp;"|"&amp;M$5)=0,"",SUMIF('Competency Event Log'!$U$4:$U$803,$B94&amp;"|"&amp;M$5,'Competency Event Log'!$D$4:$D$803)))</f>
        <v/>
      </c>
      <c r="N94" s="8" t="str">
        <f>IF($B94="","",IF(COUNTIF('Competency Event Log'!$U$4:$U$803,$B94&amp;"|"&amp;N$5)=0,"",SUMIF('Competency Event Log'!$U$4:$U$803,$B94&amp;"|"&amp;N$5,'Competency Event Log'!$D$4:$D$803)))</f>
        <v/>
      </c>
      <c r="O94" s="8" t="str">
        <f>IF($B94="","",IF(COUNTIF('Competency Event Log'!$U$4:$U$803,$B94&amp;"|"&amp;O$5)=0,"",SUMIF('Competency Event Log'!$U$4:$U$803,$B94&amp;"|"&amp;O$5,'Competency Event Log'!$D$4:$D$803)))</f>
        <v/>
      </c>
      <c r="P94" s="8" t="str">
        <f>IF($B94="","",IF(COUNTIF('Competency Event Log'!$U$4:$U$803,$B94&amp;"|"&amp;P$5)=0,"",SUMIF('Competency Event Log'!$U$4:$U$803,$B94&amp;"|"&amp;P$5,'Competency Event Log'!$D$4:$D$803)))</f>
        <v/>
      </c>
      <c r="Q94" s="8" t="str">
        <f>IF($B94="","",IF(COUNTIF('Competency Event Log'!$U$4:$U$803,$B94&amp;"|"&amp;Q$5)=0,"",SUMIF('Competency Event Log'!$U$4:$U$803,$B94&amp;"|"&amp;Q$5,'Competency Event Log'!$D$4:$D$803)))</f>
        <v/>
      </c>
      <c r="R94" s="8" t="str">
        <f>IF($B94="","",IF(COUNTIF('Competency Event Log'!$U$4:$U$803,$B94&amp;"|"&amp;R$5)=0,"",SUMIF('Competency Event Log'!$U$4:$U$803,$B94&amp;"|"&amp;R$5,'Competency Event Log'!$D$4:$D$803)))</f>
        <v/>
      </c>
      <c r="S94" s="8" t="str">
        <f>IF($B94="","",IF(COUNTIF('Competency Event Log'!$U$4:$U$803,$B94&amp;"|"&amp;S$5)=0,"",SUMIF('Competency Event Log'!$U$4:$U$803,$B94&amp;"|"&amp;S$5,'Competency Event Log'!$D$4:$D$803)))</f>
        <v/>
      </c>
      <c r="T94" s="8" t="str">
        <f>IF($B94="","",IF(COUNTIF('Competency Event Log'!$U$4:$U$803,$B94&amp;"|"&amp;T$5)=0,"",SUMIF('Competency Event Log'!$U$4:$U$803,$B94&amp;"|"&amp;T$5,'Competency Event Log'!$D$4:$D$803)))</f>
        <v/>
      </c>
      <c r="U94" s="8" t="str">
        <f>IF($B94="","",IF(COUNTIF('Competency Event Log'!$U$4:$U$803,$B94&amp;"|"&amp;U$5)=0,"",SUMIF('Competency Event Log'!$U$4:$U$803,$B94&amp;"|"&amp;U$5,'Competency Event Log'!$D$4:$D$803)))</f>
        <v/>
      </c>
      <c r="V94" s="8" t="str">
        <f>IF($B94="","",IF(COUNTIF('Competency Event Log'!$U$4:$U$803,$B94&amp;"|"&amp;V$5)=0,"",SUMIF('Competency Event Log'!$U$4:$U$803,$B94&amp;"|"&amp;V$5,'Competency Event Log'!$D$4:$D$803)))</f>
        <v/>
      </c>
      <c r="W94" s="8" t="str">
        <f>IF($B94="","",IF(COUNTIF('Competency Event Log'!$U$4:$U$803,$B94&amp;"|"&amp;W$5)=0,"",SUMIF('Competency Event Log'!$U$4:$U$803,$B94&amp;"|"&amp;W$5,'Competency Event Log'!$D$4:$D$803)))</f>
        <v/>
      </c>
      <c r="X94" s="8" t="str">
        <f>IF($B94="","",IF(COUNTIF('Competency Event Log'!$U$4:$U$803,$B94&amp;"|"&amp;X$5)=0,"",SUMIF('Competency Event Log'!$U$4:$U$803,$B94&amp;"|"&amp;X$5,'Competency Event Log'!$D$4:$D$803)))</f>
        <v/>
      </c>
      <c r="Y94" s="8" t="str">
        <f>IF($B94="","",IF(COUNTIF('Competency Event Log'!$U$4:$U$803,$B94&amp;"|"&amp;Y$5)=0,"",SUMIF('Competency Event Log'!$U$4:$U$803,$B94&amp;"|"&amp;Y$5,'Competency Event Log'!$D$4:$D$803)))</f>
        <v/>
      </c>
      <c r="Z94" s="8" t="str">
        <f>IF($B94="","",IF(COUNTIF('Competency Event Log'!$U$4:$U$803,$B94&amp;"|"&amp;Z$5)=0,"",SUMIF('Competency Event Log'!$U$4:$U$803,$B94&amp;"|"&amp;Z$5,'Competency Event Log'!$D$4:$D$803)))</f>
        <v/>
      </c>
      <c r="AA94" s="8" t="str">
        <f>IF($B94="","",IF(COUNTIF('Competency Event Log'!$U$4:$U$803,$B94&amp;"|"&amp;AA$5)=0,"",SUMIF('Competency Event Log'!$U$4:$U$803,$B94&amp;"|"&amp;AA$5,'Competency Event Log'!$D$4:$D$803)))</f>
        <v/>
      </c>
      <c r="AB94" s="8" t="str">
        <f>IF($B94="","",IF(COUNTIF('Competency Event Log'!$U$4:$U$803,$B94&amp;"|"&amp;AB$5)=0,"",SUMIF('Competency Event Log'!$U$4:$U$803,$B94&amp;"|"&amp;AB$5,'Competency Event Log'!$D$4:$D$803)))</f>
        <v/>
      </c>
      <c r="AC94" s="8" t="str">
        <f>IF($B94="","",IF(COUNTIF('Competency Event Log'!$U$4:$U$803,$B94&amp;"|"&amp;AC$5)=0,"",SUMIF('Competency Event Log'!$U$4:$U$803,$B94&amp;"|"&amp;AC$5,'Competency Event Log'!$D$4:$D$803)))</f>
        <v/>
      </c>
      <c r="AD94" s="8" t="str">
        <f>IF($B94="","",IF(COUNTIF('Competency Event Log'!$U$4:$U$803,$B94&amp;"|"&amp;AD$5)=0,"",SUMIF('Competency Event Log'!$U$4:$U$803,$B94&amp;"|"&amp;AD$5,'Competency Event Log'!$D$4:$D$803)))</f>
        <v/>
      </c>
      <c r="AE94" s="8" t="str">
        <f>IF($B94="","",IF(COUNTIF('Competency Event Log'!$U$4:$U$803,$B94&amp;"|"&amp;AE$5)=0,"",SUMIF('Competency Event Log'!$U$4:$U$803,$B94&amp;"|"&amp;AE$5,'Competency Event Log'!$D$4:$D$803)))</f>
        <v/>
      </c>
      <c r="AF94" s="8" t="str">
        <f>IF($B94="","",IF(COUNTIF('Competency Event Log'!$U$4:$U$803,$B94&amp;"|"&amp;AF$5)=0,"",SUMIF('Competency Event Log'!$U$4:$U$803,$B94&amp;"|"&amp;AF$5,'Competency Event Log'!$D$4:$D$803)))</f>
        <v/>
      </c>
      <c r="AG94" s="8" t="str">
        <f>IF($B94="","",IF(COUNTIF('Competency Event Log'!$U$4:$U$803,$B94&amp;"|"&amp;AG$5)=0,"",SUMIF('Competency Event Log'!$U$4:$U$803,$B94&amp;"|"&amp;AG$5,'Competency Event Log'!$D$4:$D$803)))</f>
        <v/>
      </c>
      <c r="AH94" s="8" t="str">
        <f>IF($B94="","",IF(COUNTIF('Competency Event Log'!$U$4:$U$803,$B94&amp;"|"&amp;AH$5)=0,"",SUMIF('Competency Event Log'!$U$4:$U$803,$B94&amp;"|"&amp;AH$5,'Competency Event Log'!$D$4:$D$803)))</f>
        <v/>
      </c>
      <c r="AI94" s="8" t="str">
        <f>IF($B94="","",IF(COUNTIF('Competency Event Log'!$U$4:$U$803,$B94&amp;"|"&amp;AI$5)=0,"",SUMIF('Competency Event Log'!$U$4:$U$803,$B94&amp;"|"&amp;AI$5,'Competency Event Log'!$D$4:$D$803)))</f>
        <v/>
      </c>
      <c r="AJ94" s="8" t="str">
        <f>IF($B94="","",IF(COUNTIF('Competency Event Log'!$U$4:$U$803,$B94&amp;"|"&amp;AJ$5)=0,"",SUMIF('Competency Event Log'!$U$4:$U$803,$B94&amp;"|"&amp;AJ$5,'Competency Event Log'!$D$4:$D$803)))</f>
        <v/>
      </c>
      <c r="AK94" s="8" t="str">
        <f>IF($B94="","",IF(COUNTIF('Competency Event Log'!$U$4:$U$803,$B94&amp;"|"&amp;AK$5)=0,"",SUMIF('Competency Event Log'!$U$4:$U$803,$B94&amp;"|"&amp;AK$5,'Competency Event Log'!$D$4:$D$803)))</f>
        <v/>
      </c>
      <c r="AL94" s="8" t="str">
        <f>IF($B94="","",IF(COUNTIF('Competency Event Log'!$U$4:$U$803,$B94&amp;"|"&amp;AL$5)=0,"",SUMIF('Competency Event Log'!$U$4:$U$803,$B94&amp;"|"&amp;AL$5,'Competency Event Log'!$D$4:$D$803)))</f>
        <v/>
      </c>
      <c r="AM94" s="8" t="str">
        <f>IF($B94="","",IF(COUNTIF('Competency Event Log'!$U$4:$U$803,$B94&amp;"|"&amp;AM$5)=0,"",SUMIF('Competency Event Log'!$U$4:$U$803,$B94&amp;"|"&amp;AM$5,'Competency Event Log'!$D$4:$D$803)))</f>
        <v/>
      </c>
      <c r="AN94" s="8" t="str">
        <f>IF($B94="","",IF(COUNTIF('Competency Event Log'!$U$4:$U$803,$B94&amp;"|"&amp;AN$5)=0,"",SUMIF('Competency Event Log'!$U$4:$U$803,$B94&amp;"|"&amp;AN$5,'Competency Event Log'!$D$4:$D$803)))</f>
        <v/>
      </c>
      <c r="AO94" s="8" t="str">
        <f>IF($B94="","",IF(COUNTIF('Competency Event Log'!$U$4:$U$803,$B94&amp;"|"&amp;AO$5)=0,"",SUMIF('Competency Event Log'!$U$4:$U$803,$B94&amp;"|"&amp;AO$5,'Competency Event Log'!$D$4:$D$803)))</f>
        <v/>
      </c>
      <c r="AP94" s="8" t="str">
        <f>IF($B94="","",IF(COUNTIF('Competency Event Log'!$U$4:$U$803,$B94&amp;"|"&amp;AP$5)=0,"",SUMIF('Competency Event Log'!$U$4:$U$803,$B94&amp;"|"&amp;AP$5,'Competency Event Log'!$D$4:$D$803)))</f>
        <v/>
      </c>
      <c r="AQ94" s="8" t="str">
        <f>IF($B94="","",IF(COUNTIF('Competency Event Log'!$U$4:$U$803,$B94&amp;"|"&amp;AQ$5)=0,"",SUMIF('Competency Event Log'!$U$4:$U$803,$B94&amp;"|"&amp;AQ$5,'Competency Event Log'!$D$4:$D$803)))</f>
        <v/>
      </c>
      <c r="AR94" s="8" t="str">
        <f>IF($B94="","",IF(COUNTIF('Competency Event Log'!$U$4:$U$803,$B94&amp;"|"&amp;AR$5)=0,"",SUMIF('Competency Event Log'!$U$4:$U$803,$B94&amp;"|"&amp;AR$5,'Competency Event Log'!$D$4:$D$803)))</f>
        <v/>
      </c>
      <c r="AS94" s="8" t="str">
        <f>IF($B94="","",IF(COUNTIF('Competency Event Log'!$U$4:$U$803,$B94&amp;"|"&amp;AS$5)=0,"",SUMIF('Competency Event Log'!$U$4:$U$803,$B94&amp;"|"&amp;AS$5,'Competency Event Log'!$D$4:$D$803)))</f>
        <v/>
      </c>
      <c r="AT94" s="8" t="str">
        <f>IF($B94="","",IF(COUNTIF('Competency Event Log'!$U$4:$U$803,$B94&amp;"|"&amp;AT$5)=0,"",SUMIF('Competency Event Log'!$U$4:$U$803,$B94&amp;"|"&amp;AT$5,'Competency Event Log'!$D$4:$D$803)))</f>
        <v/>
      </c>
      <c r="AU94" s="8" t="str">
        <f>IF($B94="","",IF(COUNTIF('Competency Event Log'!$U$4:$U$803,$B94&amp;"|"&amp;AU$5)=0,"",SUMIF('Competency Event Log'!$U$4:$U$803,$B94&amp;"|"&amp;AU$5,'Competency Event Log'!$D$4:$D$803)))</f>
        <v/>
      </c>
      <c r="AV94" s="8" t="str">
        <f>IF($B94="","",IF(COUNTIF('Competency Event Log'!$U$4:$U$803,$B94&amp;"|"&amp;AV$5)=0,"",SUMIF('Competency Event Log'!$U$4:$U$803,$B94&amp;"|"&amp;AV$5,'Competency Event Log'!$D$4:$D$803)))</f>
        <v/>
      </c>
      <c r="AW94" s="8" t="str">
        <f>IF($B94="","",IF(COUNTIF('Competency Event Log'!$U$4:$U$803,$B94&amp;"|"&amp;AW$5)=0,"",SUMIF('Competency Event Log'!$U$4:$U$803,$B94&amp;"|"&amp;AW$5,'Competency Event Log'!$D$4:$D$803)))</f>
        <v/>
      </c>
      <c r="AX94" s="8" t="str">
        <f>IF($B94="","",IF(COUNTIF('Competency Event Log'!$U$4:$U$803,$B94&amp;"|"&amp;AX$5)=0,"",SUMIF('Competency Event Log'!$U$4:$U$803,$B94&amp;"|"&amp;AX$5,'Competency Event Log'!$D$4:$D$803)))</f>
        <v/>
      </c>
      <c r="AY94" s="8" t="str">
        <f>IF($B94="","",IF(COUNTIF('Competency Event Log'!$U$4:$U$803,$B94&amp;"|"&amp;AY$5)=0,"",SUMIF('Competency Event Log'!$U$4:$U$803,$B94&amp;"|"&amp;AY$5,'Competency Event Log'!$D$4:$D$803)))</f>
        <v/>
      </c>
      <c r="AZ94" s="8" t="str">
        <f>IF($B94="","",IF(COUNTIF('Competency Event Log'!$U$4:$U$803,$B94&amp;"|"&amp;AZ$5)=0,"",SUMIF('Competency Event Log'!$U$4:$U$803,$B94&amp;"|"&amp;AZ$5,'Competency Event Log'!$D$4:$D$803)))</f>
        <v/>
      </c>
      <c r="BA94" s="8" t="str">
        <f>IF($B94="","",IF(COUNTIF('Competency Event Log'!$U$4:$U$803,$B94&amp;"|"&amp;BA$5)=0,"",SUMIF('Competency Event Log'!$U$4:$U$803,$B94&amp;"|"&amp;BA$5,'Competency Event Log'!$D$4:$D$803)))</f>
        <v/>
      </c>
      <c r="BB94" s="8" t="str">
        <f>IF($B94="","",IF(COUNTIF('Competency Event Log'!$U$4:$U$803,$B94&amp;"|"&amp;BB$5)=0,"",SUMIF('Competency Event Log'!$U$4:$U$803,$B94&amp;"|"&amp;BB$5,'Competency Event Log'!$D$4:$D$803)))</f>
        <v/>
      </c>
      <c r="BC94" s="8" t="str">
        <f>IF($B94="","",IF(COUNTIF('Competency Event Log'!$U$4:$U$803,$B94&amp;"|"&amp;BC$5)=0,"",SUMIF('Competency Event Log'!$U$4:$U$803,$B94&amp;"|"&amp;BC$5,'Competency Event Log'!$D$4:$D$803)))</f>
        <v/>
      </c>
      <c r="BD94" s="8" t="str">
        <f>IF($B94="","",IF(COUNTIF('Competency Event Log'!$U$4:$U$803,$B94&amp;"|"&amp;BD$5)=0,"",SUMIF('Competency Event Log'!$U$4:$U$803,$B94&amp;"|"&amp;BD$5,'Competency Event Log'!$D$4:$D$803)))</f>
        <v/>
      </c>
      <c r="BE94" s="8" t="str">
        <f>IF($B94="","",IF(COUNTIF('Competency Event Log'!$U$4:$U$803,$B94&amp;"|"&amp;BE$5)=0,"",SUMIF('Competency Event Log'!$U$4:$U$803,$B94&amp;"|"&amp;BE$5,'Competency Event Log'!$D$4:$D$803)))</f>
        <v/>
      </c>
      <c r="BF94" s="8" t="str">
        <f>IF($B94="","",IF(COUNTIF('Competency Event Log'!$U$4:$U$803,$B94&amp;"|"&amp;BF$5)=0,"",SUMIF('Competency Event Log'!$U$4:$U$803,$B94&amp;"|"&amp;BF$5,'Competency Event Log'!$D$4:$D$803)))</f>
        <v/>
      </c>
      <c r="BG94" s="8" t="str">
        <f>IF($B94="","",IF(COUNTIF('Competency Event Log'!$U$4:$U$803,$B94&amp;"|"&amp;BG$5)=0,"",SUMIF('Competency Event Log'!$U$4:$U$803,$B94&amp;"|"&amp;BG$5,'Competency Event Log'!$D$4:$D$803)))</f>
        <v/>
      </c>
      <c r="BH94" s="8" t="str">
        <f>IF($B94="","",IF(COUNTIF('Competency Event Log'!$U$4:$U$803,$B94&amp;"|"&amp;BH$5)=0,"",SUMIF('Competency Event Log'!$U$4:$U$803,$B94&amp;"|"&amp;BH$5,'Competency Event Log'!$D$4:$D$803)))</f>
        <v/>
      </c>
      <c r="BI94" s="8" t="str">
        <f>IF($B94="","",IF(COUNTIF('Competency Event Log'!$U$4:$U$803,$B94&amp;"|"&amp;BI$5)=0,"",SUMIF('Competency Event Log'!$U$4:$U$803,$B94&amp;"|"&amp;BI$5,'Competency Event Log'!$D$4:$D$803)))</f>
        <v/>
      </c>
      <c r="BJ94" s="8" t="str">
        <f>IF($B94="","",IF(COUNTIF('Competency Event Log'!$U$4:$U$803,$B94&amp;"|"&amp;BJ$5)=0,"",SUMIF('Competency Event Log'!$U$4:$U$803,$B94&amp;"|"&amp;BJ$5,'Competency Event Log'!$D$4:$D$803)))</f>
        <v/>
      </c>
      <c r="BK94" s="8" t="str">
        <f>IF($B94="","",IF(COUNTIF('Competency Event Log'!$U$4:$U$803,$B94&amp;"|"&amp;BK$5)=0,"",SUMIF('Competency Event Log'!$U$4:$U$803,$B94&amp;"|"&amp;BK$5,'Competency Event Log'!$D$4:$D$803)))</f>
        <v/>
      </c>
      <c r="BL94" s="8" t="str">
        <f>IF($B94="","",IF(COUNTIF('Competency Event Log'!$U$4:$U$803,$B94&amp;"|"&amp;BL$5)=0,"",SUMIF('Competency Event Log'!$U$4:$U$803,$B94&amp;"|"&amp;BL$5,'Competency Event Log'!$D$4:$D$803)))</f>
        <v/>
      </c>
      <c r="BM94" s="8" t="str">
        <f>IF($B94="","",IF(COUNTIF('Competency Event Log'!$U$4:$U$803,$B94&amp;"|"&amp;BM$5)=0,"",SUMIF('Competency Event Log'!$U$4:$U$803,$B94&amp;"|"&amp;BM$5,'Competency Event Log'!$D$4:$D$803)))</f>
        <v/>
      </c>
      <c r="BN94" s="8" t="str">
        <f>IF($B94="","",IF(COUNTIF('Competency Event Log'!$U$4:$U$803,$B94&amp;"|"&amp;BN$5)=0,"",SUMIF('Competency Event Log'!$U$4:$U$803,$B94&amp;"|"&amp;BN$5,'Competency Event Log'!$D$4:$D$803)))</f>
        <v/>
      </c>
      <c r="BO94" s="8" t="str">
        <f>IF($B94="","",IF(COUNTIF('Competency Event Log'!$U$4:$U$803,$B94&amp;"|"&amp;BO$5)=0,"",SUMIF('Competency Event Log'!$U$4:$U$803,$B94&amp;"|"&amp;BO$5,'Competency Event Log'!$D$4:$D$803)))</f>
        <v/>
      </c>
      <c r="BP94" s="8" t="str">
        <f>IF($B94="","",IF(COUNTIF('Competency Event Log'!$U$4:$U$803,$B94&amp;"|"&amp;BP$5)=0,"",SUMIF('Competency Event Log'!$U$4:$U$803,$B94&amp;"|"&amp;BP$5,'Competency Event Log'!$D$4:$D$803)))</f>
        <v/>
      </c>
      <c r="BQ94" s="8" t="str">
        <f>IF($B94="","",IF(COUNTIF('Competency Event Log'!$U$4:$U$803,$B94&amp;"|"&amp;BQ$5)=0,"",SUMIF('Competency Event Log'!$U$4:$U$803,$B94&amp;"|"&amp;BQ$5,'Competency Event Log'!$D$4:$D$803)))</f>
        <v/>
      </c>
      <c r="BR94" s="8" t="str">
        <f>IF($B94="","",IF(COUNTIF('Competency Event Log'!$U$4:$U$803,$B94&amp;"|"&amp;BR$5)=0,"",SUMIF('Competency Event Log'!$U$4:$U$803,$B94&amp;"|"&amp;BR$5,'Competency Event Log'!$D$4:$D$803)))</f>
        <v/>
      </c>
      <c r="BS94" s="8" t="str">
        <f>IF($B94="","",IF(COUNTIF('Competency Event Log'!$U$4:$U$803,$B94&amp;"|"&amp;BS$5)=0,"",SUMIF('Competency Event Log'!$U$4:$U$803,$B94&amp;"|"&amp;BS$5,'Competency Event Log'!$D$4:$D$803)))</f>
        <v/>
      </c>
      <c r="BT94" s="8" t="str">
        <f>IF($B94="","",IF(COUNTIF('Competency Event Log'!$U$4:$U$803,$B94&amp;"|"&amp;BT$5)=0,"",SUMIF('Competency Event Log'!$U$4:$U$803,$B94&amp;"|"&amp;BT$5,'Competency Event Log'!$D$4:$D$803)))</f>
        <v/>
      </c>
      <c r="BU94" s="8" t="str">
        <f>IF($B94="","",IF(COUNTIF('Competency Event Log'!$U$4:$U$803,$B94&amp;"|"&amp;BU$5)=0,"",SUMIF('Competency Event Log'!$U$4:$U$803,$B94&amp;"|"&amp;BU$5,'Competency Event Log'!$D$4:$D$803)))</f>
        <v/>
      </c>
      <c r="BV94" s="8" t="str">
        <f>IF($B94="","",IF(COUNTIF('Competency Event Log'!$U$4:$U$803,$B94&amp;"|"&amp;BV$5)=0,"",SUMIF('Competency Event Log'!$U$4:$U$803,$B94&amp;"|"&amp;BV$5,'Competency Event Log'!$D$4:$D$803)))</f>
        <v/>
      </c>
      <c r="BW94" s="8" t="str">
        <f>IF($B94="","",IF(COUNTIF('Competency Event Log'!$U$4:$U$803,$B94&amp;"|"&amp;BW$5)=0,"",SUMIF('Competency Event Log'!$U$4:$U$803,$B94&amp;"|"&amp;BW$5,'Competency Event Log'!$D$4:$D$803)))</f>
        <v/>
      </c>
      <c r="BX94" s="8" t="str">
        <f>IF($B94="","",IF(COUNTIF('Competency Event Log'!$U$4:$U$803,$B94&amp;"|"&amp;BX$5)=0,"",SUMIF('Competency Event Log'!$U$4:$U$803,$B94&amp;"|"&amp;BX$5,'Competency Event Log'!$D$4:$D$803)))</f>
        <v/>
      </c>
      <c r="BY94" s="8" t="str">
        <f>IF($B94="","",IF(COUNTIF('Competency Event Log'!$U$4:$U$803,$B94&amp;"|"&amp;BY$5)=0,"",SUMIF('Competency Event Log'!$U$4:$U$803,$B94&amp;"|"&amp;BY$5,'Competency Event Log'!$D$4:$D$803)))</f>
        <v/>
      </c>
      <c r="BZ94" s="8" t="str">
        <f>IF($B94="","",IF(COUNTIF('Competency Event Log'!$U$4:$U$803,$B94&amp;"|"&amp;BZ$5)=0,"",SUMIF('Competency Event Log'!$U$4:$U$803,$B94&amp;"|"&amp;BZ$5,'Competency Event Log'!$D$4:$D$803)))</f>
        <v/>
      </c>
      <c r="CA94" s="8" t="str">
        <f>IF($B94="","",IF(COUNTIF('Competency Event Log'!$U$4:$U$803,$B94&amp;"|"&amp;CA$5)=0,"",SUMIF('Competency Event Log'!$U$4:$U$803,$B94&amp;"|"&amp;CA$5,'Competency Event Log'!$D$4:$D$803)))</f>
        <v/>
      </c>
      <c r="CB94" s="8" t="str">
        <f>IF($B94="","",IF(COUNTIF('Competency Event Log'!$U$4:$U$803,$B94&amp;"|"&amp;CB$5)=0,"",SUMIF('Competency Event Log'!$U$4:$U$803,$B94&amp;"|"&amp;CB$5,'Competency Event Log'!$D$4:$D$803)))</f>
        <v/>
      </c>
      <c r="CC94" s="8" t="str">
        <f>IF($B94="","",IF(COUNTIF('Competency Event Log'!$U$4:$U$803,$B94&amp;"|"&amp;CC$5)=0,"",SUMIF('Competency Event Log'!$U$4:$U$803,$B94&amp;"|"&amp;CC$5,'Competency Event Log'!$D$4:$D$803)))</f>
        <v/>
      </c>
      <c r="CD94" s="8" t="str">
        <f>IF($B94="","",IF(COUNTIF('Competency Event Log'!$U$4:$U$803,$B94&amp;"|"&amp;CD$5)=0,"",SUMIF('Competency Event Log'!$U$4:$U$803,$B94&amp;"|"&amp;CD$5,'Competency Event Log'!$D$4:$D$803)))</f>
        <v/>
      </c>
      <c r="CE94" s="8" t="str">
        <f>IF($B94="","",IF(COUNTIF('Competency Event Log'!$U$4:$U$803,$B94&amp;"|"&amp;CE$5)=0,"",SUMIF('Competency Event Log'!$U$4:$U$803,$B94&amp;"|"&amp;CE$5,'Competency Event Log'!$D$4:$D$803)))</f>
        <v/>
      </c>
      <c r="CF94" s="8" t="str">
        <f>IF($B94="","",IF(COUNTIF('Competency Event Log'!$U$4:$U$803,$B94&amp;"|"&amp;CF$5)=0,"",SUMIF('Competency Event Log'!$U$4:$U$803,$B94&amp;"|"&amp;CF$5,'Competency Event Log'!$D$4:$D$803)))</f>
        <v/>
      </c>
      <c r="CG94" s="8" t="str">
        <f>IF($B94="","",IF(COUNTIF('Competency Event Log'!$U$4:$U$803,$B94&amp;"|"&amp;CG$5)=0,"",SUMIF('Competency Event Log'!$U$4:$U$803,$B94&amp;"|"&amp;CG$5,'Competency Event Log'!$D$4:$D$803)))</f>
        <v/>
      </c>
      <c r="CH94" s="8" t="str">
        <f>IF($B94="","",IF(COUNTIF('Competency Event Log'!$U$4:$U$803,$B94&amp;"|"&amp;CH$5)=0,"",SUMIF('Competency Event Log'!$U$4:$U$803,$B94&amp;"|"&amp;CH$5,'Competency Event Log'!$D$4:$D$803)))</f>
        <v/>
      </c>
      <c r="CI94" s="8" t="str">
        <f>IF($B94="","",IF(COUNTIF('Competency Event Log'!$U$4:$U$803,$B94&amp;"|"&amp;CI$5)=0,"",SUMIF('Competency Event Log'!$U$4:$U$803,$B94&amp;"|"&amp;CI$5,'Competency Event Log'!$D$4:$D$803)))</f>
        <v/>
      </c>
      <c r="CJ94" s="8" t="str">
        <f>IF($B94="","",IF(COUNTIF('Competency Event Log'!$U$4:$U$803,$B94&amp;"|"&amp;CJ$5)=0,"",SUMIF('Competency Event Log'!$U$4:$U$803,$B94&amp;"|"&amp;CJ$5,'Competency Event Log'!$D$4:$D$803)))</f>
        <v/>
      </c>
      <c r="CK94" s="8" t="str">
        <f>IF($B94="","",IF(COUNTIF('Competency Event Log'!$U$4:$U$803,$B94&amp;"|"&amp;CK$5)=0,"",SUMIF('Competency Event Log'!$U$4:$U$803,$B94&amp;"|"&amp;CK$5,'Competency Event Log'!$D$4:$D$803)))</f>
        <v/>
      </c>
      <c r="CL94" s="8" t="str">
        <f>IF($B94="","",IF(COUNTIF('Competency Event Log'!$U$4:$U$803,$B94&amp;"|"&amp;CL$5)=0,"",SUMIF('Competency Event Log'!$U$4:$U$803,$B94&amp;"|"&amp;CL$5,'Competency Event Log'!$D$4:$D$803)))</f>
        <v/>
      </c>
      <c r="CM94" s="8" t="str">
        <f>IF($B94="","",IF(COUNTIF('Competency Event Log'!$U$4:$U$803,$B94&amp;"|"&amp;CM$5)=0,"",SUMIF('Competency Event Log'!$U$4:$U$803,$B94&amp;"|"&amp;CM$5,'Competency Event Log'!$D$4:$D$803)))</f>
        <v/>
      </c>
      <c r="CN94" s="8" t="str">
        <f>IF($B94="","",IF(COUNTIF('Competency Event Log'!$U$4:$U$803,$B94&amp;"|"&amp;CN$5)=0,"",SUMIF('Competency Event Log'!$U$4:$U$803,$B94&amp;"|"&amp;CN$5,'Competency Event Log'!$D$4:$D$803)))</f>
        <v/>
      </c>
      <c r="CO94" s="8" t="str">
        <f>IF($B94="","",IF(COUNTIF('Competency Event Log'!$U$4:$U$803,$B94&amp;"|"&amp;CO$5)=0,"",SUMIF('Competency Event Log'!$U$4:$U$803,$B94&amp;"|"&amp;CO$5,'Competency Event Log'!$D$4:$D$803)))</f>
        <v/>
      </c>
      <c r="CP94" s="8" t="str">
        <f>IF($B94="","",IF(COUNTIF('Competency Event Log'!$U$4:$U$803,$B94&amp;"|"&amp;CP$5)=0,"",SUMIF('Competency Event Log'!$U$4:$U$803,$B94&amp;"|"&amp;CP$5,'Competency Event Log'!$D$4:$D$803)))</f>
        <v/>
      </c>
      <c r="CQ94" s="8" t="str">
        <f>IF($B94="","",IF(COUNTIF('Competency Event Log'!$U$4:$U$803,$B94&amp;"|"&amp;CQ$5)=0,"",SUMIF('Competency Event Log'!$U$4:$U$803,$B94&amp;"|"&amp;CQ$5,'Competency Event Log'!$D$4:$D$803)))</f>
        <v/>
      </c>
      <c r="CR94" s="8" t="str">
        <f>IF($B94="","",IF(COUNTIF('Competency Event Log'!$U$4:$U$803,$B94&amp;"|"&amp;CR$5)=0,"",SUMIF('Competency Event Log'!$U$4:$U$803,$B94&amp;"|"&amp;CR$5,'Competency Event Log'!$D$4:$D$803)))</f>
        <v/>
      </c>
      <c r="CS94" s="8" t="str">
        <f>IF($B94="","",IF(COUNTIF('Competency Event Log'!$U$4:$U$803,$B94&amp;"|"&amp;CS$5)=0,"",SUMIF('Competency Event Log'!$U$4:$U$803,$B94&amp;"|"&amp;CS$5,'Competency Event Log'!$D$4:$D$803)))</f>
        <v/>
      </c>
      <c r="CT94" s="8" t="str">
        <f>IF($B94="","",IF(COUNTIF('Competency Event Log'!$U$4:$U$803,$B94&amp;"|"&amp;CT$5)=0,"",SUMIF('Competency Event Log'!$U$4:$U$803,$B94&amp;"|"&amp;CT$5,'Competency Event Log'!$D$4:$D$803)))</f>
        <v/>
      </c>
      <c r="CU94" s="8" t="str">
        <f>IF($B94="","",IF(COUNTIF('Competency Event Log'!$U$4:$U$803,$B94&amp;"|"&amp;CU$5)=0,"",SUMIF('Competency Event Log'!$U$4:$U$803,$B94&amp;"|"&amp;CU$5,'Competency Event Log'!$D$4:$D$803)))</f>
        <v/>
      </c>
      <c r="CV94" s="8" t="str">
        <f>IF($B94="","",IF(COUNTIF('Competency Event Log'!$U$4:$U$803,$B94&amp;"|"&amp;CV$5)=0,"",SUMIF('Competency Event Log'!$U$4:$U$803,$B94&amp;"|"&amp;CV$5,'Competency Event Log'!$D$4:$D$803)))</f>
        <v/>
      </c>
      <c r="CW94" s="8" t="str">
        <f>IF($B94="","",IF(COUNTIF('Competency Event Log'!$U$4:$U$803,$B94&amp;"|"&amp;CW$5)=0,"",SUMIF('Competency Event Log'!$U$4:$U$803,$B94&amp;"|"&amp;CW$5,'Competency Event Log'!$D$4:$D$803)))</f>
        <v/>
      </c>
      <c r="CX94" s="8" t="str">
        <f>IF($B94="","",IF(COUNTIF('Competency Event Log'!$U$4:$U$803,$B94&amp;"|"&amp;CX$5)=0,"",SUMIF('Competency Event Log'!$U$4:$U$803,$B94&amp;"|"&amp;CX$5,'Competency Event Log'!$D$4:$D$803)))</f>
        <v/>
      </c>
      <c r="CY94" s="8" t="str">
        <f>IF($B94="","",IF(COUNTIF('Competency Event Log'!$U$4:$U$803,$B94&amp;"|"&amp;CY$5)=0,"",SUMIF('Competency Event Log'!$U$4:$U$803,$B94&amp;"|"&amp;CY$5,'Competency Event Log'!$D$4:$D$803)))</f>
        <v/>
      </c>
      <c r="CZ94" s="8" t="str">
        <f>IF($B94="","",IF(COUNTIF('Competency Event Log'!$U$4:$U$803,$B94&amp;"|"&amp;CZ$5)=0,"",SUMIF('Competency Event Log'!$U$4:$U$803,$B94&amp;"|"&amp;CZ$5,'Competency Event Log'!$D$4:$D$803)))</f>
        <v/>
      </c>
      <c r="DA94" s="8" t="str">
        <f>IF($B94="","",IF(COUNTIF('Competency Event Log'!$U$4:$U$803,$B94&amp;"|"&amp;DA$5)=0,"",SUMIF('Competency Event Log'!$U$4:$U$803,$B94&amp;"|"&amp;DA$5,'Competency Event Log'!$D$4:$D$803)))</f>
        <v/>
      </c>
      <c r="DB94" s="8" t="str">
        <f>IF($B94="","",IF(COUNTIF('Competency Event Log'!$U$4:$U$803,$B94&amp;"|"&amp;DB$5)=0,"",SUMIF('Competency Event Log'!$U$4:$U$803,$B94&amp;"|"&amp;DB$5,'Competency Event Log'!$D$4:$D$803)))</f>
        <v/>
      </c>
      <c r="DC94" s="8" t="str">
        <f>IF($B94="","",IF(COUNTIF('Competency Event Log'!$U$4:$U$803,$B94&amp;"|"&amp;DC$5)=0,"",SUMIF('Competency Event Log'!$U$4:$U$803,$B94&amp;"|"&amp;DC$5,'Competency Event Log'!$D$4:$D$803)))</f>
        <v/>
      </c>
      <c r="DD94" s="8" t="str">
        <f>IF($B94="","",IF(COUNTIF('Competency Event Log'!$U$4:$U$803,$B94&amp;"|"&amp;DD$5)=0,"",SUMIF('Competency Event Log'!$U$4:$U$803,$B94&amp;"|"&amp;DD$5,'Competency Event Log'!$D$4:$D$803)))</f>
        <v/>
      </c>
      <c r="DE94" s="8" t="str">
        <f>IF($B94="","",IF(COUNTIF('Competency Event Log'!$U$4:$U$803,$B94&amp;"|"&amp;DE$5)=0,"",SUMIF('Competency Event Log'!$U$4:$U$803,$B94&amp;"|"&amp;DE$5,'Competency Event Log'!$D$4:$D$803)))</f>
        <v/>
      </c>
      <c r="DF94" s="8" t="str">
        <f t="shared" si="8"/>
        <v/>
      </c>
      <c r="DG94" s="8" t="str">
        <f t="shared" si="9"/>
        <v/>
      </c>
      <c r="DH94" s="8" t="str">
        <f t="shared" si="10"/>
        <v/>
      </c>
      <c r="DI94" s="11" t="str">
        <f t="shared" si="11"/>
        <v/>
      </c>
    </row>
    <row r="95" spans="1:113">
      <c r="A95" s="7"/>
      <c r="B95" s="7"/>
      <c r="C95" s="8"/>
      <c r="D95" s="9"/>
      <c r="E95" s="10"/>
      <c r="F95" s="8"/>
      <c r="G95" s="8" t="str">
        <f>IF($B95="","",IF(COUNTIF('Competency Event Log'!$U$4:$U$803,$B95&amp;"|"&amp;G$5)=0,"",SUMIF('Competency Event Log'!$U$4:$U$803,$B95&amp;"|"&amp;G$5,'Competency Event Log'!$D$4:$D$803)))</f>
        <v/>
      </c>
      <c r="H95" s="8" t="str">
        <f>IF($B95="","",IF(COUNTIF('Competency Event Log'!$U$4:$U$803,$B95&amp;"|"&amp;H$5)=0,"",SUMIF('Competency Event Log'!$U$4:$U$803,$B95&amp;"|"&amp;H$5,'Competency Event Log'!$D$4:$D$803)))</f>
        <v/>
      </c>
      <c r="I95" s="8" t="str">
        <f>IF($B95="","",IF(COUNTIF('Competency Event Log'!$U$4:$U$803,$B95&amp;"|"&amp;I$5)=0,"",SUMIF('Competency Event Log'!$U$4:$U$803,$B95&amp;"|"&amp;I$5,'Competency Event Log'!$D$4:$D$803)))</f>
        <v/>
      </c>
      <c r="J95" s="8" t="str">
        <f>IF($B95="","",IF(COUNTIF('Competency Event Log'!$U$4:$U$803,$B95&amp;"|"&amp;J$5)=0,"",SUMIF('Competency Event Log'!$U$4:$U$803,$B95&amp;"|"&amp;J$5,'Competency Event Log'!$D$4:$D$803)))</f>
        <v/>
      </c>
      <c r="K95" s="8" t="str">
        <f>IF($B95="","",IF(COUNTIF('Competency Event Log'!$U$4:$U$803,$B95&amp;"|"&amp;K$5)=0,"",SUMIF('Competency Event Log'!$U$4:$U$803,$B95&amp;"|"&amp;K$5,'Competency Event Log'!$D$4:$D$803)))</f>
        <v/>
      </c>
      <c r="L95" s="8" t="str">
        <f>IF($B95="","",IF(COUNTIF('Competency Event Log'!$U$4:$U$803,$B95&amp;"|"&amp;L$5)=0,"",SUMIF('Competency Event Log'!$U$4:$U$803,$B95&amp;"|"&amp;L$5,'Competency Event Log'!$D$4:$D$803)))</f>
        <v/>
      </c>
      <c r="M95" s="8" t="str">
        <f>IF($B95="","",IF(COUNTIF('Competency Event Log'!$U$4:$U$803,$B95&amp;"|"&amp;M$5)=0,"",SUMIF('Competency Event Log'!$U$4:$U$803,$B95&amp;"|"&amp;M$5,'Competency Event Log'!$D$4:$D$803)))</f>
        <v/>
      </c>
      <c r="N95" s="8" t="str">
        <f>IF($B95="","",IF(COUNTIF('Competency Event Log'!$U$4:$U$803,$B95&amp;"|"&amp;N$5)=0,"",SUMIF('Competency Event Log'!$U$4:$U$803,$B95&amp;"|"&amp;N$5,'Competency Event Log'!$D$4:$D$803)))</f>
        <v/>
      </c>
      <c r="O95" s="8" t="str">
        <f>IF($B95="","",IF(COUNTIF('Competency Event Log'!$U$4:$U$803,$B95&amp;"|"&amp;O$5)=0,"",SUMIF('Competency Event Log'!$U$4:$U$803,$B95&amp;"|"&amp;O$5,'Competency Event Log'!$D$4:$D$803)))</f>
        <v/>
      </c>
      <c r="P95" s="8" t="str">
        <f>IF($B95="","",IF(COUNTIF('Competency Event Log'!$U$4:$U$803,$B95&amp;"|"&amp;P$5)=0,"",SUMIF('Competency Event Log'!$U$4:$U$803,$B95&amp;"|"&amp;P$5,'Competency Event Log'!$D$4:$D$803)))</f>
        <v/>
      </c>
      <c r="Q95" s="8" t="str">
        <f>IF($B95="","",IF(COUNTIF('Competency Event Log'!$U$4:$U$803,$B95&amp;"|"&amp;Q$5)=0,"",SUMIF('Competency Event Log'!$U$4:$U$803,$B95&amp;"|"&amp;Q$5,'Competency Event Log'!$D$4:$D$803)))</f>
        <v/>
      </c>
      <c r="R95" s="8" t="str">
        <f>IF($B95="","",IF(COUNTIF('Competency Event Log'!$U$4:$U$803,$B95&amp;"|"&amp;R$5)=0,"",SUMIF('Competency Event Log'!$U$4:$U$803,$B95&amp;"|"&amp;R$5,'Competency Event Log'!$D$4:$D$803)))</f>
        <v/>
      </c>
      <c r="S95" s="8" t="str">
        <f>IF($B95="","",IF(COUNTIF('Competency Event Log'!$U$4:$U$803,$B95&amp;"|"&amp;S$5)=0,"",SUMIF('Competency Event Log'!$U$4:$U$803,$B95&amp;"|"&amp;S$5,'Competency Event Log'!$D$4:$D$803)))</f>
        <v/>
      </c>
      <c r="T95" s="8" t="str">
        <f>IF($B95="","",IF(COUNTIF('Competency Event Log'!$U$4:$U$803,$B95&amp;"|"&amp;T$5)=0,"",SUMIF('Competency Event Log'!$U$4:$U$803,$B95&amp;"|"&amp;T$5,'Competency Event Log'!$D$4:$D$803)))</f>
        <v/>
      </c>
      <c r="U95" s="8" t="str">
        <f>IF($B95="","",IF(COUNTIF('Competency Event Log'!$U$4:$U$803,$B95&amp;"|"&amp;U$5)=0,"",SUMIF('Competency Event Log'!$U$4:$U$803,$B95&amp;"|"&amp;U$5,'Competency Event Log'!$D$4:$D$803)))</f>
        <v/>
      </c>
      <c r="V95" s="8" t="str">
        <f>IF($B95="","",IF(COUNTIF('Competency Event Log'!$U$4:$U$803,$B95&amp;"|"&amp;V$5)=0,"",SUMIF('Competency Event Log'!$U$4:$U$803,$B95&amp;"|"&amp;V$5,'Competency Event Log'!$D$4:$D$803)))</f>
        <v/>
      </c>
      <c r="W95" s="8" t="str">
        <f>IF($B95="","",IF(COUNTIF('Competency Event Log'!$U$4:$U$803,$B95&amp;"|"&amp;W$5)=0,"",SUMIF('Competency Event Log'!$U$4:$U$803,$B95&amp;"|"&amp;W$5,'Competency Event Log'!$D$4:$D$803)))</f>
        <v/>
      </c>
      <c r="X95" s="8" t="str">
        <f>IF($B95="","",IF(COUNTIF('Competency Event Log'!$U$4:$U$803,$B95&amp;"|"&amp;X$5)=0,"",SUMIF('Competency Event Log'!$U$4:$U$803,$B95&amp;"|"&amp;X$5,'Competency Event Log'!$D$4:$D$803)))</f>
        <v/>
      </c>
      <c r="Y95" s="8" t="str">
        <f>IF($B95="","",IF(COUNTIF('Competency Event Log'!$U$4:$U$803,$B95&amp;"|"&amp;Y$5)=0,"",SUMIF('Competency Event Log'!$U$4:$U$803,$B95&amp;"|"&amp;Y$5,'Competency Event Log'!$D$4:$D$803)))</f>
        <v/>
      </c>
      <c r="Z95" s="8" t="str">
        <f>IF($B95="","",IF(COUNTIF('Competency Event Log'!$U$4:$U$803,$B95&amp;"|"&amp;Z$5)=0,"",SUMIF('Competency Event Log'!$U$4:$U$803,$B95&amp;"|"&amp;Z$5,'Competency Event Log'!$D$4:$D$803)))</f>
        <v/>
      </c>
      <c r="AA95" s="8" t="str">
        <f>IF($B95="","",IF(COUNTIF('Competency Event Log'!$U$4:$U$803,$B95&amp;"|"&amp;AA$5)=0,"",SUMIF('Competency Event Log'!$U$4:$U$803,$B95&amp;"|"&amp;AA$5,'Competency Event Log'!$D$4:$D$803)))</f>
        <v/>
      </c>
      <c r="AB95" s="8" t="str">
        <f>IF($B95="","",IF(COUNTIF('Competency Event Log'!$U$4:$U$803,$B95&amp;"|"&amp;AB$5)=0,"",SUMIF('Competency Event Log'!$U$4:$U$803,$B95&amp;"|"&amp;AB$5,'Competency Event Log'!$D$4:$D$803)))</f>
        <v/>
      </c>
      <c r="AC95" s="8" t="str">
        <f>IF($B95="","",IF(COUNTIF('Competency Event Log'!$U$4:$U$803,$B95&amp;"|"&amp;AC$5)=0,"",SUMIF('Competency Event Log'!$U$4:$U$803,$B95&amp;"|"&amp;AC$5,'Competency Event Log'!$D$4:$D$803)))</f>
        <v/>
      </c>
      <c r="AD95" s="8" t="str">
        <f>IF($B95="","",IF(COUNTIF('Competency Event Log'!$U$4:$U$803,$B95&amp;"|"&amp;AD$5)=0,"",SUMIF('Competency Event Log'!$U$4:$U$803,$B95&amp;"|"&amp;AD$5,'Competency Event Log'!$D$4:$D$803)))</f>
        <v/>
      </c>
      <c r="AE95" s="8" t="str">
        <f>IF($B95="","",IF(COUNTIF('Competency Event Log'!$U$4:$U$803,$B95&amp;"|"&amp;AE$5)=0,"",SUMIF('Competency Event Log'!$U$4:$U$803,$B95&amp;"|"&amp;AE$5,'Competency Event Log'!$D$4:$D$803)))</f>
        <v/>
      </c>
      <c r="AF95" s="8" t="str">
        <f>IF($B95="","",IF(COUNTIF('Competency Event Log'!$U$4:$U$803,$B95&amp;"|"&amp;AF$5)=0,"",SUMIF('Competency Event Log'!$U$4:$U$803,$B95&amp;"|"&amp;AF$5,'Competency Event Log'!$D$4:$D$803)))</f>
        <v/>
      </c>
      <c r="AG95" s="8" t="str">
        <f>IF($B95="","",IF(COUNTIF('Competency Event Log'!$U$4:$U$803,$B95&amp;"|"&amp;AG$5)=0,"",SUMIF('Competency Event Log'!$U$4:$U$803,$B95&amp;"|"&amp;AG$5,'Competency Event Log'!$D$4:$D$803)))</f>
        <v/>
      </c>
      <c r="AH95" s="8" t="str">
        <f>IF($B95="","",IF(COUNTIF('Competency Event Log'!$U$4:$U$803,$B95&amp;"|"&amp;AH$5)=0,"",SUMIF('Competency Event Log'!$U$4:$U$803,$B95&amp;"|"&amp;AH$5,'Competency Event Log'!$D$4:$D$803)))</f>
        <v/>
      </c>
      <c r="AI95" s="8" t="str">
        <f>IF($B95="","",IF(COUNTIF('Competency Event Log'!$U$4:$U$803,$B95&amp;"|"&amp;AI$5)=0,"",SUMIF('Competency Event Log'!$U$4:$U$803,$B95&amp;"|"&amp;AI$5,'Competency Event Log'!$D$4:$D$803)))</f>
        <v/>
      </c>
      <c r="AJ95" s="8" t="str">
        <f>IF($B95="","",IF(COUNTIF('Competency Event Log'!$U$4:$U$803,$B95&amp;"|"&amp;AJ$5)=0,"",SUMIF('Competency Event Log'!$U$4:$U$803,$B95&amp;"|"&amp;AJ$5,'Competency Event Log'!$D$4:$D$803)))</f>
        <v/>
      </c>
      <c r="AK95" s="8" t="str">
        <f>IF($B95="","",IF(COUNTIF('Competency Event Log'!$U$4:$U$803,$B95&amp;"|"&amp;AK$5)=0,"",SUMIF('Competency Event Log'!$U$4:$U$803,$B95&amp;"|"&amp;AK$5,'Competency Event Log'!$D$4:$D$803)))</f>
        <v/>
      </c>
      <c r="AL95" s="8" t="str">
        <f>IF($B95="","",IF(COUNTIF('Competency Event Log'!$U$4:$U$803,$B95&amp;"|"&amp;AL$5)=0,"",SUMIF('Competency Event Log'!$U$4:$U$803,$B95&amp;"|"&amp;AL$5,'Competency Event Log'!$D$4:$D$803)))</f>
        <v/>
      </c>
      <c r="AM95" s="8" t="str">
        <f>IF($B95="","",IF(COUNTIF('Competency Event Log'!$U$4:$U$803,$B95&amp;"|"&amp;AM$5)=0,"",SUMIF('Competency Event Log'!$U$4:$U$803,$B95&amp;"|"&amp;AM$5,'Competency Event Log'!$D$4:$D$803)))</f>
        <v/>
      </c>
      <c r="AN95" s="8" t="str">
        <f>IF($B95="","",IF(COUNTIF('Competency Event Log'!$U$4:$U$803,$B95&amp;"|"&amp;AN$5)=0,"",SUMIF('Competency Event Log'!$U$4:$U$803,$B95&amp;"|"&amp;AN$5,'Competency Event Log'!$D$4:$D$803)))</f>
        <v/>
      </c>
      <c r="AO95" s="8" t="str">
        <f>IF($B95="","",IF(COUNTIF('Competency Event Log'!$U$4:$U$803,$B95&amp;"|"&amp;AO$5)=0,"",SUMIF('Competency Event Log'!$U$4:$U$803,$B95&amp;"|"&amp;AO$5,'Competency Event Log'!$D$4:$D$803)))</f>
        <v/>
      </c>
      <c r="AP95" s="8" t="str">
        <f>IF($B95="","",IF(COUNTIF('Competency Event Log'!$U$4:$U$803,$B95&amp;"|"&amp;AP$5)=0,"",SUMIF('Competency Event Log'!$U$4:$U$803,$B95&amp;"|"&amp;AP$5,'Competency Event Log'!$D$4:$D$803)))</f>
        <v/>
      </c>
      <c r="AQ95" s="8" t="str">
        <f>IF($B95="","",IF(COUNTIF('Competency Event Log'!$U$4:$U$803,$B95&amp;"|"&amp;AQ$5)=0,"",SUMIF('Competency Event Log'!$U$4:$U$803,$B95&amp;"|"&amp;AQ$5,'Competency Event Log'!$D$4:$D$803)))</f>
        <v/>
      </c>
      <c r="AR95" s="8" t="str">
        <f>IF($B95="","",IF(COUNTIF('Competency Event Log'!$U$4:$U$803,$B95&amp;"|"&amp;AR$5)=0,"",SUMIF('Competency Event Log'!$U$4:$U$803,$B95&amp;"|"&amp;AR$5,'Competency Event Log'!$D$4:$D$803)))</f>
        <v/>
      </c>
      <c r="AS95" s="8" t="str">
        <f>IF($B95="","",IF(COUNTIF('Competency Event Log'!$U$4:$U$803,$B95&amp;"|"&amp;AS$5)=0,"",SUMIF('Competency Event Log'!$U$4:$U$803,$B95&amp;"|"&amp;AS$5,'Competency Event Log'!$D$4:$D$803)))</f>
        <v/>
      </c>
      <c r="AT95" s="8" t="str">
        <f>IF($B95="","",IF(COUNTIF('Competency Event Log'!$U$4:$U$803,$B95&amp;"|"&amp;AT$5)=0,"",SUMIF('Competency Event Log'!$U$4:$U$803,$B95&amp;"|"&amp;AT$5,'Competency Event Log'!$D$4:$D$803)))</f>
        <v/>
      </c>
      <c r="AU95" s="8" t="str">
        <f>IF($B95="","",IF(COUNTIF('Competency Event Log'!$U$4:$U$803,$B95&amp;"|"&amp;AU$5)=0,"",SUMIF('Competency Event Log'!$U$4:$U$803,$B95&amp;"|"&amp;AU$5,'Competency Event Log'!$D$4:$D$803)))</f>
        <v/>
      </c>
      <c r="AV95" s="8" t="str">
        <f>IF($B95="","",IF(COUNTIF('Competency Event Log'!$U$4:$U$803,$B95&amp;"|"&amp;AV$5)=0,"",SUMIF('Competency Event Log'!$U$4:$U$803,$B95&amp;"|"&amp;AV$5,'Competency Event Log'!$D$4:$D$803)))</f>
        <v/>
      </c>
      <c r="AW95" s="8" t="str">
        <f>IF($B95="","",IF(COUNTIF('Competency Event Log'!$U$4:$U$803,$B95&amp;"|"&amp;AW$5)=0,"",SUMIF('Competency Event Log'!$U$4:$U$803,$B95&amp;"|"&amp;AW$5,'Competency Event Log'!$D$4:$D$803)))</f>
        <v/>
      </c>
      <c r="AX95" s="8" t="str">
        <f>IF($B95="","",IF(COUNTIF('Competency Event Log'!$U$4:$U$803,$B95&amp;"|"&amp;AX$5)=0,"",SUMIF('Competency Event Log'!$U$4:$U$803,$B95&amp;"|"&amp;AX$5,'Competency Event Log'!$D$4:$D$803)))</f>
        <v/>
      </c>
      <c r="AY95" s="8" t="str">
        <f>IF($B95="","",IF(COUNTIF('Competency Event Log'!$U$4:$U$803,$B95&amp;"|"&amp;AY$5)=0,"",SUMIF('Competency Event Log'!$U$4:$U$803,$B95&amp;"|"&amp;AY$5,'Competency Event Log'!$D$4:$D$803)))</f>
        <v/>
      </c>
      <c r="AZ95" s="8" t="str">
        <f>IF($B95="","",IF(COUNTIF('Competency Event Log'!$U$4:$U$803,$B95&amp;"|"&amp;AZ$5)=0,"",SUMIF('Competency Event Log'!$U$4:$U$803,$B95&amp;"|"&amp;AZ$5,'Competency Event Log'!$D$4:$D$803)))</f>
        <v/>
      </c>
      <c r="BA95" s="8" t="str">
        <f>IF($B95="","",IF(COUNTIF('Competency Event Log'!$U$4:$U$803,$B95&amp;"|"&amp;BA$5)=0,"",SUMIF('Competency Event Log'!$U$4:$U$803,$B95&amp;"|"&amp;BA$5,'Competency Event Log'!$D$4:$D$803)))</f>
        <v/>
      </c>
      <c r="BB95" s="8" t="str">
        <f>IF($B95="","",IF(COUNTIF('Competency Event Log'!$U$4:$U$803,$B95&amp;"|"&amp;BB$5)=0,"",SUMIF('Competency Event Log'!$U$4:$U$803,$B95&amp;"|"&amp;BB$5,'Competency Event Log'!$D$4:$D$803)))</f>
        <v/>
      </c>
      <c r="BC95" s="8" t="str">
        <f>IF($B95="","",IF(COUNTIF('Competency Event Log'!$U$4:$U$803,$B95&amp;"|"&amp;BC$5)=0,"",SUMIF('Competency Event Log'!$U$4:$U$803,$B95&amp;"|"&amp;BC$5,'Competency Event Log'!$D$4:$D$803)))</f>
        <v/>
      </c>
      <c r="BD95" s="8" t="str">
        <f>IF($B95="","",IF(COUNTIF('Competency Event Log'!$U$4:$U$803,$B95&amp;"|"&amp;BD$5)=0,"",SUMIF('Competency Event Log'!$U$4:$U$803,$B95&amp;"|"&amp;BD$5,'Competency Event Log'!$D$4:$D$803)))</f>
        <v/>
      </c>
      <c r="BE95" s="8" t="str">
        <f>IF($B95="","",IF(COUNTIF('Competency Event Log'!$U$4:$U$803,$B95&amp;"|"&amp;BE$5)=0,"",SUMIF('Competency Event Log'!$U$4:$U$803,$B95&amp;"|"&amp;BE$5,'Competency Event Log'!$D$4:$D$803)))</f>
        <v/>
      </c>
      <c r="BF95" s="8" t="str">
        <f>IF($B95="","",IF(COUNTIF('Competency Event Log'!$U$4:$U$803,$B95&amp;"|"&amp;BF$5)=0,"",SUMIF('Competency Event Log'!$U$4:$U$803,$B95&amp;"|"&amp;BF$5,'Competency Event Log'!$D$4:$D$803)))</f>
        <v/>
      </c>
      <c r="BG95" s="8" t="str">
        <f>IF($B95="","",IF(COUNTIF('Competency Event Log'!$U$4:$U$803,$B95&amp;"|"&amp;BG$5)=0,"",SUMIF('Competency Event Log'!$U$4:$U$803,$B95&amp;"|"&amp;BG$5,'Competency Event Log'!$D$4:$D$803)))</f>
        <v/>
      </c>
      <c r="BH95" s="8" t="str">
        <f>IF($B95="","",IF(COUNTIF('Competency Event Log'!$U$4:$U$803,$B95&amp;"|"&amp;BH$5)=0,"",SUMIF('Competency Event Log'!$U$4:$U$803,$B95&amp;"|"&amp;BH$5,'Competency Event Log'!$D$4:$D$803)))</f>
        <v/>
      </c>
      <c r="BI95" s="8" t="str">
        <f>IF($B95="","",IF(COUNTIF('Competency Event Log'!$U$4:$U$803,$B95&amp;"|"&amp;BI$5)=0,"",SUMIF('Competency Event Log'!$U$4:$U$803,$B95&amp;"|"&amp;BI$5,'Competency Event Log'!$D$4:$D$803)))</f>
        <v/>
      </c>
      <c r="BJ95" s="8" t="str">
        <f>IF($B95="","",IF(COUNTIF('Competency Event Log'!$U$4:$U$803,$B95&amp;"|"&amp;BJ$5)=0,"",SUMIF('Competency Event Log'!$U$4:$U$803,$B95&amp;"|"&amp;BJ$5,'Competency Event Log'!$D$4:$D$803)))</f>
        <v/>
      </c>
      <c r="BK95" s="8" t="str">
        <f>IF($B95="","",IF(COUNTIF('Competency Event Log'!$U$4:$U$803,$B95&amp;"|"&amp;BK$5)=0,"",SUMIF('Competency Event Log'!$U$4:$U$803,$B95&amp;"|"&amp;BK$5,'Competency Event Log'!$D$4:$D$803)))</f>
        <v/>
      </c>
      <c r="BL95" s="8" t="str">
        <f>IF($B95="","",IF(COUNTIF('Competency Event Log'!$U$4:$U$803,$B95&amp;"|"&amp;BL$5)=0,"",SUMIF('Competency Event Log'!$U$4:$U$803,$B95&amp;"|"&amp;BL$5,'Competency Event Log'!$D$4:$D$803)))</f>
        <v/>
      </c>
      <c r="BM95" s="8" t="str">
        <f>IF($B95="","",IF(COUNTIF('Competency Event Log'!$U$4:$U$803,$B95&amp;"|"&amp;BM$5)=0,"",SUMIF('Competency Event Log'!$U$4:$U$803,$B95&amp;"|"&amp;BM$5,'Competency Event Log'!$D$4:$D$803)))</f>
        <v/>
      </c>
      <c r="BN95" s="8" t="str">
        <f>IF($B95="","",IF(COUNTIF('Competency Event Log'!$U$4:$U$803,$B95&amp;"|"&amp;BN$5)=0,"",SUMIF('Competency Event Log'!$U$4:$U$803,$B95&amp;"|"&amp;BN$5,'Competency Event Log'!$D$4:$D$803)))</f>
        <v/>
      </c>
      <c r="BO95" s="8" t="str">
        <f>IF($B95="","",IF(COUNTIF('Competency Event Log'!$U$4:$U$803,$B95&amp;"|"&amp;BO$5)=0,"",SUMIF('Competency Event Log'!$U$4:$U$803,$B95&amp;"|"&amp;BO$5,'Competency Event Log'!$D$4:$D$803)))</f>
        <v/>
      </c>
      <c r="BP95" s="8" t="str">
        <f>IF($B95="","",IF(COUNTIF('Competency Event Log'!$U$4:$U$803,$B95&amp;"|"&amp;BP$5)=0,"",SUMIF('Competency Event Log'!$U$4:$U$803,$B95&amp;"|"&amp;BP$5,'Competency Event Log'!$D$4:$D$803)))</f>
        <v/>
      </c>
      <c r="BQ95" s="8" t="str">
        <f>IF($B95="","",IF(COUNTIF('Competency Event Log'!$U$4:$U$803,$B95&amp;"|"&amp;BQ$5)=0,"",SUMIF('Competency Event Log'!$U$4:$U$803,$B95&amp;"|"&amp;BQ$5,'Competency Event Log'!$D$4:$D$803)))</f>
        <v/>
      </c>
      <c r="BR95" s="8" t="str">
        <f>IF($B95="","",IF(COUNTIF('Competency Event Log'!$U$4:$U$803,$B95&amp;"|"&amp;BR$5)=0,"",SUMIF('Competency Event Log'!$U$4:$U$803,$B95&amp;"|"&amp;BR$5,'Competency Event Log'!$D$4:$D$803)))</f>
        <v/>
      </c>
      <c r="BS95" s="8" t="str">
        <f>IF($B95="","",IF(COUNTIF('Competency Event Log'!$U$4:$U$803,$B95&amp;"|"&amp;BS$5)=0,"",SUMIF('Competency Event Log'!$U$4:$U$803,$B95&amp;"|"&amp;BS$5,'Competency Event Log'!$D$4:$D$803)))</f>
        <v/>
      </c>
      <c r="BT95" s="8" t="str">
        <f>IF($B95="","",IF(COUNTIF('Competency Event Log'!$U$4:$U$803,$B95&amp;"|"&amp;BT$5)=0,"",SUMIF('Competency Event Log'!$U$4:$U$803,$B95&amp;"|"&amp;BT$5,'Competency Event Log'!$D$4:$D$803)))</f>
        <v/>
      </c>
      <c r="BU95" s="8" t="str">
        <f>IF($B95="","",IF(COUNTIF('Competency Event Log'!$U$4:$U$803,$B95&amp;"|"&amp;BU$5)=0,"",SUMIF('Competency Event Log'!$U$4:$U$803,$B95&amp;"|"&amp;BU$5,'Competency Event Log'!$D$4:$D$803)))</f>
        <v/>
      </c>
      <c r="BV95" s="8" t="str">
        <f>IF($B95="","",IF(COUNTIF('Competency Event Log'!$U$4:$U$803,$B95&amp;"|"&amp;BV$5)=0,"",SUMIF('Competency Event Log'!$U$4:$U$803,$B95&amp;"|"&amp;BV$5,'Competency Event Log'!$D$4:$D$803)))</f>
        <v/>
      </c>
      <c r="BW95" s="8" t="str">
        <f>IF($B95="","",IF(COUNTIF('Competency Event Log'!$U$4:$U$803,$B95&amp;"|"&amp;BW$5)=0,"",SUMIF('Competency Event Log'!$U$4:$U$803,$B95&amp;"|"&amp;BW$5,'Competency Event Log'!$D$4:$D$803)))</f>
        <v/>
      </c>
      <c r="BX95" s="8" t="str">
        <f>IF($B95="","",IF(COUNTIF('Competency Event Log'!$U$4:$U$803,$B95&amp;"|"&amp;BX$5)=0,"",SUMIF('Competency Event Log'!$U$4:$U$803,$B95&amp;"|"&amp;BX$5,'Competency Event Log'!$D$4:$D$803)))</f>
        <v/>
      </c>
      <c r="BY95" s="8" t="str">
        <f>IF($B95="","",IF(COUNTIF('Competency Event Log'!$U$4:$U$803,$B95&amp;"|"&amp;BY$5)=0,"",SUMIF('Competency Event Log'!$U$4:$U$803,$B95&amp;"|"&amp;BY$5,'Competency Event Log'!$D$4:$D$803)))</f>
        <v/>
      </c>
      <c r="BZ95" s="8" t="str">
        <f>IF($B95="","",IF(COUNTIF('Competency Event Log'!$U$4:$U$803,$B95&amp;"|"&amp;BZ$5)=0,"",SUMIF('Competency Event Log'!$U$4:$U$803,$B95&amp;"|"&amp;BZ$5,'Competency Event Log'!$D$4:$D$803)))</f>
        <v/>
      </c>
      <c r="CA95" s="8" t="str">
        <f>IF($B95="","",IF(COUNTIF('Competency Event Log'!$U$4:$U$803,$B95&amp;"|"&amp;CA$5)=0,"",SUMIF('Competency Event Log'!$U$4:$U$803,$B95&amp;"|"&amp;CA$5,'Competency Event Log'!$D$4:$D$803)))</f>
        <v/>
      </c>
      <c r="CB95" s="8" t="str">
        <f>IF($B95="","",IF(COUNTIF('Competency Event Log'!$U$4:$U$803,$B95&amp;"|"&amp;CB$5)=0,"",SUMIF('Competency Event Log'!$U$4:$U$803,$B95&amp;"|"&amp;CB$5,'Competency Event Log'!$D$4:$D$803)))</f>
        <v/>
      </c>
      <c r="CC95" s="8" t="str">
        <f>IF($B95="","",IF(COUNTIF('Competency Event Log'!$U$4:$U$803,$B95&amp;"|"&amp;CC$5)=0,"",SUMIF('Competency Event Log'!$U$4:$U$803,$B95&amp;"|"&amp;CC$5,'Competency Event Log'!$D$4:$D$803)))</f>
        <v/>
      </c>
      <c r="CD95" s="8" t="str">
        <f>IF($B95="","",IF(COUNTIF('Competency Event Log'!$U$4:$U$803,$B95&amp;"|"&amp;CD$5)=0,"",SUMIF('Competency Event Log'!$U$4:$U$803,$B95&amp;"|"&amp;CD$5,'Competency Event Log'!$D$4:$D$803)))</f>
        <v/>
      </c>
      <c r="CE95" s="8" t="str">
        <f>IF($B95="","",IF(COUNTIF('Competency Event Log'!$U$4:$U$803,$B95&amp;"|"&amp;CE$5)=0,"",SUMIF('Competency Event Log'!$U$4:$U$803,$B95&amp;"|"&amp;CE$5,'Competency Event Log'!$D$4:$D$803)))</f>
        <v/>
      </c>
      <c r="CF95" s="8" t="str">
        <f>IF($B95="","",IF(COUNTIF('Competency Event Log'!$U$4:$U$803,$B95&amp;"|"&amp;CF$5)=0,"",SUMIF('Competency Event Log'!$U$4:$U$803,$B95&amp;"|"&amp;CF$5,'Competency Event Log'!$D$4:$D$803)))</f>
        <v/>
      </c>
      <c r="CG95" s="8" t="str">
        <f>IF($B95="","",IF(COUNTIF('Competency Event Log'!$U$4:$U$803,$B95&amp;"|"&amp;CG$5)=0,"",SUMIF('Competency Event Log'!$U$4:$U$803,$B95&amp;"|"&amp;CG$5,'Competency Event Log'!$D$4:$D$803)))</f>
        <v/>
      </c>
      <c r="CH95" s="8" t="str">
        <f>IF($B95="","",IF(COUNTIF('Competency Event Log'!$U$4:$U$803,$B95&amp;"|"&amp;CH$5)=0,"",SUMIF('Competency Event Log'!$U$4:$U$803,$B95&amp;"|"&amp;CH$5,'Competency Event Log'!$D$4:$D$803)))</f>
        <v/>
      </c>
      <c r="CI95" s="8" t="str">
        <f>IF($B95="","",IF(COUNTIF('Competency Event Log'!$U$4:$U$803,$B95&amp;"|"&amp;CI$5)=0,"",SUMIF('Competency Event Log'!$U$4:$U$803,$B95&amp;"|"&amp;CI$5,'Competency Event Log'!$D$4:$D$803)))</f>
        <v/>
      </c>
      <c r="CJ95" s="8" t="str">
        <f>IF($B95="","",IF(COUNTIF('Competency Event Log'!$U$4:$U$803,$B95&amp;"|"&amp;CJ$5)=0,"",SUMIF('Competency Event Log'!$U$4:$U$803,$B95&amp;"|"&amp;CJ$5,'Competency Event Log'!$D$4:$D$803)))</f>
        <v/>
      </c>
      <c r="CK95" s="8" t="str">
        <f>IF($B95="","",IF(COUNTIF('Competency Event Log'!$U$4:$U$803,$B95&amp;"|"&amp;CK$5)=0,"",SUMIF('Competency Event Log'!$U$4:$U$803,$B95&amp;"|"&amp;CK$5,'Competency Event Log'!$D$4:$D$803)))</f>
        <v/>
      </c>
      <c r="CL95" s="8" t="str">
        <f>IF($B95="","",IF(COUNTIF('Competency Event Log'!$U$4:$U$803,$B95&amp;"|"&amp;CL$5)=0,"",SUMIF('Competency Event Log'!$U$4:$U$803,$B95&amp;"|"&amp;CL$5,'Competency Event Log'!$D$4:$D$803)))</f>
        <v/>
      </c>
      <c r="CM95" s="8" t="str">
        <f>IF($B95="","",IF(COUNTIF('Competency Event Log'!$U$4:$U$803,$B95&amp;"|"&amp;CM$5)=0,"",SUMIF('Competency Event Log'!$U$4:$U$803,$B95&amp;"|"&amp;CM$5,'Competency Event Log'!$D$4:$D$803)))</f>
        <v/>
      </c>
      <c r="CN95" s="8" t="str">
        <f>IF($B95="","",IF(COUNTIF('Competency Event Log'!$U$4:$U$803,$B95&amp;"|"&amp;CN$5)=0,"",SUMIF('Competency Event Log'!$U$4:$U$803,$B95&amp;"|"&amp;CN$5,'Competency Event Log'!$D$4:$D$803)))</f>
        <v/>
      </c>
      <c r="CO95" s="8" t="str">
        <f>IF($B95="","",IF(COUNTIF('Competency Event Log'!$U$4:$U$803,$B95&amp;"|"&amp;CO$5)=0,"",SUMIF('Competency Event Log'!$U$4:$U$803,$B95&amp;"|"&amp;CO$5,'Competency Event Log'!$D$4:$D$803)))</f>
        <v/>
      </c>
      <c r="CP95" s="8" t="str">
        <f>IF($B95="","",IF(COUNTIF('Competency Event Log'!$U$4:$U$803,$B95&amp;"|"&amp;CP$5)=0,"",SUMIF('Competency Event Log'!$U$4:$U$803,$B95&amp;"|"&amp;CP$5,'Competency Event Log'!$D$4:$D$803)))</f>
        <v/>
      </c>
      <c r="CQ95" s="8" t="str">
        <f>IF($B95="","",IF(COUNTIF('Competency Event Log'!$U$4:$U$803,$B95&amp;"|"&amp;CQ$5)=0,"",SUMIF('Competency Event Log'!$U$4:$U$803,$B95&amp;"|"&amp;CQ$5,'Competency Event Log'!$D$4:$D$803)))</f>
        <v/>
      </c>
      <c r="CR95" s="8" t="str">
        <f>IF($B95="","",IF(COUNTIF('Competency Event Log'!$U$4:$U$803,$B95&amp;"|"&amp;CR$5)=0,"",SUMIF('Competency Event Log'!$U$4:$U$803,$B95&amp;"|"&amp;CR$5,'Competency Event Log'!$D$4:$D$803)))</f>
        <v/>
      </c>
      <c r="CS95" s="8" t="str">
        <f>IF($B95="","",IF(COUNTIF('Competency Event Log'!$U$4:$U$803,$B95&amp;"|"&amp;CS$5)=0,"",SUMIF('Competency Event Log'!$U$4:$U$803,$B95&amp;"|"&amp;CS$5,'Competency Event Log'!$D$4:$D$803)))</f>
        <v/>
      </c>
      <c r="CT95" s="8" t="str">
        <f>IF($B95="","",IF(COUNTIF('Competency Event Log'!$U$4:$U$803,$B95&amp;"|"&amp;CT$5)=0,"",SUMIF('Competency Event Log'!$U$4:$U$803,$B95&amp;"|"&amp;CT$5,'Competency Event Log'!$D$4:$D$803)))</f>
        <v/>
      </c>
      <c r="CU95" s="8" t="str">
        <f>IF($B95="","",IF(COUNTIF('Competency Event Log'!$U$4:$U$803,$B95&amp;"|"&amp;CU$5)=0,"",SUMIF('Competency Event Log'!$U$4:$U$803,$B95&amp;"|"&amp;CU$5,'Competency Event Log'!$D$4:$D$803)))</f>
        <v/>
      </c>
      <c r="CV95" s="8" t="str">
        <f>IF($B95="","",IF(COUNTIF('Competency Event Log'!$U$4:$U$803,$B95&amp;"|"&amp;CV$5)=0,"",SUMIF('Competency Event Log'!$U$4:$U$803,$B95&amp;"|"&amp;CV$5,'Competency Event Log'!$D$4:$D$803)))</f>
        <v/>
      </c>
      <c r="CW95" s="8" t="str">
        <f>IF($B95="","",IF(COUNTIF('Competency Event Log'!$U$4:$U$803,$B95&amp;"|"&amp;CW$5)=0,"",SUMIF('Competency Event Log'!$U$4:$U$803,$B95&amp;"|"&amp;CW$5,'Competency Event Log'!$D$4:$D$803)))</f>
        <v/>
      </c>
      <c r="CX95" s="8" t="str">
        <f>IF($B95="","",IF(COUNTIF('Competency Event Log'!$U$4:$U$803,$B95&amp;"|"&amp;CX$5)=0,"",SUMIF('Competency Event Log'!$U$4:$U$803,$B95&amp;"|"&amp;CX$5,'Competency Event Log'!$D$4:$D$803)))</f>
        <v/>
      </c>
      <c r="CY95" s="8" t="str">
        <f>IF($B95="","",IF(COUNTIF('Competency Event Log'!$U$4:$U$803,$B95&amp;"|"&amp;CY$5)=0,"",SUMIF('Competency Event Log'!$U$4:$U$803,$B95&amp;"|"&amp;CY$5,'Competency Event Log'!$D$4:$D$803)))</f>
        <v/>
      </c>
      <c r="CZ95" s="8" t="str">
        <f>IF($B95="","",IF(COUNTIF('Competency Event Log'!$U$4:$U$803,$B95&amp;"|"&amp;CZ$5)=0,"",SUMIF('Competency Event Log'!$U$4:$U$803,$B95&amp;"|"&amp;CZ$5,'Competency Event Log'!$D$4:$D$803)))</f>
        <v/>
      </c>
      <c r="DA95" s="8" t="str">
        <f>IF($B95="","",IF(COUNTIF('Competency Event Log'!$U$4:$U$803,$B95&amp;"|"&amp;DA$5)=0,"",SUMIF('Competency Event Log'!$U$4:$U$803,$B95&amp;"|"&amp;DA$5,'Competency Event Log'!$D$4:$D$803)))</f>
        <v/>
      </c>
      <c r="DB95" s="8" t="str">
        <f>IF($B95="","",IF(COUNTIF('Competency Event Log'!$U$4:$U$803,$B95&amp;"|"&amp;DB$5)=0,"",SUMIF('Competency Event Log'!$U$4:$U$803,$B95&amp;"|"&amp;DB$5,'Competency Event Log'!$D$4:$D$803)))</f>
        <v/>
      </c>
      <c r="DC95" s="8" t="str">
        <f>IF($B95="","",IF(COUNTIF('Competency Event Log'!$U$4:$U$803,$B95&amp;"|"&amp;DC$5)=0,"",SUMIF('Competency Event Log'!$U$4:$U$803,$B95&amp;"|"&amp;DC$5,'Competency Event Log'!$D$4:$D$803)))</f>
        <v/>
      </c>
      <c r="DD95" s="8" t="str">
        <f>IF($B95="","",IF(COUNTIF('Competency Event Log'!$U$4:$U$803,$B95&amp;"|"&amp;DD$5)=0,"",SUMIF('Competency Event Log'!$U$4:$U$803,$B95&amp;"|"&amp;DD$5,'Competency Event Log'!$D$4:$D$803)))</f>
        <v/>
      </c>
      <c r="DE95" s="8" t="str">
        <f>IF($B95="","",IF(COUNTIF('Competency Event Log'!$U$4:$U$803,$B95&amp;"|"&amp;DE$5)=0,"",SUMIF('Competency Event Log'!$U$4:$U$803,$B95&amp;"|"&amp;DE$5,'Competency Event Log'!$D$4:$D$803)))</f>
        <v/>
      </c>
      <c r="DF95" s="8" t="str">
        <f t="shared" si="8"/>
        <v/>
      </c>
      <c r="DG95" s="8" t="str">
        <f t="shared" si="9"/>
        <v/>
      </c>
      <c r="DH95" s="8" t="str">
        <f t="shared" si="10"/>
        <v/>
      </c>
      <c r="DI95" s="11" t="str">
        <f t="shared" si="11"/>
        <v/>
      </c>
    </row>
    <row r="96" spans="1:113">
      <c r="A96" s="7"/>
      <c r="B96" s="7"/>
      <c r="C96" s="8"/>
      <c r="D96" s="9"/>
      <c r="E96" s="10"/>
      <c r="F96" s="8"/>
      <c r="G96" s="8" t="str">
        <f>IF($B96="","",IF(COUNTIF('Competency Event Log'!$U$4:$U$803,$B96&amp;"|"&amp;G$5)=0,"",SUMIF('Competency Event Log'!$U$4:$U$803,$B96&amp;"|"&amp;G$5,'Competency Event Log'!$D$4:$D$803)))</f>
        <v/>
      </c>
      <c r="H96" s="8" t="str">
        <f>IF($B96="","",IF(COUNTIF('Competency Event Log'!$U$4:$U$803,$B96&amp;"|"&amp;H$5)=0,"",SUMIF('Competency Event Log'!$U$4:$U$803,$B96&amp;"|"&amp;H$5,'Competency Event Log'!$D$4:$D$803)))</f>
        <v/>
      </c>
      <c r="I96" s="8" t="str">
        <f>IF($B96="","",IF(COUNTIF('Competency Event Log'!$U$4:$U$803,$B96&amp;"|"&amp;I$5)=0,"",SUMIF('Competency Event Log'!$U$4:$U$803,$B96&amp;"|"&amp;I$5,'Competency Event Log'!$D$4:$D$803)))</f>
        <v/>
      </c>
      <c r="J96" s="8" t="str">
        <f>IF($B96="","",IF(COUNTIF('Competency Event Log'!$U$4:$U$803,$B96&amp;"|"&amp;J$5)=0,"",SUMIF('Competency Event Log'!$U$4:$U$803,$B96&amp;"|"&amp;J$5,'Competency Event Log'!$D$4:$D$803)))</f>
        <v/>
      </c>
      <c r="K96" s="8" t="str">
        <f>IF($B96="","",IF(COUNTIF('Competency Event Log'!$U$4:$U$803,$B96&amp;"|"&amp;K$5)=0,"",SUMIF('Competency Event Log'!$U$4:$U$803,$B96&amp;"|"&amp;K$5,'Competency Event Log'!$D$4:$D$803)))</f>
        <v/>
      </c>
      <c r="L96" s="8" t="str">
        <f>IF($B96="","",IF(COUNTIF('Competency Event Log'!$U$4:$U$803,$B96&amp;"|"&amp;L$5)=0,"",SUMIF('Competency Event Log'!$U$4:$U$803,$B96&amp;"|"&amp;L$5,'Competency Event Log'!$D$4:$D$803)))</f>
        <v/>
      </c>
      <c r="M96" s="8" t="str">
        <f>IF($B96="","",IF(COUNTIF('Competency Event Log'!$U$4:$U$803,$B96&amp;"|"&amp;M$5)=0,"",SUMIF('Competency Event Log'!$U$4:$U$803,$B96&amp;"|"&amp;M$5,'Competency Event Log'!$D$4:$D$803)))</f>
        <v/>
      </c>
      <c r="N96" s="8" t="str">
        <f>IF($B96="","",IF(COUNTIF('Competency Event Log'!$U$4:$U$803,$B96&amp;"|"&amp;N$5)=0,"",SUMIF('Competency Event Log'!$U$4:$U$803,$B96&amp;"|"&amp;N$5,'Competency Event Log'!$D$4:$D$803)))</f>
        <v/>
      </c>
      <c r="O96" s="8" t="str">
        <f>IF($B96="","",IF(COUNTIF('Competency Event Log'!$U$4:$U$803,$B96&amp;"|"&amp;O$5)=0,"",SUMIF('Competency Event Log'!$U$4:$U$803,$B96&amp;"|"&amp;O$5,'Competency Event Log'!$D$4:$D$803)))</f>
        <v/>
      </c>
      <c r="P96" s="8" t="str">
        <f>IF($B96="","",IF(COUNTIF('Competency Event Log'!$U$4:$U$803,$B96&amp;"|"&amp;P$5)=0,"",SUMIF('Competency Event Log'!$U$4:$U$803,$B96&amp;"|"&amp;P$5,'Competency Event Log'!$D$4:$D$803)))</f>
        <v/>
      </c>
      <c r="Q96" s="8" t="str">
        <f>IF($B96="","",IF(COUNTIF('Competency Event Log'!$U$4:$U$803,$B96&amp;"|"&amp;Q$5)=0,"",SUMIF('Competency Event Log'!$U$4:$U$803,$B96&amp;"|"&amp;Q$5,'Competency Event Log'!$D$4:$D$803)))</f>
        <v/>
      </c>
      <c r="R96" s="8" t="str">
        <f>IF($B96="","",IF(COUNTIF('Competency Event Log'!$U$4:$U$803,$B96&amp;"|"&amp;R$5)=0,"",SUMIF('Competency Event Log'!$U$4:$U$803,$B96&amp;"|"&amp;R$5,'Competency Event Log'!$D$4:$D$803)))</f>
        <v/>
      </c>
      <c r="S96" s="8" t="str">
        <f>IF($B96="","",IF(COUNTIF('Competency Event Log'!$U$4:$U$803,$B96&amp;"|"&amp;S$5)=0,"",SUMIF('Competency Event Log'!$U$4:$U$803,$B96&amp;"|"&amp;S$5,'Competency Event Log'!$D$4:$D$803)))</f>
        <v/>
      </c>
      <c r="T96" s="8" t="str">
        <f>IF($B96="","",IF(COUNTIF('Competency Event Log'!$U$4:$U$803,$B96&amp;"|"&amp;T$5)=0,"",SUMIF('Competency Event Log'!$U$4:$U$803,$B96&amp;"|"&amp;T$5,'Competency Event Log'!$D$4:$D$803)))</f>
        <v/>
      </c>
      <c r="U96" s="8" t="str">
        <f>IF($B96="","",IF(COUNTIF('Competency Event Log'!$U$4:$U$803,$B96&amp;"|"&amp;U$5)=0,"",SUMIF('Competency Event Log'!$U$4:$U$803,$B96&amp;"|"&amp;U$5,'Competency Event Log'!$D$4:$D$803)))</f>
        <v/>
      </c>
      <c r="V96" s="8" t="str">
        <f>IF($B96="","",IF(COUNTIF('Competency Event Log'!$U$4:$U$803,$B96&amp;"|"&amp;V$5)=0,"",SUMIF('Competency Event Log'!$U$4:$U$803,$B96&amp;"|"&amp;V$5,'Competency Event Log'!$D$4:$D$803)))</f>
        <v/>
      </c>
      <c r="W96" s="8" t="str">
        <f>IF($B96="","",IF(COUNTIF('Competency Event Log'!$U$4:$U$803,$B96&amp;"|"&amp;W$5)=0,"",SUMIF('Competency Event Log'!$U$4:$U$803,$B96&amp;"|"&amp;W$5,'Competency Event Log'!$D$4:$D$803)))</f>
        <v/>
      </c>
      <c r="X96" s="8" t="str">
        <f>IF($B96="","",IF(COUNTIF('Competency Event Log'!$U$4:$U$803,$B96&amp;"|"&amp;X$5)=0,"",SUMIF('Competency Event Log'!$U$4:$U$803,$B96&amp;"|"&amp;X$5,'Competency Event Log'!$D$4:$D$803)))</f>
        <v/>
      </c>
      <c r="Y96" s="8" t="str">
        <f>IF($B96="","",IF(COUNTIF('Competency Event Log'!$U$4:$U$803,$B96&amp;"|"&amp;Y$5)=0,"",SUMIF('Competency Event Log'!$U$4:$U$803,$B96&amp;"|"&amp;Y$5,'Competency Event Log'!$D$4:$D$803)))</f>
        <v/>
      </c>
      <c r="Z96" s="8" t="str">
        <f>IF($B96="","",IF(COUNTIF('Competency Event Log'!$U$4:$U$803,$B96&amp;"|"&amp;Z$5)=0,"",SUMIF('Competency Event Log'!$U$4:$U$803,$B96&amp;"|"&amp;Z$5,'Competency Event Log'!$D$4:$D$803)))</f>
        <v/>
      </c>
      <c r="AA96" s="8" t="str">
        <f>IF($B96="","",IF(COUNTIF('Competency Event Log'!$U$4:$U$803,$B96&amp;"|"&amp;AA$5)=0,"",SUMIF('Competency Event Log'!$U$4:$U$803,$B96&amp;"|"&amp;AA$5,'Competency Event Log'!$D$4:$D$803)))</f>
        <v/>
      </c>
      <c r="AB96" s="8" t="str">
        <f>IF($B96="","",IF(COUNTIF('Competency Event Log'!$U$4:$U$803,$B96&amp;"|"&amp;AB$5)=0,"",SUMIF('Competency Event Log'!$U$4:$U$803,$B96&amp;"|"&amp;AB$5,'Competency Event Log'!$D$4:$D$803)))</f>
        <v/>
      </c>
      <c r="AC96" s="8" t="str">
        <f>IF($B96="","",IF(COUNTIF('Competency Event Log'!$U$4:$U$803,$B96&amp;"|"&amp;AC$5)=0,"",SUMIF('Competency Event Log'!$U$4:$U$803,$B96&amp;"|"&amp;AC$5,'Competency Event Log'!$D$4:$D$803)))</f>
        <v/>
      </c>
      <c r="AD96" s="8" t="str">
        <f>IF($B96="","",IF(COUNTIF('Competency Event Log'!$U$4:$U$803,$B96&amp;"|"&amp;AD$5)=0,"",SUMIF('Competency Event Log'!$U$4:$U$803,$B96&amp;"|"&amp;AD$5,'Competency Event Log'!$D$4:$D$803)))</f>
        <v/>
      </c>
      <c r="AE96" s="8" t="str">
        <f>IF($B96="","",IF(COUNTIF('Competency Event Log'!$U$4:$U$803,$B96&amp;"|"&amp;AE$5)=0,"",SUMIF('Competency Event Log'!$U$4:$U$803,$B96&amp;"|"&amp;AE$5,'Competency Event Log'!$D$4:$D$803)))</f>
        <v/>
      </c>
      <c r="AF96" s="8" t="str">
        <f>IF($B96="","",IF(COUNTIF('Competency Event Log'!$U$4:$U$803,$B96&amp;"|"&amp;AF$5)=0,"",SUMIF('Competency Event Log'!$U$4:$U$803,$B96&amp;"|"&amp;AF$5,'Competency Event Log'!$D$4:$D$803)))</f>
        <v/>
      </c>
      <c r="AG96" s="8" t="str">
        <f>IF($B96="","",IF(COUNTIF('Competency Event Log'!$U$4:$U$803,$B96&amp;"|"&amp;AG$5)=0,"",SUMIF('Competency Event Log'!$U$4:$U$803,$B96&amp;"|"&amp;AG$5,'Competency Event Log'!$D$4:$D$803)))</f>
        <v/>
      </c>
      <c r="AH96" s="8" t="str">
        <f>IF($B96="","",IF(COUNTIF('Competency Event Log'!$U$4:$U$803,$B96&amp;"|"&amp;AH$5)=0,"",SUMIF('Competency Event Log'!$U$4:$U$803,$B96&amp;"|"&amp;AH$5,'Competency Event Log'!$D$4:$D$803)))</f>
        <v/>
      </c>
      <c r="AI96" s="8" t="str">
        <f>IF($B96="","",IF(COUNTIF('Competency Event Log'!$U$4:$U$803,$B96&amp;"|"&amp;AI$5)=0,"",SUMIF('Competency Event Log'!$U$4:$U$803,$B96&amp;"|"&amp;AI$5,'Competency Event Log'!$D$4:$D$803)))</f>
        <v/>
      </c>
      <c r="AJ96" s="8" t="str">
        <f>IF($B96="","",IF(COUNTIF('Competency Event Log'!$U$4:$U$803,$B96&amp;"|"&amp;AJ$5)=0,"",SUMIF('Competency Event Log'!$U$4:$U$803,$B96&amp;"|"&amp;AJ$5,'Competency Event Log'!$D$4:$D$803)))</f>
        <v/>
      </c>
      <c r="AK96" s="8" t="str">
        <f>IF($B96="","",IF(COUNTIF('Competency Event Log'!$U$4:$U$803,$B96&amp;"|"&amp;AK$5)=0,"",SUMIF('Competency Event Log'!$U$4:$U$803,$B96&amp;"|"&amp;AK$5,'Competency Event Log'!$D$4:$D$803)))</f>
        <v/>
      </c>
      <c r="AL96" s="8" t="str">
        <f>IF($B96="","",IF(COUNTIF('Competency Event Log'!$U$4:$U$803,$B96&amp;"|"&amp;AL$5)=0,"",SUMIF('Competency Event Log'!$U$4:$U$803,$B96&amp;"|"&amp;AL$5,'Competency Event Log'!$D$4:$D$803)))</f>
        <v/>
      </c>
      <c r="AM96" s="8" t="str">
        <f>IF($B96="","",IF(COUNTIF('Competency Event Log'!$U$4:$U$803,$B96&amp;"|"&amp;AM$5)=0,"",SUMIF('Competency Event Log'!$U$4:$U$803,$B96&amp;"|"&amp;AM$5,'Competency Event Log'!$D$4:$D$803)))</f>
        <v/>
      </c>
      <c r="AN96" s="8" t="str">
        <f>IF($B96="","",IF(COUNTIF('Competency Event Log'!$U$4:$U$803,$B96&amp;"|"&amp;AN$5)=0,"",SUMIF('Competency Event Log'!$U$4:$U$803,$B96&amp;"|"&amp;AN$5,'Competency Event Log'!$D$4:$D$803)))</f>
        <v/>
      </c>
      <c r="AO96" s="8" t="str">
        <f>IF($B96="","",IF(COUNTIF('Competency Event Log'!$U$4:$U$803,$B96&amp;"|"&amp;AO$5)=0,"",SUMIF('Competency Event Log'!$U$4:$U$803,$B96&amp;"|"&amp;AO$5,'Competency Event Log'!$D$4:$D$803)))</f>
        <v/>
      </c>
      <c r="AP96" s="8" t="str">
        <f>IF($B96="","",IF(COUNTIF('Competency Event Log'!$U$4:$U$803,$B96&amp;"|"&amp;AP$5)=0,"",SUMIF('Competency Event Log'!$U$4:$U$803,$B96&amp;"|"&amp;AP$5,'Competency Event Log'!$D$4:$D$803)))</f>
        <v/>
      </c>
      <c r="AQ96" s="8" t="str">
        <f>IF($B96="","",IF(COUNTIF('Competency Event Log'!$U$4:$U$803,$B96&amp;"|"&amp;AQ$5)=0,"",SUMIF('Competency Event Log'!$U$4:$U$803,$B96&amp;"|"&amp;AQ$5,'Competency Event Log'!$D$4:$D$803)))</f>
        <v/>
      </c>
      <c r="AR96" s="8" t="str">
        <f>IF($B96="","",IF(COUNTIF('Competency Event Log'!$U$4:$U$803,$B96&amp;"|"&amp;AR$5)=0,"",SUMIF('Competency Event Log'!$U$4:$U$803,$B96&amp;"|"&amp;AR$5,'Competency Event Log'!$D$4:$D$803)))</f>
        <v/>
      </c>
      <c r="AS96" s="8" t="str">
        <f>IF($B96="","",IF(COUNTIF('Competency Event Log'!$U$4:$U$803,$B96&amp;"|"&amp;AS$5)=0,"",SUMIF('Competency Event Log'!$U$4:$U$803,$B96&amp;"|"&amp;AS$5,'Competency Event Log'!$D$4:$D$803)))</f>
        <v/>
      </c>
      <c r="AT96" s="8" t="str">
        <f>IF($B96="","",IF(COUNTIF('Competency Event Log'!$U$4:$U$803,$B96&amp;"|"&amp;AT$5)=0,"",SUMIF('Competency Event Log'!$U$4:$U$803,$B96&amp;"|"&amp;AT$5,'Competency Event Log'!$D$4:$D$803)))</f>
        <v/>
      </c>
      <c r="AU96" s="8" t="str">
        <f>IF($B96="","",IF(COUNTIF('Competency Event Log'!$U$4:$U$803,$B96&amp;"|"&amp;AU$5)=0,"",SUMIF('Competency Event Log'!$U$4:$U$803,$B96&amp;"|"&amp;AU$5,'Competency Event Log'!$D$4:$D$803)))</f>
        <v/>
      </c>
      <c r="AV96" s="8" t="str">
        <f>IF($B96="","",IF(COUNTIF('Competency Event Log'!$U$4:$U$803,$B96&amp;"|"&amp;AV$5)=0,"",SUMIF('Competency Event Log'!$U$4:$U$803,$B96&amp;"|"&amp;AV$5,'Competency Event Log'!$D$4:$D$803)))</f>
        <v/>
      </c>
      <c r="AW96" s="8" t="str">
        <f>IF($B96="","",IF(COUNTIF('Competency Event Log'!$U$4:$U$803,$B96&amp;"|"&amp;AW$5)=0,"",SUMIF('Competency Event Log'!$U$4:$U$803,$B96&amp;"|"&amp;AW$5,'Competency Event Log'!$D$4:$D$803)))</f>
        <v/>
      </c>
      <c r="AX96" s="8" t="str">
        <f>IF($B96="","",IF(COUNTIF('Competency Event Log'!$U$4:$U$803,$B96&amp;"|"&amp;AX$5)=0,"",SUMIF('Competency Event Log'!$U$4:$U$803,$B96&amp;"|"&amp;AX$5,'Competency Event Log'!$D$4:$D$803)))</f>
        <v/>
      </c>
      <c r="AY96" s="8" t="str">
        <f>IF($B96="","",IF(COUNTIF('Competency Event Log'!$U$4:$U$803,$B96&amp;"|"&amp;AY$5)=0,"",SUMIF('Competency Event Log'!$U$4:$U$803,$B96&amp;"|"&amp;AY$5,'Competency Event Log'!$D$4:$D$803)))</f>
        <v/>
      </c>
      <c r="AZ96" s="8" t="str">
        <f>IF($B96="","",IF(COUNTIF('Competency Event Log'!$U$4:$U$803,$B96&amp;"|"&amp;AZ$5)=0,"",SUMIF('Competency Event Log'!$U$4:$U$803,$B96&amp;"|"&amp;AZ$5,'Competency Event Log'!$D$4:$D$803)))</f>
        <v/>
      </c>
      <c r="BA96" s="8" t="str">
        <f>IF($B96="","",IF(COUNTIF('Competency Event Log'!$U$4:$U$803,$B96&amp;"|"&amp;BA$5)=0,"",SUMIF('Competency Event Log'!$U$4:$U$803,$B96&amp;"|"&amp;BA$5,'Competency Event Log'!$D$4:$D$803)))</f>
        <v/>
      </c>
      <c r="BB96" s="8" t="str">
        <f>IF($B96="","",IF(COUNTIF('Competency Event Log'!$U$4:$U$803,$B96&amp;"|"&amp;BB$5)=0,"",SUMIF('Competency Event Log'!$U$4:$U$803,$B96&amp;"|"&amp;BB$5,'Competency Event Log'!$D$4:$D$803)))</f>
        <v/>
      </c>
      <c r="BC96" s="8" t="str">
        <f>IF($B96="","",IF(COUNTIF('Competency Event Log'!$U$4:$U$803,$B96&amp;"|"&amp;BC$5)=0,"",SUMIF('Competency Event Log'!$U$4:$U$803,$B96&amp;"|"&amp;BC$5,'Competency Event Log'!$D$4:$D$803)))</f>
        <v/>
      </c>
      <c r="BD96" s="8" t="str">
        <f>IF($B96="","",IF(COUNTIF('Competency Event Log'!$U$4:$U$803,$B96&amp;"|"&amp;BD$5)=0,"",SUMIF('Competency Event Log'!$U$4:$U$803,$B96&amp;"|"&amp;BD$5,'Competency Event Log'!$D$4:$D$803)))</f>
        <v/>
      </c>
      <c r="BE96" s="8" t="str">
        <f>IF($B96="","",IF(COUNTIF('Competency Event Log'!$U$4:$U$803,$B96&amp;"|"&amp;BE$5)=0,"",SUMIF('Competency Event Log'!$U$4:$U$803,$B96&amp;"|"&amp;BE$5,'Competency Event Log'!$D$4:$D$803)))</f>
        <v/>
      </c>
      <c r="BF96" s="8" t="str">
        <f>IF($B96="","",IF(COUNTIF('Competency Event Log'!$U$4:$U$803,$B96&amp;"|"&amp;BF$5)=0,"",SUMIF('Competency Event Log'!$U$4:$U$803,$B96&amp;"|"&amp;BF$5,'Competency Event Log'!$D$4:$D$803)))</f>
        <v/>
      </c>
      <c r="BG96" s="8" t="str">
        <f>IF($B96="","",IF(COUNTIF('Competency Event Log'!$U$4:$U$803,$B96&amp;"|"&amp;BG$5)=0,"",SUMIF('Competency Event Log'!$U$4:$U$803,$B96&amp;"|"&amp;BG$5,'Competency Event Log'!$D$4:$D$803)))</f>
        <v/>
      </c>
      <c r="BH96" s="8" t="str">
        <f>IF($B96="","",IF(COUNTIF('Competency Event Log'!$U$4:$U$803,$B96&amp;"|"&amp;BH$5)=0,"",SUMIF('Competency Event Log'!$U$4:$U$803,$B96&amp;"|"&amp;BH$5,'Competency Event Log'!$D$4:$D$803)))</f>
        <v/>
      </c>
      <c r="BI96" s="8" t="str">
        <f>IF($B96="","",IF(COUNTIF('Competency Event Log'!$U$4:$U$803,$B96&amp;"|"&amp;BI$5)=0,"",SUMIF('Competency Event Log'!$U$4:$U$803,$B96&amp;"|"&amp;BI$5,'Competency Event Log'!$D$4:$D$803)))</f>
        <v/>
      </c>
      <c r="BJ96" s="8" t="str">
        <f>IF($B96="","",IF(COUNTIF('Competency Event Log'!$U$4:$U$803,$B96&amp;"|"&amp;BJ$5)=0,"",SUMIF('Competency Event Log'!$U$4:$U$803,$B96&amp;"|"&amp;BJ$5,'Competency Event Log'!$D$4:$D$803)))</f>
        <v/>
      </c>
      <c r="BK96" s="8" t="str">
        <f>IF($B96="","",IF(COUNTIF('Competency Event Log'!$U$4:$U$803,$B96&amp;"|"&amp;BK$5)=0,"",SUMIF('Competency Event Log'!$U$4:$U$803,$B96&amp;"|"&amp;BK$5,'Competency Event Log'!$D$4:$D$803)))</f>
        <v/>
      </c>
      <c r="BL96" s="8" t="str">
        <f>IF($B96="","",IF(COUNTIF('Competency Event Log'!$U$4:$U$803,$B96&amp;"|"&amp;BL$5)=0,"",SUMIF('Competency Event Log'!$U$4:$U$803,$B96&amp;"|"&amp;BL$5,'Competency Event Log'!$D$4:$D$803)))</f>
        <v/>
      </c>
      <c r="BM96" s="8" t="str">
        <f>IF($B96="","",IF(COUNTIF('Competency Event Log'!$U$4:$U$803,$B96&amp;"|"&amp;BM$5)=0,"",SUMIF('Competency Event Log'!$U$4:$U$803,$B96&amp;"|"&amp;BM$5,'Competency Event Log'!$D$4:$D$803)))</f>
        <v/>
      </c>
      <c r="BN96" s="8" t="str">
        <f>IF($B96="","",IF(COUNTIF('Competency Event Log'!$U$4:$U$803,$B96&amp;"|"&amp;BN$5)=0,"",SUMIF('Competency Event Log'!$U$4:$U$803,$B96&amp;"|"&amp;BN$5,'Competency Event Log'!$D$4:$D$803)))</f>
        <v/>
      </c>
      <c r="BO96" s="8" t="str">
        <f>IF($B96="","",IF(COUNTIF('Competency Event Log'!$U$4:$U$803,$B96&amp;"|"&amp;BO$5)=0,"",SUMIF('Competency Event Log'!$U$4:$U$803,$B96&amp;"|"&amp;BO$5,'Competency Event Log'!$D$4:$D$803)))</f>
        <v/>
      </c>
      <c r="BP96" s="8" t="str">
        <f>IF($B96="","",IF(COUNTIF('Competency Event Log'!$U$4:$U$803,$B96&amp;"|"&amp;BP$5)=0,"",SUMIF('Competency Event Log'!$U$4:$U$803,$B96&amp;"|"&amp;BP$5,'Competency Event Log'!$D$4:$D$803)))</f>
        <v/>
      </c>
      <c r="BQ96" s="8" t="str">
        <f>IF($B96="","",IF(COUNTIF('Competency Event Log'!$U$4:$U$803,$B96&amp;"|"&amp;BQ$5)=0,"",SUMIF('Competency Event Log'!$U$4:$U$803,$B96&amp;"|"&amp;BQ$5,'Competency Event Log'!$D$4:$D$803)))</f>
        <v/>
      </c>
      <c r="BR96" s="8" t="str">
        <f>IF($B96="","",IF(COUNTIF('Competency Event Log'!$U$4:$U$803,$B96&amp;"|"&amp;BR$5)=0,"",SUMIF('Competency Event Log'!$U$4:$U$803,$B96&amp;"|"&amp;BR$5,'Competency Event Log'!$D$4:$D$803)))</f>
        <v/>
      </c>
      <c r="BS96" s="8" t="str">
        <f>IF($B96="","",IF(COUNTIF('Competency Event Log'!$U$4:$U$803,$B96&amp;"|"&amp;BS$5)=0,"",SUMIF('Competency Event Log'!$U$4:$U$803,$B96&amp;"|"&amp;BS$5,'Competency Event Log'!$D$4:$D$803)))</f>
        <v/>
      </c>
      <c r="BT96" s="8" t="str">
        <f>IF($B96="","",IF(COUNTIF('Competency Event Log'!$U$4:$U$803,$B96&amp;"|"&amp;BT$5)=0,"",SUMIF('Competency Event Log'!$U$4:$U$803,$B96&amp;"|"&amp;BT$5,'Competency Event Log'!$D$4:$D$803)))</f>
        <v/>
      </c>
      <c r="BU96" s="8" t="str">
        <f>IF($B96="","",IF(COUNTIF('Competency Event Log'!$U$4:$U$803,$B96&amp;"|"&amp;BU$5)=0,"",SUMIF('Competency Event Log'!$U$4:$U$803,$B96&amp;"|"&amp;BU$5,'Competency Event Log'!$D$4:$D$803)))</f>
        <v/>
      </c>
      <c r="BV96" s="8" t="str">
        <f>IF($B96="","",IF(COUNTIF('Competency Event Log'!$U$4:$U$803,$B96&amp;"|"&amp;BV$5)=0,"",SUMIF('Competency Event Log'!$U$4:$U$803,$B96&amp;"|"&amp;BV$5,'Competency Event Log'!$D$4:$D$803)))</f>
        <v/>
      </c>
      <c r="BW96" s="8" t="str">
        <f>IF($B96="","",IF(COUNTIF('Competency Event Log'!$U$4:$U$803,$B96&amp;"|"&amp;BW$5)=0,"",SUMIF('Competency Event Log'!$U$4:$U$803,$B96&amp;"|"&amp;BW$5,'Competency Event Log'!$D$4:$D$803)))</f>
        <v/>
      </c>
      <c r="BX96" s="8" t="str">
        <f>IF($B96="","",IF(COUNTIF('Competency Event Log'!$U$4:$U$803,$B96&amp;"|"&amp;BX$5)=0,"",SUMIF('Competency Event Log'!$U$4:$U$803,$B96&amp;"|"&amp;BX$5,'Competency Event Log'!$D$4:$D$803)))</f>
        <v/>
      </c>
      <c r="BY96" s="8" t="str">
        <f>IF($B96="","",IF(COUNTIF('Competency Event Log'!$U$4:$U$803,$B96&amp;"|"&amp;BY$5)=0,"",SUMIF('Competency Event Log'!$U$4:$U$803,$B96&amp;"|"&amp;BY$5,'Competency Event Log'!$D$4:$D$803)))</f>
        <v/>
      </c>
      <c r="BZ96" s="8" t="str">
        <f>IF($B96="","",IF(COUNTIF('Competency Event Log'!$U$4:$U$803,$B96&amp;"|"&amp;BZ$5)=0,"",SUMIF('Competency Event Log'!$U$4:$U$803,$B96&amp;"|"&amp;BZ$5,'Competency Event Log'!$D$4:$D$803)))</f>
        <v/>
      </c>
      <c r="CA96" s="8" t="str">
        <f>IF($B96="","",IF(COUNTIF('Competency Event Log'!$U$4:$U$803,$B96&amp;"|"&amp;CA$5)=0,"",SUMIF('Competency Event Log'!$U$4:$U$803,$B96&amp;"|"&amp;CA$5,'Competency Event Log'!$D$4:$D$803)))</f>
        <v/>
      </c>
      <c r="CB96" s="8" t="str">
        <f>IF($B96="","",IF(COUNTIF('Competency Event Log'!$U$4:$U$803,$B96&amp;"|"&amp;CB$5)=0,"",SUMIF('Competency Event Log'!$U$4:$U$803,$B96&amp;"|"&amp;CB$5,'Competency Event Log'!$D$4:$D$803)))</f>
        <v/>
      </c>
      <c r="CC96" s="8" t="str">
        <f>IF($B96="","",IF(COUNTIF('Competency Event Log'!$U$4:$U$803,$B96&amp;"|"&amp;CC$5)=0,"",SUMIF('Competency Event Log'!$U$4:$U$803,$B96&amp;"|"&amp;CC$5,'Competency Event Log'!$D$4:$D$803)))</f>
        <v/>
      </c>
      <c r="CD96" s="8" t="str">
        <f>IF($B96="","",IF(COUNTIF('Competency Event Log'!$U$4:$U$803,$B96&amp;"|"&amp;CD$5)=0,"",SUMIF('Competency Event Log'!$U$4:$U$803,$B96&amp;"|"&amp;CD$5,'Competency Event Log'!$D$4:$D$803)))</f>
        <v/>
      </c>
      <c r="CE96" s="8" t="str">
        <f>IF($B96="","",IF(COUNTIF('Competency Event Log'!$U$4:$U$803,$B96&amp;"|"&amp;CE$5)=0,"",SUMIF('Competency Event Log'!$U$4:$U$803,$B96&amp;"|"&amp;CE$5,'Competency Event Log'!$D$4:$D$803)))</f>
        <v/>
      </c>
      <c r="CF96" s="8" t="str">
        <f>IF($B96="","",IF(COUNTIF('Competency Event Log'!$U$4:$U$803,$B96&amp;"|"&amp;CF$5)=0,"",SUMIF('Competency Event Log'!$U$4:$U$803,$B96&amp;"|"&amp;CF$5,'Competency Event Log'!$D$4:$D$803)))</f>
        <v/>
      </c>
      <c r="CG96" s="8" t="str">
        <f>IF($B96="","",IF(COUNTIF('Competency Event Log'!$U$4:$U$803,$B96&amp;"|"&amp;CG$5)=0,"",SUMIF('Competency Event Log'!$U$4:$U$803,$B96&amp;"|"&amp;CG$5,'Competency Event Log'!$D$4:$D$803)))</f>
        <v/>
      </c>
      <c r="CH96" s="8" t="str">
        <f>IF($B96="","",IF(COUNTIF('Competency Event Log'!$U$4:$U$803,$B96&amp;"|"&amp;CH$5)=0,"",SUMIF('Competency Event Log'!$U$4:$U$803,$B96&amp;"|"&amp;CH$5,'Competency Event Log'!$D$4:$D$803)))</f>
        <v/>
      </c>
      <c r="CI96" s="8" t="str">
        <f>IF($B96="","",IF(COUNTIF('Competency Event Log'!$U$4:$U$803,$B96&amp;"|"&amp;CI$5)=0,"",SUMIF('Competency Event Log'!$U$4:$U$803,$B96&amp;"|"&amp;CI$5,'Competency Event Log'!$D$4:$D$803)))</f>
        <v/>
      </c>
      <c r="CJ96" s="8" t="str">
        <f>IF($B96="","",IF(COUNTIF('Competency Event Log'!$U$4:$U$803,$B96&amp;"|"&amp;CJ$5)=0,"",SUMIF('Competency Event Log'!$U$4:$U$803,$B96&amp;"|"&amp;CJ$5,'Competency Event Log'!$D$4:$D$803)))</f>
        <v/>
      </c>
      <c r="CK96" s="8" t="str">
        <f>IF($B96="","",IF(COUNTIF('Competency Event Log'!$U$4:$U$803,$B96&amp;"|"&amp;CK$5)=0,"",SUMIF('Competency Event Log'!$U$4:$U$803,$B96&amp;"|"&amp;CK$5,'Competency Event Log'!$D$4:$D$803)))</f>
        <v/>
      </c>
      <c r="CL96" s="8" t="str">
        <f>IF($B96="","",IF(COUNTIF('Competency Event Log'!$U$4:$U$803,$B96&amp;"|"&amp;CL$5)=0,"",SUMIF('Competency Event Log'!$U$4:$U$803,$B96&amp;"|"&amp;CL$5,'Competency Event Log'!$D$4:$D$803)))</f>
        <v/>
      </c>
      <c r="CM96" s="8" t="str">
        <f>IF($B96="","",IF(COUNTIF('Competency Event Log'!$U$4:$U$803,$B96&amp;"|"&amp;CM$5)=0,"",SUMIF('Competency Event Log'!$U$4:$U$803,$B96&amp;"|"&amp;CM$5,'Competency Event Log'!$D$4:$D$803)))</f>
        <v/>
      </c>
      <c r="CN96" s="8" t="str">
        <f>IF($B96="","",IF(COUNTIF('Competency Event Log'!$U$4:$U$803,$B96&amp;"|"&amp;CN$5)=0,"",SUMIF('Competency Event Log'!$U$4:$U$803,$B96&amp;"|"&amp;CN$5,'Competency Event Log'!$D$4:$D$803)))</f>
        <v/>
      </c>
      <c r="CO96" s="8" t="str">
        <f>IF($B96="","",IF(COUNTIF('Competency Event Log'!$U$4:$U$803,$B96&amp;"|"&amp;CO$5)=0,"",SUMIF('Competency Event Log'!$U$4:$U$803,$B96&amp;"|"&amp;CO$5,'Competency Event Log'!$D$4:$D$803)))</f>
        <v/>
      </c>
      <c r="CP96" s="8" t="str">
        <f>IF($B96="","",IF(COUNTIF('Competency Event Log'!$U$4:$U$803,$B96&amp;"|"&amp;CP$5)=0,"",SUMIF('Competency Event Log'!$U$4:$U$803,$B96&amp;"|"&amp;CP$5,'Competency Event Log'!$D$4:$D$803)))</f>
        <v/>
      </c>
      <c r="CQ96" s="8" t="str">
        <f>IF($B96="","",IF(COUNTIF('Competency Event Log'!$U$4:$U$803,$B96&amp;"|"&amp;CQ$5)=0,"",SUMIF('Competency Event Log'!$U$4:$U$803,$B96&amp;"|"&amp;CQ$5,'Competency Event Log'!$D$4:$D$803)))</f>
        <v/>
      </c>
      <c r="CR96" s="8" t="str">
        <f>IF($B96="","",IF(COUNTIF('Competency Event Log'!$U$4:$U$803,$B96&amp;"|"&amp;CR$5)=0,"",SUMIF('Competency Event Log'!$U$4:$U$803,$B96&amp;"|"&amp;CR$5,'Competency Event Log'!$D$4:$D$803)))</f>
        <v/>
      </c>
      <c r="CS96" s="8" t="str">
        <f>IF($B96="","",IF(COUNTIF('Competency Event Log'!$U$4:$U$803,$B96&amp;"|"&amp;CS$5)=0,"",SUMIF('Competency Event Log'!$U$4:$U$803,$B96&amp;"|"&amp;CS$5,'Competency Event Log'!$D$4:$D$803)))</f>
        <v/>
      </c>
      <c r="CT96" s="8" t="str">
        <f>IF($B96="","",IF(COUNTIF('Competency Event Log'!$U$4:$U$803,$B96&amp;"|"&amp;CT$5)=0,"",SUMIF('Competency Event Log'!$U$4:$U$803,$B96&amp;"|"&amp;CT$5,'Competency Event Log'!$D$4:$D$803)))</f>
        <v/>
      </c>
      <c r="CU96" s="8" t="str">
        <f>IF($B96="","",IF(COUNTIF('Competency Event Log'!$U$4:$U$803,$B96&amp;"|"&amp;CU$5)=0,"",SUMIF('Competency Event Log'!$U$4:$U$803,$B96&amp;"|"&amp;CU$5,'Competency Event Log'!$D$4:$D$803)))</f>
        <v/>
      </c>
      <c r="CV96" s="8" t="str">
        <f>IF($B96="","",IF(COUNTIF('Competency Event Log'!$U$4:$U$803,$B96&amp;"|"&amp;CV$5)=0,"",SUMIF('Competency Event Log'!$U$4:$U$803,$B96&amp;"|"&amp;CV$5,'Competency Event Log'!$D$4:$D$803)))</f>
        <v/>
      </c>
      <c r="CW96" s="8" t="str">
        <f>IF($B96="","",IF(COUNTIF('Competency Event Log'!$U$4:$U$803,$B96&amp;"|"&amp;CW$5)=0,"",SUMIF('Competency Event Log'!$U$4:$U$803,$B96&amp;"|"&amp;CW$5,'Competency Event Log'!$D$4:$D$803)))</f>
        <v/>
      </c>
      <c r="CX96" s="8" t="str">
        <f>IF($B96="","",IF(COUNTIF('Competency Event Log'!$U$4:$U$803,$B96&amp;"|"&amp;CX$5)=0,"",SUMIF('Competency Event Log'!$U$4:$U$803,$B96&amp;"|"&amp;CX$5,'Competency Event Log'!$D$4:$D$803)))</f>
        <v/>
      </c>
      <c r="CY96" s="8" t="str">
        <f>IF($B96="","",IF(COUNTIF('Competency Event Log'!$U$4:$U$803,$B96&amp;"|"&amp;CY$5)=0,"",SUMIF('Competency Event Log'!$U$4:$U$803,$B96&amp;"|"&amp;CY$5,'Competency Event Log'!$D$4:$D$803)))</f>
        <v/>
      </c>
      <c r="CZ96" s="8" t="str">
        <f>IF($B96="","",IF(COUNTIF('Competency Event Log'!$U$4:$U$803,$B96&amp;"|"&amp;CZ$5)=0,"",SUMIF('Competency Event Log'!$U$4:$U$803,$B96&amp;"|"&amp;CZ$5,'Competency Event Log'!$D$4:$D$803)))</f>
        <v/>
      </c>
      <c r="DA96" s="8" t="str">
        <f>IF($B96="","",IF(COUNTIF('Competency Event Log'!$U$4:$U$803,$B96&amp;"|"&amp;DA$5)=0,"",SUMIF('Competency Event Log'!$U$4:$U$803,$B96&amp;"|"&amp;DA$5,'Competency Event Log'!$D$4:$D$803)))</f>
        <v/>
      </c>
      <c r="DB96" s="8" t="str">
        <f>IF($B96="","",IF(COUNTIF('Competency Event Log'!$U$4:$U$803,$B96&amp;"|"&amp;DB$5)=0,"",SUMIF('Competency Event Log'!$U$4:$U$803,$B96&amp;"|"&amp;DB$5,'Competency Event Log'!$D$4:$D$803)))</f>
        <v/>
      </c>
      <c r="DC96" s="8" t="str">
        <f>IF($B96="","",IF(COUNTIF('Competency Event Log'!$U$4:$U$803,$B96&amp;"|"&amp;DC$5)=0,"",SUMIF('Competency Event Log'!$U$4:$U$803,$B96&amp;"|"&amp;DC$5,'Competency Event Log'!$D$4:$D$803)))</f>
        <v/>
      </c>
      <c r="DD96" s="8" t="str">
        <f>IF($B96="","",IF(COUNTIF('Competency Event Log'!$U$4:$U$803,$B96&amp;"|"&amp;DD$5)=0,"",SUMIF('Competency Event Log'!$U$4:$U$803,$B96&amp;"|"&amp;DD$5,'Competency Event Log'!$D$4:$D$803)))</f>
        <v/>
      </c>
      <c r="DE96" s="8" t="str">
        <f>IF($B96="","",IF(COUNTIF('Competency Event Log'!$U$4:$U$803,$B96&amp;"|"&amp;DE$5)=0,"",SUMIF('Competency Event Log'!$U$4:$U$803,$B96&amp;"|"&amp;DE$5,'Competency Event Log'!$D$4:$D$803)))</f>
        <v/>
      </c>
      <c r="DF96" s="8" t="str">
        <f t="shared" si="8"/>
        <v/>
      </c>
      <c r="DG96" s="8" t="str">
        <f t="shared" si="9"/>
        <v/>
      </c>
      <c r="DH96" s="8" t="str">
        <f t="shared" si="10"/>
        <v/>
      </c>
      <c r="DI96" s="11" t="str">
        <f t="shared" si="11"/>
        <v/>
      </c>
    </row>
    <row r="97" spans="1:113">
      <c r="A97" s="7"/>
      <c r="B97" s="7"/>
      <c r="C97" s="8"/>
      <c r="D97" s="9"/>
      <c r="E97" s="10"/>
      <c r="F97" s="8"/>
      <c r="G97" s="8" t="str">
        <f>IF($B97="","",IF(COUNTIF('Competency Event Log'!$U$4:$U$803,$B97&amp;"|"&amp;G$5)=0,"",SUMIF('Competency Event Log'!$U$4:$U$803,$B97&amp;"|"&amp;G$5,'Competency Event Log'!$D$4:$D$803)))</f>
        <v/>
      </c>
      <c r="H97" s="8" t="str">
        <f>IF($B97="","",IF(COUNTIF('Competency Event Log'!$U$4:$U$803,$B97&amp;"|"&amp;H$5)=0,"",SUMIF('Competency Event Log'!$U$4:$U$803,$B97&amp;"|"&amp;H$5,'Competency Event Log'!$D$4:$D$803)))</f>
        <v/>
      </c>
      <c r="I97" s="8" t="str">
        <f>IF($B97="","",IF(COUNTIF('Competency Event Log'!$U$4:$U$803,$B97&amp;"|"&amp;I$5)=0,"",SUMIF('Competency Event Log'!$U$4:$U$803,$B97&amp;"|"&amp;I$5,'Competency Event Log'!$D$4:$D$803)))</f>
        <v/>
      </c>
      <c r="J97" s="8" t="str">
        <f>IF($B97="","",IF(COUNTIF('Competency Event Log'!$U$4:$U$803,$B97&amp;"|"&amp;J$5)=0,"",SUMIF('Competency Event Log'!$U$4:$U$803,$B97&amp;"|"&amp;J$5,'Competency Event Log'!$D$4:$D$803)))</f>
        <v/>
      </c>
      <c r="K97" s="8" t="str">
        <f>IF($B97="","",IF(COUNTIF('Competency Event Log'!$U$4:$U$803,$B97&amp;"|"&amp;K$5)=0,"",SUMIF('Competency Event Log'!$U$4:$U$803,$B97&amp;"|"&amp;K$5,'Competency Event Log'!$D$4:$D$803)))</f>
        <v/>
      </c>
      <c r="L97" s="8" t="str">
        <f>IF($B97="","",IF(COUNTIF('Competency Event Log'!$U$4:$U$803,$B97&amp;"|"&amp;L$5)=0,"",SUMIF('Competency Event Log'!$U$4:$U$803,$B97&amp;"|"&amp;L$5,'Competency Event Log'!$D$4:$D$803)))</f>
        <v/>
      </c>
      <c r="M97" s="8" t="str">
        <f>IF($B97="","",IF(COUNTIF('Competency Event Log'!$U$4:$U$803,$B97&amp;"|"&amp;M$5)=0,"",SUMIF('Competency Event Log'!$U$4:$U$803,$B97&amp;"|"&amp;M$5,'Competency Event Log'!$D$4:$D$803)))</f>
        <v/>
      </c>
      <c r="N97" s="8" t="str">
        <f>IF($B97="","",IF(COUNTIF('Competency Event Log'!$U$4:$U$803,$B97&amp;"|"&amp;N$5)=0,"",SUMIF('Competency Event Log'!$U$4:$U$803,$B97&amp;"|"&amp;N$5,'Competency Event Log'!$D$4:$D$803)))</f>
        <v/>
      </c>
      <c r="O97" s="8" t="str">
        <f>IF($B97="","",IF(COUNTIF('Competency Event Log'!$U$4:$U$803,$B97&amp;"|"&amp;O$5)=0,"",SUMIF('Competency Event Log'!$U$4:$U$803,$B97&amp;"|"&amp;O$5,'Competency Event Log'!$D$4:$D$803)))</f>
        <v/>
      </c>
      <c r="P97" s="8" t="str">
        <f>IF($B97="","",IF(COUNTIF('Competency Event Log'!$U$4:$U$803,$B97&amp;"|"&amp;P$5)=0,"",SUMIF('Competency Event Log'!$U$4:$U$803,$B97&amp;"|"&amp;P$5,'Competency Event Log'!$D$4:$D$803)))</f>
        <v/>
      </c>
      <c r="Q97" s="8" t="str">
        <f>IF($B97="","",IF(COUNTIF('Competency Event Log'!$U$4:$U$803,$B97&amp;"|"&amp;Q$5)=0,"",SUMIF('Competency Event Log'!$U$4:$U$803,$B97&amp;"|"&amp;Q$5,'Competency Event Log'!$D$4:$D$803)))</f>
        <v/>
      </c>
      <c r="R97" s="8" t="str">
        <f>IF($B97="","",IF(COUNTIF('Competency Event Log'!$U$4:$U$803,$B97&amp;"|"&amp;R$5)=0,"",SUMIF('Competency Event Log'!$U$4:$U$803,$B97&amp;"|"&amp;R$5,'Competency Event Log'!$D$4:$D$803)))</f>
        <v/>
      </c>
      <c r="S97" s="8" t="str">
        <f>IF($B97="","",IF(COUNTIF('Competency Event Log'!$U$4:$U$803,$B97&amp;"|"&amp;S$5)=0,"",SUMIF('Competency Event Log'!$U$4:$U$803,$B97&amp;"|"&amp;S$5,'Competency Event Log'!$D$4:$D$803)))</f>
        <v/>
      </c>
      <c r="T97" s="8" t="str">
        <f>IF($B97="","",IF(COUNTIF('Competency Event Log'!$U$4:$U$803,$B97&amp;"|"&amp;T$5)=0,"",SUMIF('Competency Event Log'!$U$4:$U$803,$B97&amp;"|"&amp;T$5,'Competency Event Log'!$D$4:$D$803)))</f>
        <v/>
      </c>
      <c r="U97" s="8" t="str">
        <f>IF($B97="","",IF(COUNTIF('Competency Event Log'!$U$4:$U$803,$B97&amp;"|"&amp;U$5)=0,"",SUMIF('Competency Event Log'!$U$4:$U$803,$B97&amp;"|"&amp;U$5,'Competency Event Log'!$D$4:$D$803)))</f>
        <v/>
      </c>
      <c r="V97" s="8" t="str">
        <f>IF($B97="","",IF(COUNTIF('Competency Event Log'!$U$4:$U$803,$B97&amp;"|"&amp;V$5)=0,"",SUMIF('Competency Event Log'!$U$4:$U$803,$B97&amp;"|"&amp;V$5,'Competency Event Log'!$D$4:$D$803)))</f>
        <v/>
      </c>
      <c r="W97" s="8" t="str">
        <f>IF($B97="","",IF(COUNTIF('Competency Event Log'!$U$4:$U$803,$B97&amp;"|"&amp;W$5)=0,"",SUMIF('Competency Event Log'!$U$4:$U$803,$B97&amp;"|"&amp;W$5,'Competency Event Log'!$D$4:$D$803)))</f>
        <v/>
      </c>
      <c r="X97" s="8" t="str">
        <f>IF($B97="","",IF(COUNTIF('Competency Event Log'!$U$4:$U$803,$B97&amp;"|"&amp;X$5)=0,"",SUMIF('Competency Event Log'!$U$4:$U$803,$B97&amp;"|"&amp;X$5,'Competency Event Log'!$D$4:$D$803)))</f>
        <v/>
      </c>
      <c r="Y97" s="8" t="str">
        <f>IF($B97="","",IF(COUNTIF('Competency Event Log'!$U$4:$U$803,$B97&amp;"|"&amp;Y$5)=0,"",SUMIF('Competency Event Log'!$U$4:$U$803,$B97&amp;"|"&amp;Y$5,'Competency Event Log'!$D$4:$D$803)))</f>
        <v/>
      </c>
      <c r="Z97" s="8" t="str">
        <f>IF($B97="","",IF(COUNTIF('Competency Event Log'!$U$4:$U$803,$B97&amp;"|"&amp;Z$5)=0,"",SUMIF('Competency Event Log'!$U$4:$U$803,$B97&amp;"|"&amp;Z$5,'Competency Event Log'!$D$4:$D$803)))</f>
        <v/>
      </c>
      <c r="AA97" s="8" t="str">
        <f>IF($B97="","",IF(COUNTIF('Competency Event Log'!$U$4:$U$803,$B97&amp;"|"&amp;AA$5)=0,"",SUMIF('Competency Event Log'!$U$4:$U$803,$B97&amp;"|"&amp;AA$5,'Competency Event Log'!$D$4:$D$803)))</f>
        <v/>
      </c>
      <c r="AB97" s="8" t="str">
        <f>IF($B97="","",IF(COUNTIF('Competency Event Log'!$U$4:$U$803,$B97&amp;"|"&amp;AB$5)=0,"",SUMIF('Competency Event Log'!$U$4:$U$803,$B97&amp;"|"&amp;AB$5,'Competency Event Log'!$D$4:$D$803)))</f>
        <v/>
      </c>
      <c r="AC97" s="8" t="str">
        <f>IF($B97="","",IF(COUNTIF('Competency Event Log'!$U$4:$U$803,$B97&amp;"|"&amp;AC$5)=0,"",SUMIF('Competency Event Log'!$U$4:$U$803,$B97&amp;"|"&amp;AC$5,'Competency Event Log'!$D$4:$D$803)))</f>
        <v/>
      </c>
      <c r="AD97" s="8" t="str">
        <f>IF($B97="","",IF(COUNTIF('Competency Event Log'!$U$4:$U$803,$B97&amp;"|"&amp;AD$5)=0,"",SUMIF('Competency Event Log'!$U$4:$U$803,$B97&amp;"|"&amp;AD$5,'Competency Event Log'!$D$4:$D$803)))</f>
        <v/>
      </c>
      <c r="AE97" s="8" t="str">
        <f>IF($B97="","",IF(COUNTIF('Competency Event Log'!$U$4:$U$803,$B97&amp;"|"&amp;AE$5)=0,"",SUMIF('Competency Event Log'!$U$4:$U$803,$B97&amp;"|"&amp;AE$5,'Competency Event Log'!$D$4:$D$803)))</f>
        <v/>
      </c>
      <c r="AF97" s="8" t="str">
        <f>IF($B97="","",IF(COUNTIF('Competency Event Log'!$U$4:$U$803,$B97&amp;"|"&amp;AF$5)=0,"",SUMIF('Competency Event Log'!$U$4:$U$803,$B97&amp;"|"&amp;AF$5,'Competency Event Log'!$D$4:$D$803)))</f>
        <v/>
      </c>
      <c r="AG97" s="8" t="str">
        <f>IF($B97="","",IF(COUNTIF('Competency Event Log'!$U$4:$U$803,$B97&amp;"|"&amp;AG$5)=0,"",SUMIF('Competency Event Log'!$U$4:$U$803,$B97&amp;"|"&amp;AG$5,'Competency Event Log'!$D$4:$D$803)))</f>
        <v/>
      </c>
      <c r="AH97" s="8" t="str">
        <f>IF($B97="","",IF(COUNTIF('Competency Event Log'!$U$4:$U$803,$B97&amp;"|"&amp;AH$5)=0,"",SUMIF('Competency Event Log'!$U$4:$U$803,$B97&amp;"|"&amp;AH$5,'Competency Event Log'!$D$4:$D$803)))</f>
        <v/>
      </c>
      <c r="AI97" s="8" t="str">
        <f>IF($B97="","",IF(COUNTIF('Competency Event Log'!$U$4:$U$803,$B97&amp;"|"&amp;AI$5)=0,"",SUMIF('Competency Event Log'!$U$4:$U$803,$B97&amp;"|"&amp;AI$5,'Competency Event Log'!$D$4:$D$803)))</f>
        <v/>
      </c>
      <c r="AJ97" s="8" t="str">
        <f>IF($B97="","",IF(COUNTIF('Competency Event Log'!$U$4:$U$803,$B97&amp;"|"&amp;AJ$5)=0,"",SUMIF('Competency Event Log'!$U$4:$U$803,$B97&amp;"|"&amp;AJ$5,'Competency Event Log'!$D$4:$D$803)))</f>
        <v/>
      </c>
      <c r="AK97" s="8" t="str">
        <f>IF($B97="","",IF(COUNTIF('Competency Event Log'!$U$4:$U$803,$B97&amp;"|"&amp;AK$5)=0,"",SUMIF('Competency Event Log'!$U$4:$U$803,$B97&amp;"|"&amp;AK$5,'Competency Event Log'!$D$4:$D$803)))</f>
        <v/>
      </c>
      <c r="AL97" s="8" t="str">
        <f>IF($B97="","",IF(COUNTIF('Competency Event Log'!$U$4:$U$803,$B97&amp;"|"&amp;AL$5)=0,"",SUMIF('Competency Event Log'!$U$4:$U$803,$B97&amp;"|"&amp;AL$5,'Competency Event Log'!$D$4:$D$803)))</f>
        <v/>
      </c>
      <c r="AM97" s="8" t="str">
        <f>IF($B97="","",IF(COUNTIF('Competency Event Log'!$U$4:$U$803,$B97&amp;"|"&amp;AM$5)=0,"",SUMIF('Competency Event Log'!$U$4:$U$803,$B97&amp;"|"&amp;AM$5,'Competency Event Log'!$D$4:$D$803)))</f>
        <v/>
      </c>
      <c r="AN97" s="8" t="str">
        <f>IF($B97="","",IF(COUNTIF('Competency Event Log'!$U$4:$U$803,$B97&amp;"|"&amp;AN$5)=0,"",SUMIF('Competency Event Log'!$U$4:$U$803,$B97&amp;"|"&amp;AN$5,'Competency Event Log'!$D$4:$D$803)))</f>
        <v/>
      </c>
      <c r="AO97" s="8" t="str">
        <f>IF($B97="","",IF(COUNTIF('Competency Event Log'!$U$4:$U$803,$B97&amp;"|"&amp;AO$5)=0,"",SUMIF('Competency Event Log'!$U$4:$U$803,$B97&amp;"|"&amp;AO$5,'Competency Event Log'!$D$4:$D$803)))</f>
        <v/>
      </c>
      <c r="AP97" s="8" t="str">
        <f>IF($B97="","",IF(COUNTIF('Competency Event Log'!$U$4:$U$803,$B97&amp;"|"&amp;AP$5)=0,"",SUMIF('Competency Event Log'!$U$4:$U$803,$B97&amp;"|"&amp;AP$5,'Competency Event Log'!$D$4:$D$803)))</f>
        <v/>
      </c>
      <c r="AQ97" s="8" t="str">
        <f>IF($B97="","",IF(COUNTIF('Competency Event Log'!$U$4:$U$803,$B97&amp;"|"&amp;AQ$5)=0,"",SUMIF('Competency Event Log'!$U$4:$U$803,$B97&amp;"|"&amp;AQ$5,'Competency Event Log'!$D$4:$D$803)))</f>
        <v/>
      </c>
      <c r="AR97" s="8" t="str">
        <f>IF($B97="","",IF(COUNTIF('Competency Event Log'!$U$4:$U$803,$B97&amp;"|"&amp;AR$5)=0,"",SUMIF('Competency Event Log'!$U$4:$U$803,$B97&amp;"|"&amp;AR$5,'Competency Event Log'!$D$4:$D$803)))</f>
        <v/>
      </c>
      <c r="AS97" s="8" t="str">
        <f>IF($B97="","",IF(COUNTIF('Competency Event Log'!$U$4:$U$803,$B97&amp;"|"&amp;AS$5)=0,"",SUMIF('Competency Event Log'!$U$4:$U$803,$B97&amp;"|"&amp;AS$5,'Competency Event Log'!$D$4:$D$803)))</f>
        <v/>
      </c>
      <c r="AT97" s="8" t="str">
        <f>IF($B97="","",IF(COUNTIF('Competency Event Log'!$U$4:$U$803,$B97&amp;"|"&amp;AT$5)=0,"",SUMIF('Competency Event Log'!$U$4:$U$803,$B97&amp;"|"&amp;AT$5,'Competency Event Log'!$D$4:$D$803)))</f>
        <v/>
      </c>
      <c r="AU97" s="8" t="str">
        <f>IF($B97="","",IF(COUNTIF('Competency Event Log'!$U$4:$U$803,$B97&amp;"|"&amp;AU$5)=0,"",SUMIF('Competency Event Log'!$U$4:$U$803,$B97&amp;"|"&amp;AU$5,'Competency Event Log'!$D$4:$D$803)))</f>
        <v/>
      </c>
      <c r="AV97" s="8" t="str">
        <f>IF($B97="","",IF(COUNTIF('Competency Event Log'!$U$4:$U$803,$B97&amp;"|"&amp;AV$5)=0,"",SUMIF('Competency Event Log'!$U$4:$U$803,$B97&amp;"|"&amp;AV$5,'Competency Event Log'!$D$4:$D$803)))</f>
        <v/>
      </c>
      <c r="AW97" s="8" t="str">
        <f>IF($B97="","",IF(COUNTIF('Competency Event Log'!$U$4:$U$803,$B97&amp;"|"&amp;AW$5)=0,"",SUMIF('Competency Event Log'!$U$4:$U$803,$B97&amp;"|"&amp;AW$5,'Competency Event Log'!$D$4:$D$803)))</f>
        <v/>
      </c>
      <c r="AX97" s="8" t="str">
        <f>IF($B97="","",IF(COUNTIF('Competency Event Log'!$U$4:$U$803,$B97&amp;"|"&amp;AX$5)=0,"",SUMIF('Competency Event Log'!$U$4:$U$803,$B97&amp;"|"&amp;AX$5,'Competency Event Log'!$D$4:$D$803)))</f>
        <v/>
      </c>
      <c r="AY97" s="8" t="str">
        <f>IF($B97="","",IF(COUNTIF('Competency Event Log'!$U$4:$U$803,$B97&amp;"|"&amp;AY$5)=0,"",SUMIF('Competency Event Log'!$U$4:$U$803,$B97&amp;"|"&amp;AY$5,'Competency Event Log'!$D$4:$D$803)))</f>
        <v/>
      </c>
      <c r="AZ97" s="8" t="str">
        <f>IF($B97="","",IF(COUNTIF('Competency Event Log'!$U$4:$U$803,$B97&amp;"|"&amp;AZ$5)=0,"",SUMIF('Competency Event Log'!$U$4:$U$803,$B97&amp;"|"&amp;AZ$5,'Competency Event Log'!$D$4:$D$803)))</f>
        <v/>
      </c>
      <c r="BA97" s="8" t="str">
        <f>IF($B97="","",IF(COUNTIF('Competency Event Log'!$U$4:$U$803,$B97&amp;"|"&amp;BA$5)=0,"",SUMIF('Competency Event Log'!$U$4:$U$803,$B97&amp;"|"&amp;BA$5,'Competency Event Log'!$D$4:$D$803)))</f>
        <v/>
      </c>
      <c r="BB97" s="8" t="str">
        <f>IF($B97="","",IF(COUNTIF('Competency Event Log'!$U$4:$U$803,$B97&amp;"|"&amp;BB$5)=0,"",SUMIF('Competency Event Log'!$U$4:$U$803,$B97&amp;"|"&amp;BB$5,'Competency Event Log'!$D$4:$D$803)))</f>
        <v/>
      </c>
      <c r="BC97" s="8" t="str">
        <f>IF($B97="","",IF(COUNTIF('Competency Event Log'!$U$4:$U$803,$B97&amp;"|"&amp;BC$5)=0,"",SUMIF('Competency Event Log'!$U$4:$U$803,$B97&amp;"|"&amp;BC$5,'Competency Event Log'!$D$4:$D$803)))</f>
        <v/>
      </c>
      <c r="BD97" s="8" t="str">
        <f>IF($B97="","",IF(COUNTIF('Competency Event Log'!$U$4:$U$803,$B97&amp;"|"&amp;BD$5)=0,"",SUMIF('Competency Event Log'!$U$4:$U$803,$B97&amp;"|"&amp;BD$5,'Competency Event Log'!$D$4:$D$803)))</f>
        <v/>
      </c>
      <c r="BE97" s="8" t="str">
        <f>IF($B97="","",IF(COUNTIF('Competency Event Log'!$U$4:$U$803,$B97&amp;"|"&amp;BE$5)=0,"",SUMIF('Competency Event Log'!$U$4:$U$803,$B97&amp;"|"&amp;BE$5,'Competency Event Log'!$D$4:$D$803)))</f>
        <v/>
      </c>
      <c r="BF97" s="8" t="str">
        <f>IF($B97="","",IF(COUNTIF('Competency Event Log'!$U$4:$U$803,$B97&amp;"|"&amp;BF$5)=0,"",SUMIF('Competency Event Log'!$U$4:$U$803,$B97&amp;"|"&amp;BF$5,'Competency Event Log'!$D$4:$D$803)))</f>
        <v/>
      </c>
      <c r="BG97" s="8" t="str">
        <f>IF($B97="","",IF(COUNTIF('Competency Event Log'!$U$4:$U$803,$B97&amp;"|"&amp;BG$5)=0,"",SUMIF('Competency Event Log'!$U$4:$U$803,$B97&amp;"|"&amp;BG$5,'Competency Event Log'!$D$4:$D$803)))</f>
        <v/>
      </c>
      <c r="BH97" s="8" t="str">
        <f>IF($B97="","",IF(COUNTIF('Competency Event Log'!$U$4:$U$803,$B97&amp;"|"&amp;BH$5)=0,"",SUMIF('Competency Event Log'!$U$4:$U$803,$B97&amp;"|"&amp;BH$5,'Competency Event Log'!$D$4:$D$803)))</f>
        <v/>
      </c>
      <c r="BI97" s="8" t="str">
        <f>IF($B97="","",IF(COUNTIF('Competency Event Log'!$U$4:$U$803,$B97&amp;"|"&amp;BI$5)=0,"",SUMIF('Competency Event Log'!$U$4:$U$803,$B97&amp;"|"&amp;BI$5,'Competency Event Log'!$D$4:$D$803)))</f>
        <v/>
      </c>
      <c r="BJ97" s="8" t="str">
        <f>IF($B97="","",IF(COUNTIF('Competency Event Log'!$U$4:$U$803,$B97&amp;"|"&amp;BJ$5)=0,"",SUMIF('Competency Event Log'!$U$4:$U$803,$B97&amp;"|"&amp;BJ$5,'Competency Event Log'!$D$4:$D$803)))</f>
        <v/>
      </c>
      <c r="BK97" s="8" t="str">
        <f>IF($B97="","",IF(COUNTIF('Competency Event Log'!$U$4:$U$803,$B97&amp;"|"&amp;BK$5)=0,"",SUMIF('Competency Event Log'!$U$4:$U$803,$B97&amp;"|"&amp;BK$5,'Competency Event Log'!$D$4:$D$803)))</f>
        <v/>
      </c>
      <c r="BL97" s="8" t="str">
        <f>IF($B97="","",IF(COUNTIF('Competency Event Log'!$U$4:$U$803,$B97&amp;"|"&amp;BL$5)=0,"",SUMIF('Competency Event Log'!$U$4:$U$803,$B97&amp;"|"&amp;BL$5,'Competency Event Log'!$D$4:$D$803)))</f>
        <v/>
      </c>
      <c r="BM97" s="8" t="str">
        <f>IF($B97="","",IF(COUNTIF('Competency Event Log'!$U$4:$U$803,$B97&amp;"|"&amp;BM$5)=0,"",SUMIF('Competency Event Log'!$U$4:$U$803,$B97&amp;"|"&amp;BM$5,'Competency Event Log'!$D$4:$D$803)))</f>
        <v/>
      </c>
      <c r="BN97" s="8" t="str">
        <f>IF($B97="","",IF(COUNTIF('Competency Event Log'!$U$4:$U$803,$B97&amp;"|"&amp;BN$5)=0,"",SUMIF('Competency Event Log'!$U$4:$U$803,$B97&amp;"|"&amp;BN$5,'Competency Event Log'!$D$4:$D$803)))</f>
        <v/>
      </c>
      <c r="BO97" s="8" t="str">
        <f>IF($B97="","",IF(COUNTIF('Competency Event Log'!$U$4:$U$803,$B97&amp;"|"&amp;BO$5)=0,"",SUMIF('Competency Event Log'!$U$4:$U$803,$B97&amp;"|"&amp;BO$5,'Competency Event Log'!$D$4:$D$803)))</f>
        <v/>
      </c>
      <c r="BP97" s="8" t="str">
        <f>IF($B97="","",IF(COUNTIF('Competency Event Log'!$U$4:$U$803,$B97&amp;"|"&amp;BP$5)=0,"",SUMIF('Competency Event Log'!$U$4:$U$803,$B97&amp;"|"&amp;BP$5,'Competency Event Log'!$D$4:$D$803)))</f>
        <v/>
      </c>
      <c r="BQ97" s="8" t="str">
        <f>IF($B97="","",IF(COUNTIF('Competency Event Log'!$U$4:$U$803,$B97&amp;"|"&amp;BQ$5)=0,"",SUMIF('Competency Event Log'!$U$4:$U$803,$B97&amp;"|"&amp;BQ$5,'Competency Event Log'!$D$4:$D$803)))</f>
        <v/>
      </c>
      <c r="BR97" s="8" t="str">
        <f>IF($B97="","",IF(COUNTIF('Competency Event Log'!$U$4:$U$803,$B97&amp;"|"&amp;BR$5)=0,"",SUMIF('Competency Event Log'!$U$4:$U$803,$B97&amp;"|"&amp;BR$5,'Competency Event Log'!$D$4:$D$803)))</f>
        <v/>
      </c>
      <c r="BS97" s="8" t="str">
        <f>IF($B97="","",IF(COUNTIF('Competency Event Log'!$U$4:$U$803,$B97&amp;"|"&amp;BS$5)=0,"",SUMIF('Competency Event Log'!$U$4:$U$803,$B97&amp;"|"&amp;BS$5,'Competency Event Log'!$D$4:$D$803)))</f>
        <v/>
      </c>
      <c r="BT97" s="8" t="str">
        <f>IF($B97="","",IF(COUNTIF('Competency Event Log'!$U$4:$U$803,$B97&amp;"|"&amp;BT$5)=0,"",SUMIF('Competency Event Log'!$U$4:$U$803,$B97&amp;"|"&amp;BT$5,'Competency Event Log'!$D$4:$D$803)))</f>
        <v/>
      </c>
      <c r="BU97" s="8" t="str">
        <f>IF($B97="","",IF(COUNTIF('Competency Event Log'!$U$4:$U$803,$B97&amp;"|"&amp;BU$5)=0,"",SUMIF('Competency Event Log'!$U$4:$U$803,$B97&amp;"|"&amp;BU$5,'Competency Event Log'!$D$4:$D$803)))</f>
        <v/>
      </c>
      <c r="BV97" s="8" t="str">
        <f>IF($B97="","",IF(COUNTIF('Competency Event Log'!$U$4:$U$803,$B97&amp;"|"&amp;BV$5)=0,"",SUMIF('Competency Event Log'!$U$4:$U$803,$B97&amp;"|"&amp;BV$5,'Competency Event Log'!$D$4:$D$803)))</f>
        <v/>
      </c>
      <c r="BW97" s="8" t="str">
        <f>IF($B97="","",IF(COUNTIF('Competency Event Log'!$U$4:$U$803,$B97&amp;"|"&amp;BW$5)=0,"",SUMIF('Competency Event Log'!$U$4:$U$803,$B97&amp;"|"&amp;BW$5,'Competency Event Log'!$D$4:$D$803)))</f>
        <v/>
      </c>
      <c r="BX97" s="8" t="str">
        <f>IF($B97="","",IF(COUNTIF('Competency Event Log'!$U$4:$U$803,$B97&amp;"|"&amp;BX$5)=0,"",SUMIF('Competency Event Log'!$U$4:$U$803,$B97&amp;"|"&amp;BX$5,'Competency Event Log'!$D$4:$D$803)))</f>
        <v/>
      </c>
      <c r="BY97" s="8" t="str">
        <f>IF($B97="","",IF(COUNTIF('Competency Event Log'!$U$4:$U$803,$B97&amp;"|"&amp;BY$5)=0,"",SUMIF('Competency Event Log'!$U$4:$U$803,$B97&amp;"|"&amp;BY$5,'Competency Event Log'!$D$4:$D$803)))</f>
        <v/>
      </c>
      <c r="BZ97" s="8" t="str">
        <f>IF($B97="","",IF(COUNTIF('Competency Event Log'!$U$4:$U$803,$B97&amp;"|"&amp;BZ$5)=0,"",SUMIF('Competency Event Log'!$U$4:$U$803,$B97&amp;"|"&amp;BZ$5,'Competency Event Log'!$D$4:$D$803)))</f>
        <v/>
      </c>
      <c r="CA97" s="8" t="str">
        <f>IF($B97="","",IF(COUNTIF('Competency Event Log'!$U$4:$U$803,$B97&amp;"|"&amp;CA$5)=0,"",SUMIF('Competency Event Log'!$U$4:$U$803,$B97&amp;"|"&amp;CA$5,'Competency Event Log'!$D$4:$D$803)))</f>
        <v/>
      </c>
      <c r="CB97" s="8" t="str">
        <f>IF($B97="","",IF(COUNTIF('Competency Event Log'!$U$4:$U$803,$B97&amp;"|"&amp;CB$5)=0,"",SUMIF('Competency Event Log'!$U$4:$U$803,$B97&amp;"|"&amp;CB$5,'Competency Event Log'!$D$4:$D$803)))</f>
        <v/>
      </c>
      <c r="CC97" s="8" t="str">
        <f>IF($B97="","",IF(COUNTIF('Competency Event Log'!$U$4:$U$803,$B97&amp;"|"&amp;CC$5)=0,"",SUMIF('Competency Event Log'!$U$4:$U$803,$B97&amp;"|"&amp;CC$5,'Competency Event Log'!$D$4:$D$803)))</f>
        <v/>
      </c>
      <c r="CD97" s="8" t="str">
        <f>IF($B97="","",IF(COUNTIF('Competency Event Log'!$U$4:$U$803,$B97&amp;"|"&amp;CD$5)=0,"",SUMIF('Competency Event Log'!$U$4:$U$803,$B97&amp;"|"&amp;CD$5,'Competency Event Log'!$D$4:$D$803)))</f>
        <v/>
      </c>
      <c r="CE97" s="8" t="str">
        <f>IF($B97="","",IF(COUNTIF('Competency Event Log'!$U$4:$U$803,$B97&amp;"|"&amp;CE$5)=0,"",SUMIF('Competency Event Log'!$U$4:$U$803,$B97&amp;"|"&amp;CE$5,'Competency Event Log'!$D$4:$D$803)))</f>
        <v/>
      </c>
      <c r="CF97" s="8" t="str">
        <f>IF($B97="","",IF(COUNTIF('Competency Event Log'!$U$4:$U$803,$B97&amp;"|"&amp;CF$5)=0,"",SUMIF('Competency Event Log'!$U$4:$U$803,$B97&amp;"|"&amp;CF$5,'Competency Event Log'!$D$4:$D$803)))</f>
        <v/>
      </c>
      <c r="CG97" s="8" t="str">
        <f>IF($B97="","",IF(COUNTIF('Competency Event Log'!$U$4:$U$803,$B97&amp;"|"&amp;CG$5)=0,"",SUMIF('Competency Event Log'!$U$4:$U$803,$B97&amp;"|"&amp;CG$5,'Competency Event Log'!$D$4:$D$803)))</f>
        <v/>
      </c>
      <c r="CH97" s="8" t="str">
        <f>IF($B97="","",IF(COUNTIF('Competency Event Log'!$U$4:$U$803,$B97&amp;"|"&amp;CH$5)=0,"",SUMIF('Competency Event Log'!$U$4:$U$803,$B97&amp;"|"&amp;CH$5,'Competency Event Log'!$D$4:$D$803)))</f>
        <v/>
      </c>
      <c r="CI97" s="8" t="str">
        <f>IF($B97="","",IF(COUNTIF('Competency Event Log'!$U$4:$U$803,$B97&amp;"|"&amp;CI$5)=0,"",SUMIF('Competency Event Log'!$U$4:$U$803,$B97&amp;"|"&amp;CI$5,'Competency Event Log'!$D$4:$D$803)))</f>
        <v/>
      </c>
      <c r="CJ97" s="8" t="str">
        <f>IF($B97="","",IF(COUNTIF('Competency Event Log'!$U$4:$U$803,$B97&amp;"|"&amp;CJ$5)=0,"",SUMIF('Competency Event Log'!$U$4:$U$803,$B97&amp;"|"&amp;CJ$5,'Competency Event Log'!$D$4:$D$803)))</f>
        <v/>
      </c>
      <c r="CK97" s="8" t="str">
        <f>IF($B97="","",IF(COUNTIF('Competency Event Log'!$U$4:$U$803,$B97&amp;"|"&amp;CK$5)=0,"",SUMIF('Competency Event Log'!$U$4:$U$803,$B97&amp;"|"&amp;CK$5,'Competency Event Log'!$D$4:$D$803)))</f>
        <v/>
      </c>
      <c r="CL97" s="8" t="str">
        <f>IF($B97="","",IF(COUNTIF('Competency Event Log'!$U$4:$U$803,$B97&amp;"|"&amp;CL$5)=0,"",SUMIF('Competency Event Log'!$U$4:$U$803,$B97&amp;"|"&amp;CL$5,'Competency Event Log'!$D$4:$D$803)))</f>
        <v/>
      </c>
      <c r="CM97" s="8" t="str">
        <f>IF($B97="","",IF(COUNTIF('Competency Event Log'!$U$4:$U$803,$B97&amp;"|"&amp;CM$5)=0,"",SUMIF('Competency Event Log'!$U$4:$U$803,$B97&amp;"|"&amp;CM$5,'Competency Event Log'!$D$4:$D$803)))</f>
        <v/>
      </c>
      <c r="CN97" s="8" t="str">
        <f>IF($B97="","",IF(COUNTIF('Competency Event Log'!$U$4:$U$803,$B97&amp;"|"&amp;CN$5)=0,"",SUMIF('Competency Event Log'!$U$4:$U$803,$B97&amp;"|"&amp;CN$5,'Competency Event Log'!$D$4:$D$803)))</f>
        <v/>
      </c>
      <c r="CO97" s="8" t="str">
        <f>IF($B97="","",IF(COUNTIF('Competency Event Log'!$U$4:$U$803,$B97&amp;"|"&amp;CO$5)=0,"",SUMIF('Competency Event Log'!$U$4:$U$803,$B97&amp;"|"&amp;CO$5,'Competency Event Log'!$D$4:$D$803)))</f>
        <v/>
      </c>
      <c r="CP97" s="8" t="str">
        <f>IF($B97="","",IF(COUNTIF('Competency Event Log'!$U$4:$U$803,$B97&amp;"|"&amp;CP$5)=0,"",SUMIF('Competency Event Log'!$U$4:$U$803,$B97&amp;"|"&amp;CP$5,'Competency Event Log'!$D$4:$D$803)))</f>
        <v/>
      </c>
      <c r="CQ97" s="8" t="str">
        <f>IF($B97="","",IF(COUNTIF('Competency Event Log'!$U$4:$U$803,$B97&amp;"|"&amp;CQ$5)=0,"",SUMIF('Competency Event Log'!$U$4:$U$803,$B97&amp;"|"&amp;CQ$5,'Competency Event Log'!$D$4:$D$803)))</f>
        <v/>
      </c>
      <c r="CR97" s="8" t="str">
        <f>IF($B97="","",IF(COUNTIF('Competency Event Log'!$U$4:$U$803,$B97&amp;"|"&amp;CR$5)=0,"",SUMIF('Competency Event Log'!$U$4:$U$803,$B97&amp;"|"&amp;CR$5,'Competency Event Log'!$D$4:$D$803)))</f>
        <v/>
      </c>
      <c r="CS97" s="8" t="str">
        <f>IF($B97="","",IF(COUNTIF('Competency Event Log'!$U$4:$U$803,$B97&amp;"|"&amp;CS$5)=0,"",SUMIF('Competency Event Log'!$U$4:$U$803,$B97&amp;"|"&amp;CS$5,'Competency Event Log'!$D$4:$D$803)))</f>
        <v/>
      </c>
      <c r="CT97" s="8" t="str">
        <f>IF($B97="","",IF(COUNTIF('Competency Event Log'!$U$4:$U$803,$B97&amp;"|"&amp;CT$5)=0,"",SUMIF('Competency Event Log'!$U$4:$U$803,$B97&amp;"|"&amp;CT$5,'Competency Event Log'!$D$4:$D$803)))</f>
        <v/>
      </c>
      <c r="CU97" s="8" t="str">
        <f>IF($B97="","",IF(COUNTIF('Competency Event Log'!$U$4:$U$803,$B97&amp;"|"&amp;CU$5)=0,"",SUMIF('Competency Event Log'!$U$4:$U$803,$B97&amp;"|"&amp;CU$5,'Competency Event Log'!$D$4:$D$803)))</f>
        <v/>
      </c>
      <c r="CV97" s="8" t="str">
        <f>IF($B97="","",IF(COUNTIF('Competency Event Log'!$U$4:$U$803,$B97&amp;"|"&amp;CV$5)=0,"",SUMIF('Competency Event Log'!$U$4:$U$803,$B97&amp;"|"&amp;CV$5,'Competency Event Log'!$D$4:$D$803)))</f>
        <v/>
      </c>
      <c r="CW97" s="8" t="str">
        <f>IF($B97="","",IF(COUNTIF('Competency Event Log'!$U$4:$U$803,$B97&amp;"|"&amp;CW$5)=0,"",SUMIF('Competency Event Log'!$U$4:$U$803,$B97&amp;"|"&amp;CW$5,'Competency Event Log'!$D$4:$D$803)))</f>
        <v/>
      </c>
      <c r="CX97" s="8" t="str">
        <f>IF($B97="","",IF(COUNTIF('Competency Event Log'!$U$4:$U$803,$B97&amp;"|"&amp;CX$5)=0,"",SUMIF('Competency Event Log'!$U$4:$U$803,$B97&amp;"|"&amp;CX$5,'Competency Event Log'!$D$4:$D$803)))</f>
        <v/>
      </c>
      <c r="CY97" s="8" t="str">
        <f>IF($B97="","",IF(COUNTIF('Competency Event Log'!$U$4:$U$803,$B97&amp;"|"&amp;CY$5)=0,"",SUMIF('Competency Event Log'!$U$4:$U$803,$B97&amp;"|"&amp;CY$5,'Competency Event Log'!$D$4:$D$803)))</f>
        <v/>
      </c>
      <c r="CZ97" s="8" t="str">
        <f>IF($B97="","",IF(COUNTIF('Competency Event Log'!$U$4:$U$803,$B97&amp;"|"&amp;CZ$5)=0,"",SUMIF('Competency Event Log'!$U$4:$U$803,$B97&amp;"|"&amp;CZ$5,'Competency Event Log'!$D$4:$D$803)))</f>
        <v/>
      </c>
      <c r="DA97" s="8" t="str">
        <f>IF($B97="","",IF(COUNTIF('Competency Event Log'!$U$4:$U$803,$B97&amp;"|"&amp;DA$5)=0,"",SUMIF('Competency Event Log'!$U$4:$U$803,$B97&amp;"|"&amp;DA$5,'Competency Event Log'!$D$4:$D$803)))</f>
        <v/>
      </c>
      <c r="DB97" s="8" t="str">
        <f>IF($B97="","",IF(COUNTIF('Competency Event Log'!$U$4:$U$803,$B97&amp;"|"&amp;DB$5)=0,"",SUMIF('Competency Event Log'!$U$4:$U$803,$B97&amp;"|"&amp;DB$5,'Competency Event Log'!$D$4:$D$803)))</f>
        <v/>
      </c>
      <c r="DC97" s="8" t="str">
        <f>IF($B97="","",IF(COUNTIF('Competency Event Log'!$U$4:$U$803,$B97&amp;"|"&amp;DC$5)=0,"",SUMIF('Competency Event Log'!$U$4:$U$803,$B97&amp;"|"&amp;DC$5,'Competency Event Log'!$D$4:$D$803)))</f>
        <v/>
      </c>
      <c r="DD97" s="8" t="str">
        <f>IF($B97="","",IF(COUNTIF('Competency Event Log'!$U$4:$U$803,$B97&amp;"|"&amp;DD$5)=0,"",SUMIF('Competency Event Log'!$U$4:$U$803,$B97&amp;"|"&amp;DD$5,'Competency Event Log'!$D$4:$D$803)))</f>
        <v/>
      </c>
      <c r="DE97" s="8" t="str">
        <f>IF($B97="","",IF(COUNTIF('Competency Event Log'!$U$4:$U$803,$B97&amp;"|"&amp;DE$5)=0,"",SUMIF('Competency Event Log'!$U$4:$U$803,$B97&amp;"|"&amp;DE$5,'Competency Event Log'!$D$4:$D$803)))</f>
        <v/>
      </c>
      <c r="DF97" s="8" t="str">
        <f t="shared" si="8"/>
        <v/>
      </c>
      <c r="DG97" s="8" t="str">
        <f t="shared" si="9"/>
        <v/>
      </c>
      <c r="DH97" s="8" t="str">
        <f t="shared" si="10"/>
        <v/>
      </c>
      <c r="DI97" s="11" t="str">
        <f t="shared" si="11"/>
        <v/>
      </c>
    </row>
    <row r="98" spans="1:113">
      <c r="A98" s="7"/>
      <c r="B98" s="7"/>
      <c r="C98" s="8"/>
      <c r="D98" s="9"/>
      <c r="E98" s="10"/>
      <c r="F98" s="8"/>
      <c r="G98" s="8" t="str">
        <f>IF($B98="","",IF(COUNTIF('Competency Event Log'!$U$4:$U$803,$B98&amp;"|"&amp;G$5)=0,"",SUMIF('Competency Event Log'!$U$4:$U$803,$B98&amp;"|"&amp;G$5,'Competency Event Log'!$D$4:$D$803)))</f>
        <v/>
      </c>
      <c r="H98" s="8" t="str">
        <f>IF($B98="","",IF(COUNTIF('Competency Event Log'!$U$4:$U$803,$B98&amp;"|"&amp;H$5)=0,"",SUMIF('Competency Event Log'!$U$4:$U$803,$B98&amp;"|"&amp;H$5,'Competency Event Log'!$D$4:$D$803)))</f>
        <v/>
      </c>
      <c r="I98" s="8" t="str">
        <f>IF($B98="","",IF(COUNTIF('Competency Event Log'!$U$4:$U$803,$B98&amp;"|"&amp;I$5)=0,"",SUMIF('Competency Event Log'!$U$4:$U$803,$B98&amp;"|"&amp;I$5,'Competency Event Log'!$D$4:$D$803)))</f>
        <v/>
      </c>
      <c r="J98" s="8" t="str">
        <f>IF($B98="","",IF(COUNTIF('Competency Event Log'!$U$4:$U$803,$B98&amp;"|"&amp;J$5)=0,"",SUMIF('Competency Event Log'!$U$4:$U$803,$B98&amp;"|"&amp;J$5,'Competency Event Log'!$D$4:$D$803)))</f>
        <v/>
      </c>
      <c r="K98" s="8" t="str">
        <f>IF($B98="","",IF(COUNTIF('Competency Event Log'!$U$4:$U$803,$B98&amp;"|"&amp;K$5)=0,"",SUMIF('Competency Event Log'!$U$4:$U$803,$B98&amp;"|"&amp;K$5,'Competency Event Log'!$D$4:$D$803)))</f>
        <v/>
      </c>
      <c r="L98" s="8" t="str">
        <f>IF($B98="","",IF(COUNTIF('Competency Event Log'!$U$4:$U$803,$B98&amp;"|"&amp;L$5)=0,"",SUMIF('Competency Event Log'!$U$4:$U$803,$B98&amp;"|"&amp;L$5,'Competency Event Log'!$D$4:$D$803)))</f>
        <v/>
      </c>
      <c r="M98" s="8" t="str">
        <f>IF($B98="","",IF(COUNTIF('Competency Event Log'!$U$4:$U$803,$B98&amp;"|"&amp;M$5)=0,"",SUMIF('Competency Event Log'!$U$4:$U$803,$B98&amp;"|"&amp;M$5,'Competency Event Log'!$D$4:$D$803)))</f>
        <v/>
      </c>
      <c r="N98" s="8" t="str">
        <f>IF($B98="","",IF(COUNTIF('Competency Event Log'!$U$4:$U$803,$B98&amp;"|"&amp;N$5)=0,"",SUMIF('Competency Event Log'!$U$4:$U$803,$B98&amp;"|"&amp;N$5,'Competency Event Log'!$D$4:$D$803)))</f>
        <v/>
      </c>
      <c r="O98" s="8" t="str">
        <f>IF($B98="","",IF(COUNTIF('Competency Event Log'!$U$4:$U$803,$B98&amp;"|"&amp;O$5)=0,"",SUMIF('Competency Event Log'!$U$4:$U$803,$B98&amp;"|"&amp;O$5,'Competency Event Log'!$D$4:$D$803)))</f>
        <v/>
      </c>
      <c r="P98" s="8" t="str">
        <f>IF($B98="","",IF(COUNTIF('Competency Event Log'!$U$4:$U$803,$B98&amp;"|"&amp;P$5)=0,"",SUMIF('Competency Event Log'!$U$4:$U$803,$B98&amp;"|"&amp;P$5,'Competency Event Log'!$D$4:$D$803)))</f>
        <v/>
      </c>
      <c r="Q98" s="8" t="str">
        <f>IF($B98="","",IF(COUNTIF('Competency Event Log'!$U$4:$U$803,$B98&amp;"|"&amp;Q$5)=0,"",SUMIF('Competency Event Log'!$U$4:$U$803,$B98&amp;"|"&amp;Q$5,'Competency Event Log'!$D$4:$D$803)))</f>
        <v/>
      </c>
      <c r="R98" s="8" t="str">
        <f>IF($B98="","",IF(COUNTIF('Competency Event Log'!$U$4:$U$803,$B98&amp;"|"&amp;R$5)=0,"",SUMIF('Competency Event Log'!$U$4:$U$803,$B98&amp;"|"&amp;R$5,'Competency Event Log'!$D$4:$D$803)))</f>
        <v/>
      </c>
      <c r="S98" s="8" t="str">
        <f>IF($B98="","",IF(COUNTIF('Competency Event Log'!$U$4:$U$803,$B98&amp;"|"&amp;S$5)=0,"",SUMIF('Competency Event Log'!$U$4:$U$803,$B98&amp;"|"&amp;S$5,'Competency Event Log'!$D$4:$D$803)))</f>
        <v/>
      </c>
      <c r="T98" s="8" t="str">
        <f>IF($B98="","",IF(COUNTIF('Competency Event Log'!$U$4:$U$803,$B98&amp;"|"&amp;T$5)=0,"",SUMIF('Competency Event Log'!$U$4:$U$803,$B98&amp;"|"&amp;T$5,'Competency Event Log'!$D$4:$D$803)))</f>
        <v/>
      </c>
      <c r="U98" s="8" t="str">
        <f>IF($B98="","",IF(COUNTIF('Competency Event Log'!$U$4:$U$803,$B98&amp;"|"&amp;U$5)=0,"",SUMIF('Competency Event Log'!$U$4:$U$803,$B98&amp;"|"&amp;U$5,'Competency Event Log'!$D$4:$D$803)))</f>
        <v/>
      </c>
      <c r="V98" s="8" t="str">
        <f>IF($B98="","",IF(COUNTIF('Competency Event Log'!$U$4:$U$803,$B98&amp;"|"&amp;V$5)=0,"",SUMIF('Competency Event Log'!$U$4:$U$803,$B98&amp;"|"&amp;V$5,'Competency Event Log'!$D$4:$D$803)))</f>
        <v/>
      </c>
      <c r="W98" s="8" t="str">
        <f>IF($B98="","",IF(COUNTIF('Competency Event Log'!$U$4:$U$803,$B98&amp;"|"&amp;W$5)=0,"",SUMIF('Competency Event Log'!$U$4:$U$803,$B98&amp;"|"&amp;W$5,'Competency Event Log'!$D$4:$D$803)))</f>
        <v/>
      </c>
      <c r="X98" s="8" t="str">
        <f>IF($B98="","",IF(COUNTIF('Competency Event Log'!$U$4:$U$803,$B98&amp;"|"&amp;X$5)=0,"",SUMIF('Competency Event Log'!$U$4:$U$803,$B98&amp;"|"&amp;X$5,'Competency Event Log'!$D$4:$D$803)))</f>
        <v/>
      </c>
      <c r="Y98" s="8" t="str">
        <f>IF($B98="","",IF(COUNTIF('Competency Event Log'!$U$4:$U$803,$B98&amp;"|"&amp;Y$5)=0,"",SUMIF('Competency Event Log'!$U$4:$U$803,$B98&amp;"|"&amp;Y$5,'Competency Event Log'!$D$4:$D$803)))</f>
        <v/>
      </c>
      <c r="Z98" s="8" t="str">
        <f>IF($B98="","",IF(COUNTIF('Competency Event Log'!$U$4:$U$803,$B98&amp;"|"&amp;Z$5)=0,"",SUMIF('Competency Event Log'!$U$4:$U$803,$B98&amp;"|"&amp;Z$5,'Competency Event Log'!$D$4:$D$803)))</f>
        <v/>
      </c>
      <c r="AA98" s="8" t="str">
        <f>IF($B98="","",IF(COUNTIF('Competency Event Log'!$U$4:$U$803,$B98&amp;"|"&amp;AA$5)=0,"",SUMIF('Competency Event Log'!$U$4:$U$803,$B98&amp;"|"&amp;AA$5,'Competency Event Log'!$D$4:$D$803)))</f>
        <v/>
      </c>
      <c r="AB98" s="8" t="str">
        <f>IF($B98="","",IF(COUNTIF('Competency Event Log'!$U$4:$U$803,$B98&amp;"|"&amp;AB$5)=0,"",SUMIF('Competency Event Log'!$U$4:$U$803,$B98&amp;"|"&amp;AB$5,'Competency Event Log'!$D$4:$D$803)))</f>
        <v/>
      </c>
      <c r="AC98" s="8" t="str">
        <f>IF($B98="","",IF(COUNTIF('Competency Event Log'!$U$4:$U$803,$B98&amp;"|"&amp;AC$5)=0,"",SUMIF('Competency Event Log'!$U$4:$U$803,$B98&amp;"|"&amp;AC$5,'Competency Event Log'!$D$4:$D$803)))</f>
        <v/>
      </c>
      <c r="AD98" s="8" t="str">
        <f>IF($B98="","",IF(COUNTIF('Competency Event Log'!$U$4:$U$803,$B98&amp;"|"&amp;AD$5)=0,"",SUMIF('Competency Event Log'!$U$4:$U$803,$B98&amp;"|"&amp;AD$5,'Competency Event Log'!$D$4:$D$803)))</f>
        <v/>
      </c>
      <c r="AE98" s="8" t="str">
        <f>IF($B98="","",IF(COUNTIF('Competency Event Log'!$U$4:$U$803,$B98&amp;"|"&amp;AE$5)=0,"",SUMIF('Competency Event Log'!$U$4:$U$803,$B98&amp;"|"&amp;AE$5,'Competency Event Log'!$D$4:$D$803)))</f>
        <v/>
      </c>
      <c r="AF98" s="8" t="str">
        <f>IF($B98="","",IF(COUNTIF('Competency Event Log'!$U$4:$U$803,$B98&amp;"|"&amp;AF$5)=0,"",SUMIF('Competency Event Log'!$U$4:$U$803,$B98&amp;"|"&amp;AF$5,'Competency Event Log'!$D$4:$D$803)))</f>
        <v/>
      </c>
      <c r="AG98" s="8" t="str">
        <f>IF($B98="","",IF(COUNTIF('Competency Event Log'!$U$4:$U$803,$B98&amp;"|"&amp;AG$5)=0,"",SUMIF('Competency Event Log'!$U$4:$U$803,$B98&amp;"|"&amp;AG$5,'Competency Event Log'!$D$4:$D$803)))</f>
        <v/>
      </c>
      <c r="AH98" s="8" t="str">
        <f>IF($B98="","",IF(COUNTIF('Competency Event Log'!$U$4:$U$803,$B98&amp;"|"&amp;AH$5)=0,"",SUMIF('Competency Event Log'!$U$4:$U$803,$B98&amp;"|"&amp;AH$5,'Competency Event Log'!$D$4:$D$803)))</f>
        <v/>
      </c>
      <c r="AI98" s="8" t="str">
        <f>IF($B98="","",IF(COUNTIF('Competency Event Log'!$U$4:$U$803,$B98&amp;"|"&amp;AI$5)=0,"",SUMIF('Competency Event Log'!$U$4:$U$803,$B98&amp;"|"&amp;AI$5,'Competency Event Log'!$D$4:$D$803)))</f>
        <v/>
      </c>
      <c r="AJ98" s="8" t="str">
        <f>IF($B98="","",IF(COUNTIF('Competency Event Log'!$U$4:$U$803,$B98&amp;"|"&amp;AJ$5)=0,"",SUMIF('Competency Event Log'!$U$4:$U$803,$B98&amp;"|"&amp;AJ$5,'Competency Event Log'!$D$4:$D$803)))</f>
        <v/>
      </c>
      <c r="AK98" s="8" t="str">
        <f>IF($B98="","",IF(COUNTIF('Competency Event Log'!$U$4:$U$803,$B98&amp;"|"&amp;AK$5)=0,"",SUMIF('Competency Event Log'!$U$4:$U$803,$B98&amp;"|"&amp;AK$5,'Competency Event Log'!$D$4:$D$803)))</f>
        <v/>
      </c>
      <c r="AL98" s="8" t="str">
        <f>IF($B98="","",IF(COUNTIF('Competency Event Log'!$U$4:$U$803,$B98&amp;"|"&amp;AL$5)=0,"",SUMIF('Competency Event Log'!$U$4:$U$803,$B98&amp;"|"&amp;AL$5,'Competency Event Log'!$D$4:$D$803)))</f>
        <v/>
      </c>
      <c r="AM98" s="8" t="str">
        <f>IF($B98="","",IF(COUNTIF('Competency Event Log'!$U$4:$U$803,$B98&amp;"|"&amp;AM$5)=0,"",SUMIF('Competency Event Log'!$U$4:$U$803,$B98&amp;"|"&amp;AM$5,'Competency Event Log'!$D$4:$D$803)))</f>
        <v/>
      </c>
      <c r="AN98" s="8" t="str">
        <f>IF($B98="","",IF(COUNTIF('Competency Event Log'!$U$4:$U$803,$B98&amp;"|"&amp;AN$5)=0,"",SUMIF('Competency Event Log'!$U$4:$U$803,$B98&amp;"|"&amp;AN$5,'Competency Event Log'!$D$4:$D$803)))</f>
        <v/>
      </c>
      <c r="AO98" s="8" t="str">
        <f>IF($B98="","",IF(COUNTIF('Competency Event Log'!$U$4:$U$803,$B98&amp;"|"&amp;AO$5)=0,"",SUMIF('Competency Event Log'!$U$4:$U$803,$B98&amp;"|"&amp;AO$5,'Competency Event Log'!$D$4:$D$803)))</f>
        <v/>
      </c>
      <c r="AP98" s="8" t="str">
        <f>IF($B98="","",IF(COUNTIF('Competency Event Log'!$U$4:$U$803,$B98&amp;"|"&amp;AP$5)=0,"",SUMIF('Competency Event Log'!$U$4:$U$803,$B98&amp;"|"&amp;AP$5,'Competency Event Log'!$D$4:$D$803)))</f>
        <v/>
      </c>
      <c r="AQ98" s="8" t="str">
        <f>IF($B98="","",IF(COUNTIF('Competency Event Log'!$U$4:$U$803,$B98&amp;"|"&amp;AQ$5)=0,"",SUMIF('Competency Event Log'!$U$4:$U$803,$B98&amp;"|"&amp;AQ$5,'Competency Event Log'!$D$4:$D$803)))</f>
        <v/>
      </c>
      <c r="AR98" s="8" t="str">
        <f>IF($B98="","",IF(COUNTIF('Competency Event Log'!$U$4:$U$803,$B98&amp;"|"&amp;AR$5)=0,"",SUMIF('Competency Event Log'!$U$4:$U$803,$B98&amp;"|"&amp;AR$5,'Competency Event Log'!$D$4:$D$803)))</f>
        <v/>
      </c>
      <c r="AS98" s="8" t="str">
        <f>IF($B98="","",IF(COUNTIF('Competency Event Log'!$U$4:$U$803,$B98&amp;"|"&amp;AS$5)=0,"",SUMIF('Competency Event Log'!$U$4:$U$803,$B98&amp;"|"&amp;AS$5,'Competency Event Log'!$D$4:$D$803)))</f>
        <v/>
      </c>
      <c r="AT98" s="8" t="str">
        <f>IF($B98="","",IF(COUNTIF('Competency Event Log'!$U$4:$U$803,$B98&amp;"|"&amp;AT$5)=0,"",SUMIF('Competency Event Log'!$U$4:$U$803,$B98&amp;"|"&amp;AT$5,'Competency Event Log'!$D$4:$D$803)))</f>
        <v/>
      </c>
      <c r="AU98" s="8" t="str">
        <f>IF($B98="","",IF(COUNTIF('Competency Event Log'!$U$4:$U$803,$B98&amp;"|"&amp;AU$5)=0,"",SUMIF('Competency Event Log'!$U$4:$U$803,$B98&amp;"|"&amp;AU$5,'Competency Event Log'!$D$4:$D$803)))</f>
        <v/>
      </c>
      <c r="AV98" s="8" t="str">
        <f>IF($B98="","",IF(COUNTIF('Competency Event Log'!$U$4:$U$803,$B98&amp;"|"&amp;AV$5)=0,"",SUMIF('Competency Event Log'!$U$4:$U$803,$B98&amp;"|"&amp;AV$5,'Competency Event Log'!$D$4:$D$803)))</f>
        <v/>
      </c>
      <c r="AW98" s="8" t="str">
        <f>IF($B98="","",IF(COUNTIF('Competency Event Log'!$U$4:$U$803,$B98&amp;"|"&amp;AW$5)=0,"",SUMIF('Competency Event Log'!$U$4:$U$803,$B98&amp;"|"&amp;AW$5,'Competency Event Log'!$D$4:$D$803)))</f>
        <v/>
      </c>
      <c r="AX98" s="8" t="str">
        <f>IF($B98="","",IF(COUNTIF('Competency Event Log'!$U$4:$U$803,$B98&amp;"|"&amp;AX$5)=0,"",SUMIF('Competency Event Log'!$U$4:$U$803,$B98&amp;"|"&amp;AX$5,'Competency Event Log'!$D$4:$D$803)))</f>
        <v/>
      </c>
      <c r="AY98" s="8" t="str">
        <f>IF($B98="","",IF(COUNTIF('Competency Event Log'!$U$4:$U$803,$B98&amp;"|"&amp;AY$5)=0,"",SUMIF('Competency Event Log'!$U$4:$U$803,$B98&amp;"|"&amp;AY$5,'Competency Event Log'!$D$4:$D$803)))</f>
        <v/>
      </c>
      <c r="AZ98" s="8" t="str">
        <f>IF($B98="","",IF(COUNTIF('Competency Event Log'!$U$4:$U$803,$B98&amp;"|"&amp;AZ$5)=0,"",SUMIF('Competency Event Log'!$U$4:$U$803,$B98&amp;"|"&amp;AZ$5,'Competency Event Log'!$D$4:$D$803)))</f>
        <v/>
      </c>
      <c r="BA98" s="8" t="str">
        <f>IF($B98="","",IF(COUNTIF('Competency Event Log'!$U$4:$U$803,$B98&amp;"|"&amp;BA$5)=0,"",SUMIF('Competency Event Log'!$U$4:$U$803,$B98&amp;"|"&amp;BA$5,'Competency Event Log'!$D$4:$D$803)))</f>
        <v/>
      </c>
      <c r="BB98" s="8" t="str">
        <f>IF($B98="","",IF(COUNTIF('Competency Event Log'!$U$4:$U$803,$B98&amp;"|"&amp;BB$5)=0,"",SUMIF('Competency Event Log'!$U$4:$U$803,$B98&amp;"|"&amp;BB$5,'Competency Event Log'!$D$4:$D$803)))</f>
        <v/>
      </c>
      <c r="BC98" s="8" t="str">
        <f>IF($B98="","",IF(COUNTIF('Competency Event Log'!$U$4:$U$803,$B98&amp;"|"&amp;BC$5)=0,"",SUMIF('Competency Event Log'!$U$4:$U$803,$B98&amp;"|"&amp;BC$5,'Competency Event Log'!$D$4:$D$803)))</f>
        <v/>
      </c>
      <c r="BD98" s="8" t="str">
        <f>IF($B98="","",IF(COUNTIF('Competency Event Log'!$U$4:$U$803,$B98&amp;"|"&amp;BD$5)=0,"",SUMIF('Competency Event Log'!$U$4:$U$803,$B98&amp;"|"&amp;BD$5,'Competency Event Log'!$D$4:$D$803)))</f>
        <v/>
      </c>
      <c r="BE98" s="8" t="str">
        <f>IF($B98="","",IF(COUNTIF('Competency Event Log'!$U$4:$U$803,$B98&amp;"|"&amp;BE$5)=0,"",SUMIF('Competency Event Log'!$U$4:$U$803,$B98&amp;"|"&amp;BE$5,'Competency Event Log'!$D$4:$D$803)))</f>
        <v/>
      </c>
      <c r="BF98" s="8" t="str">
        <f>IF($B98="","",IF(COUNTIF('Competency Event Log'!$U$4:$U$803,$B98&amp;"|"&amp;BF$5)=0,"",SUMIF('Competency Event Log'!$U$4:$U$803,$B98&amp;"|"&amp;BF$5,'Competency Event Log'!$D$4:$D$803)))</f>
        <v/>
      </c>
      <c r="BG98" s="8" t="str">
        <f>IF($B98="","",IF(COUNTIF('Competency Event Log'!$U$4:$U$803,$B98&amp;"|"&amp;BG$5)=0,"",SUMIF('Competency Event Log'!$U$4:$U$803,$B98&amp;"|"&amp;BG$5,'Competency Event Log'!$D$4:$D$803)))</f>
        <v/>
      </c>
      <c r="BH98" s="8" t="str">
        <f>IF($B98="","",IF(COUNTIF('Competency Event Log'!$U$4:$U$803,$B98&amp;"|"&amp;BH$5)=0,"",SUMIF('Competency Event Log'!$U$4:$U$803,$B98&amp;"|"&amp;BH$5,'Competency Event Log'!$D$4:$D$803)))</f>
        <v/>
      </c>
      <c r="BI98" s="8" t="str">
        <f>IF($B98="","",IF(COUNTIF('Competency Event Log'!$U$4:$U$803,$B98&amp;"|"&amp;BI$5)=0,"",SUMIF('Competency Event Log'!$U$4:$U$803,$B98&amp;"|"&amp;BI$5,'Competency Event Log'!$D$4:$D$803)))</f>
        <v/>
      </c>
      <c r="BJ98" s="8" t="str">
        <f>IF($B98="","",IF(COUNTIF('Competency Event Log'!$U$4:$U$803,$B98&amp;"|"&amp;BJ$5)=0,"",SUMIF('Competency Event Log'!$U$4:$U$803,$B98&amp;"|"&amp;BJ$5,'Competency Event Log'!$D$4:$D$803)))</f>
        <v/>
      </c>
      <c r="BK98" s="8" t="str">
        <f>IF($B98="","",IF(COUNTIF('Competency Event Log'!$U$4:$U$803,$B98&amp;"|"&amp;BK$5)=0,"",SUMIF('Competency Event Log'!$U$4:$U$803,$B98&amp;"|"&amp;BK$5,'Competency Event Log'!$D$4:$D$803)))</f>
        <v/>
      </c>
      <c r="BL98" s="8" t="str">
        <f>IF($B98="","",IF(COUNTIF('Competency Event Log'!$U$4:$U$803,$B98&amp;"|"&amp;BL$5)=0,"",SUMIF('Competency Event Log'!$U$4:$U$803,$B98&amp;"|"&amp;BL$5,'Competency Event Log'!$D$4:$D$803)))</f>
        <v/>
      </c>
      <c r="BM98" s="8" t="str">
        <f>IF($B98="","",IF(COUNTIF('Competency Event Log'!$U$4:$U$803,$B98&amp;"|"&amp;BM$5)=0,"",SUMIF('Competency Event Log'!$U$4:$U$803,$B98&amp;"|"&amp;BM$5,'Competency Event Log'!$D$4:$D$803)))</f>
        <v/>
      </c>
      <c r="BN98" s="8" t="str">
        <f>IF($B98="","",IF(COUNTIF('Competency Event Log'!$U$4:$U$803,$B98&amp;"|"&amp;BN$5)=0,"",SUMIF('Competency Event Log'!$U$4:$U$803,$B98&amp;"|"&amp;BN$5,'Competency Event Log'!$D$4:$D$803)))</f>
        <v/>
      </c>
      <c r="BO98" s="8" t="str">
        <f>IF($B98="","",IF(COUNTIF('Competency Event Log'!$U$4:$U$803,$B98&amp;"|"&amp;BO$5)=0,"",SUMIF('Competency Event Log'!$U$4:$U$803,$B98&amp;"|"&amp;BO$5,'Competency Event Log'!$D$4:$D$803)))</f>
        <v/>
      </c>
      <c r="BP98" s="8" t="str">
        <f>IF($B98="","",IF(COUNTIF('Competency Event Log'!$U$4:$U$803,$B98&amp;"|"&amp;BP$5)=0,"",SUMIF('Competency Event Log'!$U$4:$U$803,$B98&amp;"|"&amp;BP$5,'Competency Event Log'!$D$4:$D$803)))</f>
        <v/>
      </c>
      <c r="BQ98" s="8" t="str">
        <f>IF($B98="","",IF(COUNTIF('Competency Event Log'!$U$4:$U$803,$B98&amp;"|"&amp;BQ$5)=0,"",SUMIF('Competency Event Log'!$U$4:$U$803,$B98&amp;"|"&amp;BQ$5,'Competency Event Log'!$D$4:$D$803)))</f>
        <v/>
      </c>
      <c r="BR98" s="8" t="str">
        <f>IF($B98="","",IF(COUNTIF('Competency Event Log'!$U$4:$U$803,$B98&amp;"|"&amp;BR$5)=0,"",SUMIF('Competency Event Log'!$U$4:$U$803,$B98&amp;"|"&amp;BR$5,'Competency Event Log'!$D$4:$D$803)))</f>
        <v/>
      </c>
      <c r="BS98" s="8" t="str">
        <f>IF($B98="","",IF(COUNTIF('Competency Event Log'!$U$4:$U$803,$B98&amp;"|"&amp;BS$5)=0,"",SUMIF('Competency Event Log'!$U$4:$U$803,$B98&amp;"|"&amp;BS$5,'Competency Event Log'!$D$4:$D$803)))</f>
        <v/>
      </c>
      <c r="BT98" s="8" t="str">
        <f>IF($B98="","",IF(COUNTIF('Competency Event Log'!$U$4:$U$803,$B98&amp;"|"&amp;BT$5)=0,"",SUMIF('Competency Event Log'!$U$4:$U$803,$B98&amp;"|"&amp;BT$5,'Competency Event Log'!$D$4:$D$803)))</f>
        <v/>
      </c>
      <c r="BU98" s="8" t="str">
        <f>IF($B98="","",IF(COUNTIF('Competency Event Log'!$U$4:$U$803,$B98&amp;"|"&amp;BU$5)=0,"",SUMIF('Competency Event Log'!$U$4:$U$803,$B98&amp;"|"&amp;BU$5,'Competency Event Log'!$D$4:$D$803)))</f>
        <v/>
      </c>
      <c r="BV98" s="8" t="str">
        <f>IF($B98="","",IF(COUNTIF('Competency Event Log'!$U$4:$U$803,$B98&amp;"|"&amp;BV$5)=0,"",SUMIF('Competency Event Log'!$U$4:$U$803,$B98&amp;"|"&amp;BV$5,'Competency Event Log'!$D$4:$D$803)))</f>
        <v/>
      </c>
      <c r="BW98" s="8" t="str">
        <f>IF($B98="","",IF(COUNTIF('Competency Event Log'!$U$4:$U$803,$B98&amp;"|"&amp;BW$5)=0,"",SUMIF('Competency Event Log'!$U$4:$U$803,$B98&amp;"|"&amp;BW$5,'Competency Event Log'!$D$4:$D$803)))</f>
        <v/>
      </c>
      <c r="BX98" s="8" t="str">
        <f>IF($B98="","",IF(COUNTIF('Competency Event Log'!$U$4:$U$803,$B98&amp;"|"&amp;BX$5)=0,"",SUMIF('Competency Event Log'!$U$4:$U$803,$B98&amp;"|"&amp;BX$5,'Competency Event Log'!$D$4:$D$803)))</f>
        <v/>
      </c>
      <c r="BY98" s="8" t="str">
        <f>IF($B98="","",IF(COUNTIF('Competency Event Log'!$U$4:$U$803,$B98&amp;"|"&amp;BY$5)=0,"",SUMIF('Competency Event Log'!$U$4:$U$803,$B98&amp;"|"&amp;BY$5,'Competency Event Log'!$D$4:$D$803)))</f>
        <v/>
      </c>
      <c r="BZ98" s="8" t="str">
        <f>IF($B98="","",IF(COUNTIF('Competency Event Log'!$U$4:$U$803,$B98&amp;"|"&amp;BZ$5)=0,"",SUMIF('Competency Event Log'!$U$4:$U$803,$B98&amp;"|"&amp;BZ$5,'Competency Event Log'!$D$4:$D$803)))</f>
        <v/>
      </c>
      <c r="CA98" s="8" t="str">
        <f>IF($B98="","",IF(COUNTIF('Competency Event Log'!$U$4:$U$803,$B98&amp;"|"&amp;CA$5)=0,"",SUMIF('Competency Event Log'!$U$4:$U$803,$B98&amp;"|"&amp;CA$5,'Competency Event Log'!$D$4:$D$803)))</f>
        <v/>
      </c>
      <c r="CB98" s="8" t="str">
        <f>IF($B98="","",IF(COUNTIF('Competency Event Log'!$U$4:$U$803,$B98&amp;"|"&amp;CB$5)=0,"",SUMIF('Competency Event Log'!$U$4:$U$803,$B98&amp;"|"&amp;CB$5,'Competency Event Log'!$D$4:$D$803)))</f>
        <v/>
      </c>
      <c r="CC98" s="8" t="str">
        <f>IF($B98="","",IF(COUNTIF('Competency Event Log'!$U$4:$U$803,$B98&amp;"|"&amp;CC$5)=0,"",SUMIF('Competency Event Log'!$U$4:$U$803,$B98&amp;"|"&amp;CC$5,'Competency Event Log'!$D$4:$D$803)))</f>
        <v/>
      </c>
      <c r="CD98" s="8" t="str">
        <f>IF($B98="","",IF(COUNTIF('Competency Event Log'!$U$4:$U$803,$B98&amp;"|"&amp;CD$5)=0,"",SUMIF('Competency Event Log'!$U$4:$U$803,$B98&amp;"|"&amp;CD$5,'Competency Event Log'!$D$4:$D$803)))</f>
        <v/>
      </c>
      <c r="CE98" s="8" t="str">
        <f>IF($B98="","",IF(COUNTIF('Competency Event Log'!$U$4:$U$803,$B98&amp;"|"&amp;CE$5)=0,"",SUMIF('Competency Event Log'!$U$4:$U$803,$B98&amp;"|"&amp;CE$5,'Competency Event Log'!$D$4:$D$803)))</f>
        <v/>
      </c>
      <c r="CF98" s="8" t="str">
        <f>IF($B98="","",IF(COUNTIF('Competency Event Log'!$U$4:$U$803,$B98&amp;"|"&amp;CF$5)=0,"",SUMIF('Competency Event Log'!$U$4:$U$803,$B98&amp;"|"&amp;CF$5,'Competency Event Log'!$D$4:$D$803)))</f>
        <v/>
      </c>
      <c r="CG98" s="8" t="str">
        <f>IF($B98="","",IF(COUNTIF('Competency Event Log'!$U$4:$U$803,$B98&amp;"|"&amp;CG$5)=0,"",SUMIF('Competency Event Log'!$U$4:$U$803,$B98&amp;"|"&amp;CG$5,'Competency Event Log'!$D$4:$D$803)))</f>
        <v/>
      </c>
      <c r="CH98" s="8" t="str">
        <f>IF($B98="","",IF(COUNTIF('Competency Event Log'!$U$4:$U$803,$B98&amp;"|"&amp;CH$5)=0,"",SUMIF('Competency Event Log'!$U$4:$U$803,$B98&amp;"|"&amp;CH$5,'Competency Event Log'!$D$4:$D$803)))</f>
        <v/>
      </c>
      <c r="CI98" s="8" t="str">
        <f>IF($B98="","",IF(COUNTIF('Competency Event Log'!$U$4:$U$803,$B98&amp;"|"&amp;CI$5)=0,"",SUMIF('Competency Event Log'!$U$4:$U$803,$B98&amp;"|"&amp;CI$5,'Competency Event Log'!$D$4:$D$803)))</f>
        <v/>
      </c>
      <c r="CJ98" s="8" t="str">
        <f>IF($B98="","",IF(COUNTIF('Competency Event Log'!$U$4:$U$803,$B98&amp;"|"&amp;CJ$5)=0,"",SUMIF('Competency Event Log'!$U$4:$U$803,$B98&amp;"|"&amp;CJ$5,'Competency Event Log'!$D$4:$D$803)))</f>
        <v/>
      </c>
      <c r="CK98" s="8" t="str">
        <f>IF($B98="","",IF(COUNTIF('Competency Event Log'!$U$4:$U$803,$B98&amp;"|"&amp;CK$5)=0,"",SUMIF('Competency Event Log'!$U$4:$U$803,$B98&amp;"|"&amp;CK$5,'Competency Event Log'!$D$4:$D$803)))</f>
        <v/>
      </c>
      <c r="CL98" s="8" t="str">
        <f>IF($B98="","",IF(COUNTIF('Competency Event Log'!$U$4:$U$803,$B98&amp;"|"&amp;CL$5)=0,"",SUMIF('Competency Event Log'!$U$4:$U$803,$B98&amp;"|"&amp;CL$5,'Competency Event Log'!$D$4:$D$803)))</f>
        <v/>
      </c>
      <c r="CM98" s="8" t="str">
        <f>IF($B98="","",IF(COUNTIF('Competency Event Log'!$U$4:$U$803,$B98&amp;"|"&amp;CM$5)=0,"",SUMIF('Competency Event Log'!$U$4:$U$803,$B98&amp;"|"&amp;CM$5,'Competency Event Log'!$D$4:$D$803)))</f>
        <v/>
      </c>
      <c r="CN98" s="8" t="str">
        <f>IF($B98="","",IF(COUNTIF('Competency Event Log'!$U$4:$U$803,$B98&amp;"|"&amp;CN$5)=0,"",SUMIF('Competency Event Log'!$U$4:$U$803,$B98&amp;"|"&amp;CN$5,'Competency Event Log'!$D$4:$D$803)))</f>
        <v/>
      </c>
      <c r="CO98" s="8" t="str">
        <f>IF($B98="","",IF(COUNTIF('Competency Event Log'!$U$4:$U$803,$B98&amp;"|"&amp;CO$5)=0,"",SUMIF('Competency Event Log'!$U$4:$U$803,$B98&amp;"|"&amp;CO$5,'Competency Event Log'!$D$4:$D$803)))</f>
        <v/>
      </c>
      <c r="CP98" s="8" t="str">
        <f>IF($B98="","",IF(COUNTIF('Competency Event Log'!$U$4:$U$803,$B98&amp;"|"&amp;CP$5)=0,"",SUMIF('Competency Event Log'!$U$4:$U$803,$B98&amp;"|"&amp;CP$5,'Competency Event Log'!$D$4:$D$803)))</f>
        <v/>
      </c>
      <c r="CQ98" s="8" t="str">
        <f>IF($B98="","",IF(COUNTIF('Competency Event Log'!$U$4:$U$803,$B98&amp;"|"&amp;CQ$5)=0,"",SUMIF('Competency Event Log'!$U$4:$U$803,$B98&amp;"|"&amp;CQ$5,'Competency Event Log'!$D$4:$D$803)))</f>
        <v/>
      </c>
      <c r="CR98" s="8" t="str">
        <f>IF($B98="","",IF(COUNTIF('Competency Event Log'!$U$4:$U$803,$B98&amp;"|"&amp;CR$5)=0,"",SUMIF('Competency Event Log'!$U$4:$U$803,$B98&amp;"|"&amp;CR$5,'Competency Event Log'!$D$4:$D$803)))</f>
        <v/>
      </c>
      <c r="CS98" s="8" t="str">
        <f>IF($B98="","",IF(COUNTIF('Competency Event Log'!$U$4:$U$803,$B98&amp;"|"&amp;CS$5)=0,"",SUMIF('Competency Event Log'!$U$4:$U$803,$B98&amp;"|"&amp;CS$5,'Competency Event Log'!$D$4:$D$803)))</f>
        <v/>
      </c>
      <c r="CT98" s="8" t="str">
        <f>IF($B98="","",IF(COUNTIF('Competency Event Log'!$U$4:$U$803,$B98&amp;"|"&amp;CT$5)=0,"",SUMIF('Competency Event Log'!$U$4:$U$803,$B98&amp;"|"&amp;CT$5,'Competency Event Log'!$D$4:$D$803)))</f>
        <v/>
      </c>
      <c r="CU98" s="8" t="str">
        <f>IF($B98="","",IF(COUNTIF('Competency Event Log'!$U$4:$U$803,$B98&amp;"|"&amp;CU$5)=0,"",SUMIF('Competency Event Log'!$U$4:$U$803,$B98&amp;"|"&amp;CU$5,'Competency Event Log'!$D$4:$D$803)))</f>
        <v/>
      </c>
      <c r="CV98" s="8" t="str">
        <f>IF($B98="","",IF(COUNTIF('Competency Event Log'!$U$4:$U$803,$B98&amp;"|"&amp;CV$5)=0,"",SUMIF('Competency Event Log'!$U$4:$U$803,$B98&amp;"|"&amp;CV$5,'Competency Event Log'!$D$4:$D$803)))</f>
        <v/>
      </c>
      <c r="CW98" s="8" t="str">
        <f>IF($B98="","",IF(COUNTIF('Competency Event Log'!$U$4:$U$803,$B98&amp;"|"&amp;CW$5)=0,"",SUMIF('Competency Event Log'!$U$4:$U$803,$B98&amp;"|"&amp;CW$5,'Competency Event Log'!$D$4:$D$803)))</f>
        <v/>
      </c>
      <c r="CX98" s="8" t="str">
        <f>IF($B98="","",IF(COUNTIF('Competency Event Log'!$U$4:$U$803,$B98&amp;"|"&amp;CX$5)=0,"",SUMIF('Competency Event Log'!$U$4:$U$803,$B98&amp;"|"&amp;CX$5,'Competency Event Log'!$D$4:$D$803)))</f>
        <v/>
      </c>
      <c r="CY98" s="8" t="str">
        <f>IF($B98="","",IF(COUNTIF('Competency Event Log'!$U$4:$U$803,$B98&amp;"|"&amp;CY$5)=0,"",SUMIF('Competency Event Log'!$U$4:$U$803,$B98&amp;"|"&amp;CY$5,'Competency Event Log'!$D$4:$D$803)))</f>
        <v/>
      </c>
      <c r="CZ98" s="8" t="str">
        <f>IF($B98="","",IF(COUNTIF('Competency Event Log'!$U$4:$U$803,$B98&amp;"|"&amp;CZ$5)=0,"",SUMIF('Competency Event Log'!$U$4:$U$803,$B98&amp;"|"&amp;CZ$5,'Competency Event Log'!$D$4:$D$803)))</f>
        <v/>
      </c>
      <c r="DA98" s="8" t="str">
        <f>IF($B98="","",IF(COUNTIF('Competency Event Log'!$U$4:$U$803,$B98&amp;"|"&amp;DA$5)=0,"",SUMIF('Competency Event Log'!$U$4:$U$803,$B98&amp;"|"&amp;DA$5,'Competency Event Log'!$D$4:$D$803)))</f>
        <v/>
      </c>
      <c r="DB98" s="8" t="str">
        <f>IF($B98="","",IF(COUNTIF('Competency Event Log'!$U$4:$U$803,$B98&amp;"|"&amp;DB$5)=0,"",SUMIF('Competency Event Log'!$U$4:$U$803,$B98&amp;"|"&amp;DB$5,'Competency Event Log'!$D$4:$D$803)))</f>
        <v/>
      </c>
      <c r="DC98" s="8" t="str">
        <f>IF($B98="","",IF(COUNTIF('Competency Event Log'!$U$4:$U$803,$B98&amp;"|"&amp;DC$5)=0,"",SUMIF('Competency Event Log'!$U$4:$U$803,$B98&amp;"|"&amp;DC$5,'Competency Event Log'!$D$4:$D$803)))</f>
        <v/>
      </c>
      <c r="DD98" s="8" t="str">
        <f>IF($B98="","",IF(COUNTIF('Competency Event Log'!$U$4:$U$803,$B98&amp;"|"&amp;DD$5)=0,"",SUMIF('Competency Event Log'!$U$4:$U$803,$B98&amp;"|"&amp;DD$5,'Competency Event Log'!$D$4:$D$803)))</f>
        <v/>
      </c>
      <c r="DE98" s="8" t="str">
        <f>IF($B98="","",IF(COUNTIF('Competency Event Log'!$U$4:$U$803,$B98&amp;"|"&amp;DE$5)=0,"",SUMIF('Competency Event Log'!$U$4:$U$803,$B98&amp;"|"&amp;DE$5,'Competency Event Log'!$D$4:$D$803)))</f>
        <v/>
      </c>
      <c r="DF98" s="8" t="str">
        <f t="shared" si="8"/>
        <v/>
      </c>
      <c r="DG98" s="8" t="str">
        <f t="shared" si="9"/>
        <v/>
      </c>
      <c r="DH98" s="8" t="str">
        <f t="shared" si="10"/>
        <v/>
      </c>
      <c r="DI98" s="11" t="str">
        <f t="shared" si="11"/>
        <v/>
      </c>
    </row>
    <row r="99" spans="1:113">
      <c r="A99" s="7"/>
      <c r="B99" s="7"/>
      <c r="C99" s="8"/>
      <c r="D99" s="9"/>
      <c r="E99" s="10"/>
      <c r="F99" s="8"/>
      <c r="G99" s="8" t="str">
        <f>IF($B99="","",IF(COUNTIF('Competency Event Log'!$U$4:$U$803,$B99&amp;"|"&amp;G$5)=0,"",SUMIF('Competency Event Log'!$U$4:$U$803,$B99&amp;"|"&amp;G$5,'Competency Event Log'!$D$4:$D$803)))</f>
        <v/>
      </c>
      <c r="H99" s="8" t="str">
        <f>IF($B99="","",IF(COUNTIF('Competency Event Log'!$U$4:$U$803,$B99&amp;"|"&amp;H$5)=0,"",SUMIF('Competency Event Log'!$U$4:$U$803,$B99&amp;"|"&amp;H$5,'Competency Event Log'!$D$4:$D$803)))</f>
        <v/>
      </c>
      <c r="I99" s="8" t="str">
        <f>IF($B99="","",IF(COUNTIF('Competency Event Log'!$U$4:$U$803,$B99&amp;"|"&amp;I$5)=0,"",SUMIF('Competency Event Log'!$U$4:$U$803,$B99&amp;"|"&amp;I$5,'Competency Event Log'!$D$4:$D$803)))</f>
        <v/>
      </c>
      <c r="J99" s="8" t="str">
        <f>IF($B99="","",IF(COUNTIF('Competency Event Log'!$U$4:$U$803,$B99&amp;"|"&amp;J$5)=0,"",SUMIF('Competency Event Log'!$U$4:$U$803,$B99&amp;"|"&amp;J$5,'Competency Event Log'!$D$4:$D$803)))</f>
        <v/>
      </c>
      <c r="K99" s="8" t="str">
        <f>IF($B99="","",IF(COUNTIF('Competency Event Log'!$U$4:$U$803,$B99&amp;"|"&amp;K$5)=0,"",SUMIF('Competency Event Log'!$U$4:$U$803,$B99&amp;"|"&amp;K$5,'Competency Event Log'!$D$4:$D$803)))</f>
        <v/>
      </c>
      <c r="L99" s="8" t="str">
        <f>IF($B99="","",IF(COUNTIF('Competency Event Log'!$U$4:$U$803,$B99&amp;"|"&amp;L$5)=0,"",SUMIF('Competency Event Log'!$U$4:$U$803,$B99&amp;"|"&amp;L$5,'Competency Event Log'!$D$4:$D$803)))</f>
        <v/>
      </c>
      <c r="M99" s="8" t="str">
        <f>IF($B99="","",IF(COUNTIF('Competency Event Log'!$U$4:$U$803,$B99&amp;"|"&amp;M$5)=0,"",SUMIF('Competency Event Log'!$U$4:$U$803,$B99&amp;"|"&amp;M$5,'Competency Event Log'!$D$4:$D$803)))</f>
        <v/>
      </c>
      <c r="N99" s="8" t="str">
        <f>IF($B99="","",IF(COUNTIF('Competency Event Log'!$U$4:$U$803,$B99&amp;"|"&amp;N$5)=0,"",SUMIF('Competency Event Log'!$U$4:$U$803,$B99&amp;"|"&amp;N$5,'Competency Event Log'!$D$4:$D$803)))</f>
        <v/>
      </c>
      <c r="O99" s="8" t="str">
        <f>IF($B99="","",IF(COUNTIF('Competency Event Log'!$U$4:$U$803,$B99&amp;"|"&amp;O$5)=0,"",SUMIF('Competency Event Log'!$U$4:$U$803,$B99&amp;"|"&amp;O$5,'Competency Event Log'!$D$4:$D$803)))</f>
        <v/>
      </c>
      <c r="P99" s="8" t="str">
        <f>IF($B99="","",IF(COUNTIF('Competency Event Log'!$U$4:$U$803,$B99&amp;"|"&amp;P$5)=0,"",SUMIF('Competency Event Log'!$U$4:$U$803,$B99&amp;"|"&amp;P$5,'Competency Event Log'!$D$4:$D$803)))</f>
        <v/>
      </c>
      <c r="Q99" s="8" t="str">
        <f>IF($B99="","",IF(COUNTIF('Competency Event Log'!$U$4:$U$803,$B99&amp;"|"&amp;Q$5)=0,"",SUMIF('Competency Event Log'!$U$4:$U$803,$B99&amp;"|"&amp;Q$5,'Competency Event Log'!$D$4:$D$803)))</f>
        <v/>
      </c>
      <c r="R99" s="8" t="str">
        <f>IF($B99="","",IF(COUNTIF('Competency Event Log'!$U$4:$U$803,$B99&amp;"|"&amp;R$5)=0,"",SUMIF('Competency Event Log'!$U$4:$U$803,$B99&amp;"|"&amp;R$5,'Competency Event Log'!$D$4:$D$803)))</f>
        <v/>
      </c>
      <c r="S99" s="8" t="str">
        <f>IF($B99="","",IF(COUNTIF('Competency Event Log'!$U$4:$U$803,$B99&amp;"|"&amp;S$5)=0,"",SUMIF('Competency Event Log'!$U$4:$U$803,$B99&amp;"|"&amp;S$5,'Competency Event Log'!$D$4:$D$803)))</f>
        <v/>
      </c>
      <c r="T99" s="8" t="str">
        <f>IF($B99="","",IF(COUNTIF('Competency Event Log'!$U$4:$U$803,$B99&amp;"|"&amp;T$5)=0,"",SUMIF('Competency Event Log'!$U$4:$U$803,$B99&amp;"|"&amp;T$5,'Competency Event Log'!$D$4:$D$803)))</f>
        <v/>
      </c>
      <c r="U99" s="8" t="str">
        <f>IF($B99="","",IF(COUNTIF('Competency Event Log'!$U$4:$U$803,$B99&amp;"|"&amp;U$5)=0,"",SUMIF('Competency Event Log'!$U$4:$U$803,$B99&amp;"|"&amp;U$5,'Competency Event Log'!$D$4:$D$803)))</f>
        <v/>
      </c>
      <c r="V99" s="8" t="str">
        <f>IF($B99="","",IF(COUNTIF('Competency Event Log'!$U$4:$U$803,$B99&amp;"|"&amp;V$5)=0,"",SUMIF('Competency Event Log'!$U$4:$U$803,$B99&amp;"|"&amp;V$5,'Competency Event Log'!$D$4:$D$803)))</f>
        <v/>
      </c>
      <c r="W99" s="8" t="str">
        <f>IF($B99="","",IF(COUNTIF('Competency Event Log'!$U$4:$U$803,$B99&amp;"|"&amp;W$5)=0,"",SUMIF('Competency Event Log'!$U$4:$U$803,$B99&amp;"|"&amp;W$5,'Competency Event Log'!$D$4:$D$803)))</f>
        <v/>
      </c>
      <c r="X99" s="8" t="str">
        <f>IF($B99="","",IF(COUNTIF('Competency Event Log'!$U$4:$U$803,$B99&amp;"|"&amp;X$5)=0,"",SUMIF('Competency Event Log'!$U$4:$U$803,$B99&amp;"|"&amp;X$5,'Competency Event Log'!$D$4:$D$803)))</f>
        <v/>
      </c>
      <c r="Y99" s="8" t="str">
        <f>IF($B99="","",IF(COUNTIF('Competency Event Log'!$U$4:$U$803,$B99&amp;"|"&amp;Y$5)=0,"",SUMIF('Competency Event Log'!$U$4:$U$803,$B99&amp;"|"&amp;Y$5,'Competency Event Log'!$D$4:$D$803)))</f>
        <v/>
      </c>
      <c r="Z99" s="8" t="str">
        <f>IF($B99="","",IF(COUNTIF('Competency Event Log'!$U$4:$U$803,$B99&amp;"|"&amp;Z$5)=0,"",SUMIF('Competency Event Log'!$U$4:$U$803,$B99&amp;"|"&amp;Z$5,'Competency Event Log'!$D$4:$D$803)))</f>
        <v/>
      </c>
      <c r="AA99" s="8" t="str">
        <f>IF($B99="","",IF(COUNTIF('Competency Event Log'!$U$4:$U$803,$B99&amp;"|"&amp;AA$5)=0,"",SUMIF('Competency Event Log'!$U$4:$U$803,$B99&amp;"|"&amp;AA$5,'Competency Event Log'!$D$4:$D$803)))</f>
        <v/>
      </c>
      <c r="AB99" s="8" t="str">
        <f>IF($B99="","",IF(COUNTIF('Competency Event Log'!$U$4:$U$803,$B99&amp;"|"&amp;AB$5)=0,"",SUMIF('Competency Event Log'!$U$4:$U$803,$B99&amp;"|"&amp;AB$5,'Competency Event Log'!$D$4:$D$803)))</f>
        <v/>
      </c>
      <c r="AC99" s="8" t="str">
        <f>IF($B99="","",IF(COUNTIF('Competency Event Log'!$U$4:$U$803,$B99&amp;"|"&amp;AC$5)=0,"",SUMIF('Competency Event Log'!$U$4:$U$803,$B99&amp;"|"&amp;AC$5,'Competency Event Log'!$D$4:$D$803)))</f>
        <v/>
      </c>
      <c r="AD99" s="8" t="str">
        <f>IF($B99="","",IF(COUNTIF('Competency Event Log'!$U$4:$U$803,$B99&amp;"|"&amp;AD$5)=0,"",SUMIF('Competency Event Log'!$U$4:$U$803,$B99&amp;"|"&amp;AD$5,'Competency Event Log'!$D$4:$D$803)))</f>
        <v/>
      </c>
      <c r="AE99" s="8" t="str">
        <f>IF($B99="","",IF(COUNTIF('Competency Event Log'!$U$4:$U$803,$B99&amp;"|"&amp;AE$5)=0,"",SUMIF('Competency Event Log'!$U$4:$U$803,$B99&amp;"|"&amp;AE$5,'Competency Event Log'!$D$4:$D$803)))</f>
        <v/>
      </c>
      <c r="AF99" s="8" t="str">
        <f>IF($B99="","",IF(COUNTIF('Competency Event Log'!$U$4:$U$803,$B99&amp;"|"&amp;AF$5)=0,"",SUMIF('Competency Event Log'!$U$4:$U$803,$B99&amp;"|"&amp;AF$5,'Competency Event Log'!$D$4:$D$803)))</f>
        <v/>
      </c>
      <c r="AG99" s="8" t="str">
        <f>IF($B99="","",IF(COUNTIF('Competency Event Log'!$U$4:$U$803,$B99&amp;"|"&amp;AG$5)=0,"",SUMIF('Competency Event Log'!$U$4:$U$803,$B99&amp;"|"&amp;AG$5,'Competency Event Log'!$D$4:$D$803)))</f>
        <v/>
      </c>
      <c r="AH99" s="8" t="str">
        <f>IF($B99="","",IF(COUNTIF('Competency Event Log'!$U$4:$U$803,$B99&amp;"|"&amp;AH$5)=0,"",SUMIF('Competency Event Log'!$U$4:$U$803,$B99&amp;"|"&amp;AH$5,'Competency Event Log'!$D$4:$D$803)))</f>
        <v/>
      </c>
      <c r="AI99" s="8" t="str">
        <f>IF($B99="","",IF(COUNTIF('Competency Event Log'!$U$4:$U$803,$B99&amp;"|"&amp;AI$5)=0,"",SUMIF('Competency Event Log'!$U$4:$U$803,$B99&amp;"|"&amp;AI$5,'Competency Event Log'!$D$4:$D$803)))</f>
        <v/>
      </c>
      <c r="AJ99" s="8" t="str">
        <f>IF($B99="","",IF(COUNTIF('Competency Event Log'!$U$4:$U$803,$B99&amp;"|"&amp;AJ$5)=0,"",SUMIF('Competency Event Log'!$U$4:$U$803,$B99&amp;"|"&amp;AJ$5,'Competency Event Log'!$D$4:$D$803)))</f>
        <v/>
      </c>
      <c r="AK99" s="8" t="str">
        <f>IF($B99="","",IF(COUNTIF('Competency Event Log'!$U$4:$U$803,$B99&amp;"|"&amp;AK$5)=0,"",SUMIF('Competency Event Log'!$U$4:$U$803,$B99&amp;"|"&amp;AK$5,'Competency Event Log'!$D$4:$D$803)))</f>
        <v/>
      </c>
      <c r="AL99" s="8" t="str">
        <f>IF($B99="","",IF(COUNTIF('Competency Event Log'!$U$4:$U$803,$B99&amp;"|"&amp;AL$5)=0,"",SUMIF('Competency Event Log'!$U$4:$U$803,$B99&amp;"|"&amp;AL$5,'Competency Event Log'!$D$4:$D$803)))</f>
        <v/>
      </c>
      <c r="AM99" s="8" t="str">
        <f>IF($B99="","",IF(COUNTIF('Competency Event Log'!$U$4:$U$803,$B99&amp;"|"&amp;AM$5)=0,"",SUMIF('Competency Event Log'!$U$4:$U$803,$B99&amp;"|"&amp;AM$5,'Competency Event Log'!$D$4:$D$803)))</f>
        <v/>
      </c>
      <c r="AN99" s="8" t="str">
        <f>IF($B99="","",IF(COUNTIF('Competency Event Log'!$U$4:$U$803,$B99&amp;"|"&amp;AN$5)=0,"",SUMIF('Competency Event Log'!$U$4:$U$803,$B99&amp;"|"&amp;AN$5,'Competency Event Log'!$D$4:$D$803)))</f>
        <v/>
      </c>
      <c r="AO99" s="8" t="str">
        <f>IF($B99="","",IF(COUNTIF('Competency Event Log'!$U$4:$U$803,$B99&amp;"|"&amp;AO$5)=0,"",SUMIF('Competency Event Log'!$U$4:$U$803,$B99&amp;"|"&amp;AO$5,'Competency Event Log'!$D$4:$D$803)))</f>
        <v/>
      </c>
      <c r="AP99" s="8" t="str">
        <f>IF($B99="","",IF(COUNTIF('Competency Event Log'!$U$4:$U$803,$B99&amp;"|"&amp;AP$5)=0,"",SUMIF('Competency Event Log'!$U$4:$U$803,$B99&amp;"|"&amp;AP$5,'Competency Event Log'!$D$4:$D$803)))</f>
        <v/>
      </c>
      <c r="AQ99" s="8" t="str">
        <f>IF($B99="","",IF(COUNTIF('Competency Event Log'!$U$4:$U$803,$B99&amp;"|"&amp;AQ$5)=0,"",SUMIF('Competency Event Log'!$U$4:$U$803,$B99&amp;"|"&amp;AQ$5,'Competency Event Log'!$D$4:$D$803)))</f>
        <v/>
      </c>
      <c r="AR99" s="8" t="str">
        <f>IF($B99="","",IF(COUNTIF('Competency Event Log'!$U$4:$U$803,$B99&amp;"|"&amp;AR$5)=0,"",SUMIF('Competency Event Log'!$U$4:$U$803,$B99&amp;"|"&amp;AR$5,'Competency Event Log'!$D$4:$D$803)))</f>
        <v/>
      </c>
      <c r="AS99" s="8" t="str">
        <f>IF($B99="","",IF(COUNTIF('Competency Event Log'!$U$4:$U$803,$B99&amp;"|"&amp;AS$5)=0,"",SUMIF('Competency Event Log'!$U$4:$U$803,$B99&amp;"|"&amp;AS$5,'Competency Event Log'!$D$4:$D$803)))</f>
        <v/>
      </c>
      <c r="AT99" s="8" t="str">
        <f>IF($B99="","",IF(COUNTIF('Competency Event Log'!$U$4:$U$803,$B99&amp;"|"&amp;AT$5)=0,"",SUMIF('Competency Event Log'!$U$4:$U$803,$B99&amp;"|"&amp;AT$5,'Competency Event Log'!$D$4:$D$803)))</f>
        <v/>
      </c>
      <c r="AU99" s="8" t="str">
        <f>IF($B99="","",IF(COUNTIF('Competency Event Log'!$U$4:$U$803,$B99&amp;"|"&amp;AU$5)=0,"",SUMIF('Competency Event Log'!$U$4:$U$803,$B99&amp;"|"&amp;AU$5,'Competency Event Log'!$D$4:$D$803)))</f>
        <v/>
      </c>
      <c r="AV99" s="8" t="str">
        <f>IF($B99="","",IF(COUNTIF('Competency Event Log'!$U$4:$U$803,$B99&amp;"|"&amp;AV$5)=0,"",SUMIF('Competency Event Log'!$U$4:$U$803,$B99&amp;"|"&amp;AV$5,'Competency Event Log'!$D$4:$D$803)))</f>
        <v/>
      </c>
      <c r="AW99" s="8" t="str">
        <f>IF($B99="","",IF(COUNTIF('Competency Event Log'!$U$4:$U$803,$B99&amp;"|"&amp;AW$5)=0,"",SUMIF('Competency Event Log'!$U$4:$U$803,$B99&amp;"|"&amp;AW$5,'Competency Event Log'!$D$4:$D$803)))</f>
        <v/>
      </c>
      <c r="AX99" s="8" t="str">
        <f>IF($B99="","",IF(COUNTIF('Competency Event Log'!$U$4:$U$803,$B99&amp;"|"&amp;AX$5)=0,"",SUMIF('Competency Event Log'!$U$4:$U$803,$B99&amp;"|"&amp;AX$5,'Competency Event Log'!$D$4:$D$803)))</f>
        <v/>
      </c>
      <c r="AY99" s="8" t="str">
        <f>IF($B99="","",IF(COUNTIF('Competency Event Log'!$U$4:$U$803,$B99&amp;"|"&amp;AY$5)=0,"",SUMIF('Competency Event Log'!$U$4:$U$803,$B99&amp;"|"&amp;AY$5,'Competency Event Log'!$D$4:$D$803)))</f>
        <v/>
      </c>
      <c r="AZ99" s="8" t="str">
        <f>IF($B99="","",IF(COUNTIF('Competency Event Log'!$U$4:$U$803,$B99&amp;"|"&amp;AZ$5)=0,"",SUMIF('Competency Event Log'!$U$4:$U$803,$B99&amp;"|"&amp;AZ$5,'Competency Event Log'!$D$4:$D$803)))</f>
        <v/>
      </c>
      <c r="BA99" s="8" t="str">
        <f>IF($B99="","",IF(COUNTIF('Competency Event Log'!$U$4:$U$803,$B99&amp;"|"&amp;BA$5)=0,"",SUMIF('Competency Event Log'!$U$4:$U$803,$B99&amp;"|"&amp;BA$5,'Competency Event Log'!$D$4:$D$803)))</f>
        <v/>
      </c>
      <c r="BB99" s="8" t="str">
        <f>IF($B99="","",IF(COUNTIF('Competency Event Log'!$U$4:$U$803,$B99&amp;"|"&amp;BB$5)=0,"",SUMIF('Competency Event Log'!$U$4:$U$803,$B99&amp;"|"&amp;BB$5,'Competency Event Log'!$D$4:$D$803)))</f>
        <v/>
      </c>
      <c r="BC99" s="8" t="str">
        <f>IF($B99="","",IF(COUNTIF('Competency Event Log'!$U$4:$U$803,$B99&amp;"|"&amp;BC$5)=0,"",SUMIF('Competency Event Log'!$U$4:$U$803,$B99&amp;"|"&amp;BC$5,'Competency Event Log'!$D$4:$D$803)))</f>
        <v/>
      </c>
      <c r="BD99" s="8" t="str">
        <f>IF($B99="","",IF(COUNTIF('Competency Event Log'!$U$4:$U$803,$B99&amp;"|"&amp;BD$5)=0,"",SUMIF('Competency Event Log'!$U$4:$U$803,$B99&amp;"|"&amp;BD$5,'Competency Event Log'!$D$4:$D$803)))</f>
        <v/>
      </c>
      <c r="BE99" s="8" t="str">
        <f>IF($B99="","",IF(COUNTIF('Competency Event Log'!$U$4:$U$803,$B99&amp;"|"&amp;BE$5)=0,"",SUMIF('Competency Event Log'!$U$4:$U$803,$B99&amp;"|"&amp;BE$5,'Competency Event Log'!$D$4:$D$803)))</f>
        <v/>
      </c>
      <c r="BF99" s="8" t="str">
        <f>IF($B99="","",IF(COUNTIF('Competency Event Log'!$U$4:$U$803,$B99&amp;"|"&amp;BF$5)=0,"",SUMIF('Competency Event Log'!$U$4:$U$803,$B99&amp;"|"&amp;BF$5,'Competency Event Log'!$D$4:$D$803)))</f>
        <v/>
      </c>
      <c r="BG99" s="8" t="str">
        <f>IF($B99="","",IF(COUNTIF('Competency Event Log'!$U$4:$U$803,$B99&amp;"|"&amp;BG$5)=0,"",SUMIF('Competency Event Log'!$U$4:$U$803,$B99&amp;"|"&amp;BG$5,'Competency Event Log'!$D$4:$D$803)))</f>
        <v/>
      </c>
      <c r="BH99" s="8" t="str">
        <f>IF($B99="","",IF(COUNTIF('Competency Event Log'!$U$4:$U$803,$B99&amp;"|"&amp;BH$5)=0,"",SUMIF('Competency Event Log'!$U$4:$U$803,$B99&amp;"|"&amp;BH$5,'Competency Event Log'!$D$4:$D$803)))</f>
        <v/>
      </c>
      <c r="BI99" s="8" t="str">
        <f>IF($B99="","",IF(COUNTIF('Competency Event Log'!$U$4:$U$803,$B99&amp;"|"&amp;BI$5)=0,"",SUMIF('Competency Event Log'!$U$4:$U$803,$B99&amp;"|"&amp;BI$5,'Competency Event Log'!$D$4:$D$803)))</f>
        <v/>
      </c>
      <c r="BJ99" s="8" t="str">
        <f>IF($B99="","",IF(COUNTIF('Competency Event Log'!$U$4:$U$803,$B99&amp;"|"&amp;BJ$5)=0,"",SUMIF('Competency Event Log'!$U$4:$U$803,$B99&amp;"|"&amp;BJ$5,'Competency Event Log'!$D$4:$D$803)))</f>
        <v/>
      </c>
      <c r="BK99" s="8" t="str">
        <f>IF($B99="","",IF(COUNTIF('Competency Event Log'!$U$4:$U$803,$B99&amp;"|"&amp;BK$5)=0,"",SUMIF('Competency Event Log'!$U$4:$U$803,$B99&amp;"|"&amp;BK$5,'Competency Event Log'!$D$4:$D$803)))</f>
        <v/>
      </c>
      <c r="BL99" s="8" t="str">
        <f>IF($B99="","",IF(COUNTIF('Competency Event Log'!$U$4:$U$803,$B99&amp;"|"&amp;BL$5)=0,"",SUMIF('Competency Event Log'!$U$4:$U$803,$B99&amp;"|"&amp;BL$5,'Competency Event Log'!$D$4:$D$803)))</f>
        <v/>
      </c>
      <c r="BM99" s="8" t="str">
        <f>IF($B99="","",IF(COUNTIF('Competency Event Log'!$U$4:$U$803,$B99&amp;"|"&amp;BM$5)=0,"",SUMIF('Competency Event Log'!$U$4:$U$803,$B99&amp;"|"&amp;BM$5,'Competency Event Log'!$D$4:$D$803)))</f>
        <v/>
      </c>
      <c r="BN99" s="8" t="str">
        <f>IF($B99="","",IF(COUNTIF('Competency Event Log'!$U$4:$U$803,$B99&amp;"|"&amp;BN$5)=0,"",SUMIF('Competency Event Log'!$U$4:$U$803,$B99&amp;"|"&amp;BN$5,'Competency Event Log'!$D$4:$D$803)))</f>
        <v/>
      </c>
      <c r="BO99" s="8" t="str">
        <f>IF($B99="","",IF(COUNTIF('Competency Event Log'!$U$4:$U$803,$B99&amp;"|"&amp;BO$5)=0,"",SUMIF('Competency Event Log'!$U$4:$U$803,$B99&amp;"|"&amp;BO$5,'Competency Event Log'!$D$4:$D$803)))</f>
        <v/>
      </c>
      <c r="BP99" s="8" t="str">
        <f>IF($B99="","",IF(COUNTIF('Competency Event Log'!$U$4:$U$803,$B99&amp;"|"&amp;BP$5)=0,"",SUMIF('Competency Event Log'!$U$4:$U$803,$B99&amp;"|"&amp;BP$5,'Competency Event Log'!$D$4:$D$803)))</f>
        <v/>
      </c>
      <c r="BQ99" s="8" t="str">
        <f>IF($B99="","",IF(COUNTIF('Competency Event Log'!$U$4:$U$803,$B99&amp;"|"&amp;BQ$5)=0,"",SUMIF('Competency Event Log'!$U$4:$U$803,$B99&amp;"|"&amp;BQ$5,'Competency Event Log'!$D$4:$D$803)))</f>
        <v/>
      </c>
      <c r="BR99" s="8" t="str">
        <f>IF($B99="","",IF(COUNTIF('Competency Event Log'!$U$4:$U$803,$B99&amp;"|"&amp;BR$5)=0,"",SUMIF('Competency Event Log'!$U$4:$U$803,$B99&amp;"|"&amp;BR$5,'Competency Event Log'!$D$4:$D$803)))</f>
        <v/>
      </c>
      <c r="BS99" s="8" t="str">
        <f>IF($B99="","",IF(COUNTIF('Competency Event Log'!$U$4:$U$803,$B99&amp;"|"&amp;BS$5)=0,"",SUMIF('Competency Event Log'!$U$4:$U$803,$B99&amp;"|"&amp;BS$5,'Competency Event Log'!$D$4:$D$803)))</f>
        <v/>
      </c>
      <c r="BT99" s="8" t="str">
        <f>IF($B99="","",IF(COUNTIF('Competency Event Log'!$U$4:$U$803,$B99&amp;"|"&amp;BT$5)=0,"",SUMIF('Competency Event Log'!$U$4:$U$803,$B99&amp;"|"&amp;BT$5,'Competency Event Log'!$D$4:$D$803)))</f>
        <v/>
      </c>
      <c r="BU99" s="8" t="str">
        <f>IF($B99="","",IF(COUNTIF('Competency Event Log'!$U$4:$U$803,$B99&amp;"|"&amp;BU$5)=0,"",SUMIF('Competency Event Log'!$U$4:$U$803,$B99&amp;"|"&amp;BU$5,'Competency Event Log'!$D$4:$D$803)))</f>
        <v/>
      </c>
      <c r="BV99" s="8" t="str">
        <f>IF($B99="","",IF(COUNTIF('Competency Event Log'!$U$4:$U$803,$B99&amp;"|"&amp;BV$5)=0,"",SUMIF('Competency Event Log'!$U$4:$U$803,$B99&amp;"|"&amp;BV$5,'Competency Event Log'!$D$4:$D$803)))</f>
        <v/>
      </c>
      <c r="BW99" s="8" t="str">
        <f>IF($B99="","",IF(COUNTIF('Competency Event Log'!$U$4:$U$803,$B99&amp;"|"&amp;BW$5)=0,"",SUMIF('Competency Event Log'!$U$4:$U$803,$B99&amp;"|"&amp;BW$5,'Competency Event Log'!$D$4:$D$803)))</f>
        <v/>
      </c>
      <c r="BX99" s="8" t="str">
        <f>IF($B99="","",IF(COUNTIF('Competency Event Log'!$U$4:$U$803,$B99&amp;"|"&amp;BX$5)=0,"",SUMIF('Competency Event Log'!$U$4:$U$803,$B99&amp;"|"&amp;BX$5,'Competency Event Log'!$D$4:$D$803)))</f>
        <v/>
      </c>
      <c r="BY99" s="8" t="str">
        <f>IF($B99="","",IF(COUNTIF('Competency Event Log'!$U$4:$U$803,$B99&amp;"|"&amp;BY$5)=0,"",SUMIF('Competency Event Log'!$U$4:$U$803,$B99&amp;"|"&amp;BY$5,'Competency Event Log'!$D$4:$D$803)))</f>
        <v/>
      </c>
      <c r="BZ99" s="8" t="str">
        <f>IF($B99="","",IF(COUNTIF('Competency Event Log'!$U$4:$U$803,$B99&amp;"|"&amp;BZ$5)=0,"",SUMIF('Competency Event Log'!$U$4:$U$803,$B99&amp;"|"&amp;BZ$5,'Competency Event Log'!$D$4:$D$803)))</f>
        <v/>
      </c>
      <c r="CA99" s="8" t="str">
        <f>IF($B99="","",IF(COUNTIF('Competency Event Log'!$U$4:$U$803,$B99&amp;"|"&amp;CA$5)=0,"",SUMIF('Competency Event Log'!$U$4:$U$803,$B99&amp;"|"&amp;CA$5,'Competency Event Log'!$D$4:$D$803)))</f>
        <v/>
      </c>
      <c r="CB99" s="8" t="str">
        <f>IF($B99="","",IF(COUNTIF('Competency Event Log'!$U$4:$U$803,$B99&amp;"|"&amp;CB$5)=0,"",SUMIF('Competency Event Log'!$U$4:$U$803,$B99&amp;"|"&amp;CB$5,'Competency Event Log'!$D$4:$D$803)))</f>
        <v/>
      </c>
      <c r="CC99" s="8" t="str">
        <f>IF($B99="","",IF(COUNTIF('Competency Event Log'!$U$4:$U$803,$B99&amp;"|"&amp;CC$5)=0,"",SUMIF('Competency Event Log'!$U$4:$U$803,$B99&amp;"|"&amp;CC$5,'Competency Event Log'!$D$4:$D$803)))</f>
        <v/>
      </c>
      <c r="CD99" s="8" t="str">
        <f>IF($B99="","",IF(COUNTIF('Competency Event Log'!$U$4:$U$803,$B99&amp;"|"&amp;CD$5)=0,"",SUMIF('Competency Event Log'!$U$4:$U$803,$B99&amp;"|"&amp;CD$5,'Competency Event Log'!$D$4:$D$803)))</f>
        <v/>
      </c>
      <c r="CE99" s="8" t="str">
        <f>IF($B99="","",IF(COUNTIF('Competency Event Log'!$U$4:$U$803,$B99&amp;"|"&amp;CE$5)=0,"",SUMIF('Competency Event Log'!$U$4:$U$803,$B99&amp;"|"&amp;CE$5,'Competency Event Log'!$D$4:$D$803)))</f>
        <v/>
      </c>
      <c r="CF99" s="8" t="str">
        <f>IF($B99="","",IF(COUNTIF('Competency Event Log'!$U$4:$U$803,$B99&amp;"|"&amp;CF$5)=0,"",SUMIF('Competency Event Log'!$U$4:$U$803,$B99&amp;"|"&amp;CF$5,'Competency Event Log'!$D$4:$D$803)))</f>
        <v/>
      </c>
      <c r="CG99" s="8" t="str">
        <f>IF($B99="","",IF(COUNTIF('Competency Event Log'!$U$4:$U$803,$B99&amp;"|"&amp;CG$5)=0,"",SUMIF('Competency Event Log'!$U$4:$U$803,$B99&amp;"|"&amp;CG$5,'Competency Event Log'!$D$4:$D$803)))</f>
        <v/>
      </c>
      <c r="CH99" s="8" t="str">
        <f>IF($B99="","",IF(COUNTIF('Competency Event Log'!$U$4:$U$803,$B99&amp;"|"&amp;CH$5)=0,"",SUMIF('Competency Event Log'!$U$4:$U$803,$B99&amp;"|"&amp;CH$5,'Competency Event Log'!$D$4:$D$803)))</f>
        <v/>
      </c>
      <c r="CI99" s="8" t="str">
        <f>IF($B99="","",IF(COUNTIF('Competency Event Log'!$U$4:$U$803,$B99&amp;"|"&amp;CI$5)=0,"",SUMIF('Competency Event Log'!$U$4:$U$803,$B99&amp;"|"&amp;CI$5,'Competency Event Log'!$D$4:$D$803)))</f>
        <v/>
      </c>
      <c r="CJ99" s="8" t="str">
        <f>IF($B99="","",IF(COUNTIF('Competency Event Log'!$U$4:$U$803,$B99&amp;"|"&amp;CJ$5)=0,"",SUMIF('Competency Event Log'!$U$4:$U$803,$B99&amp;"|"&amp;CJ$5,'Competency Event Log'!$D$4:$D$803)))</f>
        <v/>
      </c>
      <c r="CK99" s="8" t="str">
        <f>IF($B99="","",IF(COUNTIF('Competency Event Log'!$U$4:$U$803,$B99&amp;"|"&amp;CK$5)=0,"",SUMIF('Competency Event Log'!$U$4:$U$803,$B99&amp;"|"&amp;CK$5,'Competency Event Log'!$D$4:$D$803)))</f>
        <v/>
      </c>
      <c r="CL99" s="8" t="str">
        <f>IF($B99="","",IF(COUNTIF('Competency Event Log'!$U$4:$U$803,$B99&amp;"|"&amp;CL$5)=0,"",SUMIF('Competency Event Log'!$U$4:$U$803,$B99&amp;"|"&amp;CL$5,'Competency Event Log'!$D$4:$D$803)))</f>
        <v/>
      </c>
      <c r="CM99" s="8" t="str">
        <f>IF($B99="","",IF(COUNTIF('Competency Event Log'!$U$4:$U$803,$B99&amp;"|"&amp;CM$5)=0,"",SUMIF('Competency Event Log'!$U$4:$U$803,$B99&amp;"|"&amp;CM$5,'Competency Event Log'!$D$4:$D$803)))</f>
        <v/>
      </c>
      <c r="CN99" s="8" t="str">
        <f>IF($B99="","",IF(COUNTIF('Competency Event Log'!$U$4:$U$803,$B99&amp;"|"&amp;CN$5)=0,"",SUMIF('Competency Event Log'!$U$4:$U$803,$B99&amp;"|"&amp;CN$5,'Competency Event Log'!$D$4:$D$803)))</f>
        <v/>
      </c>
      <c r="CO99" s="8" t="str">
        <f>IF($B99="","",IF(COUNTIF('Competency Event Log'!$U$4:$U$803,$B99&amp;"|"&amp;CO$5)=0,"",SUMIF('Competency Event Log'!$U$4:$U$803,$B99&amp;"|"&amp;CO$5,'Competency Event Log'!$D$4:$D$803)))</f>
        <v/>
      </c>
      <c r="CP99" s="8" t="str">
        <f>IF($B99="","",IF(COUNTIF('Competency Event Log'!$U$4:$U$803,$B99&amp;"|"&amp;CP$5)=0,"",SUMIF('Competency Event Log'!$U$4:$U$803,$B99&amp;"|"&amp;CP$5,'Competency Event Log'!$D$4:$D$803)))</f>
        <v/>
      </c>
      <c r="CQ99" s="8" t="str">
        <f>IF($B99="","",IF(COUNTIF('Competency Event Log'!$U$4:$U$803,$B99&amp;"|"&amp;CQ$5)=0,"",SUMIF('Competency Event Log'!$U$4:$U$803,$B99&amp;"|"&amp;CQ$5,'Competency Event Log'!$D$4:$D$803)))</f>
        <v/>
      </c>
      <c r="CR99" s="8" t="str">
        <f>IF($B99="","",IF(COUNTIF('Competency Event Log'!$U$4:$U$803,$B99&amp;"|"&amp;CR$5)=0,"",SUMIF('Competency Event Log'!$U$4:$U$803,$B99&amp;"|"&amp;CR$5,'Competency Event Log'!$D$4:$D$803)))</f>
        <v/>
      </c>
      <c r="CS99" s="8" t="str">
        <f>IF($B99="","",IF(COUNTIF('Competency Event Log'!$U$4:$U$803,$B99&amp;"|"&amp;CS$5)=0,"",SUMIF('Competency Event Log'!$U$4:$U$803,$B99&amp;"|"&amp;CS$5,'Competency Event Log'!$D$4:$D$803)))</f>
        <v/>
      </c>
      <c r="CT99" s="8" t="str">
        <f>IF($B99="","",IF(COUNTIF('Competency Event Log'!$U$4:$U$803,$B99&amp;"|"&amp;CT$5)=0,"",SUMIF('Competency Event Log'!$U$4:$U$803,$B99&amp;"|"&amp;CT$5,'Competency Event Log'!$D$4:$D$803)))</f>
        <v/>
      </c>
      <c r="CU99" s="8" t="str">
        <f>IF($B99="","",IF(COUNTIF('Competency Event Log'!$U$4:$U$803,$B99&amp;"|"&amp;CU$5)=0,"",SUMIF('Competency Event Log'!$U$4:$U$803,$B99&amp;"|"&amp;CU$5,'Competency Event Log'!$D$4:$D$803)))</f>
        <v/>
      </c>
      <c r="CV99" s="8" t="str">
        <f>IF($B99="","",IF(COUNTIF('Competency Event Log'!$U$4:$U$803,$B99&amp;"|"&amp;CV$5)=0,"",SUMIF('Competency Event Log'!$U$4:$U$803,$B99&amp;"|"&amp;CV$5,'Competency Event Log'!$D$4:$D$803)))</f>
        <v/>
      </c>
      <c r="CW99" s="8" t="str">
        <f>IF($B99="","",IF(COUNTIF('Competency Event Log'!$U$4:$U$803,$B99&amp;"|"&amp;CW$5)=0,"",SUMIF('Competency Event Log'!$U$4:$U$803,$B99&amp;"|"&amp;CW$5,'Competency Event Log'!$D$4:$D$803)))</f>
        <v/>
      </c>
      <c r="CX99" s="8" t="str">
        <f>IF($B99="","",IF(COUNTIF('Competency Event Log'!$U$4:$U$803,$B99&amp;"|"&amp;CX$5)=0,"",SUMIF('Competency Event Log'!$U$4:$U$803,$B99&amp;"|"&amp;CX$5,'Competency Event Log'!$D$4:$D$803)))</f>
        <v/>
      </c>
      <c r="CY99" s="8" t="str">
        <f>IF($B99="","",IF(COUNTIF('Competency Event Log'!$U$4:$U$803,$B99&amp;"|"&amp;CY$5)=0,"",SUMIF('Competency Event Log'!$U$4:$U$803,$B99&amp;"|"&amp;CY$5,'Competency Event Log'!$D$4:$D$803)))</f>
        <v/>
      </c>
      <c r="CZ99" s="8" t="str">
        <f>IF($B99="","",IF(COUNTIF('Competency Event Log'!$U$4:$U$803,$B99&amp;"|"&amp;CZ$5)=0,"",SUMIF('Competency Event Log'!$U$4:$U$803,$B99&amp;"|"&amp;CZ$5,'Competency Event Log'!$D$4:$D$803)))</f>
        <v/>
      </c>
      <c r="DA99" s="8" t="str">
        <f>IF($B99="","",IF(COUNTIF('Competency Event Log'!$U$4:$U$803,$B99&amp;"|"&amp;DA$5)=0,"",SUMIF('Competency Event Log'!$U$4:$U$803,$B99&amp;"|"&amp;DA$5,'Competency Event Log'!$D$4:$D$803)))</f>
        <v/>
      </c>
      <c r="DB99" s="8" t="str">
        <f>IF($B99="","",IF(COUNTIF('Competency Event Log'!$U$4:$U$803,$B99&amp;"|"&amp;DB$5)=0,"",SUMIF('Competency Event Log'!$U$4:$U$803,$B99&amp;"|"&amp;DB$5,'Competency Event Log'!$D$4:$D$803)))</f>
        <v/>
      </c>
      <c r="DC99" s="8" t="str">
        <f>IF($B99="","",IF(COUNTIF('Competency Event Log'!$U$4:$U$803,$B99&amp;"|"&amp;DC$5)=0,"",SUMIF('Competency Event Log'!$U$4:$U$803,$B99&amp;"|"&amp;DC$5,'Competency Event Log'!$D$4:$D$803)))</f>
        <v/>
      </c>
      <c r="DD99" s="8" t="str">
        <f>IF($B99="","",IF(COUNTIF('Competency Event Log'!$U$4:$U$803,$B99&amp;"|"&amp;DD$5)=0,"",SUMIF('Competency Event Log'!$U$4:$U$803,$B99&amp;"|"&amp;DD$5,'Competency Event Log'!$D$4:$D$803)))</f>
        <v/>
      </c>
      <c r="DE99" s="8" t="str">
        <f>IF($B99="","",IF(COUNTIF('Competency Event Log'!$U$4:$U$803,$B99&amp;"|"&amp;DE$5)=0,"",SUMIF('Competency Event Log'!$U$4:$U$803,$B99&amp;"|"&amp;DE$5,'Competency Event Log'!$D$4:$D$803)))</f>
        <v/>
      </c>
      <c r="DF99" s="8" t="str">
        <f t="shared" si="8"/>
        <v/>
      </c>
      <c r="DG99" s="8" t="str">
        <f t="shared" si="9"/>
        <v/>
      </c>
      <c r="DH99" s="8" t="str">
        <f t="shared" si="10"/>
        <v/>
      </c>
      <c r="DI99" s="11" t="str">
        <f t="shared" si="11"/>
        <v/>
      </c>
    </row>
    <row r="100" spans="1:113">
      <c r="A100" s="7"/>
      <c r="B100" s="7"/>
      <c r="C100" s="8"/>
      <c r="D100" s="9"/>
      <c r="E100" s="10"/>
      <c r="F100" s="8"/>
      <c r="G100" s="8" t="str">
        <f>IF($B100="","",IF(COUNTIF('Competency Event Log'!$U$4:$U$803,$B100&amp;"|"&amp;G$5)=0,"",SUMIF('Competency Event Log'!$U$4:$U$803,$B100&amp;"|"&amp;G$5,'Competency Event Log'!$D$4:$D$803)))</f>
        <v/>
      </c>
      <c r="H100" s="8" t="str">
        <f>IF($B100="","",IF(COUNTIF('Competency Event Log'!$U$4:$U$803,$B100&amp;"|"&amp;H$5)=0,"",SUMIF('Competency Event Log'!$U$4:$U$803,$B100&amp;"|"&amp;H$5,'Competency Event Log'!$D$4:$D$803)))</f>
        <v/>
      </c>
      <c r="I100" s="8" t="str">
        <f>IF($B100="","",IF(COUNTIF('Competency Event Log'!$U$4:$U$803,$B100&amp;"|"&amp;I$5)=0,"",SUMIF('Competency Event Log'!$U$4:$U$803,$B100&amp;"|"&amp;I$5,'Competency Event Log'!$D$4:$D$803)))</f>
        <v/>
      </c>
      <c r="J100" s="8" t="str">
        <f>IF($B100="","",IF(COUNTIF('Competency Event Log'!$U$4:$U$803,$B100&amp;"|"&amp;J$5)=0,"",SUMIF('Competency Event Log'!$U$4:$U$803,$B100&amp;"|"&amp;J$5,'Competency Event Log'!$D$4:$D$803)))</f>
        <v/>
      </c>
      <c r="K100" s="8" t="str">
        <f>IF($B100="","",IF(COUNTIF('Competency Event Log'!$U$4:$U$803,$B100&amp;"|"&amp;K$5)=0,"",SUMIF('Competency Event Log'!$U$4:$U$803,$B100&amp;"|"&amp;K$5,'Competency Event Log'!$D$4:$D$803)))</f>
        <v/>
      </c>
      <c r="L100" s="8" t="str">
        <f>IF($B100="","",IF(COUNTIF('Competency Event Log'!$U$4:$U$803,$B100&amp;"|"&amp;L$5)=0,"",SUMIF('Competency Event Log'!$U$4:$U$803,$B100&amp;"|"&amp;L$5,'Competency Event Log'!$D$4:$D$803)))</f>
        <v/>
      </c>
      <c r="M100" s="8" t="str">
        <f>IF($B100="","",IF(COUNTIF('Competency Event Log'!$U$4:$U$803,$B100&amp;"|"&amp;M$5)=0,"",SUMIF('Competency Event Log'!$U$4:$U$803,$B100&amp;"|"&amp;M$5,'Competency Event Log'!$D$4:$D$803)))</f>
        <v/>
      </c>
      <c r="N100" s="8" t="str">
        <f>IF($B100="","",IF(COUNTIF('Competency Event Log'!$U$4:$U$803,$B100&amp;"|"&amp;N$5)=0,"",SUMIF('Competency Event Log'!$U$4:$U$803,$B100&amp;"|"&amp;N$5,'Competency Event Log'!$D$4:$D$803)))</f>
        <v/>
      </c>
      <c r="O100" s="8" t="str">
        <f>IF($B100="","",IF(COUNTIF('Competency Event Log'!$U$4:$U$803,$B100&amp;"|"&amp;O$5)=0,"",SUMIF('Competency Event Log'!$U$4:$U$803,$B100&amp;"|"&amp;O$5,'Competency Event Log'!$D$4:$D$803)))</f>
        <v/>
      </c>
      <c r="P100" s="8" t="str">
        <f>IF($B100="","",IF(COUNTIF('Competency Event Log'!$U$4:$U$803,$B100&amp;"|"&amp;P$5)=0,"",SUMIF('Competency Event Log'!$U$4:$U$803,$B100&amp;"|"&amp;P$5,'Competency Event Log'!$D$4:$D$803)))</f>
        <v/>
      </c>
      <c r="Q100" s="8" t="str">
        <f>IF($B100="","",IF(COUNTIF('Competency Event Log'!$U$4:$U$803,$B100&amp;"|"&amp;Q$5)=0,"",SUMIF('Competency Event Log'!$U$4:$U$803,$B100&amp;"|"&amp;Q$5,'Competency Event Log'!$D$4:$D$803)))</f>
        <v/>
      </c>
      <c r="R100" s="8" t="str">
        <f>IF($B100="","",IF(COUNTIF('Competency Event Log'!$U$4:$U$803,$B100&amp;"|"&amp;R$5)=0,"",SUMIF('Competency Event Log'!$U$4:$U$803,$B100&amp;"|"&amp;R$5,'Competency Event Log'!$D$4:$D$803)))</f>
        <v/>
      </c>
      <c r="S100" s="8" t="str">
        <f>IF($B100="","",IF(COUNTIF('Competency Event Log'!$U$4:$U$803,$B100&amp;"|"&amp;S$5)=0,"",SUMIF('Competency Event Log'!$U$4:$U$803,$B100&amp;"|"&amp;S$5,'Competency Event Log'!$D$4:$D$803)))</f>
        <v/>
      </c>
      <c r="T100" s="8" t="str">
        <f>IF($B100="","",IF(COUNTIF('Competency Event Log'!$U$4:$U$803,$B100&amp;"|"&amp;T$5)=0,"",SUMIF('Competency Event Log'!$U$4:$U$803,$B100&amp;"|"&amp;T$5,'Competency Event Log'!$D$4:$D$803)))</f>
        <v/>
      </c>
      <c r="U100" s="8" t="str">
        <f>IF($B100="","",IF(COUNTIF('Competency Event Log'!$U$4:$U$803,$B100&amp;"|"&amp;U$5)=0,"",SUMIF('Competency Event Log'!$U$4:$U$803,$B100&amp;"|"&amp;U$5,'Competency Event Log'!$D$4:$D$803)))</f>
        <v/>
      </c>
      <c r="V100" s="8" t="str">
        <f>IF($B100="","",IF(COUNTIF('Competency Event Log'!$U$4:$U$803,$B100&amp;"|"&amp;V$5)=0,"",SUMIF('Competency Event Log'!$U$4:$U$803,$B100&amp;"|"&amp;V$5,'Competency Event Log'!$D$4:$D$803)))</f>
        <v/>
      </c>
      <c r="W100" s="8" t="str">
        <f>IF($B100="","",IF(COUNTIF('Competency Event Log'!$U$4:$U$803,$B100&amp;"|"&amp;W$5)=0,"",SUMIF('Competency Event Log'!$U$4:$U$803,$B100&amp;"|"&amp;W$5,'Competency Event Log'!$D$4:$D$803)))</f>
        <v/>
      </c>
      <c r="X100" s="8" t="str">
        <f>IF($B100="","",IF(COUNTIF('Competency Event Log'!$U$4:$U$803,$B100&amp;"|"&amp;X$5)=0,"",SUMIF('Competency Event Log'!$U$4:$U$803,$B100&amp;"|"&amp;X$5,'Competency Event Log'!$D$4:$D$803)))</f>
        <v/>
      </c>
      <c r="Y100" s="8" t="str">
        <f>IF($B100="","",IF(COUNTIF('Competency Event Log'!$U$4:$U$803,$B100&amp;"|"&amp;Y$5)=0,"",SUMIF('Competency Event Log'!$U$4:$U$803,$B100&amp;"|"&amp;Y$5,'Competency Event Log'!$D$4:$D$803)))</f>
        <v/>
      </c>
      <c r="Z100" s="8" t="str">
        <f>IF($B100="","",IF(COUNTIF('Competency Event Log'!$U$4:$U$803,$B100&amp;"|"&amp;Z$5)=0,"",SUMIF('Competency Event Log'!$U$4:$U$803,$B100&amp;"|"&amp;Z$5,'Competency Event Log'!$D$4:$D$803)))</f>
        <v/>
      </c>
      <c r="AA100" s="8" t="str">
        <f>IF($B100="","",IF(COUNTIF('Competency Event Log'!$U$4:$U$803,$B100&amp;"|"&amp;AA$5)=0,"",SUMIF('Competency Event Log'!$U$4:$U$803,$B100&amp;"|"&amp;AA$5,'Competency Event Log'!$D$4:$D$803)))</f>
        <v/>
      </c>
      <c r="AB100" s="8" t="str">
        <f>IF($B100="","",IF(COUNTIF('Competency Event Log'!$U$4:$U$803,$B100&amp;"|"&amp;AB$5)=0,"",SUMIF('Competency Event Log'!$U$4:$U$803,$B100&amp;"|"&amp;AB$5,'Competency Event Log'!$D$4:$D$803)))</f>
        <v/>
      </c>
      <c r="AC100" s="8" t="str">
        <f>IF($B100="","",IF(COUNTIF('Competency Event Log'!$U$4:$U$803,$B100&amp;"|"&amp;AC$5)=0,"",SUMIF('Competency Event Log'!$U$4:$U$803,$B100&amp;"|"&amp;AC$5,'Competency Event Log'!$D$4:$D$803)))</f>
        <v/>
      </c>
      <c r="AD100" s="8" t="str">
        <f>IF($B100="","",IF(COUNTIF('Competency Event Log'!$U$4:$U$803,$B100&amp;"|"&amp;AD$5)=0,"",SUMIF('Competency Event Log'!$U$4:$U$803,$B100&amp;"|"&amp;AD$5,'Competency Event Log'!$D$4:$D$803)))</f>
        <v/>
      </c>
      <c r="AE100" s="8" t="str">
        <f>IF($B100="","",IF(COUNTIF('Competency Event Log'!$U$4:$U$803,$B100&amp;"|"&amp;AE$5)=0,"",SUMIF('Competency Event Log'!$U$4:$U$803,$B100&amp;"|"&amp;AE$5,'Competency Event Log'!$D$4:$D$803)))</f>
        <v/>
      </c>
      <c r="AF100" s="8" t="str">
        <f>IF($B100="","",IF(COUNTIF('Competency Event Log'!$U$4:$U$803,$B100&amp;"|"&amp;AF$5)=0,"",SUMIF('Competency Event Log'!$U$4:$U$803,$B100&amp;"|"&amp;AF$5,'Competency Event Log'!$D$4:$D$803)))</f>
        <v/>
      </c>
      <c r="AG100" s="8" t="str">
        <f>IF($B100="","",IF(COUNTIF('Competency Event Log'!$U$4:$U$803,$B100&amp;"|"&amp;AG$5)=0,"",SUMIF('Competency Event Log'!$U$4:$U$803,$B100&amp;"|"&amp;AG$5,'Competency Event Log'!$D$4:$D$803)))</f>
        <v/>
      </c>
      <c r="AH100" s="8" t="str">
        <f>IF($B100="","",IF(COUNTIF('Competency Event Log'!$U$4:$U$803,$B100&amp;"|"&amp;AH$5)=0,"",SUMIF('Competency Event Log'!$U$4:$U$803,$B100&amp;"|"&amp;AH$5,'Competency Event Log'!$D$4:$D$803)))</f>
        <v/>
      </c>
      <c r="AI100" s="8" t="str">
        <f>IF($B100="","",IF(COUNTIF('Competency Event Log'!$U$4:$U$803,$B100&amp;"|"&amp;AI$5)=0,"",SUMIF('Competency Event Log'!$U$4:$U$803,$B100&amp;"|"&amp;AI$5,'Competency Event Log'!$D$4:$D$803)))</f>
        <v/>
      </c>
      <c r="AJ100" s="8" t="str">
        <f>IF($B100="","",IF(COUNTIF('Competency Event Log'!$U$4:$U$803,$B100&amp;"|"&amp;AJ$5)=0,"",SUMIF('Competency Event Log'!$U$4:$U$803,$B100&amp;"|"&amp;AJ$5,'Competency Event Log'!$D$4:$D$803)))</f>
        <v/>
      </c>
      <c r="AK100" s="8" t="str">
        <f>IF($B100="","",IF(COUNTIF('Competency Event Log'!$U$4:$U$803,$B100&amp;"|"&amp;AK$5)=0,"",SUMIF('Competency Event Log'!$U$4:$U$803,$B100&amp;"|"&amp;AK$5,'Competency Event Log'!$D$4:$D$803)))</f>
        <v/>
      </c>
      <c r="AL100" s="8" t="str">
        <f>IF($B100="","",IF(COUNTIF('Competency Event Log'!$U$4:$U$803,$B100&amp;"|"&amp;AL$5)=0,"",SUMIF('Competency Event Log'!$U$4:$U$803,$B100&amp;"|"&amp;AL$5,'Competency Event Log'!$D$4:$D$803)))</f>
        <v/>
      </c>
      <c r="AM100" s="8" t="str">
        <f>IF($B100="","",IF(COUNTIF('Competency Event Log'!$U$4:$U$803,$B100&amp;"|"&amp;AM$5)=0,"",SUMIF('Competency Event Log'!$U$4:$U$803,$B100&amp;"|"&amp;AM$5,'Competency Event Log'!$D$4:$D$803)))</f>
        <v/>
      </c>
      <c r="AN100" s="8" t="str">
        <f>IF($B100="","",IF(COUNTIF('Competency Event Log'!$U$4:$U$803,$B100&amp;"|"&amp;AN$5)=0,"",SUMIF('Competency Event Log'!$U$4:$U$803,$B100&amp;"|"&amp;AN$5,'Competency Event Log'!$D$4:$D$803)))</f>
        <v/>
      </c>
      <c r="AO100" s="8" t="str">
        <f>IF($B100="","",IF(COUNTIF('Competency Event Log'!$U$4:$U$803,$B100&amp;"|"&amp;AO$5)=0,"",SUMIF('Competency Event Log'!$U$4:$U$803,$B100&amp;"|"&amp;AO$5,'Competency Event Log'!$D$4:$D$803)))</f>
        <v/>
      </c>
      <c r="AP100" s="8" t="str">
        <f>IF($B100="","",IF(COUNTIF('Competency Event Log'!$U$4:$U$803,$B100&amp;"|"&amp;AP$5)=0,"",SUMIF('Competency Event Log'!$U$4:$U$803,$B100&amp;"|"&amp;AP$5,'Competency Event Log'!$D$4:$D$803)))</f>
        <v/>
      </c>
      <c r="AQ100" s="8" t="str">
        <f>IF($B100="","",IF(COUNTIF('Competency Event Log'!$U$4:$U$803,$B100&amp;"|"&amp;AQ$5)=0,"",SUMIF('Competency Event Log'!$U$4:$U$803,$B100&amp;"|"&amp;AQ$5,'Competency Event Log'!$D$4:$D$803)))</f>
        <v/>
      </c>
      <c r="AR100" s="8" t="str">
        <f>IF($B100="","",IF(COUNTIF('Competency Event Log'!$U$4:$U$803,$B100&amp;"|"&amp;AR$5)=0,"",SUMIF('Competency Event Log'!$U$4:$U$803,$B100&amp;"|"&amp;AR$5,'Competency Event Log'!$D$4:$D$803)))</f>
        <v/>
      </c>
      <c r="AS100" s="8" t="str">
        <f>IF($B100="","",IF(COUNTIF('Competency Event Log'!$U$4:$U$803,$B100&amp;"|"&amp;AS$5)=0,"",SUMIF('Competency Event Log'!$U$4:$U$803,$B100&amp;"|"&amp;AS$5,'Competency Event Log'!$D$4:$D$803)))</f>
        <v/>
      </c>
      <c r="AT100" s="8" t="str">
        <f>IF($B100="","",IF(COUNTIF('Competency Event Log'!$U$4:$U$803,$B100&amp;"|"&amp;AT$5)=0,"",SUMIF('Competency Event Log'!$U$4:$U$803,$B100&amp;"|"&amp;AT$5,'Competency Event Log'!$D$4:$D$803)))</f>
        <v/>
      </c>
      <c r="AU100" s="8" t="str">
        <f>IF($B100="","",IF(COUNTIF('Competency Event Log'!$U$4:$U$803,$B100&amp;"|"&amp;AU$5)=0,"",SUMIF('Competency Event Log'!$U$4:$U$803,$B100&amp;"|"&amp;AU$5,'Competency Event Log'!$D$4:$D$803)))</f>
        <v/>
      </c>
      <c r="AV100" s="8" t="str">
        <f>IF($B100="","",IF(COUNTIF('Competency Event Log'!$U$4:$U$803,$B100&amp;"|"&amp;AV$5)=0,"",SUMIF('Competency Event Log'!$U$4:$U$803,$B100&amp;"|"&amp;AV$5,'Competency Event Log'!$D$4:$D$803)))</f>
        <v/>
      </c>
      <c r="AW100" s="8" t="str">
        <f>IF($B100="","",IF(COUNTIF('Competency Event Log'!$U$4:$U$803,$B100&amp;"|"&amp;AW$5)=0,"",SUMIF('Competency Event Log'!$U$4:$U$803,$B100&amp;"|"&amp;AW$5,'Competency Event Log'!$D$4:$D$803)))</f>
        <v/>
      </c>
      <c r="AX100" s="8" t="str">
        <f>IF($B100="","",IF(COUNTIF('Competency Event Log'!$U$4:$U$803,$B100&amp;"|"&amp;AX$5)=0,"",SUMIF('Competency Event Log'!$U$4:$U$803,$B100&amp;"|"&amp;AX$5,'Competency Event Log'!$D$4:$D$803)))</f>
        <v/>
      </c>
      <c r="AY100" s="8" t="str">
        <f>IF($B100="","",IF(COUNTIF('Competency Event Log'!$U$4:$U$803,$B100&amp;"|"&amp;AY$5)=0,"",SUMIF('Competency Event Log'!$U$4:$U$803,$B100&amp;"|"&amp;AY$5,'Competency Event Log'!$D$4:$D$803)))</f>
        <v/>
      </c>
      <c r="AZ100" s="8" t="str">
        <f>IF($B100="","",IF(COUNTIF('Competency Event Log'!$U$4:$U$803,$B100&amp;"|"&amp;AZ$5)=0,"",SUMIF('Competency Event Log'!$U$4:$U$803,$B100&amp;"|"&amp;AZ$5,'Competency Event Log'!$D$4:$D$803)))</f>
        <v/>
      </c>
      <c r="BA100" s="8" t="str">
        <f>IF($B100="","",IF(COUNTIF('Competency Event Log'!$U$4:$U$803,$B100&amp;"|"&amp;BA$5)=0,"",SUMIF('Competency Event Log'!$U$4:$U$803,$B100&amp;"|"&amp;BA$5,'Competency Event Log'!$D$4:$D$803)))</f>
        <v/>
      </c>
      <c r="BB100" s="8" t="str">
        <f>IF($B100="","",IF(COUNTIF('Competency Event Log'!$U$4:$U$803,$B100&amp;"|"&amp;BB$5)=0,"",SUMIF('Competency Event Log'!$U$4:$U$803,$B100&amp;"|"&amp;BB$5,'Competency Event Log'!$D$4:$D$803)))</f>
        <v/>
      </c>
      <c r="BC100" s="8" t="str">
        <f>IF($B100="","",IF(COUNTIF('Competency Event Log'!$U$4:$U$803,$B100&amp;"|"&amp;BC$5)=0,"",SUMIF('Competency Event Log'!$U$4:$U$803,$B100&amp;"|"&amp;BC$5,'Competency Event Log'!$D$4:$D$803)))</f>
        <v/>
      </c>
      <c r="BD100" s="8" t="str">
        <f>IF($B100="","",IF(COUNTIF('Competency Event Log'!$U$4:$U$803,$B100&amp;"|"&amp;BD$5)=0,"",SUMIF('Competency Event Log'!$U$4:$U$803,$B100&amp;"|"&amp;BD$5,'Competency Event Log'!$D$4:$D$803)))</f>
        <v/>
      </c>
      <c r="BE100" s="8" t="str">
        <f>IF($B100="","",IF(COUNTIF('Competency Event Log'!$U$4:$U$803,$B100&amp;"|"&amp;BE$5)=0,"",SUMIF('Competency Event Log'!$U$4:$U$803,$B100&amp;"|"&amp;BE$5,'Competency Event Log'!$D$4:$D$803)))</f>
        <v/>
      </c>
      <c r="BF100" s="8" t="str">
        <f>IF($B100="","",IF(COUNTIF('Competency Event Log'!$U$4:$U$803,$B100&amp;"|"&amp;BF$5)=0,"",SUMIF('Competency Event Log'!$U$4:$U$803,$B100&amp;"|"&amp;BF$5,'Competency Event Log'!$D$4:$D$803)))</f>
        <v/>
      </c>
      <c r="BG100" s="8" t="str">
        <f>IF($B100="","",IF(COUNTIF('Competency Event Log'!$U$4:$U$803,$B100&amp;"|"&amp;BG$5)=0,"",SUMIF('Competency Event Log'!$U$4:$U$803,$B100&amp;"|"&amp;BG$5,'Competency Event Log'!$D$4:$D$803)))</f>
        <v/>
      </c>
      <c r="BH100" s="8" t="str">
        <f>IF($B100="","",IF(COUNTIF('Competency Event Log'!$U$4:$U$803,$B100&amp;"|"&amp;BH$5)=0,"",SUMIF('Competency Event Log'!$U$4:$U$803,$B100&amp;"|"&amp;BH$5,'Competency Event Log'!$D$4:$D$803)))</f>
        <v/>
      </c>
      <c r="BI100" s="8" t="str">
        <f>IF($B100="","",IF(COUNTIF('Competency Event Log'!$U$4:$U$803,$B100&amp;"|"&amp;BI$5)=0,"",SUMIF('Competency Event Log'!$U$4:$U$803,$B100&amp;"|"&amp;BI$5,'Competency Event Log'!$D$4:$D$803)))</f>
        <v/>
      </c>
      <c r="BJ100" s="8" t="str">
        <f>IF($B100="","",IF(COUNTIF('Competency Event Log'!$U$4:$U$803,$B100&amp;"|"&amp;BJ$5)=0,"",SUMIF('Competency Event Log'!$U$4:$U$803,$B100&amp;"|"&amp;BJ$5,'Competency Event Log'!$D$4:$D$803)))</f>
        <v/>
      </c>
      <c r="BK100" s="8" t="str">
        <f>IF($B100="","",IF(COUNTIF('Competency Event Log'!$U$4:$U$803,$B100&amp;"|"&amp;BK$5)=0,"",SUMIF('Competency Event Log'!$U$4:$U$803,$B100&amp;"|"&amp;BK$5,'Competency Event Log'!$D$4:$D$803)))</f>
        <v/>
      </c>
      <c r="BL100" s="8" t="str">
        <f>IF($B100="","",IF(COUNTIF('Competency Event Log'!$U$4:$U$803,$B100&amp;"|"&amp;BL$5)=0,"",SUMIF('Competency Event Log'!$U$4:$U$803,$B100&amp;"|"&amp;BL$5,'Competency Event Log'!$D$4:$D$803)))</f>
        <v/>
      </c>
      <c r="BM100" s="8" t="str">
        <f>IF($B100="","",IF(COUNTIF('Competency Event Log'!$U$4:$U$803,$B100&amp;"|"&amp;BM$5)=0,"",SUMIF('Competency Event Log'!$U$4:$U$803,$B100&amp;"|"&amp;BM$5,'Competency Event Log'!$D$4:$D$803)))</f>
        <v/>
      </c>
      <c r="BN100" s="8" t="str">
        <f>IF($B100="","",IF(COUNTIF('Competency Event Log'!$U$4:$U$803,$B100&amp;"|"&amp;BN$5)=0,"",SUMIF('Competency Event Log'!$U$4:$U$803,$B100&amp;"|"&amp;BN$5,'Competency Event Log'!$D$4:$D$803)))</f>
        <v/>
      </c>
      <c r="BO100" s="8" t="str">
        <f>IF($B100="","",IF(COUNTIF('Competency Event Log'!$U$4:$U$803,$B100&amp;"|"&amp;BO$5)=0,"",SUMIF('Competency Event Log'!$U$4:$U$803,$B100&amp;"|"&amp;BO$5,'Competency Event Log'!$D$4:$D$803)))</f>
        <v/>
      </c>
      <c r="BP100" s="8" t="str">
        <f>IF($B100="","",IF(COUNTIF('Competency Event Log'!$U$4:$U$803,$B100&amp;"|"&amp;BP$5)=0,"",SUMIF('Competency Event Log'!$U$4:$U$803,$B100&amp;"|"&amp;BP$5,'Competency Event Log'!$D$4:$D$803)))</f>
        <v/>
      </c>
      <c r="BQ100" s="8" t="str">
        <f>IF($B100="","",IF(COUNTIF('Competency Event Log'!$U$4:$U$803,$B100&amp;"|"&amp;BQ$5)=0,"",SUMIF('Competency Event Log'!$U$4:$U$803,$B100&amp;"|"&amp;BQ$5,'Competency Event Log'!$D$4:$D$803)))</f>
        <v/>
      </c>
      <c r="BR100" s="8" t="str">
        <f>IF($B100="","",IF(COUNTIF('Competency Event Log'!$U$4:$U$803,$B100&amp;"|"&amp;BR$5)=0,"",SUMIF('Competency Event Log'!$U$4:$U$803,$B100&amp;"|"&amp;BR$5,'Competency Event Log'!$D$4:$D$803)))</f>
        <v/>
      </c>
      <c r="BS100" s="8" t="str">
        <f>IF($B100="","",IF(COUNTIF('Competency Event Log'!$U$4:$U$803,$B100&amp;"|"&amp;BS$5)=0,"",SUMIF('Competency Event Log'!$U$4:$U$803,$B100&amp;"|"&amp;BS$5,'Competency Event Log'!$D$4:$D$803)))</f>
        <v/>
      </c>
      <c r="BT100" s="8" t="str">
        <f>IF($B100="","",IF(COUNTIF('Competency Event Log'!$U$4:$U$803,$B100&amp;"|"&amp;BT$5)=0,"",SUMIF('Competency Event Log'!$U$4:$U$803,$B100&amp;"|"&amp;BT$5,'Competency Event Log'!$D$4:$D$803)))</f>
        <v/>
      </c>
      <c r="BU100" s="8" t="str">
        <f>IF($B100="","",IF(COUNTIF('Competency Event Log'!$U$4:$U$803,$B100&amp;"|"&amp;BU$5)=0,"",SUMIF('Competency Event Log'!$U$4:$U$803,$B100&amp;"|"&amp;BU$5,'Competency Event Log'!$D$4:$D$803)))</f>
        <v/>
      </c>
      <c r="BV100" s="8" t="str">
        <f>IF($B100="","",IF(COUNTIF('Competency Event Log'!$U$4:$U$803,$B100&amp;"|"&amp;BV$5)=0,"",SUMIF('Competency Event Log'!$U$4:$U$803,$B100&amp;"|"&amp;BV$5,'Competency Event Log'!$D$4:$D$803)))</f>
        <v/>
      </c>
      <c r="BW100" s="8" t="str">
        <f>IF($B100="","",IF(COUNTIF('Competency Event Log'!$U$4:$U$803,$B100&amp;"|"&amp;BW$5)=0,"",SUMIF('Competency Event Log'!$U$4:$U$803,$B100&amp;"|"&amp;BW$5,'Competency Event Log'!$D$4:$D$803)))</f>
        <v/>
      </c>
      <c r="BX100" s="8" t="str">
        <f>IF($B100="","",IF(COUNTIF('Competency Event Log'!$U$4:$U$803,$B100&amp;"|"&amp;BX$5)=0,"",SUMIF('Competency Event Log'!$U$4:$U$803,$B100&amp;"|"&amp;BX$5,'Competency Event Log'!$D$4:$D$803)))</f>
        <v/>
      </c>
      <c r="BY100" s="8" t="str">
        <f>IF($B100="","",IF(COUNTIF('Competency Event Log'!$U$4:$U$803,$B100&amp;"|"&amp;BY$5)=0,"",SUMIF('Competency Event Log'!$U$4:$U$803,$B100&amp;"|"&amp;BY$5,'Competency Event Log'!$D$4:$D$803)))</f>
        <v/>
      </c>
      <c r="BZ100" s="8" t="str">
        <f>IF($B100="","",IF(COUNTIF('Competency Event Log'!$U$4:$U$803,$B100&amp;"|"&amp;BZ$5)=0,"",SUMIF('Competency Event Log'!$U$4:$U$803,$B100&amp;"|"&amp;BZ$5,'Competency Event Log'!$D$4:$D$803)))</f>
        <v/>
      </c>
      <c r="CA100" s="8" t="str">
        <f>IF($B100="","",IF(COUNTIF('Competency Event Log'!$U$4:$U$803,$B100&amp;"|"&amp;CA$5)=0,"",SUMIF('Competency Event Log'!$U$4:$U$803,$B100&amp;"|"&amp;CA$5,'Competency Event Log'!$D$4:$D$803)))</f>
        <v/>
      </c>
      <c r="CB100" s="8" t="str">
        <f>IF($B100="","",IF(COUNTIF('Competency Event Log'!$U$4:$U$803,$B100&amp;"|"&amp;CB$5)=0,"",SUMIF('Competency Event Log'!$U$4:$U$803,$B100&amp;"|"&amp;CB$5,'Competency Event Log'!$D$4:$D$803)))</f>
        <v/>
      </c>
      <c r="CC100" s="8" t="str">
        <f>IF($B100="","",IF(COUNTIF('Competency Event Log'!$U$4:$U$803,$B100&amp;"|"&amp;CC$5)=0,"",SUMIF('Competency Event Log'!$U$4:$U$803,$B100&amp;"|"&amp;CC$5,'Competency Event Log'!$D$4:$D$803)))</f>
        <v/>
      </c>
      <c r="CD100" s="8" t="str">
        <f>IF($B100="","",IF(COUNTIF('Competency Event Log'!$U$4:$U$803,$B100&amp;"|"&amp;CD$5)=0,"",SUMIF('Competency Event Log'!$U$4:$U$803,$B100&amp;"|"&amp;CD$5,'Competency Event Log'!$D$4:$D$803)))</f>
        <v/>
      </c>
      <c r="CE100" s="8" t="str">
        <f>IF($B100="","",IF(COUNTIF('Competency Event Log'!$U$4:$U$803,$B100&amp;"|"&amp;CE$5)=0,"",SUMIF('Competency Event Log'!$U$4:$U$803,$B100&amp;"|"&amp;CE$5,'Competency Event Log'!$D$4:$D$803)))</f>
        <v/>
      </c>
      <c r="CF100" s="8" t="str">
        <f>IF($B100="","",IF(COUNTIF('Competency Event Log'!$U$4:$U$803,$B100&amp;"|"&amp;CF$5)=0,"",SUMIF('Competency Event Log'!$U$4:$U$803,$B100&amp;"|"&amp;CF$5,'Competency Event Log'!$D$4:$D$803)))</f>
        <v/>
      </c>
      <c r="CG100" s="8" t="str">
        <f>IF($B100="","",IF(COUNTIF('Competency Event Log'!$U$4:$U$803,$B100&amp;"|"&amp;CG$5)=0,"",SUMIF('Competency Event Log'!$U$4:$U$803,$B100&amp;"|"&amp;CG$5,'Competency Event Log'!$D$4:$D$803)))</f>
        <v/>
      </c>
      <c r="CH100" s="8" t="str">
        <f>IF($B100="","",IF(COUNTIF('Competency Event Log'!$U$4:$U$803,$B100&amp;"|"&amp;CH$5)=0,"",SUMIF('Competency Event Log'!$U$4:$U$803,$B100&amp;"|"&amp;CH$5,'Competency Event Log'!$D$4:$D$803)))</f>
        <v/>
      </c>
      <c r="CI100" s="8" t="str">
        <f>IF($B100="","",IF(COUNTIF('Competency Event Log'!$U$4:$U$803,$B100&amp;"|"&amp;CI$5)=0,"",SUMIF('Competency Event Log'!$U$4:$U$803,$B100&amp;"|"&amp;CI$5,'Competency Event Log'!$D$4:$D$803)))</f>
        <v/>
      </c>
      <c r="CJ100" s="8" t="str">
        <f>IF($B100="","",IF(COUNTIF('Competency Event Log'!$U$4:$U$803,$B100&amp;"|"&amp;CJ$5)=0,"",SUMIF('Competency Event Log'!$U$4:$U$803,$B100&amp;"|"&amp;CJ$5,'Competency Event Log'!$D$4:$D$803)))</f>
        <v/>
      </c>
      <c r="CK100" s="8" t="str">
        <f>IF($B100="","",IF(COUNTIF('Competency Event Log'!$U$4:$U$803,$B100&amp;"|"&amp;CK$5)=0,"",SUMIF('Competency Event Log'!$U$4:$U$803,$B100&amp;"|"&amp;CK$5,'Competency Event Log'!$D$4:$D$803)))</f>
        <v/>
      </c>
      <c r="CL100" s="8" t="str">
        <f>IF($B100="","",IF(COUNTIF('Competency Event Log'!$U$4:$U$803,$B100&amp;"|"&amp;CL$5)=0,"",SUMIF('Competency Event Log'!$U$4:$U$803,$B100&amp;"|"&amp;CL$5,'Competency Event Log'!$D$4:$D$803)))</f>
        <v/>
      </c>
      <c r="CM100" s="8" t="str">
        <f>IF($B100="","",IF(COUNTIF('Competency Event Log'!$U$4:$U$803,$B100&amp;"|"&amp;CM$5)=0,"",SUMIF('Competency Event Log'!$U$4:$U$803,$B100&amp;"|"&amp;CM$5,'Competency Event Log'!$D$4:$D$803)))</f>
        <v/>
      </c>
      <c r="CN100" s="8" t="str">
        <f>IF($B100="","",IF(COUNTIF('Competency Event Log'!$U$4:$U$803,$B100&amp;"|"&amp;CN$5)=0,"",SUMIF('Competency Event Log'!$U$4:$U$803,$B100&amp;"|"&amp;CN$5,'Competency Event Log'!$D$4:$D$803)))</f>
        <v/>
      </c>
      <c r="CO100" s="8" t="str">
        <f>IF($B100="","",IF(COUNTIF('Competency Event Log'!$U$4:$U$803,$B100&amp;"|"&amp;CO$5)=0,"",SUMIF('Competency Event Log'!$U$4:$U$803,$B100&amp;"|"&amp;CO$5,'Competency Event Log'!$D$4:$D$803)))</f>
        <v/>
      </c>
      <c r="CP100" s="8" t="str">
        <f>IF($B100="","",IF(COUNTIF('Competency Event Log'!$U$4:$U$803,$B100&amp;"|"&amp;CP$5)=0,"",SUMIF('Competency Event Log'!$U$4:$U$803,$B100&amp;"|"&amp;CP$5,'Competency Event Log'!$D$4:$D$803)))</f>
        <v/>
      </c>
      <c r="CQ100" s="8" t="str">
        <f>IF($B100="","",IF(COUNTIF('Competency Event Log'!$U$4:$U$803,$B100&amp;"|"&amp;CQ$5)=0,"",SUMIF('Competency Event Log'!$U$4:$U$803,$B100&amp;"|"&amp;CQ$5,'Competency Event Log'!$D$4:$D$803)))</f>
        <v/>
      </c>
      <c r="CR100" s="8" t="str">
        <f>IF($B100="","",IF(COUNTIF('Competency Event Log'!$U$4:$U$803,$B100&amp;"|"&amp;CR$5)=0,"",SUMIF('Competency Event Log'!$U$4:$U$803,$B100&amp;"|"&amp;CR$5,'Competency Event Log'!$D$4:$D$803)))</f>
        <v/>
      </c>
      <c r="CS100" s="8" t="str">
        <f>IF($B100="","",IF(COUNTIF('Competency Event Log'!$U$4:$U$803,$B100&amp;"|"&amp;CS$5)=0,"",SUMIF('Competency Event Log'!$U$4:$U$803,$B100&amp;"|"&amp;CS$5,'Competency Event Log'!$D$4:$D$803)))</f>
        <v/>
      </c>
      <c r="CT100" s="8" t="str">
        <f>IF($B100="","",IF(COUNTIF('Competency Event Log'!$U$4:$U$803,$B100&amp;"|"&amp;CT$5)=0,"",SUMIF('Competency Event Log'!$U$4:$U$803,$B100&amp;"|"&amp;CT$5,'Competency Event Log'!$D$4:$D$803)))</f>
        <v/>
      </c>
      <c r="CU100" s="8" t="str">
        <f>IF($B100="","",IF(COUNTIF('Competency Event Log'!$U$4:$U$803,$B100&amp;"|"&amp;CU$5)=0,"",SUMIF('Competency Event Log'!$U$4:$U$803,$B100&amp;"|"&amp;CU$5,'Competency Event Log'!$D$4:$D$803)))</f>
        <v/>
      </c>
      <c r="CV100" s="8" t="str">
        <f>IF($B100="","",IF(COUNTIF('Competency Event Log'!$U$4:$U$803,$B100&amp;"|"&amp;CV$5)=0,"",SUMIF('Competency Event Log'!$U$4:$U$803,$B100&amp;"|"&amp;CV$5,'Competency Event Log'!$D$4:$D$803)))</f>
        <v/>
      </c>
      <c r="CW100" s="8" t="str">
        <f>IF($B100="","",IF(COUNTIF('Competency Event Log'!$U$4:$U$803,$B100&amp;"|"&amp;CW$5)=0,"",SUMIF('Competency Event Log'!$U$4:$U$803,$B100&amp;"|"&amp;CW$5,'Competency Event Log'!$D$4:$D$803)))</f>
        <v/>
      </c>
      <c r="CX100" s="8" t="str">
        <f>IF($B100="","",IF(COUNTIF('Competency Event Log'!$U$4:$U$803,$B100&amp;"|"&amp;CX$5)=0,"",SUMIF('Competency Event Log'!$U$4:$U$803,$B100&amp;"|"&amp;CX$5,'Competency Event Log'!$D$4:$D$803)))</f>
        <v/>
      </c>
      <c r="CY100" s="8" t="str">
        <f>IF($B100="","",IF(COUNTIF('Competency Event Log'!$U$4:$U$803,$B100&amp;"|"&amp;CY$5)=0,"",SUMIF('Competency Event Log'!$U$4:$U$803,$B100&amp;"|"&amp;CY$5,'Competency Event Log'!$D$4:$D$803)))</f>
        <v/>
      </c>
      <c r="CZ100" s="8" t="str">
        <f>IF($B100="","",IF(COUNTIF('Competency Event Log'!$U$4:$U$803,$B100&amp;"|"&amp;CZ$5)=0,"",SUMIF('Competency Event Log'!$U$4:$U$803,$B100&amp;"|"&amp;CZ$5,'Competency Event Log'!$D$4:$D$803)))</f>
        <v/>
      </c>
      <c r="DA100" s="8" t="str">
        <f>IF($B100="","",IF(COUNTIF('Competency Event Log'!$U$4:$U$803,$B100&amp;"|"&amp;DA$5)=0,"",SUMIF('Competency Event Log'!$U$4:$U$803,$B100&amp;"|"&amp;DA$5,'Competency Event Log'!$D$4:$D$803)))</f>
        <v/>
      </c>
      <c r="DB100" s="8" t="str">
        <f>IF($B100="","",IF(COUNTIF('Competency Event Log'!$U$4:$U$803,$B100&amp;"|"&amp;DB$5)=0,"",SUMIF('Competency Event Log'!$U$4:$U$803,$B100&amp;"|"&amp;DB$5,'Competency Event Log'!$D$4:$D$803)))</f>
        <v/>
      </c>
      <c r="DC100" s="8" t="str">
        <f>IF($B100="","",IF(COUNTIF('Competency Event Log'!$U$4:$U$803,$B100&amp;"|"&amp;DC$5)=0,"",SUMIF('Competency Event Log'!$U$4:$U$803,$B100&amp;"|"&amp;DC$5,'Competency Event Log'!$D$4:$D$803)))</f>
        <v/>
      </c>
      <c r="DD100" s="8" t="str">
        <f>IF($B100="","",IF(COUNTIF('Competency Event Log'!$U$4:$U$803,$B100&amp;"|"&amp;DD$5)=0,"",SUMIF('Competency Event Log'!$U$4:$U$803,$B100&amp;"|"&amp;DD$5,'Competency Event Log'!$D$4:$D$803)))</f>
        <v/>
      </c>
      <c r="DE100" s="8" t="str">
        <f>IF($B100="","",IF(COUNTIF('Competency Event Log'!$U$4:$U$803,$B100&amp;"|"&amp;DE$5)=0,"",SUMIF('Competency Event Log'!$U$4:$U$803,$B100&amp;"|"&amp;DE$5,'Competency Event Log'!$D$4:$D$803)))</f>
        <v/>
      </c>
      <c r="DF100" s="8" t="str">
        <f t="shared" si="8"/>
        <v/>
      </c>
      <c r="DG100" s="8" t="str">
        <f t="shared" si="9"/>
        <v/>
      </c>
      <c r="DH100" s="8" t="str">
        <f t="shared" si="10"/>
        <v/>
      </c>
      <c r="DI100" s="11" t="str">
        <f t="shared" si="11"/>
        <v/>
      </c>
    </row>
    <row r="101" spans="1:113">
      <c r="A101" s="7"/>
      <c r="B101" s="7"/>
      <c r="C101" s="8"/>
      <c r="D101" s="9"/>
      <c r="E101" s="10"/>
      <c r="F101" s="8"/>
      <c r="G101" s="8" t="str">
        <f>IF($B101="","",IF(COUNTIF('Competency Event Log'!$U$4:$U$803,$B101&amp;"|"&amp;G$5)=0,"",SUMIF('Competency Event Log'!$U$4:$U$803,$B101&amp;"|"&amp;G$5,'Competency Event Log'!$D$4:$D$803)))</f>
        <v/>
      </c>
      <c r="H101" s="8" t="str">
        <f>IF($B101="","",IF(COUNTIF('Competency Event Log'!$U$4:$U$803,$B101&amp;"|"&amp;H$5)=0,"",SUMIF('Competency Event Log'!$U$4:$U$803,$B101&amp;"|"&amp;H$5,'Competency Event Log'!$D$4:$D$803)))</f>
        <v/>
      </c>
      <c r="I101" s="8" t="str">
        <f>IF($B101="","",IF(COUNTIF('Competency Event Log'!$U$4:$U$803,$B101&amp;"|"&amp;I$5)=0,"",SUMIF('Competency Event Log'!$U$4:$U$803,$B101&amp;"|"&amp;I$5,'Competency Event Log'!$D$4:$D$803)))</f>
        <v/>
      </c>
      <c r="J101" s="8" t="str">
        <f>IF($B101="","",IF(COUNTIF('Competency Event Log'!$U$4:$U$803,$B101&amp;"|"&amp;J$5)=0,"",SUMIF('Competency Event Log'!$U$4:$U$803,$B101&amp;"|"&amp;J$5,'Competency Event Log'!$D$4:$D$803)))</f>
        <v/>
      </c>
      <c r="K101" s="8" t="str">
        <f>IF($B101="","",IF(COUNTIF('Competency Event Log'!$U$4:$U$803,$B101&amp;"|"&amp;K$5)=0,"",SUMIF('Competency Event Log'!$U$4:$U$803,$B101&amp;"|"&amp;K$5,'Competency Event Log'!$D$4:$D$803)))</f>
        <v/>
      </c>
      <c r="L101" s="8" t="str">
        <f>IF($B101="","",IF(COUNTIF('Competency Event Log'!$U$4:$U$803,$B101&amp;"|"&amp;L$5)=0,"",SUMIF('Competency Event Log'!$U$4:$U$803,$B101&amp;"|"&amp;L$5,'Competency Event Log'!$D$4:$D$803)))</f>
        <v/>
      </c>
      <c r="M101" s="8" t="str">
        <f>IF($B101="","",IF(COUNTIF('Competency Event Log'!$U$4:$U$803,$B101&amp;"|"&amp;M$5)=0,"",SUMIF('Competency Event Log'!$U$4:$U$803,$B101&amp;"|"&amp;M$5,'Competency Event Log'!$D$4:$D$803)))</f>
        <v/>
      </c>
      <c r="N101" s="8" t="str">
        <f>IF($B101="","",IF(COUNTIF('Competency Event Log'!$U$4:$U$803,$B101&amp;"|"&amp;N$5)=0,"",SUMIF('Competency Event Log'!$U$4:$U$803,$B101&amp;"|"&amp;N$5,'Competency Event Log'!$D$4:$D$803)))</f>
        <v/>
      </c>
      <c r="O101" s="8" t="str">
        <f>IF($B101="","",IF(COUNTIF('Competency Event Log'!$U$4:$U$803,$B101&amp;"|"&amp;O$5)=0,"",SUMIF('Competency Event Log'!$U$4:$U$803,$B101&amp;"|"&amp;O$5,'Competency Event Log'!$D$4:$D$803)))</f>
        <v/>
      </c>
      <c r="P101" s="8" t="str">
        <f>IF($B101="","",IF(COUNTIF('Competency Event Log'!$U$4:$U$803,$B101&amp;"|"&amp;P$5)=0,"",SUMIF('Competency Event Log'!$U$4:$U$803,$B101&amp;"|"&amp;P$5,'Competency Event Log'!$D$4:$D$803)))</f>
        <v/>
      </c>
      <c r="Q101" s="8" t="str">
        <f>IF($B101="","",IF(COUNTIF('Competency Event Log'!$U$4:$U$803,$B101&amp;"|"&amp;Q$5)=0,"",SUMIF('Competency Event Log'!$U$4:$U$803,$B101&amp;"|"&amp;Q$5,'Competency Event Log'!$D$4:$D$803)))</f>
        <v/>
      </c>
      <c r="R101" s="8" t="str">
        <f>IF($B101="","",IF(COUNTIF('Competency Event Log'!$U$4:$U$803,$B101&amp;"|"&amp;R$5)=0,"",SUMIF('Competency Event Log'!$U$4:$U$803,$B101&amp;"|"&amp;R$5,'Competency Event Log'!$D$4:$D$803)))</f>
        <v/>
      </c>
      <c r="S101" s="8" t="str">
        <f>IF($B101="","",IF(COUNTIF('Competency Event Log'!$U$4:$U$803,$B101&amp;"|"&amp;S$5)=0,"",SUMIF('Competency Event Log'!$U$4:$U$803,$B101&amp;"|"&amp;S$5,'Competency Event Log'!$D$4:$D$803)))</f>
        <v/>
      </c>
      <c r="T101" s="8" t="str">
        <f>IF($B101="","",IF(COUNTIF('Competency Event Log'!$U$4:$U$803,$B101&amp;"|"&amp;T$5)=0,"",SUMIF('Competency Event Log'!$U$4:$U$803,$B101&amp;"|"&amp;T$5,'Competency Event Log'!$D$4:$D$803)))</f>
        <v/>
      </c>
      <c r="U101" s="8" t="str">
        <f>IF($B101="","",IF(COUNTIF('Competency Event Log'!$U$4:$U$803,$B101&amp;"|"&amp;U$5)=0,"",SUMIF('Competency Event Log'!$U$4:$U$803,$B101&amp;"|"&amp;U$5,'Competency Event Log'!$D$4:$D$803)))</f>
        <v/>
      </c>
      <c r="V101" s="8" t="str">
        <f>IF($B101="","",IF(COUNTIF('Competency Event Log'!$U$4:$U$803,$B101&amp;"|"&amp;V$5)=0,"",SUMIF('Competency Event Log'!$U$4:$U$803,$B101&amp;"|"&amp;V$5,'Competency Event Log'!$D$4:$D$803)))</f>
        <v/>
      </c>
      <c r="W101" s="8" t="str">
        <f>IF($B101="","",IF(COUNTIF('Competency Event Log'!$U$4:$U$803,$B101&amp;"|"&amp;W$5)=0,"",SUMIF('Competency Event Log'!$U$4:$U$803,$B101&amp;"|"&amp;W$5,'Competency Event Log'!$D$4:$D$803)))</f>
        <v/>
      </c>
      <c r="X101" s="8" t="str">
        <f>IF($B101="","",IF(COUNTIF('Competency Event Log'!$U$4:$U$803,$B101&amp;"|"&amp;X$5)=0,"",SUMIF('Competency Event Log'!$U$4:$U$803,$B101&amp;"|"&amp;X$5,'Competency Event Log'!$D$4:$D$803)))</f>
        <v/>
      </c>
      <c r="Y101" s="8" t="str">
        <f>IF($B101="","",IF(COUNTIF('Competency Event Log'!$U$4:$U$803,$B101&amp;"|"&amp;Y$5)=0,"",SUMIF('Competency Event Log'!$U$4:$U$803,$B101&amp;"|"&amp;Y$5,'Competency Event Log'!$D$4:$D$803)))</f>
        <v/>
      </c>
      <c r="Z101" s="8" t="str">
        <f>IF($B101="","",IF(COUNTIF('Competency Event Log'!$U$4:$U$803,$B101&amp;"|"&amp;Z$5)=0,"",SUMIF('Competency Event Log'!$U$4:$U$803,$B101&amp;"|"&amp;Z$5,'Competency Event Log'!$D$4:$D$803)))</f>
        <v/>
      </c>
      <c r="AA101" s="8" t="str">
        <f>IF($B101="","",IF(COUNTIF('Competency Event Log'!$U$4:$U$803,$B101&amp;"|"&amp;AA$5)=0,"",SUMIF('Competency Event Log'!$U$4:$U$803,$B101&amp;"|"&amp;AA$5,'Competency Event Log'!$D$4:$D$803)))</f>
        <v/>
      </c>
      <c r="AB101" s="8" t="str">
        <f>IF($B101="","",IF(COUNTIF('Competency Event Log'!$U$4:$U$803,$B101&amp;"|"&amp;AB$5)=0,"",SUMIF('Competency Event Log'!$U$4:$U$803,$B101&amp;"|"&amp;AB$5,'Competency Event Log'!$D$4:$D$803)))</f>
        <v/>
      </c>
      <c r="AC101" s="8" t="str">
        <f>IF($B101="","",IF(COUNTIF('Competency Event Log'!$U$4:$U$803,$B101&amp;"|"&amp;AC$5)=0,"",SUMIF('Competency Event Log'!$U$4:$U$803,$B101&amp;"|"&amp;AC$5,'Competency Event Log'!$D$4:$D$803)))</f>
        <v/>
      </c>
      <c r="AD101" s="8" t="str">
        <f>IF($B101="","",IF(COUNTIF('Competency Event Log'!$U$4:$U$803,$B101&amp;"|"&amp;AD$5)=0,"",SUMIF('Competency Event Log'!$U$4:$U$803,$B101&amp;"|"&amp;AD$5,'Competency Event Log'!$D$4:$D$803)))</f>
        <v/>
      </c>
      <c r="AE101" s="8" t="str">
        <f>IF($B101="","",IF(COUNTIF('Competency Event Log'!$U$4:$U$803,$B101&amp;"|"&amp;AE$5)=0,"",SUMIF('Competency Event Log'!$U$4:$U$803,$B101&amp;"|"&amp;AE$5,'Competency Event Log'!$D$4:$D$803)))</f>
        <v/>
      </c>
      <c r="AF101" s="8" t="str">
        <f>IF($B101="","",IF(COUNTIF('Competency Event Log'!$U$4:$U$803,$B101&amp;"|"&amp;AF$5)=0,"",SUMIF('Competency Event Log'!$U$4:$U$803,$B101&amp;"|"&amp;AF$5,'Competency Event Log'!$D$4:$D$803)))</f>
        <v/>
      </c>
      <c r="AG101" s="8" t="str">
        <f>IF($B101="","",IF(COUNTIF('Competency Event Log'!$U$4:$U$803,$B101&amp;"|"&amp;AG$5)=0,"",SUMIF('Competency Event Log'!$U$4:$U$803,$B101&amp;"|"&amp;AG$5,'Competency Event Log'!$D$4:$D$803)))</f>
        <v/>
      </c>
      <c r="AH101" s="8" t="str">
        <f>IF($B101="","",IF(COUNTIF('Competency Event Log'!$U$4:$U$803,$B101&amp;"|"&amp;AH$5)=0,"",SUMIF('Competency Event Log'!$U$4:$U$803,$B101&amp;"|"&amp;AH$5,'Competency Event Log'!$D$4:$D$803)))</f>
        <v/>
      </c>
      <c r="AI101" s="8" t="str">
        <f>IF($B101="","",IF(COUNTIF('Competency Event Log'!$U$4:$U$803,$B101&amp;"|"&amp;AI$5)=0,"",SUMIF('Competency Event Log'!$U$4:$U$803,$B101&amp;"|"&amp;AI$5,'Competency Event Log'!$D$4:$D$803)))</f>
        <v/>
      </c>
      <c r="AJ101" s="8" t="str">
        <f>IF($B101="","",IF(COUNTIF('Competency Event Log'!$U$4:$U$803,$B101&amp;"|"&amp;AJ$5)=0,"",SUMIF('Competency Event Log'!$U$4:$U$803,$B101&amp;"|"&amp;AJ$5,'Competency Event Log'!$D$4:$D$803)))</f>
        <v/>
      </c>
      <c r="AK101" s="8" t="str">
        <f>IF($B101="","",IF(COUNTIF('Competency Event Log'!$U$4:$U$803,$B101&amp;"|"&amp;AK$5)=0,"",SUMIF('Competency Event Log'!$U$4:$U$803,$B101&amp;"|"&amp;AK$5,'Competency Event Log'!$D$4:$D$803)))</f>
        <v/>
      </c>
      <c r="AL101" s="8" t="str">
        <f>IF($B101="","",IF(COUNTIF('Competency Event Log'!$U$4:$U$803,$B101&amp;"|"&amp;AL$5)=0,"",SUMIF('Competency Event Log'!$U$4:$U$803,$B101&amp;"|"&amp;AL$5,'Competency Event Log'!$D$4:$D$803)))</f>
        <v/>
      </c>
      <c r="AM101" s="8" t="str">
        <f>IF($B101="","",IF(COUNTIF('Competency Event Log'!$U$4:$U$803,$B101&amp;"|"&amp;AM$5)=0,"",SUMIF('Competency Event Log'!$U$4:$U$803,$B101&amp;"|"&amp;AM$5,'Competency Event Log'!$D$4:$D$803)))</f>
        <v/>
      </c>
      <c r="AN101" s="8" t="str">
        <f>IF($B101="","",IF(COUNTIF('Competency Event Log'!$U$4:$U$803,$B101&amp;"|"&amp;AN$5)=0,"",SUMIF('Competency Event Log'!$U$4:$U$803,$B101&amp;"|"&amp;AN$5,'Competency Event Log'!$D$4:$D$803)))</f>
        <v/>
      </c>
      <c r="AO101" s="8" t="str">
        <f>IF($B101="","",IF(COUNTIF('Competency Event Log'!$U$4:$U$803,$B101&amp;"|"&amp;AO$5)=0,"",SUMIF('Competency Event Log'!$U$4:$U$803,$B101&amp;"|"&amp;AO$5,'Competency Event Log'!$D$4:$D$803)))</f>
        <v/>
      </c>
      <c r="AP101" s="8" t="str">
        <f>IF($B101="","",IF(COUNTIF('Competency Event Log'!$U$4:$U$803,$B101&amp;"|"&amp;AP$5)=0,"",SUMIF('Competency Event Log'!$U$4:$U$803,$B101&amp;"|"&amp;AP$5,'Competency Event Log'!$D$4:$D$803)))</f>
        <v/>
      </c>
      <c r="AQ101" s="8" t="str">
        <f>IF($B101="","",IF(COUNTIF('Competency Event Log'!$U$4:$U$803,$B101&amp;"|"&amp;AQ$5)=0,"",SUMIF('Competency Event Log'!$U$4:$U$803,$B101&amp;"|"&amp;AQ$5,'Competency Event Log'!$D$4:$D$803)))</f>
        <v/>
      </c>
      <c r="AR101" s="8" t="str">
        <f>IF($B101="","",IF(COUNTIF('Competency Event Log'!$U$4:$U$803,$B101&amp;"|"&amp;AR$5)=0,"",SUMIF('Competency Event Log'!$U$4:$U$803,$B101&amp;"|"&amp;AR$5,'Competency Event Log'!$D$4:$D$803)))</f>
        <v/>
      </c>
      <c r="AS101" s="8" t="str">
        <f>IF($B101="","",IF(COUNTIF('Competency Event Log'!$U$4:$U$803,$B101&amp;"|"&amp;AS$5)=0,"",SUMIF('Competency Event Log'!$U$4:$U$803,$B101&amp;"|"&amp;AS$5,'Competency Event Log'!$D$4:$D$803)))</f>
        <v/>
      </c>
      <c r="AT101" s="8" t="str">
        <f>IF($B101="","",IF(COUNTIF('Competency Event Log'!$U$4:$U$803,$B101&amp;"|"&amp;AT$5)=0,"",SUMIF('Competency Event Log'!$U$4:$U$803,$B101&amp;"|"&amp;AT$5,'Competency Event Log'!$D$4:$D$803)))</f>
        <v/>
      </c>
      <c r="AU101" s="8" t="str">
        <f>IF($B101="","",IF(COUNTIF('Competency Event Log'!$U$4:$U$803,$B101&amp;"|"&amp;AU$5)=0,"",SUMIF('Competency Event Log'!$U$4:$U$803,$B101&amp;"|"&amp;AU$5,'Competency Event Log'!$D$4:$D$803)))</f>
        <v/>
      </c>
      <c r="AV101" s="8" t="str">
        <f>IF($B101="","",IF(COUNTIF('Competency Event Log'!$U$4:$U$803,$B101&amp;"|"&amp;AV$5)=0,"",SUMIF('Competency Event Log'!$U$4:$U$803,$B101&amp;"|"&amp;AV$5,'Competency Event Log'!$D$4:$D$803)))</f>
        <v/>
      </c>
      <c r="AW101" s="8" t="str">
        <f>IF($B101="","",IF(COUNTIF('Competency Event Log'!$U$4:$U$803,$B101&amp;"|"&amp;AW$5)=0,"",SUMIF('Competency Event Log'!$U$4:$U$803,$B101&amp;"|"&amp;AW$5,'Competency Event Log'!$D$4:$D$803)))</f>
        <v/>
      </c>
      <c r="AX101" s="8" t="str">
        <f>IF($B101="","",IF(COUNTIF('Competency Event Log'!$U$4:$U$803,$B101&amp;"|"&amp;AX$5)=0,"",SUMIF('Competency Event Log'!$U$4:$U$803,$B101&amp;"|"&amp;AX$5,'Competency Event Log'!$D$4:$D$803)))</f>
        <v/>
      </c>
      <c r="AY101" s="8" t="str">
        <f>IF($B101="","",IF(COUNTIF('Competency Event Log'!$U$4:$U$803,$B101&amp;"|"&amp;AY$5)=0,"",SUMIF('Competency Event Log'!$U$4:$U$803,$B101&amp;"|"&amp;AY$5,'Competency Event Log'!$D$4:$D$803)))</f>
        <v/>
      </c>
      <c r="AZ101" s="8" t="str">
        <f>IF($B101="","",IF(COUNTIF('Competency Event Log'!$U$4:$U$803,$B101&amp;"|"&amp;AZ$5)=0,"",SUMIF('Competency Event Log'!$U$4:$U$803,$B101&amp;"|"&amp;AZ$5,'Competency Event Log'!$D$4:$D$803)))</f>
        <v/>
      </c>
      <c r="BA101" s="8" t="str">
        <f>IF($B101="","",IF(COUNTIF('Competency Event Log'!$U$4:$U$803,$B101&amp;"|"&amp;BA$5)=0,"",SUMIF('Competency Event Log'!$U$4:$U$803,$B101&amp;"|"&amp;BA$5,'Competency Event Log'!$D$4:$D$803)))</f>
        <v/>
      </c>
      <c r="BB101" s="8" t="str">
        <f>IF($B101="","",IF(COUNTIF('Competency Event Log'!$U$4:$U$803,$B101&amp;"|"&amp;BB$5)=0,"",SUMIF('Competency Event Log'!$U$4:$U$803,$B101&amp;"|"&amp;BB$5,'Competency Event Log'!$D$4:$D$803)))</f>
        <v/>
      </c>
      <c r="BC101" s="8" t="str">
        <f>IF($B101="","",IF(COUNTIF('Competency Event Log'!$U$4:$U$803,$B101&amp;"|"&amp;BC$5)=0,"",SUMIF('Competency Event Log'!$U$4:$U$803,$B101&amp;"|"&amp;BC$5,'Competency Event Log'!$D$4:$D$803)))</f>
        <v/>
      </c>
      <c r="BD101" s="8" t="str">
        <f>IF($B101="","",IF(COUNTIF('Competency Event Log'!$U$4:$U$803,$B101&amp;"|"&amp;BD$5)=0,"",SUMIF('Competency Event Log'!$U$4:$U$803,$B101&amp;"|"&amp;BD$5,'Competency Event Log'!$D$4:$D$803)))</f>
        <v/>
      </c>
      <c r="BE101" s="8" t="str">
        <f>IF($B101="","",IF(COUNTIF('Competency Event Log'!$U$4:$U$803,$B101&amp;"|"&amp;BE$5)=0,"",SUMIF('Competency Event Log'!$U$4:$U$803,$B101&amp;"|"&amp;BE$5,'Competency Event Log'!$D$4:$D$803)))</f>
        <v/>
      </c>
      <c r="BF101" s="8" t="str">
        <f>IF($B101="","",IF(COUNTIF('Competency Event Log'!$U$4:$U$803,$B101&amp;"|"&amp;BF$5)=0,"",SUMIF('Competency Event Log'!$U$4:$U$803,$B101&amp;"|"&amp;BF$5,'Competency Event Log'!$D$4:$D$803)))</f>
        <v/>
      </c>
      <c r="BG101" s="8" t="str">
        <f>IF($B101="","",IF(COUNTIF('Competency Event Log'!$U$4:$U$803,$B101&amp;"|"&amp;BG$5)=0,"",SUMIF('Competency Event Log'!$U$4:$U$803,$B101&amp;"|"&amp;BG$5,'Competency Event Log'!$D$4:$D$803)))</f>
        <v/>
      </c>
      <c r="BH101" s="8" t="str">
        <f>IF($B101="","",IF(COUNTIF('Competency Event Log'!$U$4:$U$803,$B101&amp;"|"&amp;BH$5)=0,"",SUMIF('Competency Event Log'!$U$4:$U$803,$B101&amp;"|"&amp;BH$5,'Competency Event Log'!$D$4:$D$803)))</f>
        <v/>
      </c>
      <c r="BI101" s="8" t="str">
        <f>IF($B101="","",IF(COUNTIF('Competency Event Log'!$U$4:$U$803,$B101&amp;"|"&amp;BI$5)=0,"",SUMIF('Competency Event Log'!$U$4:$U$803,$B101&amp;"|"&amp;BI$5,'Competency Event Log'!$D$4:$D$803)))</f>
        <v/>
      </c>
      <c r="BJ101" s="8" t="str">
        <f>IF($B101="","",IF(COUNTIF('Competency Event Log'!$U$4:$U$803,$B101&amp;"|"&amp;BJ$5)=0,"",SUMIF('Competency Event Log'!$U$4:$U$803,$B101&amp;"|"&amp;BJ$5,'Competency Event Log'!$D$4:$D$803)))</f>
        <v/>
      </c>
      <c r="BK101" s="8" t="str">
        <f>IF($B101="","",IF(COUNTIF('Competency Event Log'!$U$4:$U$803,$B101&amp;"|"&amp;BK$5)=0,"",SUMIF('Competency Event Log'!$U$4:$U$803,$B101&amp;"|"&amp;BK$5,'Competency Event Log'!$D$4:$D$803)))</f>
        <v/>
      </c>
      <c r="BL101" s="8" t="str">
        <f>IF($B101="","",IF(COUNTIF('Competency Event Log'!$U$4:$U$803,$B101&amp;"|"&amp;BL$5)=0,"",SUMIF('Competency Event Log'!$U$4:$U$803,$B101&amp;"|"&amp;BL$5,'Competency Event Log'!$D$4:$D$803)))</f>
        <v/>
      </c>
      <c r="BM101" s="8" t="str">
        <f>IF($B101="","",IF(COUNTIF('Competency Event Log'!$U$4:$U$803,$B101&amp;"|"&amp;BM$5)=0,"",SUMIF('Competency Event Log'!$U$4:$U$803,$B101&amp;"|"&amp;BM$5,'Competency Event Log'!$D$4:$D$803)))</f>
        <v/>
      </c>
      <c r="BN101" s="8" t="str">
        <f>IF($B101="","",IF(COUNTIF('Competency Event Log'!$U$4:$U$803,$B101&amp;"|"&amp;BN$5)=0,"",SUMIF('Competency Event Log'!$U$4:$U$803,$B101&amp;"|"&amp;BN$5,'Competency Event Log'!$D$4:$D$803)))</f>
        <v/>
      </c>
      <c r="BO101" s="8" t="str">
        <f>IF($B101="","",IF(COUNTIF('Competency Event Log'!$U$4:$U$803,$B101&amp;"|"&amp;BO$5)=0,"",SUMIF('Competency Event Log'!$U$4:$U$803,$B101&amp;"|"&amp;BO$5,'Competency Event Log'!$D$4:$D$803)))</f>
        <v/>
      </c>
      <c r="BP101" s="8" t="str">
        <f>IF($B101="","",IF(COUNTIF('Competency Event Log'!$U$4:$U$803,$B101&amp;"|"&amp;BP$5)=0,"",SUMIF('Competency Event Log'!$U$4:$U$803,$B101&amp;"|"&amp;BP$5,'Competency Event Log'!$D$4:$D$803)))</f>
        <v/>
      </c>
      <c r="BQ101" s="8" t="str">
        <f>IF($B101="","",IF(COUNTIF('Competency Event Log'!$U$4:$U$803,$B101&amp;"|"&amp;BQ$5)=0,"",SUMIF('Competency Event Log'!$U$4:$U$803,$B101&amp;"|"&amp;BQ$5,'Competency Event Log'!$D$4:$D$803)))</f>
        <v/>
      </c>
      <c r="BR101" s="8" t="str">
        <f>IF($B101="","",IF(COUNTIF('Competency Event Log'!$U$4:$U$803,$B101&amp;"|"&amp;BR$5)=0,"",SUMIF('Competency Event Log'!$U$4:$U$803,$B101&amp;"|"&amp;BR$5,'Competency Event Log'!$D$4:$D$803)))</f>
        <v/>
      </c>
      <c r="BS101" s="8" t="str">
        <f>IF($B101="","",IF(COUNTIF('Competency Event Log'!$U$4:$U$803,$B101&amp;"|"&amp;BS$5)=0,"",SUMIF('Competency Event Log'!$U$4:$U$803,$B101&amp;"|"&amp;BS$5,'Competency Event Log'!$D$4:$D$803)))</f>
        <v/>
      </c>
      <c r="BT101" s="8" t="str">
        <f>IF($B101="","",IF(COUNTIF('Competency Event Log'!$U$4:$U$803,$B101&amp;"|"&amp;BT$5)=0,"",SUMIF('Competency Event Log'!$U$4:$U$803,$B101&amp;"|"&amp;BT$5,'Competency Event Log'!$D$4:$D$803)))</f>
        <v/>
      </c>
      <c r="BU101" s="8" t="str">
        <f>IF($B101="","",IF(COUNTIF('Competency Event Log'!$U$4:$U$803,$B101&amp;"|"&amp;BU$5)=0,"",SUMIF('Competency Event Log'!$U$4:$U$803,$B101&amp;"|"&amp;BU$5,'Competency Event Log'!$D$4:$D$803)))</f>
        <v/>
      </c>
      <c r="BV101" s="8" t="str">
        <f>IF($B101="","",IF(COUNTIF('Competency Event Log'!$U$4:$U$803,$B101&amp;"|"&amp;BV$5)=0,"",SUMIF('Competency Event Log'!$U$4:$U$803,$B101&amp;"|"&amp;BV$5,'Competency Event Log'!$D$4:$D$803)))</f>
        <v/>
      </c>
      <c r="BW101" s="8" t="str">
        <f>IF($B101="","",IF(COUNTIF('Competency Event Log'!$U$4:$U$803,$B101&amp;"|"&amp;BW$5)=0,"",SUMIF('Competency Event Log'!$U$4:$U$803,$B101&amp;"|"&amp;BW$5,'Competency Event Log'!$D$4:$D$803)))</f>
        <v/>
      </c>
      <c r="BX101" s="8" t="str">
        <f>IF($B101="","",IF(COUNTIF('Competency Event Log'!$U$4:$U$803,$B101&amp;"|"&amp;BX$5)=0,"",SUMIF('Competency Event Log'!$U$4:$U$803,$B101&amp;"|"&amp;BX$5,'Competency Event Log'!$D$4:$D$803)))</f>
        <v/>
      </c>
      <c r="BY101" s="8" t="str">
        <f>IF($B101="","",IF(COUNTIF('Competency Event Log'!$U$4:$U$803,$B101&amp;"|"&amp;BY$5)=0,"",SUMIF('Competency Event Log'!$U$4:$U$803,$B101&amp;"|"&amp;BY$5,'Competency Event Log'!$D$4:$D$803)))</f>
        <v/>
      </c>
      <c r="BZ101" s="8" t="str">
        <f>IF($B101="","",IF(COUNTIF('Competency Event Log'!$U$4:$U$803,$B101&amp;"|"&amp;BZ$5)=0,"",SUMIF('Competency Event Log'!$U$4:$U$803,$B101&amp;"|"&amp;BZ$5,'Competency Event Log'!$D$4:$D$803)))</f>
        <v/>
      </c>
      <c r="CA101" s="8" t="str">
        <f>IF($B101="","",IF(COUNTIF('Competency Event Log'!$U$4:$U$803,$B101&amp;"|"&amp;CA$5)=0,"",SUMIF('Competency Event Log'!$U$4:$U$803,$B101&amp;"|"&amp;CA$5,'Competency Event Log'!$D$4:$D$803)))</f>
        <v/>
      </c>
      <c r="CB101" s="8" t="str">
        <f>IF($B101="","",IF(COUNTIF('Competency Event Log'!$U$4:$U$803,$B101&amp;"|"&amp;CB$5)=0,"",SUMIF('Competency Event Log'!$U$4:$U$803,$B101&amp;"|"&amp;CB$5,'Competency Event Log'!$D$4:$D$803)))</f>
        <v/>
      </c>
      <c r="CC101" s="8" t="str">
        <f>IF($B101="","",IF(COUNTIF('Competency Event Log'!$U$4:$U$803,$B101&amp;"|"&amp;CC$5)=0,"",SUMIF('Competency Event Log'!$U$4:$U$803,$B101&amp;"|"&amp;CC$5,'Competency Event Log'!$D$4:$D$803)))</f>
        <v/>
      </c>
      <c r="CD101" s="8" t="str">
        <f>IF($B101="","",IF(COUNTIF('Competency Event Log'!$U$4:$U$803,$B101&amp;"|"&amp;CD$5)=0,"",SUMIF('Competency Event Log'!$U$4:$U$803,$B101&amp;"|"&amp;CD$5,'Competency Event Log'!$D$4:$D$803)))</f>
        <v/>
      </c>
      <c r="CE101" s="8" t="str">
        <f>IF($B101="","",IF(COUNTIF('Competency Event Log'!$U$4:$U$803,$B101&amp;"|"&amp;CE$5)=0,"",SUMIF('Competency Event Log'!$U$4:$U$803,$B101&amp;"|"&amp;CE$5,'Competency Event Log'!$D$4:$D$803)))</f>
        <v/>
      </c>
      <c r="CF101" s="8" t="str">
        <f>IF($B101="","",IF(COUNTIF('Competency Event Log'!$U$4:$U$803,$B101&amp;"|"&amp;CF$5)=0,"",SUMIF('Competency Event Log'!$U$4:$U$803,$B101&amp;"|"&amp;CF$5,'Competency Event Log'!$D$4:$D$803)))</f>
        <v/>
      </c>
      <c r="CG101" s="8" t="str">
        <f>IF($B101="","",IF(COUNTIF('Competency Event Log'!$U$4:$U$803,$B101&amp;"|"&amp;CG$5)=0,"",SUMIF('Competency Event Log'!$U$4:$U$803,$B101&amp;"|"&amp;CG$5,'Competency Event Log'!$D$4:$D$803)))</f>
        <v/>
      </c>
      <c r="CH101" s="8" t="str">
        <f>IF($B101="","",IF(COUNTIF('Competency Event Log'!$U$4:$U$803,$B101&amp;"|"&amp;CH$5)=0,"",SUMIF('Competency Event Log'!$U$4:$U$803,$B101&amp;"|"&amp;CH$5,'Competency Event Log'!$D$4:$D$803)))</f>
        <v/>
      </c>
      <c r="CI101" s="8" t="str">
        <f>IF($B101="","",IF(COUNTIF('Competency Event Log'!$U$4:$U$803,$B101&amp;"|"&amp;CI$5)=0,"",SUMIF('Competency Event Log'!$U$4:$U$803,$B101&amp;"|"&amp;CI$5,'Competency Event Log'!$D$4:$D$803)))</f>
        <v/>
      </c>
      <c r="CJ101" s="8" t="str">
        <f>IF($B101="","",IF(COUNTIF('Competency Event Log'!$U$4:$U$803,$B101&amp;"|"&amp;CJ$5)=0,"",SUMIF('Competency Event Log'!$U$4:$U$803,$B101&amp;"|"&amp;CJ$5,'Competency Event Log'!$D$4:$D$803)))</f>
        <v/>
      </c>
      <c r="CK101" s="8" t="str">
        <f>IF($B101="","",IF(COUNTIF('Competency Event Log'!$U$4:$U$803,$B101&amp;"|"&amp;CK$5)=0,"",SUMIF('Competency Event Log'!$U$4:$U$803,$B101&amp;"|"&amp;CK$5,'Competency Event Log'!$D$4:$D$803)))</f>
        <v/>
      </c>
      <c r="CL101" s="8" t="str">
        <f>IF($B101="","",IF(COUNTIF('Competency Event Log'!$U$4:$U$803,$B101&amp;"|"&amp;CL$5)=0,"",SUMIF('Competency Event Log'!$U$4:$U$803,$B101&amp;"|"&amp;CL$5,'Competency Event Log'!$D$4:$D$803)))</f>
        <v/>
      </c>
      <c r="CM101" s="8" t="str">
        <f>IF($B101="","",IF(COUNTIF('Competency Event Log'!$U$4:$U$803,$B101&amp;"|"&amp;CM$5)=0,"",SUMIF('Competency Event Log'!$U$4:$U$803,$B101&amp;"|"&amp;CM$5,'Competency Event Log'!$D$4:$D$803)))</f>
        <v/>
      </c>
      <c r="CN101" s="8" t="str">
        <f>IF($B101="","",IF(COUNTIF('Competency Event Log'!$U$4:$U$803,$B101&amp;"|"&amp;CN$5)=0,"",SUMIF('Competency Event Log'!$U$4:$U$803,$B101&amp;"|"&amp;CN$5,'Competency Event Log'!$D$4:$D$803)))</f>
        <v/>
      </c>
      <c r="CO101" s="8" t="str">
        <f>IF($B101="","",IF(COUNTIF('Competency Event Log'!$U$4:$U$803,$B101&amp;"|"&amp;CO$5)=0,"",SUMIF('Competency Event Log'!$U$4:$U$803,$B101&amp;"|"&amp;CO$5,'Competency Event Log'!$D$4:$D$803)))</f>
        <v/>
      </c>
      <c r="CP101" s="8" t="str">
        <f>IF($B101="","",IF(COUNTIF('Competency Event Log'!$U$4:$U$803,$B101&amp;"|"&amp;CP$5)=0,"",SUMIF('Competency Event Log'!$U$4:$U$803,$B101&amp;"|"&amp;CP$5,'Competency Event Log'!$D$4:$D$803)))</f>
        <v/>
      </c>
      <c r="CQ101" s="8" t="str">
        <f>IF($B101="","",IF(COUNTIF('Competency Event Log'!$U$4:$U$803,$B101&amp;"|"&amp;CQ$5)=0,"",SUMIF('Competency Event Log'!$U$4:$U$803,$B101&amp;"|"&amp;CQ$5,'Competency Event Log'!$D$4:$D$803)))</f>
        <v/>
      </c>
      <c r="CR101" s="8" t="str">
        <f>IF($B101="","",IF(COUNTIF('Competency Event Log'!$U$4:$U$803,$B101&amp;"|"&amp;CR$5)=0,"",SUMIF('Competency Event Log'!$U$4:$U$803,$B101&amp;"|"&amp;CR$5,'Competency Event Log'!$D$4:$D$803)))</f>
        <v/>
      </c>
      <c r="CS101" s="8" t="str">
        <f>IF($B101="","",IF(COUNTIF('Competency Event Log'!$U$4:$U$803,$B101&amp;"|"&amp;CS$5)=0,"",SUMIF('Competency Event Log'!$U$4:$U$803,$B101&amp;"|"&amp;CS$5,'Competency Event Log'!$D$4:$D$803)))</f>
        <v/>
      </c>
      <c r="CT101" s="8" t="str">
        <f>IF($B101="","",IF(COUNTIF('Competency Event Log'!$U$4:$U$803,$B101&amp;"|"&amp;CT$5)=0,"",SUMIF('Competency Event Log'!$U$4:$U$803,$B101&amp;"|"&amp;CT$5,'Competency Event Log'!$D$4:$D$803)))</f>
        <v/>
      </c>
      <c r="CU101" s="8" t="str">
        <f>IF($B101="","",IF(COUNTIF('Competency Event Log'!$U$4:$U$803,$B101&amp;"|"&amp;CU$5)=0,"",SUMIF('Competency Event Log'!$U$4:$U$803,$B101&amp;"|"&amp;CU$5,'Competency Event Log'!$D$4:$D$803)))</f>
        <v/>
      </c>
      <c r="CV101" s="8" t="str">
        <f>IF($B101="","",IF(COUNTIF('Competency Event Log'!$U$4:$U$803,$B101&amp;"|"&amp;CV$5)=0,"",SUMIF('Competency Event Log'!$U$4:$U$803,$B101&amp;"|"&amp;CV$5,'Competency Event Log'!$D$4:$D$803)))</f>
        <v/>
      </c>
      <c r="CW101" s="8" t="str">
        <f>IF($B101="","",IF(COUNTIF('Competency Event Log'!$U$4:$U$803,$B101&amp;"|"&amp;CW$5)=0,"",SUMIF('Competency Event Log'!$U$4:$U$803,$B101&amp;"|"&amp;CW$5,'Competency Event Log'!$D$4:$D$803)))</f>
        <v/>
      </c>
      <c r="CX101" s="8" t="str">
        <f>IF($B101="","",IF(COUNTIF('Competency Event Log'!$U$4:$U$803,$B101&amp;"|"&amp;CX$5)=0,"",SUMIF('Competency Event Log'!$U$4:$U$803,$B101&amp;"|"&amp;CX$5,'Competency Event Log'!$D$4:$D$803)))</f>
        <v/>
      </c>
      <c r="CY101" s="8" t="str">
        <f>IF($B101="","",IF(COUNTIF('Competency Event Log'!$U$4:$U$803,$B101&amp;"|"&amp;CY$5)=0,"",SUMIF('Competency Event Log'!$U$4:$U$803,$B101&amp;"|"&amp;CY$5,'Competency Event Log'!$D$4:$D$803)))</f>
        <v/>
      </c>
      <c r="CZ101" s="8" t="str">
        <f>IF($B101="","",IF(COUNTIF('Competency Event Log'!$U$4:$U$803,$B101&amp;"|"&amp;CZ$5)=0,"",SUMIF('Competency Event Log'!$U$4:$U$803,$B101&amp;"|"&amp;CZ$5,'Competency Event Log'!$D$4:$D$803)))</f>
        <v/>
      </c>
      <c r="DA101" s="8" t="str">
        <f>IF($B101="","",IF(COUNTIF('Competency Event Log'!$U$4:$U$803,$B101&amp;"|"&amp;DA$5)=0,"",SUMIF('Competency Event Log'!$U$4:$U$803,$B101&amp;"|"&amp;DA$5,'Competency Event Log'!$D$4:$D$803)))</f>
        <v/>
      </c>
      <c r="DB101" s="8" t="str">
        <f>IF($B101="","",IF(COUNTIF('Competency Event Log'!$U$4:$U$803,$B101&amp;"|"&amp;DB$5)=0,"",SUMIF('Competency Event Log'!$U$4:$U$803,$B101&amp;"|"&amp;DB$5,'Competency Event Log'!$D$4:$D$803)))</f>
        <v/>
      </c>
      <c r="DC101" s="8" t="str">
        <f>IF($B101="","",IF(COUNTIF('Competency Event Log'!$U$4:$U$803,$B101&amp;"|"&amp;DC$5)=0,"",SUMIF('Competency Event Log'!$U$4:$U$803,$B101&amp;"|"&amp;DC$5,'Competency Event Log'!$D$4:$D$803)))</f>
        <v/>
      </c>
      <c r="DD101" s="8" t="str">
        <f>IF($B101="","",IF(COUNTIF('Competency Event Log'!$U$4:$U$803,$B101&amp;"|"&amp;DD$5)=0,"",SUMIF('Competency Event Log'!$U$4:$U$803,$B101&amp;"|"&amp;DD$5,'Competency Event Log'!$D$4:$D$803)))</f>
        <v/>
      </c>
      <c r="DE101" s="8" t="str">
        <f>IF($B101="","",IF(COUNTIF('Competency Event Log'!$U$4:$U$803,$B101&amp;"|"&amp;DE$5)=0,"",SUMIF('Competency Event Log'!$U$4:$U$803,$B101&amp;"|"&amp;DE$5,'Competency Event Log'!$D$4:$D$803)))</f>
        <v/>
      </c>
      <c r="DF101" s="8" t="str">
        <f t="shared" si="8"/>
        <v/>
      </c>
      <c r="DG101" s="8" t="str">
        <f t="shared" si="9"/>
        <v/>
      </c>
      <c r="DH101" s="8" t="str">
        <f t="shared" si="10"/>
        <v/>
      </c>
      <c r="DI101" s="11" t="str">
        <f t="shared" si="11"/>
        <v/>
      </c>
    </row>
    <row r="102" spans="1:113">
      <c r="A102" s="7"/>
      <c r="B102" s="7"/>
      <c r="C102" s="8"/>
      <c r="D102" s="9"/>
      <c r="E102" s="10"/>
      <c r="F102" s="8"/>
      <c r="G102" s="8" t="str">
        <f>IF($B102="","",IF(COUNTIF('Competency Event Log'!$U$4:$U$803,$B102&amp;"|"&amp;G$5)=0,"",SUMIF('Competency Event Log'!$U$4:$U$803,$B102&amp;"|"&amp;G$5,'Competency Event Log'!$D$4:$D$803)))</f>
        <v/>
      </c>
      <c r="H102" s="8" t="str">
        <f>IF($B102="","",IF(COUNTIF('Competency Event Log'!$U$4:$U$803,$B102&amp;"|"&amp;H$5)=0,"",SUMIF('Competency Event Log'!$U$4:$U$803,$B102&amp;"|"&amp;H$5,'Competency Event Log'!$D$4:$D$803)))</f>
        <v/>
      </c>
      <c r="I102" s="8" t="str">
        <f>IF($B102="","",IF(COUNTIF('Competency Event Log'!$U$4:$U$803,$B102&amp;"|"&amp;I$5)=0,"",SUMIF('Competency Event Log'!$U$4:$U$803,$B102&amp;"|"&amp;I$5,'Competency Event Log'!$D$4:$D$803)))</f>
        <v/>
      </c>
      <c r="J102" s="8" t="str">
        <f>IF($B102="","",IF(COUNTIF('Competency Event Log'!$U$4:$U$803,$B102&amp;"|"&amp;J$5)=0,"",SUMIF('Competency Event Log'!$U$4:$U$803,$B102&amp;"|"&amp;J$5,'Competency Event Log'!$D$4:$D$803)))</f>
        <v/>
      </c>
      <c r="K102" s="8" t="str">
        <f>IF($B102="","",IF(COUNTIF('Competency Event Log'!$U$4:$U$803,$B102&amp;"|"&amp;K$5)=0,"",SUMIF('Competency Event Log'!$U$4:$U$803,$B102&amp;"|"&amp;K$5,'Competency Event Log'!$D$4:$D$803)))</f>
        <v/>
      </c>
      <c r="L102" s="8" t="str">
        <f>IF($B102="","",IF(COUNTIF('Competency Event Log'!$U$4:$U$803,$B102&amp;"|"&amp;L$5)=0,"",SUMIF('Competency Event Log'!$U$4:$U$803,$B102&amp;"|"&amp;L$5,'Competency Event Log'!$D$4:$D$803)))</f>
        <v/>
      </c>
      <c r="M102" s="8" t="str">
        <f>IF($B102="","",IF(COUNTIF('Competency Event Log'!$U$4:$U$803,$B102&amp;"|"&amp;M$5)=0,"",SUMIF('Competency Event Log'!$U$4:$U$803,$B102&amp;"|"&amp;M$5,'Competency Event Log'!$D$4:$D$803)))</f>
        <v/>
      </c>
      <c r="N102" s="8" t="str">
        <f>IF($B102="","",IF(COUNTIF('Competency Event Log'!$U$4:$U$803,$B102&amp;"|"&amp;N$5)=0,"",SUMIF('Competency Event Log'!$U$4:$U$803,$B102&amp;"|"&amp;N$5,'Competency Event Log'!$D$4:$D$803)))</f>
        <v/>
      </c>
      <c r="O102" s="8" t="str">
        <f>IF($B102="","",IF(COUNTIF('Competency Event Log'!$U$4:$U$803,$B102&amp;"|"&amp;O$5)=0,"",SUMIF('Competency Event Log'!$U$4:$U$803,$B102&amp;"|"&amp;O$5,'Competency Event Log'!$D$4:$D$803)))</f>
        <v/>
      </c>
      <c r="P102" s="8" t="str">
        <f>IF($B102="","",IF(COUNTIF('Competency Event Log'!$U$4:$U$803,$B102&amp;"|"&amp;P$5)=0,"",SUMIF('Competency Event Log'!$U$4:$U$803,$B102&amp;"|"&amp;P$5,'Competency Event Log'!$D$4:$D$803)))</f>
        <v/>
      </c>
      <c r="Q102" s="8" t="str">
        <f>IF($B102="","",IF(COUNTIF('Competency Event Log'!$U$4:$U$803,$B102&amp;"|"&amp;Q$5)=0,"",SUMIF('Competency Event Log'!$U$4:$U$803,$B102&amp;"|"&amp;Q$5,'Competency Event Log'!$D$4:$D$803)))</f>
        <v/>
      </c>
      <c r="R102" s="8" t="str">
        <f>IF($B102="","",IF(COUNTIF('Competency Event Log'!$U$4:$U$803,$B102&amp;"|"&amp;R$5)=0,"",SUMIF('Competency Event Log'!$U$4:$U$803,$B102&amp;"|"&amp;R$5,'Competency Event Log'!$D$4:$D$803)))</f>
        <v/>
      </c>
      <c r="S102" s="8" t="str">
        <f>IF($B102="","",IF(COUNTIF('Competency Event Log'!$U$4:$U$803,$B102&amp;"|"&amp;S$5)=0,"",SUMIF('Competency Event Log'!$U$4:$U$803,$B102&amp;"|"&amp;S$5,'Competency Event Log'!$D$4:$D$803)))</f>
        <v/>
      </c>
      <c r="T102" s="8" t="str">
        <f>IF($B102="","",IF(COUNTIF('Competency Event Log'!$U$4:$U$803,$B102&amp;"|"&amp;T$5)=0,"",SUMIF('Competency Event Log'!$U$4:$U$803,$B102&amp;"|"&amp;T$5,'Competency Event Log'!$D$4:$D$803)))</f>
        <v/>
      </c>
      <c r="U102" s="8" t="str">
        <f>IF($B102="","",IF(COUNTIF('Competency Event Log'!$U$4:$U$803,$B102&amp;"|"&amp;U$5)=0,"",SUMIF('Competency Event Log'!$U$4:$U$803,$B102&amp;"|"&amp;U$5,'Competency Event Log'!$D$4:$D$803)))</f>
        <v/>
      </c>
      <c r="V102" s="8" t="str">
        <f>IF($B102="","",IF(COUNTIF('Competency Event Log'!$U$4:$U$803,$B102&amp;"|"&amp;V$5)=0,"",SUMIF('Competency Event Log'!$U$4:$U$803,$B102&amp;"|"&amp;V$5,'Competency Event Log'!$D$4:$D$803)))</f>
        <v/>
      </c>
      <c r="W102" s="8" t="str">
        <f>IF($B102="","",IF(COUNTIF('Competency Event Log'!$U$4:$U$803,$B102&amp;"|"&amp;W$5)=0,"",SUMIF('Competency Event Log'!$U$4:$U$803,$B102&amp;"|"&amp;W$5,'Competency Event Log'!$D$4:$D$803)))</f>
        <v/>
      </c>
      <c r="X102" s="8" t="str">
        <f>IF($B102="","",IF(COUNTIF('Competency Event Log'!$U$4:$U$803,$B102&amp;"|"&amp;X$5)=0,"",SUMIF('Competency Event Log'!$U$4:$U$803,$B102&amp;"|"&amp;X$5,'Competency Event Log'!$D$4:$D$803)))</f>
        <v/>
      </c>
      <c r="Y102" s="8" t="str">
        <f>IF($B102="","",IF(COUNTIF('Competency Event Log'!$U$4:$U$803,$B102&amp;"|"&amp;Y$5)=0,"",SUMIF('Competency Event Log'!$U$4:$U$803,$B102&amp;"|"&amp;Y$5,'Competency Event Log'!$D$4:$D$803)))</f>
        <v/>
      </c>
      <c r="Z102" s="8" t="str">
        <f>IF($B102="","",IF(COUNTIF('Competency Event Log'!$U$4:$U$803,$B102&amp;"|"&amp;Z$5)=0,"",SUMIF('Competency Event Log'!$U$4:$U$803,$B102&amp;"|"&amp;Z$5,'Competency Event Log'!$D$4:$D$803)))</f>
        <v/>
      </c>
      <c r="AA102" s="8" t="str">
        <f>IF($B102="","",IF(COUNTIF('Competency Event Log'!$U$4:$U$803,$B102&amp;"|"&amp;AA$5)=0,"",SUMIF('Competency Event Log'!$U$4:$U$803,$B102&amp;"|"&amp;AA$5,'Competency Event Log'!$D$4:$D$803)))</f>
        <v/>
      </c>
      <c r="AB102" s="8" t="str">
        <f>IF($B102="","",IF(COUNTIF('Competency Event Log'!$U$4:$U$803,$B102&amp;"|"&amp;AB$5)=0,"",SUMIF('Competency Event Log'!$U$4:$U$803,$B102&amp;"|"&amp;AB$5,'Competency Event Log'!$D$4:$D$803)))</f>
        <v/>
      </c>
      <c r="AC102" s="8" t="str">
        <f>IF($B102="","",IF(COUNTIF('Competency Event Log'!$U$4:$U$803,$B102&amp;"|"&amp;AC$5)=0,"",SUMIF('Competency Event Log'!$U$4:$U$803,$B102&amp;"|"&amp;AC$5,'Competency Event Log'!$D$4:$D$803)))</f>
        <v/>
      </c>
      <c r="AD102" s="8" t="str">
        <f>IF($B102="","",IF(COUNTIF('Competency Event Log'!$U$4:$U$803,$B102&amp;"|"&amp;AD$5)=0,"",SUMIF('Competency Event Log'!$U$4:$U$803,$B102&amp;"|"&amp;AD$5,'Competency Event Log'!$D$4:$D$803)))</f>
        <v/>
      </c>
      <c r="AE102" s="8" t="str">
        <f>IF($B102="","",IF(COUNTIF('Competency Event Log'!$U$4:$U$803,$B102&amp;"|"&amp;AE$5)=0,"",SUMIF('Competency Event Log'!$U$4:$U$803,$B102&amp;"|"&amp;AE$5,'Competency Event Log'!$D$4:$D$803)))</f>
        <v/>
      </c>
      <c r="AF102" s="8" t="str">
        <f>IF($B102="","",IF(COUNTIF('Competency Event Log'!$U$4:$U$803,$B102&amp;"|"&amp;AF$5)=0,"",SUMIF('Competency Event Log'!$U$4:$U$803,$B102&amp;"|"&amp;AF$5,'Competency Event Log'!$D$4:$D$803)))</f>
        <v/>
      </c>
      <c r="AG102" s="8" t="str">
        <f>IF($B102="","",IF(COUNTIF('Competency Event Log'!$U$4:$U$803,$B102&amp;"|"&amp;AG$5)=0,"",SUMIF('Competency Event Log'!$U$4:$U$803,$B102&amp;"|"&amp;AG$5,'Competency Event Log'!$D$4:$D$803)))</f>
        <v/>
      </c>
      <c r="AH102" s="8" t="str">
        <f>IF($B102="","",IF(COUNTIF('Competency Event Log'!$U$4:$U$803,$B102&amp;"|"&amp;AH$5)=0,"",SUMIF('Competency Event Log'!$U$4:$U$803,$B102&amp;"|"&amp;AH$5,'Competency Event Log'!$D$4:$D$803)))</f>
        <v/>
      </c>
      <c r="AI102" s="8" t="str">
        <f>IF($B102="","",IF(COUNTIF('Competency Event Log'!$U$4:$U$803,$B102&amp;"|"&amp;AI$5)=0,"",SUMIF('Competency Event Log'!$U$4:$U$803,$B102&amp;"|"&amp;AI$5,'Competency Event Log'!$D$4:$D$803)))</f>
        <v/>
      </c>
      <c r="AJ102" s="8" t="str">
        <f>IF($B102="","",IF(COUNTIF('Competency Event Log'!$U$4:$U$803,$B102&amp;"|"&amp;AJ$5)=0,"",SUMIF('Competency Event Log'!$U$4:$U$803,$B102&amp;"|"&amp;AJ$5,'Competency Event Log'!$D$4:$D$803)))</f>
        <v/>
      </c>
      <c r="AK102" s="8" t="str">
        <f>IF($B102="","",IF(COUNTIF('Competency Event Log'!$U$4:$U$803,$B102&amp;"|"&amp;AK$5)=0,"",SUMIF('Competency Event Log'!$U$4:$U$803,$B102&amp;"|"&amp;AK$5,'Competency Event Log'!$D$4:$D$803)))</f>
        <v/>
      </c>
      <c r="AL102" s="8" t="str">
        <f>IF($B102="","",IF(COUNTIF('Competency Event Log'!$U$4:$U$803,$B102&amp;"|"&amp;AL$5)=0,"",SUMIF('Competency Event Log'!$U$4:$U$803,$B102&amp;"|"&amp;AL$5,'Competency Event Log'!$D$4:$D$803)))</f>
        <v/>
      </c>
      <c r="AM102" s="8" t="str">
        <f>IF($B102="","",IF(COUNTIF('Competency Event Log'!$U$4:$U$803,$B102&amp;"|"&amp;AM$5)=0,"",SUMIF('Competency Event Log'!$U$4:$U$803,$B102&amp;"|"&amp;AM$5,'Competency Event Log'!$D$4:$D$803)))</f>
        <v/>
      </c>
      <c r="AN102" s="8" t="str">
        <f>IF($B102="","",IF(COUNTIF('Competency Event Log'!$U$4:$U$803,$B102&amp;"|"&amp;AN$5)=0,"",SUMIF('Competency Event Log'!$U$4:$U$803,$B102&amp;"|"&amp;AN$5,'Competency Event Log'!$D$4:$D$803)))</f>
        <v/>
      </c>
      <c r="AO102" s="8" t="str">
        <f>IF($B102="","",IF(COUNTIF('Competency Event Log'!$U$4:$U$803,$B102&amp;"|"&amp;AO$5)=0,"",SUMIF('Competency Event Log'!$U$4:$U$803,$B102&amp;"|"&amp;AO$5,'Competency Event Log'!$D$4:$D$803)))</f>
        <v/>
      </c>
      <c r="AP102" s="8" t="str">
        <f>IF($B102="","",IF(COUNTIF('Competency Event Log'!$U$4:$U$803,$B102&amp;"|"&amp;AP$5)=0,"",SUMIF('Competency Event Log'!$U$4:$U$803,$B102&amp;"|"&amp;AP$5,'Competency Event Log'!$D$4:$D$803)))</f>
        <v/>
      </c>
      <c r="AQ102" s="8" t="str">
        <f>IF($B102="","",IF(COUNTIF('Competency Event Log'!$U$4:$U$803,$B102&amp;"|"&amp;AQ$5)=0,"",SUMIF('Competency Event Log'!$U$4:$U$803,$B102&amp;"|"&amp;AQ$5,'Competency Event Log'!$D$4:$D$803)))</f>
        <v/>
      </c>
      <c r="AR102" s="8" t="str">
        <f>IF($B102="","",IF(COUNTIF('Competency Event Log'!$U$4:$U$803,$B102&amp;"|"&amp;AR$5)=0,"",SUMIF('Competency Event Log'!$U$4:$U$803,$B102&amp;"|"&amp;AR$5,'Competency Event Log'!$D$4:$D$803)))</f>
        <v/>
      </c>
      <c r="AS102" s="8" t="str">
        <f>IF($B102="","",IF(COUNTIF('Competency Event Log'!$U$4:$U$803,$B102&amp;"|"&amp;AS$5)=0,"",SUMIF('Competency Event Log'!$U$4:$U$803,$B102&amp;"|"&amp;AS$5,'Competency Event Log'!$D$4:$D$803)))</f>
        <v/>
      </c>
      <c r="AT102" s="8" t="str">
        <f>IF($B102="","",IF(COUNTIF('Competency Event Log'!$U$4:$U$803,$B102&amp;"|"&amp;AT$5)=0,"",SUMIF('Competency Event Log'!$U$4:$U$803,$B102&amp;"|"&amp;AT$5,'Competency Event Log'!$D$4:$D$803)))</f>
        <v/>
      </c>
      <c r="AU102" s="8" t="str">
        <f>IF($B102="","",IF(COUNTIF('Competency Event Log'!$U$4:$U$803,$B102&amp;"|"&amp;AU$5)=0,"",SUMIF('Competency Event Log'!$U$4:$U$803,$B102&amp;"|"&amp;AU$5,'Competency Event Log'!$D$4:$D$803)))</f>
        <v/>
      </c>
      <c r="AV102" s="8" t="str">
        <f>IF($B102="","",IF(COUNTIF('Competency Event Log'!$U$4:$U$803,$B102&amp;"|"&amp;AV$5)=0,"",SUMIF('Competency Event Log'!$U$4:$U$803,$B102&amp;"|"&amp;AV$5,'Competency Event Log'!$D$4:$D$803)))</f>
        <v/>
      </c>
      <c r="AW102" s="8" t="str">
        <f>IF($B102="","",IF(COUNTIF('Competency Event Log'!$U$4:$U$803,$B102&amp;"|"&amp;AW$5)=0,"",SUMIF('Competency Event Log'!$U$4:$U$803,$B102&amp;"|"&amp;AW$5,'Competency Event Log'!$D$4:$D$803)))</f>
        <v/>
      </c>
      <c r="AX102" s="8" t="str">
        <f>IF($B102="","",IF(COUNTIF('Competency Event Log'!$U$4:$U$803,$B102&amp;"|"&amp;AX$5)=0,"",SUMIF('Competency Event Log'!$U$4:$U$803,$B102&amp;"|"&amp;AX$5,'Competency Event Log'!$D$4:$D$803)))</f>
        <v/>
      </c>
      <c r="AY102" s="8" t="str">
        <f>IF($B102="","",IF(COUNTIF('Competency Event Log'!$U$4:$U$803,$B102&amp;"|"&amp;AY$5)=0,"",SUMIF('Competency Event Log'!$U$4:$U$803,$B102&amp;"|"&amp;AY$5,'Competency Event Log'!$D$4:$D$803)))</f>
        <v/>
      </c>
      <c r="AZ102" s="8" t="str">
        <f>IF($B102="","",IF(COUNTIF('Competency Event Log'!$U$4:$U$803,$B102&amp;"|"&amp;AZ$5)=0,"",SUMIF('Competency Event Log'!$U$4:$U$803,$B102&amp;"|"&amp;AZ$5,'Competency Event Log'!$D$4:$D$803)))</f>
        <v/>
      </c>
      <c r="BA102" s="8" t="str">
        <f>IF($B102="","",IF(COUNTIF('Competency Event Log'!$U$4:$U$803,$B102&amp;"|"&amp;BA$5)=0,"",SUMIF('Competency Event Log'!$U$4:$U$803,$B102&amp;"|"&amp;BA$5,'Competency Event Log'!$D$4:$D$803)))</f>
        <v/>
      </c>
      <c r="BB102" s="8" t="str">
        <f>IF($B102="","",IF(COUNTIF('Competency Event Log'!$U$4:$U$803,$B102&amp;"|"&amp;BB$5)=0,"",SUMIF('Competency Event Log'!$U$4:$U$803,$B102&amp;"|"&amp;BB$5,'Competency Event Log'!$D$4:$D$803)))</f>
        <v/>
      </c>
      <c r="BC102" s="8" t="str">
        <f>IF($B102="","",IF(COUNTIF('Competency Event Log'!$U$4:$U$803,$B102&amp;"|"&amp;BC$5)=0,"",SUMIF('Competency Event Log'!$U$4:$U$803,$B102&amp;"|"&amp;BC$5,'Competency Event Log'!$D$4:$D$803)))</f>
        <v/>
      </c>
      <c r="BD102" s="8" t="str">
        <f>IF($B102="","",IF(COUNTIF('Competency Event Log'!$U$4:$U$803,$B102&amp;"|"&amp;BD$5)=0,"",SUMIF('Competency Event Log'!$U$4:$U$803,$B102&amp;"|"&amp;BD$5,'Competency Event Log'!$D$4:$D$803)))</f>
        <v/>
      </c>
      <c r="BE102" s="8" t="str">
        <f>IF($B102="","",IF(COUNTIF('Competency Event Log'!$U$4:$U$803,$B102&amp;"|"&amp;BE$5)=0,"",SUMIF('Competency Event Log'!$U$4:$U$803,$B102&amp;"|"&amp;BE$5,'Competency Event Log'!$D$4:$D$803)))</f>
        <v/>
      </c>
      <c r="BF102" s="8" t="str">
        <f>IF($B102="","",IF(COUNTIF('Competency Event Log'!$U$4:$U$803,$B102&amp;"|"&amp;BF$5)=0,"",SUMIF('Competency Event Log'!$U$4:$U$803,$B102&amp;"|"&amp;BF$5,'Competency Event Log'!$D$4:$D$803)))</f>
        <v/>
      </c>
      <c r="BG102" s="8" t="str">
        <f>IF($B102="","",IF(COUNTIF('Competency Event Log'!$U$4:$U$803,$B102&amp;"|"&amp;BG$5)=0,"",SUMIF('Competency Event Log'!$U$4:$U$803,$B102&amp;"|"&amp;BG$5,'Competency Event Log'!$D$4:$D$803)))</f>
        <v/>
      </c>
      <c r="BH102" s="8" t="str">
        <f>IF($B102="","",IF(COUNTIF('Competency Event Log'!$U$4:$U$803,$B102&amp;"|"&amp;BH$5)=0,"",SUMIF('Competency Event Log'!$U$4:$U$803,$B102&amp;"|"&amp;BH$5,'Competency Event Log'!$D$4:$D$803)))</f>
        <v/>
      </c>
      <c r="BI102" s="8" t="str">
        <f>IF($B102="","",IF(COUNTIF('Competency Event Log'!$U$4:$U$803,$B102&amp;"|"&amp;BI$5)=0,"",SUMIF('Competency Event Log'!$U$4:$U$803,$B102&amp;"|"&amp;BI$5,'Competency Event Log'!$D$4:$D$803)))</f>
        <v/>
      </c>
      <c r="BJ102" s="8" t="str">
        <f>IF($B102="","",IF(COUNTIF('Competency Event Log'!$U$4:$U$803,$B102&amp;"|"&amp;BJ$5)=0,"",SUMIF('Competency Event Log'!$U$4:$U$803,$B102&amp;"|"&amp;BJ$5,'Competency Event Log'!$D$4:$D$803)))</f>
        <v/>
      </c>
      <c r="BK102" s="8" t="str">
        <f>IF($B102="","",IF(COUNTIF('Competency Event Log'!$U$4:$U$803,$B102&amp;"|"&amp;BK$5)=0,"",SUMIF('Competency Event Log'!$U$4:$U$803,$B102&amp;"|"&amp;BK$5,'Competency Event Log'!$D$4:$D$803)))</f>
        <v/>
      </c>
      <c r="BL102" s="8" t="str">
        <f>IF($B102="","",IF(COUNTIF('Competency Event Log'!$U$4:$U$803,$B102&amp;"|"&amp;BL$5)=0,"",SUMIF('Competency Event Log'!$U$4:$U$803,$B102&amp;"|"&amp;BL$5,'Competency Event Log'!$D$4:$D$803)))</f>
        <v/>
      </c>
      <c r="BM102" s="8" t="str">
        <f>IF($B102="","",IF(COUNTIF('Competency Event Log'!$U$4:$U$803,$B102&amp;"|"&amp;BM$5)=0,"",SUMIF('Competency Event Log'!$U$4:$U$803,$B102&amp;"|"&amp;BM$5,'Competency Event Log'!$D$4:$D$803)))</f>
        <v/>
      </c>
      <c r="BN102" s="8" t="str">
        <f>IF($B102="","",IF(COUNTIF('Competency Event Log'!$U$4:$U$803,$B102&amp;"|"&amp;BN$5)=0,"",SUMIF('Competency Event Log'!$U$4:$U$803,$B102&amp;"|"&amp;BN$5,'Competency Event Log'!$D$4:$D$803)))</f>
        <v/>
      </c>
      <c r="BO102" s="8" t="str">
        <f>IF($B102="","",IF(COUNTIF('Competency Event Log'!$U$4:$U$803,$B102&amp;"|"&amp;BO$5)=0,"",SUMIF('Competency Event Log'!$U$4:$U$803,$B102&amp;"|"&amp;BO$5,'Competency Event Log'!$D$4:$D$803)))</f>
        <v/>
      </c>
      <c r="BP102" s="8" t="str">
        <f>IF($B102="","",IF(COUNTIF('Competency Event Log'!$U$4:$U$803,$B102&amp;"|"&amp;BP$5)=0,"",SUMIF('Competency Event Log'!$U$4:$U$803,$B102&amp;"|"&amp;BP$5,'Competency Event Log'!$D$4:$D$803)))</f>
        <v/>
      </c>
      <c r="BQ102" s="8" t="str">
        <f>IF($B102="","",IF(COUNTIF('Competency Event Log'!$U$4:$U$803,$B102&amp;"|"&amp;BQ$5)=0,"",SUMIF('Competency Event Log'!$U$4:$U$803,$B102&amp;"|"&amp;BQ$5,'Competency Event Log'!$D$4:$D$803)))</f>
        <v/>
      </c>
      <c r="BR102" s="8" t="str">
        <f>IF($B102="","",IF(COUNTIF('Competency Event Log'!$U$4:$U$803,$B102&amp;"|"&amp;BR$5)=0,"",SUMIF('Competency Event Log'!$U$4:$U$803,$B102&amp;"|"&amp;BR$5,'Competency Event Log'!$D$4:$D$803)))</f>
        <v/>
      </c>
      <c r="BS102" s="8" t="str">
        <f>IF($B102="","",IF(COUNTIF('Competency Event Log'!$U$4:$U$803,$B102&amp;"|"&amp;BS$5)=0,"",SUMIF('Competency Event Log'!$U$4:$U$803,$B102&amp;"|"&amp;BS$5,'Competency Event Log'!$D$4:$D$803)))</f>
        <v/>
      </c>
      <c r="BT102" s="8" t="str">
        <f>IF($B102="","",IF(COUNTIF('Competency Event Log'!$U$4:$U$803,$B102&amp;"|"&amp;BT$5)=0,"",SUMIF('Competency Event Log'!$U$4:$U$803,$B102&amp;"|"&amp;BT$5,'Competency Event Log'!$D$4:$D$803)))</f>
        <v/>
      </c>
      <c r="BU102" s="8" t="str">
        <f>IF($B102="","",IF(COUNTIF('Competency Event Log'!$U$4:$U$803,$B102&amp;"|"&amp;BU$5)=0,"",SUMIF('Competency Event Log'!$U$4:$U$803,$B102&amp;"|"&amp;BU$5,'Competency Event Log'!$D$4:$D$803)))</f>
        <v/>
      </c>
      <c r="BV102" s="8" t="str">
        <f>IF($B102="","",IF(COUNTIF('Competency Event Log'!$U$4:$U$803,$B102&amp;"|"&amp;BV$5)=0,"",SUMIF('Competency Event Log'!$U$4:$U$803,$B102&amp;"|"&amp;BV$5,'Competency Event Log'!$D$4:$D$803)))</f>
        <v/>
      </c>
      <c r="BW102" s="8" t="str">
        <f>IF($B102="","",IF(COUNTIF('Competency Event Log'!$U$4:$U$803,$B102&amp;"|"&amp;BW$5)=0,"",SUMIF('Competency Event Log'!$U$4:$U$803,$B102&amp;"|"&amp;BW$5,'Competency Event Log'!$D$4:$D$803)))</f>
        <v/>
      </c>
      <c r="BX102" s="8" t="str">
        <f>IF($B102="","",IF(COUNTIF('Competency Event Log'!$U$4:$U$803,$B102&amp;"|"&amp;BX$5)=0,"",SUMIF('Competency Event Log'!$U$4:$U$803,$B102&amp;"|"&amp;BX$5,'Competency Event Log'!$D$4:$D$803)))</f>
        <v/>
      </c>
      <c r="BY102" s="8" t="str">
        <f>IF($B102="","",IF(COUNTIF('Competency Event Log'!$U$4:$U$803,$B102&amp;"|"&amp;BY$5)=0,"",SUMIF('Competency Event Log'!$U$4:$U$803,$B102&amp;"|"&amp;BY$5,'Competency Event Log'!$D$4:$D$803)))</f>
        <v/>
      </c>
      <c r="BZ102" s="8" t="str">
        <f>IF($B102="","",IF(COUNTIF('Competency Event Log'!$U$4:$U$803,$B102&amp;"|"&amp;BZ$5)=0,"",SUMIF('Competency Event Log'!$U$4:$U$803,$B102&amp;"|"&amp;BZ$5,'Competency Event Log'!$D$4:$D$803)))</f>
        <v/>
      </c>
      <c r="CA102" s="8" t="str">
        <f>IF($B102="","",IF(COUNTIF('Competency Event Log'!$U$4:$U$803,$B102&amp;"|"&amp;CA$5)=0,"",SUMIF('Competency Event Log'!$U$4:$U$803,$B102&amp;"|"&amp;CA$5,'Competency Event Log'!$D$4:$D$803)))</f>
        <v/>
      </c>
      <c r="CB102" s="8" t="str">
        <f>IF($B102="","",IF(COUNTIF('Competency Event Log'!$U$4:$U$803,$B102&amp;"|"&amp;CB$5)=0,"",SUMIF('Competency Event Log'!$U$4:$U$803,$B102&amp;"|"&amp;CB$5,'Competency Event Log'!$D$4:$D$803)))</f>
        <v/>
      </c>
      <c r="CC102" s="8" t="str">
        <f>IF($B102="","",IF(COUNTIF('Competency Event Log'!$U$4:$U$803,$B102&amp;"|"&amp;CC$5)=0,"",SUMIF('Competency Event Log'!$U$4:$U$803,$B102&amp;"|"&amp;CC$5,'Competency Event Log'!$D$4:$D$803)))</f>
        <v/>
      </c>
      <c r="CD102" s="8" t="str">
        <f>IF($B102="","",IF(COUNTIF('Competency Event Log'!$U$4:$U$803,$B102&amp;"|"&amp;CD$5)=0,"",SUMIF('Competency Event Log'!$U$4:$U$803,$B102&amp;"|"&amp;CD$5,'Competency Event Log'!$D$4:$D$803)))</f>
        <v/>
      </c>
      <c r="CE102" s="8" t="str">
        <f>IF($B102="","",IF(COUNTIF('Competency Event Log'!$U$4:$U$803,$B102&amp;"|"&amp;CE$5)=0,"",SUMIF('Competency Event Log'!$U$4:$U$803,$B102&amp;"|"&amp;CE$5,'Competency Event Log'!$D$4:$D$803)))</f>
        <v/>
      </c>
      <c r="CF102" s="8" t="str">
        <f>IF($B102="","",IF(COUNTIF('Competency Event Log'!$U$4:$U$803,$B102&amp;"|"&amp;CF$5)=0,"",SUMIF('Competency Event Log'!$U$4:$U$803,$B102&amp;"|"&amp;CF$5,'Competency Event Log'!$D$4:$D$803)))</f>
        <v/>
      </c>
      <c r="CG102" s="8" t="str">
        <f>IF($B102="","",IF(COUNTIF('Competency Event Log'!$U$4:$U$803,$B102&amp;"|"&amp;CG$5)=0,"",SUMIF('Competency Event Log'!$U$4:$U$803,$B102&amp;"|"&amp;CG$5,'Competency Event Log'!$D$4:$D$803)))</f>
        <v/>
      </c>
      <c r="CH102" s="8" t="str">
        <f>IF($B102="","",IF(COUNTIF('Competency Event Log'!$U$4:$U$803,$B102&amp;"|"&amp;CH$5)=0,"",SUMIF('Competency Event Log'!$U$4:$U$803,$B102&amp;"|"&amp;CH$5,'Competency Event Log'!$D$4:$D$803)))</f>
        <v/>
      </c>
      <c r="CI102" s="8" t="str">
        <f>IF($B102="","",IF(COUNTIF('Competency Event Log'!$U$4:$U$803,$B102&amp;"|"&amp;CI$5)=0,"",SUMIF('Competency Event Log'!$U$4:$U$803,$B102&amp;"|"&amp;CI$5,'Competency Event Log'!$D$4:$D$803)))</f>
        <v/>
      </c>
      <c r="CJ102" s="8" t="str">
        <f>IF($B102="","",IF(COUNTIF('Competency Event Log'!$U$4:$U$803,$B102&amp;"|"&amp;CJ$5)=0,"",SUMIF('Competency Event Log'!$U$4:$U$803,$B102&amp;"|"&amp;CJ$5,'Competency Event Log'!$D$4:$D$803)))</f>
        <v/>
      </c>
      <c r="CK102" s="8" t="str">
        <f>IF($B102="","",IF(COUNTIF('Competency Event Log'!$U$4:$U$803,$B102&amp;"|"&amp;CK$5)=0,"",SUMIF('Competency Event Log'!$U$4:$U$803,$B102&amp;"|"&amp;CK$5,'Competency Event Log'!$D$4:$D$803)))</f>
        <v/>
      </c>
      <c r="CL102" s="8" t="str">
        <f>IF($B102="","",IF(COUNTIF('Competency Event Log'!$U$4:$U$803,$B102&amp;"|"&amp;CL$5)=0,"",SUMIF('Competency Event Log'!$U$4:$U$803,$B102&amp;"|"&amp;CL$5,'Competency Event Log'!$D$4:$D$803)))</f>
        <v/>
      </c>
      <c r="CM102" s="8" t="str">
        <f>IF($B102="","",IF(COUNTIF('Competency Event Log'!$U$4:$U$803,$B102&amp;"|"&amp;CM$5)=0,"",SUMIF('Competency Event Log'!$U$4:$U$803,$B102&amp;"|"&amp;CM$5,'Competency Event Log'!$D$4:$D$803)))</f>
        <v/>
      </c>
      <c r="CN102" s="8" t="str">
        <f>IF($B102="","",IF(COUNTIF('Competency Event Log'!$U$4:$U$803,$B102&amp;"|"&amp;CN$5)=0,"",SUMIF('Competency Event Log'!$U$4:$U$803,$B102&amp;"|"&amp;CN$5,'Competency Event Log'!$D$4:$D$803)))</f>
        <v/>
      </c>
      <c r="CO102" s="8" t="str">
        <f>IF($B102="","",IF(COUNTIF('Competency Event Log'!$U$4:$U$803,$B102&amp;"|"&amp;CO$5)=0,"",SUMIF('Competency Event Log'!$U$4:$U$803,$B102&amp;"|"&amp;CO$5,'Competency Event Log'!$D$4:$D$803)))</f>
        <v/>
      </c>
      <c r="CP102" s="8" t="str">
        <f>IF($B102="","",IF(COUNTIF('Competency Event Log'!$U$4:$U$803,$B102&amp;"|"&amp;CP$5)=0,"",SUMIF('Competency Event Log'!$U$4:$U$803,$B102&amp;"|"&amp;CP$5,'Competency Event Log'!$D$4:$D$803)))</f>
        <v/>
      </c>
      <c r="CQ102" s="8" t="str">
        <f>IF($B102="","",IF(COUNTIF('Competency Event Log'!$U$4:$U$803,$B102&amp;"|"&amp;CQ$5)=0,"",SUMIF('Competency Event Log'!$U$4:$U$803,$B102&amp;"|"&amp;CQ$5,'Competency Event Log'!$D$4:$D$803)))</f>
        <v/>
      </c>
      <c r="CR102" s="8" t="str">
        <f>IF($B102="","",IF(COUNTIF('Competency Event Log'!$U$4:$U$803,$B102&amp;"|"&amp;CR$5)=0,"",SUMIF('Competency Event Log'!$U$4:$U$803,$B102&amp;"|"&amp;CR$5,'Competency Event Log'!$D$4:$D$803)))</f>
        <v/>
      </c>
      <c r="CS102" s="8" t="str">
        <f>IF($B102="","",IF(COUNTIF('Competency Event Log'!$U$4:$U$803,$B102&amp;"|"&amp;CS$5)=0,"",SUMIF('Competency Event Log'!$U$4:$U$803,$B102&amp;"|"&amp;CS$5,'Competency Event Log'!$D$4:$D$803)))</f>
        <v/>
      </c>
      <c r="CT102" s="8" t="str">
        <f>IF($B102="","",IF(COUNTIF('Competency Event Log'!$U$4:$U$803,$B102&amp;"|"&amp;CT$5)=0,"",SUMIF('Competency Event Log'!$U$4:$U$803,$B102&amp;"|"&amp;CT$5,'Competency Event Log'!$D$4:$D$803)))</f>
        <v/>
      </c>
      <c r="CU102" s="8" t="str">
        <f>IF($B102="","",IF(COUNTIF('Competency Event Log'!$U$4:$U$803,$B102&amp;"|"&amp;CU$5)=0,"",SUMIF('Competency Event Log'!$U$4:$U$803,$B102&amp;"|"&amp;CU$5,'Competency Event Log'!$D$4:$D$803)))</f>
        <v/>
      </c>
      <c r="CV102" s="8" t="str">
        <f>IF($B102="","",IF(COUNTIF('Competency Event Log'!$U$4:$U$803,$B102&amp;"|"&amp;CV$5)=0,"",SUMIF('Competency Event Log'!$U$4:$U$803,$B102&amp;"|"&amp;CV$5,'Competency Event Log'!$D$4:$D$803)))</f>
        <v/>
      </c>
      <c r="CW102" s="8" t="str">
        <f>IF($B102="","",IF(COUNTIF('Competency Event Log'!$U$4:$U$803,$B102&amp;"|"&amp;CW$5)=0,"",SUMIF('Competency Event Log'!$U$4:$U$803,$B102&amp;"|"&amp;CW$5,'Competency Event Log'!$D$4:$D$803)))</f>
        <v/>
      </c>
      <c r="CX102" s="8" t="str">
        <f>IF($B102="","",IF(COUNTIF('Competency Event Log'!$U$4:$U$803,$B102&amp;"|"&amp;CX$5)=0,"",SUMIF('Competency Event Log'!$U$4:$U$803,$B102&amp;"|"&amp;CX$5,'Competency Event Log'!$D$4:$D$803)))</f>
        <v/>
      </c>
      <c r="CY102" s="8" t="str">
        <f>IF($B102="","",IF(COUNTIF('Competency Event Log'!$U$4:$U$803,$B102&amp;"|"&amp;CY$5)=0,"",SUMIF('Competency Event Log'!$U$4:$U$803,$B102&amp;"|"&amp;CY$5,'Competency Event Log'!$D$4:$D$803)))</f>
        <v/>
      </c>
      <c r="CZ102" s="8" t="str">
        <f>IF($B102="","",IF(COUNTIF('Competency Event Log'!$U$4:$U$803,$B102&amp;"|"&amp;CZ$5)=0,"",SUMIF('Competency Event Log'!$U$4:$U$803,$B102&amp;"|"&amp;CZ$5,'Competency Event Log'!$D$4:$D$803)))</f>
        <v/>
      </c>
      <c r="DA102" s="8" t="str">
        <f>IF($B102="","",IF(COUNTIF('Competency Event Log'!$U$4:$U$803,$B102&amp;"|"&amp;DA$5)=0,"",SUMIF('Competency Event Log'!$U$4:$U$803,$B102&amp;"|"&amp;DA$5,'Competency Event Log'!$D$4:$D$803)))</f>
        <v/>
      </c>
      <c r="DB102" s="8" t="str">
        <f>IF($B102="","",IF(COUNTIF('Competency Event Log'!$U$4:$U$803,$B102&amp;"|"&amp;DB$5)=0,"",SUMIF('Competency Event Log'!$U$4:$U$803,$B102&amp;"|"&amp;DB$5,'Competency Event Log'!$D$4:$D$803)))</f>
        <v/>
      </c>
      <c r="DC102" s="8" t="str">
        <f>IF($B102="","",IF(COUNTIF('Competency Event Log'!$U$4:$U$803,$B102&amp;"|"&amp;DC$5)=0,"",SUMIF('Competency Event Log'!$U$4:$U$803,$B102&amp;"|"&amp;DC$5,'Competency Event Log'!$D$4:$D$803)))</f>
        <v/>
      </c>
      <c r="DD102" s="8" t="str">
        <f>IF($B102="","",IF(COUNTIF('Competency Event Log'!$U$4:$U$803,$B102&amp;"|"&amp;DD$5)=0,"",SUMIF('Competency Event Log'!$U$4:$U$803,$B102&amp;"|"&amp;DD$5,'Competency Event Log'!$D$4:$D$803)))</f>
        <v/>
      </c>
      <c r="DE102" s="8" t="str">
        <f>IF($B102="","",IF(COUNTIF('Competency Event Log'!$U$4:$U$803,$B102&amp;"|"&amp;DE$5)=0,"",SUMIF('Competency Event Log'!$U$4:$U$803,$B102&amp;"|"&amp;DE$5,'Competency Event Log'!$D$4:$D$803)))</f>
        <v/>
      </c>
      <c r="DF102" s="8" t="str">
        <f t="shared" ref="DF102:DF133" si="12">IF($B102="","",SUM($G102:$DE102))</f>
        <v/>
      </c>
      <c r="DG102" s="8" t="str">
        <f t="shared" ref="DG102:DG133" si="13">IF($B102="","",COUNT($G102:$DE102))</f>
        <v/>
      </c>
      <c r="DH102" s="8" t="str">
        <f t="shared" ref="DH102:DH133" si="14">IF($B102="","",COUNTIF($G102:$DE102,3))</f>
        <v/>
      </c>
      <c r="DI102" s="11" t="str">
        <f t="shared" ref="DI102:DI133" si="15">IF($B102="","",IFERROR(SUMPRODUCT(--(($G$4:$DE$4=$A102)+($G$4:$DE$4="All Departments")&gt;0),--($G102:$DE102&lt;&gt;""))/(COUNTIF($G$4:$DE$4,$A102)+COUNTIF($G$4:$DE$4,"All Departments")),0))</f>
        <v/>
      </c>
    </row>
    <row r="103" spans="1:113">
      <c r="A103" s="7"/>
      <c r="B103" s="7"/>
      <c r="C103" s="8"/>
      <c r="D103" s="9"/>
      <c r="E103" s="10"/>
      <c r="F103" s="8"/>
      <c r="G103" s="8" t="str">
        <f>IF($B103="","",IF(COUNTIF('Competency Event Log'!$U$4:$U$803,$B103&amp;"|"&amp;G$5)=0,"",SUMIF('Competency Event Log'!$U$4:$U$803,$B103&amp;"|"&amp;G$5,'Competency Event Log'!$D$4:$D$803)))</f>
        <v/>
      </c>
      <c r="H103" s="8" t="str">
        <f>IF($B103="","",IF(COUNTIF('Competency Event Log'!$U$4:$U$803,$B103&amp;"|"&amp;H$5)=0,"",SUMIF('Competency Event Log'!$U$4:$U$803,$B103&amp;"|"&amp;H$5,'Competency Event Log'!$D$4:$D$803)))</f>
        <v/>
      </c>
      <c r="I103" s="8" t="str">
        <f>IF($B103="","",IF(COUNTIF('Competency Event Log'!$U$4:$U$803,$B103&amp;"|"&amp;I$5)=0,"",SUMIF('Competency Event Log'!$U$4:$U$803,$B103&amp;"|"&amp;I$5,'Competency Event Log'!$D$4:$D$803)))</f>
        <v/>
      </c>
      <c r="J103" s="8" t="str">
        <f>IF($B103="","",IF(COUNTIF('Competency Event Log'!$U$4:$U$803,$B103&amp;"|"&amp;J$5)=0,"",SUMIF('Competency Event Log'!$U$4:$U$803,$B103&amp;"|"&amp;J$5,'Competency Event Log'!$D$4:$D$803)))</f>
        <v/>
      </c>
      <c r="K103" s="8" t="str">
        <f>IF($B103="","",IF(COUNTIF('Competency Event Log'!$U$4:$U$803,$B103&amp;"|"&amp;K$5)=0,"",SUMIF('Competency Event Log'!$U$4:$U$803,$B103&amp;"|"&amp;K$5,'Competency Event Log'!$D$4:$D$803)))</f>
        <v/>
      </c>
      <c r="L103" s="8" t="str">
        <f>IF($B103="","",IF(COUNTIF('Competency Event Log'!$U$4:$U$803,$B103&amp;"|"&amp;L$5)=0,"",SUMIF('Competency Event Log'!$U$4:$U$803,$B103&amp;"|"&amp;L$5,'Competency Event Log'!$D$4:$D$803)))</f>
        <v/>
      </c>
      <c r="M103" s="8" t="str">
        <f>IF($B103="","",IF(COUNTIF('Competency Event Log'!$U$4:$U$803,$B103&amp;"|"&amp;M$5)=0,"",SUMIF('Competency Event Log'!$U$4:$U$803,$B103&amp;"|"&amp;M$5,'Competency Event Log'!$D$4:$D$803)))</f>
        <v/>
      </c>
      <c r="N103" s="8" t="str">
        <f>IF($B103="","",IF(COUNTIF('Competency Event Log'!$U$4:$U$803,$B103&amp;"|"&amp;N$5)=0,"",SUMIF('Competency Event Log'!$U$4:$U$803,$B103&amp;"|"&amp;N$5,'Competency Event Log'!$D$4:$D$803)))</f>
        <v/>
      </c>
      <c r="O103" s="8" t="str">
        <f>IF($B103="","",IF(COUNTIF('Competency Event Log'!$U$4:$U$803,$B103&amp;"|"&amp;O$5)=0,"",SUMIF('Competency Event Log'!$U$4:$U$803,$B103&amp;"|"&amp;O$5,'Competency Event Log'!$D$4:$D$803)))</f>
        <v/>
      </c>
      <c r="P103" s="8" t="str">
        <f>IF($B103="","",IF(COUNTIF('Competency Event Log'!$U$4:$U$803,$B103&amp;"|"&amp;P$5)=0,"",SUMIF('Competency Event Log'!$U$4:$U$803,$B103&amp;"|"&amp;P$5,'Competency Event Log'!$D$4:$D$803)))</f>
        <v/>
      </c>
      <c r="Q103" s="8" t="str">
        <f>IF($B103="","",IF(COUNTIF('Competency Event Log'!$U$4:$U$803,$B103&amp;"|"&amp;Q$5)=0,"",SUMIF('Competency Event Log'!$U$4:$U$803,$B103&amp;"|"&amp;Q$5,'Competency Event Log'!$D$4:$D$803)))</f>
        <v/>
      </c>
      <c r="R103" s="8" t="str">
        <f>IF($B103="","",IF(COUNTIF('Competency Event Log'!$U$4:$U$803,$B103&amp;"|"&amp;R$5)=0,"",SUMIF('Competency Event Log'!$U$4:$U$803,$B103&amp;"|"&amp;R$5,'Competency Event Log'!$D$4:$D$803)))</f>
        <v/>
      </c>
      <c r="S103" s="8" t="str">
        <f>IF($B103="","",IF(COUNTIF('Competency Event Log'!$U$4:$U$803,$B103&amp;"|"&amp;S$5)=0,"",SUMIF('Competency Event Log'!$U$4:$U$803,$B103&amp;"|"&amp;S$5,'Competency Event Log'!$D$4:$D$803)))</f>
        <v/>
      </c>
      <c r="T103" s="8" t="str">
        <f>IF($B103="","",IF(COUNTIF('Competency Event Log'!$U$4:$U$803,$B103&amp;"|"&amp;T$5)=0,"",SUMIF('Competency Event Log'!$U$4:$U$803,$B103&amp;"|"&amp;T$5,'Competency Event Log'!$D$4:$D$803)))</f>
        <v/>
      </c>
      <c r="U103" s="8" t="str">
        <f>IF($B103="","",IF(COUNTIF('Competency Event Log'!$U$4:$U$803,$B103&amp;"|"&amp;U$5)=0,"",SUMIF('Competency Event Log'!$U$4:$U$803,$B103&amp;"|"&amp;U$5,'Competency Event Log'!$D$4:$D$803)))</f>
        <v/>
      </c>
      <c r="V103" s="8" t="str">
        <f>IF($B103="","",IF(COUNTIF('Competency Event Log'!$U$4:$U$803,$B103&amp;"|"&amp;V$5)=0,"",SUMIF('Competency Event Log'!$U$4:$U$803,$B103&amp;"|"&amp;V$5,'Competency Event Log'!$D$4:$D$803)))</f>
        <v/>
      </c>
      <c r="W103" s="8" t="str">
        <f>IF($B103="","",IF(COUNTIF('Competency Event Log'!$U$4:$U$803,$B103&amp;"|"&amp;W$5)=0,"",SUMIF('Competency Event Log'!$U$4:$U$803,$B103&amp;"|"&amp;W$5,'Competency Event Log'!$D$4:$D$803)))</f>
        <v/>
      </c>
      <c r="X103" s="8" t="str">
        <f>IF($B103="","",IF(COUNTIF('Competency Event Log'!$U$4:$U$803,$B103&amp;"|"&amp;X$5)=0,"",SUMIF('Competency Event Log'!$U$4:$U$803,$B103&amp;"|"&amp;X$5,'Competency Event Log'!$D$4:$D$803)))</f>
        <v/>
      </c>
      <c r="Y103" s="8" t="str">
        <f>IF($B103="","",IF(COUNTIF('Competency Event Log'!$U$4:$U$803,$B103&amp;"|"&amp;Y$5)=0,"",SUMIF('Competency Event Log'!$U$4:$U$803,$B103&amp;"|"&amp;Y$5,'Competency Event Log'!$D$4:$D$803)))</f>
        <v/>
      </c>
      <c r="Z103" s="8" t="str">
        <f>IF($B103="","",IF(COUNTIF('Competency Event Log'!$U$4:$U$803,$B103&amp;"|"&amp;Z$5)=0,"",SUMIF('Competency Event Log'!$U$4:$U$803,$B103&amp;"|"&amp;Z$5,'Competency Event Log'!$D$4:$D$803)))</f>
        <v/>
      </c>
      <c r="AA103" s="8" t="str">
        <f>IF($B103="","",IF(COUNTIF('Competency Event Log'!$U$4:$U$803,$B103&amp;"|"&amp;AA$5)=0,"",SUMIF('Competency Event Log'!$U$4:$U$803,$B103&amp;"|"&amp;AA$5,'Competency Event Log'!$D$4:$D$803)))</f>
        <v/>
      </c>
      <c r="AB103" s="8" t="str">
        <f>IF($B103="","",IF(COUNTIF('Competency Event Log'!$U$4:$U$803,$B103&amp;"|"&amp;AB$5)=0,"",SUMIF('Competency Event Log'!$U$4:$U$803,$B103&amp;"|"&amp;AB$5,'Competency Event Log'!$D$4:$D$803)))</f>
        <v/>
      </c>
      <c r="AC103" s="8" t="str">
        <f>IF($B103="","",IF(COUNTIF('Competency Event Log'!$U$4:$U$803,$B103&amp;"|"&amp;AC$5)=0,"",SUMIF('Competency Event Log'!$U$4:$U$803,$B103&amp;"|"&amp;AC$5,'Competency Event Log'!$D$4:$D$803)))</f>
        <v/>
      </c>
      <c r="AD103" s="8" t="str">
        <f>IF($B103="","",IF(COUNTIF('Competency Event Log'!$U$4:$U$803,$B103&amp;"|"&amp;AD$5)=0,"",SUMIF('Competency Event Log'!$U$4:$U$803,$B103&amp;"|"&amp;AD$5,'Competency Event Log'!$D$4:$D$803)))</f>
        <v/>
      </c>
      <c r="AE103" s="8" t="str">
        <f>IF($B103="","",IF(COUNTIF('Competency Event Log'!$U$4:$U$803,$B103&amp;"|"&amp;AE$5)=0,"",SUMIF('Competency Event Log'!$U$4:$U$803,$B103&amp;"|"&amp;AE$5,'Competency Event Log'!$D$4:$D$803)))</f>
        <v/>
      </c>
      <c r="AF103" s="8" t="str">
        <f>IF($B103="","",IF(COUNTIF('Competency Event Log'!$U$4:$U$803,$B103&amp;"|"&amp;AF$5)=0,"",SUMIF('Competency Event Log'!$U$4:$U$803,$B103&amp;"|"&amp;AF$5,'Competency Event Log'!$D$4:$D$803)))</f>
        <v/>
      </c>
      <c r="AG103" s="8" t="str">
        <f>IF($B103="","",IF(COUNTIF('Competency Event Log'!$U$4:$U$803,$B103&amp;"|"&amp;AG$5)=0,"",SUMIF('Competency Event Log'!$U$4:$U$803,$B103&amp;"|"&amp;AG$5,'Competency Event Log'!$D$4:$D$803)))</f>
        <v/>
      </c>
      <c r="AH103" s="8" t="str">
        <f>IF($B103="","",IF(COUNTIF('Competency Event Log'!$U$4:$U$803,$B103&amp;"|"&amp;AH$5)=0,"",SUMIF('Competency Event Log'!$U$4:$U$803,$B103&amp;"|"&amp;AH$5,'Competency Event Log'!$D$4:$D$803)))</f>
        <v/>
      </c>
      <c r="AI103" s="8" t="str">
        <f>IF($B103="","",IF(COUNTIF('Competency Event Log'!$U$4:$U$803,$B103&amp;"|"&amp;AI$5)=0,"",SUMIF('Competency Event Log'!$U$4:$U$803,$B103&amp;"|"&amp;AI$5,'Competency Event Log'!$D$4:$D$803)))</f>
        <v/>
      </c>
      <c r="AJ103" s="8" t="str">
        <f>IF($B103="","",IF(COUNTIF('Competency Event Log'!$U$4:$U$803,$B103&amp;"|"&amp;AJ$5)=0,"",SUMIF('Competency Event Log'!$U$4:$U$803,$B103&amp;"|"&amp;AJ$5,'Competency Event Log'!$D$4:$D$803)))</f>
        <v/>
      </c>
      <c r="AK103" s="8" t="str">
        <f>IF($B103="","",IF(COUNTIF('Competency Event Log'!$U$4:$U$803,$B103&amp;"|"&amp;AK$5)=0,"",SUMIF('Competency Event Log'!$U$4:$U$803,$B103&amp;"|"&amp;AK$5,'Competency Event Log'!$D$4:$D$803)))</f>
        <v/>
      </c>
      <c r="AL103" s="8" t="str">
        <f>IF($B103="","",IF(COUNTIF('Competency Event Log'!$U$4:$U$803,$B103&amp;"|"&amp;AL$5)=0,"",SUMIF('Competency Event Log'!$U$4:$U$803,$B103&amp;"|"&amp;AL$5,'Competency Event Log'!$D$4:$D$803)))</f>
        <v/>
      </c>
      <c r="AM103" s="8" t="str">
        <f>IF($B103="","",IF(COUNTIF('Competency Event Log'!$U$4:$U$803,$B103&amp;"|"&amp;AM$5)=0,"",SUMIF('Competency Event Log'!$U$4:$U$803,$B103&amp;"|"&amp;AM$5,'Competency Event Log'!$D$4:$D$803)))</f>
        <v/>
      </c>
      <c r="AN103" s="8" t="str">
        <f>IF($B103="","",IF(COUNTIF('Competency Event Log'!$U$4:$U$803,$B103&amp;"|"&amp;AN$5)=0,"",SUMIF('Competency Event Log'!$U$4:$U$803,$B103&amp;"|"&amp;AN$5,'Competency Event Log'!$D$4:$D$803)))</f>
        <v/>
      </c>
      <c r="AO103" s="8" t="str">
        <f>IF($B103="","",IF(COUNTIF('Competency Event Log'!$U$4:$U$803,$B103&amp;"|"&amp;AO$5)=0,"",SUMIF('Competency Event Log'!$U$4:$U$803,$B103&amp;"|"&amp;AO$5,'Competency Event Log'!$D$4:$D$803)))</f>
        <v/>
      </c>
      <c r="AP103" s="8" t="str">
        <f>IF($B103="","",IF(COUNTIF('Competency Event Log'!$U$4:$U$803,$B103&amp;"|"&amp;AP$5)=0,"",SUMIF('Competency Event Log'!$U$4:$U$803,$B103&amp;"|"&amp;AP$5,'Competency Event Log'!$D$4:$D$803)))</f>
        <v/>
      </c>
      <c r="AQ103" s="8" t="str">
        <f>IF($B103="","",IF(COUNTIF('Competency Event Log'!$U$4:$U$803,$B103&amp;"|"&amp;AQ$5)=0,"",SUMIF('Competency Event Log'!$U$4:$U$803,$B103&amp;"|"&amp;AQ$5,'Competency Event Log'!$D$4:$D$803)))</f>
        <v/>
      </c>
      <c r="AR103" s="8" t="str">
        <f>IF($B103="","",IF(COUNTIF('Competency Event Log'!$U$4:$U$803,$B103&amp;"|"&amp;AR$5)=0,"",SUMIF('Competency Event Log'!$U$4:$U$803,$B103&amp;"|"&amp;AR$5,'Competency Event Log'!$D$4:$D$803)))</f>
        <v/>
      </c>
      <c r="AS103" s="8" t="str">
        <f>IF($B103="","",IF(COUNTIF('Competency Event Log'!$U$4:$U$803,$B103&amp;"|"&amp;AS$5)=0,"",SUMIF('Competency Event Log'!$U$4:$U$803,$B103&amp;"|"&amp;AS$5,'Competency Event Log'!$D$4:$D$803)))</f>
        <v/>
      </c>
      <c r="AT103" s="8" t="str">
        <f>IF($B103="","",IF(COUNTIF('Competency Event Log'!$U$4:$U$803,$B103&amp;"|"&amp;AT$5)=0,"",SUMIF('Competency Event Log'!$U$4:$U$803,$B103&amp;"|"&amp;AT$5,'Competency Event Log'!$D$4:$D$803)))</f>
        <v/>
      </c>
      <c r="AU103" s="8" t="str">
        <f>IF($B103="","",IF(COUNTIF('Competency Event Log'!$U$4:$U$803,$B103&amp;"|"&amp;AU$5)=0,"",SUMIF('Competency Event Log'!$U$4:$U$803,$B103&amp;"|"&amp;AU$5,'Competency Event Log'!$D$4:$D$803)))</f>
        <v/>
      </c>
      <c r="AV103" s="8" t="str">
        <f>IF($B103="","",IF(COUNTIF('Competency Event Log'!$U$4:$U$803,$B103&amp;"|"&amp;AV$5)=0,"",SUMIF('Competency Event Log'!$U$4:$U$803,$B103&amp;"|"&amp;AV$5,'Competency Event Log'!$D$4:$D$803)))</f>
        <v/>
      </c>
      <c r="AW103" s="8" t="str">
        <f>IF($B103="","",IF(COUNTIF('Competency Event Log'!$U$4:$U$803,$B103&amp;"|"&amp;AW$5)=0,"",SUMIF('Competency Event Log'!$U$4:$U$803,$B103&amp;"|"&amp;AW$5,'Competency Event Log'!$D$4:$D$803)))</f>
        <v/>
      </c>
      <c r="AX103" s="8" t="str">
        <f>IF($B103="","",IF(COUNTIF('Competency Event Log'!$U$4:$U$803,$B103&amp;"|"&amp;AX$5)=0,"",SUMIF('Competency Event Log'!$U$4:$U$803,$B103&amp;"|"&amp;AX$5,'Competency Event Log'!$D$4:$D$803)))</f>
        <v/>
      </c>
      <c r="AY103" s="8" t="str">
        <f>IF($B103="","",IF(COUNTIF('Competency Event Log'!$U$4:$U$803,$B103&amp;"|"&amp;AY$5)=0,"",SUMIF('Competency Event Log'!$U$4:$U$803,$B103&amp;"|"&amp;AY$5,'Competency Event Log'!$D$4:$D$803)))</f>
        <v/>
      </c>
      <c r="AZ103" s="8" t="str">
        <f>IF($B103="","",IF(COUNTIF('Competency Event Log'!$U$4:$U$803,$B103&amp;"|"&amp;AZ$5)=0,"",SUMIF('Competency Event Log'!$U$4:$U$803,$B103&amp;"|"&amp;AZ$5,'Competency Event Log'!$D$4:$D$803)))</f>
        <v/>
      </c>
      <c r="BA103" s="8" t="str">
        <f>IF($B103="","",IF(COUNTIF('Competency Event Log'!$U$4:$U$803,$B103&amp;"|"&amp;BA$5)=0,"",SUMIF('Competency Event Log'!$U$4:$U$803,$B103&amp;"|"&amp;BA$5,'Competency Event Log'!$D$4:$D$803)))</f>
        <v/>
      </c>
      <c r="BB103" s="8" t="str">
        <f>IF($B103="","",IF(COUNTIF('Competency Event Log'!$U$4:$U$803,$B103&amp;"|"&amp;BB$5)=0,"",SUMIF('Competency Event Log'!$U$4:$U$803,$B103&amp;"|"&amp;BB$5,'Competency Event Log'!$D$4:$D$803)))</f>
        <v/>
      </c>
      <c r="BC103" s="8" t="str">
        <f>IF($B103="","",IF(COUNTIF('Competency Event Log'!$U$4:$U$803,$B103&amp;"|"&amp;BC$5)=0,"",SUMIF('Competency Event Log'!$U$4:$U$803,$B103&amp;"|"&amp;BC$5,'Competency Event Log'!$D$4:$D$803)))</f>
        <v/>
      </c>
      <c r="BD103" s="8" t="str">
        <f>IF($B103="","",IF(COUNTIF('Competency Event Log'!$U$4:$U$803,$B103&amp;"|"&amp;BD$5)=0,"",SUMIF('Competency Event Log'!$U$4:$U$803,$B103&amp;"|"&amp;BD$5,'Competency Event Log'!$D$4:$D$803)))</f>
        <v/>
      </c>
      <c r="BE103" s="8" t="str">
        <f>IF($B103="","",IF(COUNTIF('Competency Event Log'!$U$4:$U$803,$B103&amp;"|"&amp;BE$5)=0,"",SUMIF('Competency Event Log'!$U$4:$U$803,$B103&amp;"|"&amp;BE$5,'Competency Event Log'!$D$4:$D$803)))</f>
        <v/>
      </c>
      <c r="BF103" s="8" t="str">
        <f>IF($B103="","",IF(COUNTIF('Competency Event Log'!$U$4:$U$803,$B103&amp;"|"&amp;BF$5)=0,"",SUMIF('Competency Event Log'!$U$4:$U$803,$B103&amp;"|"&amp;BF$5,'Competency Event Log'!$D$4:$D$803)))</f>
        <v/>
      </c>
      <c r="BG103" s="8" t="str">
        <f>IF($B103="","",IF(COUNTIF('Competency Event Log'!$U$4:$U$803,$B103&amp;"|"&amp;BG$5)=0,"",SUMIF('Competency Event Log'!$U$4:$U$803,$B103&amp;"|"&amp;BG$5,'Competency Event Log'!$D$4:$D$803)))</f>
        <v/>
      </c>
      <c r="BH103" s="8" t="str">
        <f>IF($B103="","",IF(COUNTIF('Competency Event Log'!$U$4:$U$803,$B103&amp;"|"&amp;BH$5)=0,"",SUMIF('Competency Event Log'!$U$4:$U$803,$B103&amp;"|"&amp;BH$5,'Competency Event Log'!$D$4:$D$803)))</f>
        <v/>
      </c>
      <c r="BI103" s="8" t="str">
        <f>IF($B103="","",IF(COUNTIF('Competency Event Log'!$U$4:$U$803,$B103&amp;"|"&amp;BI$5)=0,"",SUMIF('Competency Event Log'!$U$4:$U$803,$B103&amp;"|"&amp;BI$5,'Competency Event Log'!$D$4:$D$803)))</f>
        <v/>
      </c>
      <c r="BJ103" s="8" t="str">
        <f>IF($B103="","",IF(COUNTIF('Competency Event Log'!$U$4:$U$803,$B103&amp;"|"&amp;BJ$5)=0,"",SUMIF('Competency Event Log'!$U$4:$U$803,$B103&amp;"|"&amp;BJ$5,'Competency Event Log'!$D$4:$D$803)))</f>
        <v/>
      </c>
      <c r="BK103" s="8" t="str">
        <f>IF($B103="","",IF(COUNTIF('Competency Event Log'!$U$4:$U$803,$B103&amp;"|"&amp;BK$5)=0,"",SUMIF('Competency Event Log'!$U$4:$U$803,$B103&amp;"|"&amp;BK$5,'Competency Event Log'!$D$4:$D$803)))</f>
        <v/>
      </c>
      <c r="BL103" s="8" t="str">
        <f>IF($B103="","",IF(COUNTIF('Competency Event Log'!$U$4:$U$803,$B103&amp;"|"&amp;BL$5)=0,"",SUMIF('Competency Event Log'!$U$4:$U$803,$B103&amp;"|"&amp;BL$5,'Competency Event Log'!$D$4:$D$803)))</f>
        <v/>
      </c>
      <c r="BM103" s="8" t="str">
        <f>IF($B103="","",IF(COUNTIF('Competency Event Log'!$U$4:$U$803,$B103&amp;"|"&amp;BM$5)=0,"",SUMIF('Competency Event Log'!$U$4:$U$803,$B103&amp;"|"&amp;BM$5,'Competency Event Log'!$D$4:$D$803)))</f>
        <v/>
      </c>
      <c r="BN103" s="8" t="str">
        <f>IF($B103="","",IF(COUNTIF('Competency Event Log'!$U$4:$U$803,$B103&amp;"|"&amp;BN$5)=0,"",SUMIF('Competency Event Log'!$U$4:$U$803,$B103&amp;"|"&amp;BN$5,'Competency Event Log'!$D$4:$D$803)))</f>
        <v/>
      </c>
      <c r="BO103" s="8" t="str">
        <f>IF($B103="","",IF(COUNTIF('Competency Event Log'!$U$4:$U$803,$B103&amp;"|"&amp;BO$5)=0,"",SUMIF('Competency Event Log'!$U$4:$U$803,$B103&amp;"|"&amp;BO$5,'Competency Event Log'!$D$4:$D$803)))</f>
        <v/>
      </c>
      <c r="BP103" s="8" t="str">
        <f>IF($B103="","",IF(COUNTIF('Competency Event Log'!$U$4:$U$803,$B103&amp;"|"&amp;BP$5)=0,"",SUMIF('Competency Event Log'!$U$4:$U$803,$B103&amp;"|"&amp;BP$5,'Competency Event Log'!$D$4:$D$803)))</f>
        <v/>
      </c>
      <c r="BQ103" s="8" t="str">
        <f>IF($B103="","",IF(COUNTIF('Competency Event Log'!$U$4:$U$803,$B103&amp;"|"&amp;BQ$5)=0,"",SUMIF('Competency Event Log'!$U$4:$U$803,$B103&amp;"|"&amp;BQ$5,'Competency Event Log'!$D$4:$D$803)))</f>
        <v/>
      </c>
      <c r="BR103" s="8" t="str">
        <f>IF($B103="","",IF(COUNTIF('Competency Event Log'!$U$4:$U$803,$B103&amp;"|"&amp;BR$5)=0,"",SUMIF('Competency Event Log'!$U$4:$U$803,$B103&amp;"|"&amp;BR$5,'Competency Event Log'!$D$4:$D$803)))</f>
        <v/>
      </c>
      <c r="BS103" s="8" t="str">
        <f>IF($B103="","",IF(COUNTIF('Competency Event Log'!$U$4:$U$803,$B103&amp;"|"&amp;BS$5)=0,"",SUMIF('Competency Event Log'!$U$4:$U$803,$B103&amp;"|"&amp;BS$5,'Competency Event Log'!$D$4:$D$803)))</f>
        <v/>
      </c>
      <c r="BT103" s="8" t="str">
        <f>IF($B103="","",IF(COUNTIF('Competency Event Log'!$U$4:$U$803,$B103&amp;"|"&amp;BT$5)=0,"",SUMIF('Competency Event Log'!$U$4:$U$803,$B103&amp;"|"&amp;BT$5,'Competency Event Log'!$D$4:$D$803)))</f>
        <v/>
      </c>
      <c r="BU103" s="8" t="str">
        <f>IF($B103="","",IF(COUNTIF('Competency Event Log'!$U$4:$U$803,$B103&amp;"|"&amp;BU$5)=0,"",SUMIF('Competency Event Log'!$U$4:$U$803,$B103&amp;"|"&amp;BU$5,'Competency Event Log'!$D$4:$D$803)))</f>
        <v/>
      </c>
      <c r="BV103" s="8" t="str">
        <f>IF($B103="","",IF(COUNTIF('Competency Event Log'!$U$4:$U$803,$B103&amp;"|"&amp;BV$5)=0,"",SUMIF('Competency Event Log'!$U$4:$U$803,$B103&amp;"|"&amp;BV$5,'Competency Event Log'!$D$4:$D$803)))</f>
        <v/>
      </c>
      <c r="BW103" s="8" t="str">
        <f>IF($B103="","",IF(COUNTIF('Competency Event Log'!$U$4:$U$803,$B103&amp;"|"&amp;BW$5)=0,"",SUMIF('Competency Event Log'!$U$4:$U$803,$B103&amp;"|"&amp;BW$5,'Competency Event Log'!$D$4:$D$803)))</f>
        <v/>
      </c>
      <c r="BX103" s="8" t="str">
        <f>IF($B103="","",IF(COUNTIF('Competency Event Log'!$U$4:$U$803,$B103&amp;"|"&amp;BX$5)=0,"",SUMIF('Competency Event Log'!$U$4:$U$803,$B103&amp;"|"&amp;BX$5,'Competency Event Log'!$D$4:$D$803)))</f>
        <v/>
      </c>
      <c r="BY103" s="8" t="str">
        <f>IF($B103="","",IF(COUNTIF('Competency Event Log'!$U$4:$U$803,$B103&amp;"|"&amp;BY$5)=0,"",SUMIF('Competency Event Log'!$U$4:$U$803,$B103&amp;"|"&amp;BY$5,'Competency Event Log'!$D$4:$D$803)))</f>
        <v/>
      </c>
      <c r="BZ103" s="8" t="str">
        <f>IF($B103="","",IF(COUNTIF('Competency Event Log'!$U$4:$U$803,$B103&amp;"|"&amp;BZ$5)=0,"",SUMIF('Competency Event Log'!$U$4:$U$803,$B103&amp;"|"&amp;BZ$5,'Competency Event Log'!$D$4:$D$803)))</f>
        <v/>
      </c>
      <c r="CA103" s="8" t="str">
        <f>IF($B103="","",IF(COUNTIF('Competency Event Log'!$U$4:$U$803,$B103&amp;"|"&amp;CA$5)=0,"",SUMIF('Competency Event Log'!$U$4:$U$803,$B103&amp;"|"&amp;CA$5,'Competency Event Log'!$D$4:$D$803)))</f>
        <v/>
      </c>
      <c r="CB103" s="8" t="str">
        <f>IF($B103="","",IF(COUNTIF('Competency Event Log'!$U$4:$U$803,$B103&amp;"|"&amp;CB$5)=0,"",SUMIF('Competency Event Log'!$U$4:$U$803,$B103&amp;"|"&amp;CB$5,'Competency Event Log'!$D$4:$D$803)))</f>
        <v/>
      </c>
      <c r="CC103" s="8" t="str">
        <f>IF($B103="","",IF(COUNTIF('Competency Event Log'!$U$4:$U$803,$B103&amp;"|"&amp;CC$5)=0,"",SUMIF('Competency Event Log'!$U$4:$U$803,$B103&amp;"|"&amp;CC$5,'Competency Event Log'!$D$4:$D$803)))</f>
        <v/>
      </c>
      <c r="CD103" s="8" t="str">
        <f>IF($B103="","",IF(COUNTIF('Competency Event Log'!$U$4:$U$803,$B103&amp;"|"&amp;CD$5)=0,"",SUMIF('Competency Event Log'!$U$4:$U$803,$B103&amp;"|"&amp;CD$5,'Competency Event Log'!$D$4:$D$803)))</f>
        <v/>
      </c>
      <c r="CE103" s="8" t="str">
        <f>IF($B103="","",IF(COUNTIF('Competency Event Log'!$U$4:$U$803,$B103&amp;"|"&amp;CE$5)=0,"",SUMIF('Competency Event Log'!$U$4:$U$803,$B103&amp;"|"&amp;CE$5,'Competency Event Log'!$D$4:$D$803)))</f>
        <v/>
      </c>
      <c r="CF103" s="8" t="str">
        <f>IF($B103="","",IF(COUNTIF('Competency Event Log'!$U$4:$U$803,$B103&amp;"|"&amp;CF$5)=0,"",SUMIF('Competency Event Log'!$U$4:$U$803,$B103&amp;"|"&amp;CF$5,'Competency Event Log'!$D$4:$D$803)))</f>
        <v/>
      </c>
      <c r="CG103" s="8" t="str">
        <f>IF($B103="","",IF(COUNTIF('Competency Event Log'!$U$4:$U$803,$B103&amp;"|"&amp;CG$5)=0,"",SUMIF('Competency Event Log'!$U$4:$U$803,$B103&amp;"|"&amp;CG$5,'Competency Event Log'!$D$4:$D$803)))</f>
        <v/>
      </c>
      <c r="CH103" s="8" t="str">
        <f>IF($B103="","",IF(COUNTIF('Competency Event Log'!$U$4:$U$803,$B103&amp;"|"&amp;CH$5)=0,"",SUMIF('Competency Event Log'!$U$4:$U$803,$B103&amp;"|"&amp;CH$5,'Competency Event Log'!$D$4:$D$803)))</f>
        <v/>
      </c>
      <c r="CI103" s="8" t="str">
        <f>IF($B103="","",IF(COUNTIF('Competency Event Log'!$U$4:$U$803,$B103&amp;"|"&amp;CI$5)=0,"",SUMIF('Competency Event Log'!$U$4:$U$803,$B103&amp;"|"&amp;CI$5,'Competency Event Log'!$D$4:$D$803)))</f>
        <v/>
      </c>
      <c r="CJ103" s="8" t="str">
        <f>IF($B103="","",IF(COUNTIF('Competency Event Log'!$U$4:$U$803,$B103&amp;"|"&amp;CJ$5)=0,"",SUMIF('Competency Event Log'!$U$4:$U$803,$B103&amp;"|"&amp;CJ$5,'Competency Event Log'!$D$4:$D$803)))</f>
        <v/>
      </c>
      <c r="CK103" s="8" t="str">
        <f>IF($B103="","",IF(COUNTIF('Competency Event Log'!$U$4:$U$803,$B103&amp;"|"&amp;CK$5)=0,"",SUMIF('Competency Event Log'!$U$4:$U$803,$B103&amp;"|"&amp;CK$5,'Competency Event Log'!$D$4:$D$803)))</f>
        <v/>
      </c>
      <c r="CL103" s="8" t="str">
        <f>IF($B103="","",IF(COUNTIF('Competency Event Log'!$U$4:$U$803,$B103&amp;"|"&amp;CL$5)=0,"",SUMIF('Competency Event Log'!$U$4:$U$803,$B103&amp;"|"&amp;CL$5,'Competency Event Log'!$D$4:$D$803)))</f>
        <v/>
      </c>
      <c r="CM103" s="8" t="str">
        <f>IF($B103="","",IF(COUNTIF('Competency Event Log'!$U$4:$U$803,$B103&amp;"|"&amp;CM$5)=0,"",SUMIF('Competency Event Log'!$U$4:$U$803,$B103&amp;"|"&amp;CM$5,'Competency Event Log'!$D$4:$D$803)))</f>
        <v/>
      </c>
      <c r="CN103" s="8" t="str">
        <f>IF($B103="","",IF(COUNTIF('Competency Event Log'!$U$4:$U$803,$B103&amp;"|"&amp;CN$5)=0,"",SUMIF('Competency Event Log'!$U$4:$U$803,$B103&amp;"|"&amp;CN$5,'Competency Event Log'!$D$4:$D$803)))</f>
        <v/>
      </c>
      <c r="CO103" s="8" t="str">
        <f>IF($B103="","",IF(COUNTIF('Competency Event Log'!$U$4:$U$803,$B103&amp;"|"&amp;CO$5)=0,"",SUMIF('Competency Event Log'!$U$4:$U$803,$B103&amp;"|"&amp;CO$5,'Competency Event Log'!$D$4:$D$803)))</f>
        <v/>
      </c>
      <c r="CP103" s="8" t="str">
        <f>IF($B103="","",IF(COUNTIF('Competency Event Log'!$U$4:$U$803,$B103&amp;"|"&amp;CP$5)=0,"",SUMIF('Competency Event Log'!$U$4:$U$803,$B103&amp;"|"&amp;CP$5,'Competency Event Log'!$D$4:$D$803)))</f>
        <v/>
      </c>
      <c r="CQ103" s="8" t="str">
        <f>IF($B103="","",IF(COUNTIF('Competency Event Log'!$U$4:$U$803,$B103&amp;"|"&amp;CQ$5)=0,"",SUMIF('Competency Event Log'!$U$4:$U$803,$B103&amp;"|"&amp;CQ$5,'Competency Event Log'!$D$4:$D$803)))</f>
        <v/>
      </c>
      <c r="CR103" s="8" t="str">
        <f>IF($B103="","",IF(COUNTIF('Competency Event Log'!$U$4:$U$803,$B103&amp;"|"&amp;CR$5)=0,"",SUMIF('Competency Event Log'!$U$4:$U$803,$B103&amp;"|"&amp;CR$5,'Competency Event Log'!$D$4:$D$803)))</f>
        <v/>
      </c>
      <c r="CS103" s="8" t="str">
        <f>IF($B103="","",IF(COUNTIF('Competency Event Log'!$U$4:$U$803,$B103&amp;"|"&amp;CS$5)=0,"",SUMIF('Competency Event Log'!$U$4:$U$803,$B103&amp;"|"&amp;CS$5,'Competency Event Log'!$D$4:$D$803)))</f>
        <v/>
      </c>
      <c r="CT103" s="8" t="str">
        <f>IF($B103="","",IF(COUNTIF('Competency Event Log'!$U$4:$U$803,$B103&amp;"|"&amp;CT$5)=0,"",SUMIF('Competency Event Log'!$U$4:$U$803,$B103&amp;"|"&amp;CT$5,'Competency Event Log'!$D$4:$D$803)))</f>
        <v/>
      </c>
      <c r="CU103" s="8" t="str">
        <f>IF($B103="","",IF(COUNTIF('Competency Event Log'!$U$4:$U$803,$B103&amp;"|"&amp;CU$5)=0,"",SUMIF('Competency Event Log'!$U$4:$U$803,$B103&amp;"|"&amp;CU$5,'Competency Event Log'!$D$4:$D$803)))</f>
        <v/>
      </c>
      <c r="CV103" s="8" t="str">
        <f>IF($B103="","",IF(COUNTIF('Competency Event Log'!$U$4:$U$803,$B103&amp;"|"&amp;CV$5)=0,"",SUMIF('Competency Event Log'!$U$4:$U$803,$B103&amp;"|"&amp;CV$5,'Competency Event Log'!$D$4:$D$803)))</f>
        <v/>
      </c>
      <c r="CW103" s="8" t="str">
        <f>IF($B103="","",IF(COUNTIF('Competency Event Log'!$U$4:$U$803,$B103&amp;"|"&amp;CW$5)=0,"",SUMIF('Competency Event Log'!$U$4:$U$803,$B103&amp;"|"&amp;CW$5,'Competency Event Log'!$D$4:$D$803)))</f>
        <v/>
      </c>
      <c r="CX103" s="8" t="str">
        <f>IF($B103="","",IF(COUNTIF('Competency Event Log'!$U$4:$U$803,$B103&amp;"|"&amp;CX$5)=0,"",SUMIF('Competency Event Log'!$U$4:$U$803,$B103&amp;"|"&amp;CX$5,'Competency Event Log'!$D$4:$D$803)))</f>
        <v/>
      </c>
      <c r="CY103" s="8" t="str">
        <f>IF($B103="","",IF(COUNTIF('Competency Event Log'!$U$4:$U$803,$B103&amp;"|"&amp;CY$5)=0,"",SUMIF('Competency Event Log'!$U$4:$U$803,$B103&amp;"|"&amp;CY$5,'Competency Event Log'!$D$4:$D$803)))</f>
        <v/>
      </c>
      <c r="CZ103" s="8" t="str">
        <f>IF($B103="","",IF(COUNTIF('Competency Event Log'!$U$4:$U$803,$B103&amp;"|"&amp;CZ$5)=0,"",SUMIF('Competency Event Log'!$U$4:$U$803,$B103&amp;"|"&amp;CZ$5,'Competency Event Log'!$D$4:$D$803)))</f>
        <v/>
      </c>
      <c r="DA103" s="8" t="str">
        <f>IF($B103="","",IF(COUNTIF('Competency Event Log'!$U$4:$U$803,$B103&amp;"|"&amp;DA$5)=0,"",SUMIF('Competency Event Log'!$U$4:$U$803,$B103&amp;"|"&amp;DA$5,'Competency Event Log'!$D$4:$D$803)))</f>
        <v/>
      </c>
      <c r="DB103" s="8" t="str">
        <f>IF($B103="","",IF(COUNTIF('Competency Event Log'!$U$4:$U$803,$B103&amp;"|"&amp;DB$5)=0,"",SUMIF('Competency Event Log'!$U$4:$U$803,$B103&amp;"|"&amp;DB$5,'Competency Event Log'!$D$4:$D$803)))</f>
        <v/>
      </c>
      <c r="DC103" s="8" t="str">
        <f>IF($B103="","",IF(COUNTIF('Competency Event Log'!$U$4:$U$803,$B103&amp;"|"&amp;DC$5)=0,"",SUMIF('Competency Event Log'!$U$4:$U$803,$B103&amp;"|"&amp;DC$5,'Competency Event Log'!$D$4:$D$803)))</f>
        <v/>
      </c>
      <c r="DD103" s="8" t="str">
        <f>IF($B103="","",IF(COUNTIF('Competency Event Log'!$U$4:$U$803,$B103&amp;"|"&amp;DD$5)=0,"",SUMIF('Competency Event Log'!$U$4:$U$803,$B103&amp;"|"&amp;DD$5,'Competency Event Log'!$D$4:$D$803)))</f>
        <v/>
      </c>
      <c r="DE103" s="8" t="str">
        <f>IF($B103="","",IF(COUNTIF('Competency Event Log'!$U$4:$U$803,$B103&amp;"|"&amp;DE$5)=0,"",SUMIF('Competency Event Log'!$U$4:$U$803,$B103&amp;"|"&amp;DE$5,'Competency Event Log'!$D$4:$D$803)))</f>
        <v/>
      </c>
      <c r="DF103" s="8" t="str">
        <f t="shared" si="12"/>
        <v/>
      </c>
      <c r="DG103" s="8" t="str">
        <f t="shared" si="13"/>
        <v/>
      </c>
      <c r="DH103" s="8" t="str">
        <f t="shared" si="14"/>
        <v/>
      </c>
      <c r="DI103" s="11" t="str">
        <f t="shared" si="15"/>
        <v/>
      </c>
    </row>
    <row r="104" spans="1:113">
      <c r="A104" s="7"/>
      <c r="B104" s="7"/>
      <c r="C104" s="8"/>
      <c r="D104" s="9"/>
      <c r="E104" s="10"/>
      <c r="F104" s="8"/>
      <c r="G104" s="8" t="str">
        <f>IF($B104="","",IF(COUNTIF('Competency Event Log'!$U$4:$U$803,$B104&amp;"|"&amp;G$5)=0,"",SUMIF('Competency Event Log'!$U$4:$U$803,$B104&amp;"|"&amp;G$5,'Competency Event Log'!$D$4:$D$803)))</f>
        <v/>
      </c>
      <c r="H104" s="8" t="str">
        <f>IF($B104="","",IF(COUNTIF('Competency Event Log'!$U$4:$U$803,$B104&amp;"|"&amp;H$5)=0,"",SUMIF('Competency Event Log'!$U$4:$U$803,$B104&amp;"|"&amp;H$5,'Competency Event Log'!$D$4:$D$803)))</f>
        <v/>
      </c>
      <c r="I104" s="8" t="str">
        <f>IF($B104="","",IF(COUNTIF('Competency Event Log'!$U$4:$U$803,$B104&amp;"|"&amp;I$5)=0,"",SUMIF('Competency Event Log'!$U$4:$U$803,$B104&amp;"|"&amp;I$5,'Competency Event Log'!$D$4:$D$803)))</f>
        <v/>
      </c>
      <c r="J104" s="8" t="str">
        <f>IF($B104="","",IF(COUNTIF('Competency Event Log'!$U$4:$U$803,$B104&amp;"|"&amp;J$5)=0,"",SUMIF('Competency Event Log'!$U$4:$U$803,$B104&amp;"|"&amp;J$5,'Competency Event Log'!$D$4:$D$803)))</f>
        <v/>
      </c>
      <c r="K104" s="8" t="str">
        <f>IF($B104="","",IF(COUNTIF('Competency Event Log'!$U$4:$U$803,$B104&amp;"|"&amp;K$5)=0,"",SUMIF('Competency Event Log'!$U$4:$U$803,$B104&amp;"|"&amp;K$5,'Competency Event Log'!$D$4:$D$803)))</f>
        <v/>
      </c>
      <c r="L104" s="8" t="str">
        <f>IF($B104="","",IF(COUNTIF('Competency Event Log'!$U$4:$U$803,$B104&amp;"|"&amp;L$5)=0,"",SUMIF('Competency Event Log'!$U$4:$U$803,$B104&amp;"|"&amp;L$5,'Competency Event Log'!$D$4:$D$803)))</f>
        <v/>
      </c>
      <c r="M104" s="8" t="str">
        <f>IF($B104="","",IF(COUNTIF('Competency Event Log'!$U$4:$U$803,$B104&amp;"|"&amp;M$5)=0,"",SUMIF('Competency Event Log'!$U$4:$U$803,$B104&amp;"|"&amp;M$5,'Competency Event Log'!$D$4:$D$803)))</f>
        <v/>
      </c>
      <c r="N104" s="8" t="str">
        <f>IF($B104="","",IF(COUNTIF('Competency Event Log'!$U$4:$U$803,$B104&amp;"|"&amp;N$5)=0,"",SUMIF('Competency Event Log'!$U$4:$U$803,$B104&amp;"|"&amp;N$5,'Competency Event Log'!$D$4:$D$803)))</f>
        <v/>
      </c>
      <c r="O104" s="8" t="str">
        <f>IF($B104="","",IF(COUNTIF('Competency Event Log'!$U$4:$U$803,$B104&amp;"|"&amp;O$5)=0,"",SUMIF('Competency Event Log'!$U$4:$U$803,$B104&amp;"|"&amp;O$5,'Competency Event Log'!$D$4:$D$803)))</f>
        <v/>
      </c>
      <c r="P104" s="8" t="str">
        <f>IF($B104="","",IF(COUNTIF('Competency Event Log'!$U$4:$U$803,$B104&amp;"|"&amp;P$5)=0,"",SUMIF('Competency Event Log'!$U$4:$U$803,$B104&amp;"|"&amp;P$5,'Competency Event Log'!$D$4:$D$803)))</f>
        <v/>
      </c>
      <c r="Q104" s="8" t="str">
        <f>IF($B104="","",IF(COUNTIF('Competency Event Log'!$U$4:$U$803,$B104&amp;"|"&amp;Q$5)=0,"",SUMIF('Competency Event Log'!$U$4:$U$803,$B104&amp;"|"&amp;Q$5,'Competency Event Log'!$D$4:$D$803)))</f>
        <v/>
      </c>
      <c r="R104" s="8" t="str">
        <f>IF($B104="","",IF(COUNTIF('Competency Event Log'!$U$4:$U$803,$B104&amp;"|"&amp;R$5)=0,"",SUMIF('Competency Event Log'!$U$4:$U$803,$B104&amp;"|"&amp;R$5,'Competency Event Log'!$D$4:$D$803)))</f>
        <v/>
      </c>
      <c r="S104" s="8" t="str">
        <f>IF($B104="","",IF(COUNTIF('Competency Event Log'!$U$4:$U$803,$B104&amp;"|"&amp;S$5)=0,"",SUMIF('Competency Event Log'!$U$4:$U$803,$B104&amp;"|"&amp;S$5,'Competency Event Log'!$D$4:$D$803)))</f>
        <v/>
      </c>
      <c r="T104" s="8" t="str">
        <f>IF($B104="","",IF(COUNTIF('Competency Event Log'!$U$4:$U$803,$B104&amp;"|"&amp;T$5)=0,"",SUMIF('Competency Event Log'!$U$4:$U$803,$B104&amp;"|"&amp;T$5,'Competency Event Log'!$D$4:$D$803)))</f>
        <v/>
      </c>
      <c r="U104" s="8" t="str">
        <f>IF($B104="","",IF(COUNTIF('Competency Event Log'!$U$4:$U$803,$B104&amp;"|"&amp;U$5)=0,"",SUMIF('Competency Event Log'!$U$4:$U$803,$B104&amp;"|"&amp;U$5,'Competency Event Log'!$D$4:$D$803)))</f>
        <v/>
      </c>
      <c r="V104" s="8" t="str">
        <f>IF($B104="","",IF(COUNTIF('Competency Event Log'!$U$4:$U$803,$B104&amp;"|"&amp;V$5)=0,"",SUMIF('Competency Event Log'!$U$4:$U$803,$B104&amp;"|"&amp;V$5,'Competency Event Log'!$D$4:$D$803)))</f>
        <v/>
      </c>
      <c r="W104" s="8" t="str">
        <f>IF($B104="","",IF(COUNTIF('Competency Event Log'!$U$4:$U$803,$B104&amp;"|"&amp;W$5)=0,"",SUMIF('Competency Event Log'!$U$4:$U$803,$B104&amp;"|"&amp;W$5,'Competency Event Log'!$D$4:$D$803)))</f>
        <v/>
      </c>
      <c r="X104" s="8" t="str">
        <f>IF($B104="","",IF(COUNTIF('Competency Event Log'!$U$4:$U$803,$B104&amp;"|"&amp;X$5)=0,"",SUMIF('Competency Event Log'!$U$4:$U$803,$B104&amp;"|"&amp;X$5,'Competency Event Log'!$D$4:$D$803)))</f>
        <v/>
      </c>
      <c r="Y104" s="8" t="str">
        <f>IF($B104="","",IF(COUNTIF('Competency Event Log'!$U$4:$U$803,$B104&amp;"|"&amp;Y$5)=0,"",SUMIF('Competency Event Log'!$U$4:$U$803,$B104&amp;"|"&amp;Y$5,'Competency Event Log'!$D$4:$D$803)))</f>
        <v/>
      </c>
      <c r="Z104" s="8" t="str">
        <f>IF($B104="","",IF(COUNTIF('Competency Event Log'!$U$4:$U$803,$B104&amp;"|"&amp;Z$5)=0,"",SUMIF('Competency Event Log'!$U$4:$U$803,$B104&amp;"|"&amp;Z$5,'Competency Event Log'!$D$4:$D$803)))</f>
        <v/>
      </c>
      <c r="AA104" s="8" t="str">
        <f>IF($B104="","",IF(COUNTIF('Competency Event Log'!$U$4:$U$803,$B104&amp;"|"&amp;AA$5)=0,"",SUMIF('Competency Event Log'!$U$4:$U$803,$B104&amp;"|"&amp;AA$5,'Competency Event Log'!$D$4:$D$803)))</f>
        <v/>
      </c>
      <c r="AB104" s="8" t="str">
        <f>IF($B104="","",IF(COUNTIF('Competency Event Log'!$U$4:$U$803,$B104&amp;"|"&amp;AB$5)=0,"",SUMIF('Competency Event Log'!$U$4:$U$803,$B104&amp;"|"&amp;AB$5,'Competency Event Log'!$D$4:$D$803)))</f>
        <v/>
      </c>
      <c r="AC104" s="8" t="str">
        <f>IF($B104="","",IF(COUNTIF('Competency Event Log'!$U$4:$U$803,$B104&amp;"|"&amp;AC$5)=0,"",SUMIF('Competency Event Log'!$U$4:$U$803,$B104&amp;"|"&amp;AC$5,'Competency Event Log'!$D$4:$D$803)))</f>
        <v/>
      </c>
      <c r="AD104" s="8" t="str">
        <f>IF($B104="","",IF(COUNTIF('Competency Event Log'!$U$4:$U$803,$B104&amp;"|"&amp;AD$5)=0,"",SUMIF('Competency Event Log'!$U$4:$U$803,$B104&amp;"|"&amp;AD$5,'Competency Event Log'!$D$4:$D$803)))</f>
        <v/>
      </c>
      <c r="AE104" s="8" t="str">
        <f>IF($B104="","",IF(COUNTIF('Competency Event Log'!$U$4:$U$803,$B104&amp;"|"&amp;AE$5)=0,"",SUMIF('Competency Event Log'!$U$4:$U$803,$B104&amp;"|"&amp;AE$5,'Competency Event Log'!$D$4:$D$803)))</f>
        <v/>
      </c>
      <c r="AF104" s="8" t="str">
        <f>IF($B104="","",IF(COUNTIF('Competency Event Log'!$U$4:$U$803,$B104&amp;"|"&amp;AF$5)=0,"",SUMIF('Competency Event Log'!$U$4:$U$803,$B104&amp;"|"&amp;AF$5,'Competency Event Log'!$D$4:$D$803)))</f>
        <v/>
      </c>
      <c r="AG104" s="8" t="str">
        <f>IF($B104="","",IF(COUNTIF('Competency Event Log'!$U$4:$U$803,$B104&amp;"|"&amp;AG$5)=0,"",SUMIF('Competency Event Log'!$U$4:$U$803,$B104&amp;"|"&amp;AG$5,'Competency Event Log'!$D$4:$D$803)))</f>
        <v/>
      </c>
      <c r="AH104" s="8" t="str">
        <f>IF($B104="","",IF(COUNTIF('Competency Event Log'!$U$4:$U$803,$B104&amp;"|"&amp;AH$5)=0,"",SUMIF('Competency Event Log'!$U$4:$U$803,$B104&amp;"|"&amp;AH$5,'Competency Event Log'!$D$4:$D$803)))</f>
        <v/>
      </c>
      <c r="AI104" s="8" t="str">
        <f>IF($B104="","",IF(COUNTIF('Competency Event Log'!$U$4:$U$803,$B104&amp;"|"&amp;AI$5)=0,"",SUMIF('Competency Event Log'!$U$4:$U$803,$B104&amp;"|"&amp;AI$5,'Competency Event Log'!$D$4:$D$803)))</f>
        <v/>
      </c>
      <c r="AJ104" s="8" t="str">
        <f>IF($B104="","",IF(COUNTIF('Competency Event Log'!$U$4:$U$803,$B104&amp;"|"&amp;AJ$5)=0,"",SUMIF('Competency Event Log'!$U$4:$U$803,$B104&amp;"|"&amp;AJ$5,'Competency Event Log'!$D$4:$D$803)))</f>
        <v/>
      </c>
      <c r="AK104" s="8" t="str">
        <f>IF($B104="","",IF(COUNTIF('Competency Event Log'!$U$4:$U$803,$B104&amp;"|"&amp;AK$5)=0,"",SUMIF('Competency Event Log'!$U$4:$U$803,$B104&amp;"|"&amp;AK$5,'Competency Event Log'!$D$4:$D$803)))</f>
        <v/>
      </c>
      <c r="AL104" s="8" t="str">
        <f>IF($B104="","",IF(COUNTIF('Competency Event Log'!$U$4:$U$803,$B104&amp;"|"&amp;AL$5)=0,"",SUMIF('Competency Event Log'!$U$4:$U$803,$B104&amp;"|"&amp;AL$5,'Competency Event Log'!$D$4:$D$803)))</f>
        <v/>
      </c>
      <c r="AM104" s="8" t="str">
        <f>IF($B104="","",IF(COUNTIF('Competency Event Log'!$U$4:$U$803,$B104&amp;"|"&amp;AM$5)=0,"",SUMIF('Competency Event Log'!$U$4:$U$803,$B104&amp;"|"&amp;AM$5,'Competency Event Log'!$D$4:$D$803)))</f>
        <v/>
      </c>
      <c r="AN104" s="8" t="str">
        <f>IF($B104="","",IF(COUNTIF('Competency Event Log'!$U$4:$U$803,$B104&amp;"|"&amp;AN$5)=0,"",SUMIF('Competency Event Log'!$U$4:$U$803,$B104&amp;"|"&amp;AN$5,'Competency Event Log'!$D$4:$D$803)))</f>
        <v/>
      </c>
      <c r="AO104" s="8" t="str">
        <f>IF($B104="","",IF(COUNTIF('Competency Event Log'!$U$4:$U$803,$B104&amp;"|"&amp;AO$5)=0,"",SUMIF('Competency Event Log'!$U$4:$U$803,$B104&amp;"|"&amp;AO$5,'Competency Event Log'!$D$4:$D$803)))</f>
        <v/>
      </c>
      <c r="AP104" s="8" t="str">
        <f>IF($B104="","",IF(COUNTIF('Competency Event Log'!$U$4:$U$803,$B104&amp;"|"&amp;AP$5)=0,"",SUMIF('Competency Event Log'!$U$4:$U$803,$B104&amp;"|"&amp;AP$5,'Competency Event Log'!$D$4:$D$803)))</f>
        <v/>
      </c>
      <c r="AQ104" s="8" t="str">
        <f>IF($B104="","",IF(COUNTIF('Competency Event Log'!$U$4:$U$803,$B104&amp;"|"&amp;AQ$5)=0,"",SUMIF('Competency Event Log'!$U$4:$U$803,$B104&amp;"|"&amp;AQ$5,'Competency Event Log'!$D$4:$D$803)))</f>
        <v/>
      </c>
      <c r="AR104" s="8" t="str">
        <f>IF($B104="","",IF(COUNTIF('Competency Event Log'!$U$4:$U$803,$B104&amp;"|"&amp;AR$5)=0,"",SUMIF('Competency Event Log'!$U$4:$U$803,$B104&amp;"|"&amp;AR$5,'Competency Event Log'!$D$4:$D$803)))</f>
        <v/>
      </c>
      <c r="AS104" s="8" t="str">
        <f>IF($B104="","",IF(COUNTIF('Competency Event Log'!$U$4:$U$803,$B104&amp;"|"&amp;AS$5)=0,"",SUMIF('Competency Event Log'!$U$4:$U$803,$B104&amp;"|"&amp;AS$5,'Competency Event Log'!$D$4:$D$803)))</f>
        <v/>
      </c>
      <c r="AT104" s="8" t="str">
        <f>IF($B104="","",IF(COUNTIF('Competency Event Log'!$U$4:$U$803,$B104&amp;"|"&amp;AT$5)=0,"",SUMIF('Competency Event Log'!$U$4:$U$803,$B104&amp;"|"&amp;AT$5,'Competency Event Log'!$D$4:$D$803)))</f>
        <v/>
      </c>
      <c r="AU104" s="8" t="str">
        <f>IF($B104="","",IF(COUNTIF('Competency Event Log'!$U$4:$U$803,$B104&amp;"|"&amp;AU$5)=0,"",SUMIF('Competency Event Log'!$U$4:$U$803,$B104&amp;"|"&amp;AU$5,'Competency Event Log'!$D$4:$D$803)))</f>
        <v/>
      </c>
      <c r="AV104" s="8" t="str">
        <f>IF($B104="","",IF(COUNTIF('Competency Event Log'!$U$4:$U$803,$B104&amp;"|"&amp;AV$5)=0,"",SUMIF('Competency Event Log'!$U$4:$U$803,$B104&amp;"|"&amp;AV$5,'Competency Event Log'!$D$4:$D$803)))</f>
        <v/>
      </c>
      <c r="AW104" s="8" t="str">
        <f>IF($B104="","",IF(COUNTIF('Competency Event Log'!$U$4:$U$803,$B104&amp;"|"&amp;AW$5)=0,"",SUMIF('Competency Event Log'!$U$4:$U$803,$B104&amp;"|"&amp;AW$5,'Competency Event Log'!$D$4:$D$803)))</f>
        <v/>
      </c>
      <c r="AX104" s="8" t="str">
        <f>IF($B104="","",IF(COUNTIF('Competency Event Log'!$U$4:$U$803,$B104&amp;"|"&amp;AX$5)=0,"",SUMIF('Competency Event Log'!$U$4:$U$803,$B104&amp;"|"&amp;AX$5,'Competency Event Log'!$D$4:$D$803)))</f>
        <v/>
      </c>
      <c r="AY104" s="8" t="str">
        <f>IF($B104="","",IF(COUNTIF('Competency Event Log'!$U$4:$U$803,$B104&amp;"|"&amp;AY$5)=0,"",SUMIF('Competency Event Log'!$U$4:$U$803,$B104&amp;"|"&amp;AY$5,'Competency Event Log'!$D$4:$D$803)))</f>
        <v/>
      </c>
      <c r="AZ104" s="8" t="str">
        <f>IF($B104="","",IF(COUNTIF('Competency Event Log'!$U$4:$U$803,$B104&amp;"|"&amp;AZ$5)=0,"",SUMIF('Competency Event Log'!$U$4:$U$803,$B104&amp;"|"&amp;AZ$5,'Competency Event Log'!$D$4:$D$803)))</f>
        <v/>
      </c>
      <c r="BA104" s="8" t="str">
        <f>IF($B104="","",IF(COUNTIF('Competency Event Log'!$U$4:$U$803,$B104&amp;"|"&amp;BA$5)=0,"",SUMIF('Competency Event Log'!$U$4:$U$803,$B104&amp;"|"&amp;BA$5,'Competency Event Log'!$D$4:$D$803)))</f>
        <v/>
      </c>
      <c r="BB104" s="8" t="str">
        <f>IF($B104="","",IF(COUNTIF('Competency Event Log'!$U$4:$U$803,$B104&amp;"|"&amp;BB$5)=0,"",SUMIF('Competency Event Log'!$U$4:$U$803,$B104&amp;"|"&amp;BB$5,'Competency Event Log'!$D$4:$D$803)))</f>
        <v/>
      </c>
      <c r="BC104" s="8" t="str">
        <f>IF($B104="","",IF(COUNTIF('Competency Event Log'!$U$4:$U$803,$B104&amp;"|"&amp;BC$5)=0,"",SUMIF('Competency Event Log'!$U$4:$U$803,$B104&amp;"|"&amp;BC$5,'Competency Event Log'!$D$4:$D$803)))</f>
        <v/>
      </c>
      <c r="BD104" s="8" t="str">
        <f>IF($B104="","",IF(COUNTIF('Competency Event Log'!$U$4:$U$803,$B104&amp;"|"&amp;BD$5)=0,"",SUMIF('Competency Event Log'!$U$4:$U$803,$B104&amp;"|"&amp;BD$5,'Competency Event Log'!$D$4:$D$803)))</f>
        <v/>
      </c>
      <c r="BE104" s="8" t="str">
        <f>IF($B104="","",IF(COUNTIF('Competency Event Log'!$U$4:$U$803,$B104&amp;"|"&amp;BE$5)=0,"",SUMIF('Competency Event Log'!$U$4:$U$803,$B104&amp;"|"&amp;BE$5,'Competency Event Log'!$D$4:$D$803)))</f>
        <v/>
      </c>
      <c r="BF104" s="8" t="str">
        <f>IF($B104="","",IF(COUNTIF('Competency Event Log'!$U$4:$U$803,$B104&amp;"|"&amp;BF$5)=0,"",SUMIF('Competency Event Log'!$U$4:$U$803,$B104&amp;"|"&amp;BF$5,'Competency Event Log'!$D$4:$D$803)))</f>
        <v/>
      </c>
      <c r="BG104" s="8" t="str">
        <f>IF($B104="","",IF(COUNTIF('Competency Event Log'!$U$4:$U$803,$B104&amp;"|"&amp;BG$5)=0,"",SUMIF('Competency Event Log'!$U$4:$U$803,$B104&amp;"|"&amp;BG$5,'Competency Event Log'!$D$4:$D$803)))</f>
        <v/>
      </c>
      <c r="BH104" s="8" t="str">
        <f>IF($B104="","",IF(COUNTIF('Competency Event Log'!$U$4:$U$803,$B104&amp;"|"&amp;BH$5)=0,"",SUMIF('Competency Event Log'!$U$4:$U$803,$B104&amp;"|"&amp;BH$5,'Competency Event Log'!$D$4:$D$803)))</f>
        <v/>
      </c>
      <c r="BI104" s="8" t="str">
        <f>IF($B104="","",IF(COUNTIF('Competency Event Log'!$U$4:$U$803,$B104&amp;"|"&amp;BI$5)=0,"",SUMIF('Competency Event Log'!$U$4:$U$803,$B104&amp;"|"&amp;BI$5,'Competency Event Log'!$D$4:$D$803)))</f>
        <v/>
      </c>
      <c r="BJ104" s="8" t="str">
        <f>IF($B104="","",IF(COUNTIF('Competency Event Log'!$U$4:$U$803,$B104&amp;"|"&amp;BJ$5)=0,"",SUMIF('Competency Event Log'!$U$4:$U$803,$B104&amp;"|"&amp;BJ$5,'Competency Event Log'!$D$4:$D$803)))</f>
        <v/>
      </c>
      <c r="BK104" s="8" t="str">
        <f>IF($B104="","",IF(COUNTIF('Competency Event Log'!$U$4:$U$803,$B104&amp;"|"&amp;BK$5)=0,"",SUMIF('Competency Event Log'!$U$4:$U$803,$B104&amp;"|"&amp;BK$5,'Competency Event Log'!$D$4:$D$803)))</f>
        <v/>
      </c>
      <c r="BL104" s="8" t="str">
        <f>IF($B104="","",IF(COUNTIF('Competency Event Log'!$U$4:$U$803,$B104&amp;"|"&amp;BL$5)=0,"",SUMIF('Competency Event Log'!$U$4:$U$803,$B104&amp;"|"&amp;BL$5,'Competency Event Log'!$D$4:$D$803)))</f>
        <v/>
      </c>
      <c r="BM104" s="8" t="str">
        <f>IF($B104="","",IF(COUNTIF('Competency Event Log'!$U$4:$U$803,$B104&amp;"|"&amp;BM$5)=0,"",SUMIF('Competency Event Log'!$U$4:$U$803,$B104&amp;"|"&amp;BM$5,'Competency Event Log'!$D$4:$D$803)))</f>
        <v/>
      </c>
      <c r="BN104" s="8" t="str">
        <f>IF($B104="","",IF(COUNTIF('Competency Event Log'!$U$4:$U$803,$B104&amp;"|"&amp;BN$5)=0,"",SUMIF('Competency Event Log'!$U$4:$U$803,$B104&amp;"|"&amp;BN$5,'Competency Event Log'!$D$4:$D$803)))</f>
        <v/>
      </c>
      <c r="BO104" s="8" t="str">
        <f>IF($B104="","",IF(COUNTIF('Competency Event Log'!$U$4:$U$803,$B104&amp;"|"&amp;BO$5)=0,"",SUMIF('Competency Event Log'!$U$4:$U$803,$B104&amp;"|"&amp;BO$5,'Competency Event Log'!$D$4:$D$803)))</f>
        <v/>
      </c>
      <c r="BP104" s="8" t="str">
        <f>IF($B104="","",IF(COUNTIF('Competency Event Log'!$U$4:$U$803,$B104&amp;"|"&amp;BP$5)=0,"",SUMIF('Competency Event Log'!$U$4:$U$803,$B104&amp;"|"&amp;BP$5,'Competency Event Log'!$D$4:$D$803)))</f>
        <v/>
      </c>
      <c r="BQ104" s="8" t="str">
        <f>IF($B104="","",IF(COUNTIF('Competency Event Log'!$U$4:$U$803,$B104&amp;"|"&amp;BQ$5)=0,"",SUMIF('Competency Event Log'!$U$4:$U$803,$B104&amp;"|"&amp;BQ$5,'Competency Event Log'!$D$4:$D$803)))</f>
        <v/>
      </c>
      <c r="BR104" s="8" t="str">
        <f>IF($B104="","",IF(COUNTIF('Competency Event Log'!$U$4:$U$803,$B104&amp;"|"&amp;BR$5)=0,"",SUMIF('Competency Event Log'!$U$4:$U$803,$B104&amp;"|"&amp;BR$5,'Competency Event Log'!$D$4:$D$803)))</f>
        <v/>
      </c>
      <c r="BS104" s="8" t="str">
        <f>IF($B104="","",IF(COUNTIF('Competency Event Log'!$U$4:$U$803,$B104&amp;"|"&amp;BS$5)=0,"",SUMIF('Competency Event Log'!$U$4:$U$803,$B104&amp;"|"&amp;BS$5,'Competency Event Log'!$D$4:$D$803)))</f>
        <v/>
      </c>
      <c r="BT104" s="8" t="str">
        <f>IF($B104="","",IF(COUNTIF('Competency Event Log'!$U$4:$U$803,$B104&amp;"|"&amp;BT$5)=0,"",SUMIF('Competency Event Log'!$U$4:$U$803,$B104&amp;"|"&amp;BT$5,'Competency Event Log'!$D$4:$D$803)))</f>
        <v/>
      </c>
      <c r="BU104" s="8" t="str">
        <f>IF($B104="","",IF(COUNTIF('Competency Event Log'!$U$4:$U$803,$B104&amp;"|"&amp;BU$5)=0,"",SUMIF('Competency Event Log'!$U$4:$U$803,$B104&amp;"|"&amp;BU$5,'Competency Event Log'!$D$4:$D$803)))</f>
        <v/>
      </c>
      <c r="BV104" s="8" t="str">
        <f>IF($B104="","",IF(COUNTIF('Competency Event Log'!$U$4:$U$803,$B104&amp;"|"&amp;BV$5)=0,"",SUMIF('Competency Event Log'!$U$4:$U$803,$B104&amp;"|"&amp;BV$5,'Competency Event Log'!$D$4:$D$803)))</f>
        <v/>
      </c>
      <c r="BW104" s="8" t="str">
        <f>IF($B104="","",IF(COUNTIF('Competency Event Log'!$U$4:$U$803,$B104&amp;"|"&amp;BW$5)=0,"",SUMIF('Competency Event Log'!$U$4:$U$803,$B104&amp;"|"&amp;BW$5,'Competency Event Log'!$D$4:$D$803)))</f>
        <v/>
      </c>
      <c r="BX104" s="8" t="str">
        <f>IF($B104="","",IF(COUNTIF('Competency Event Log'!$U$4:$U$803,$B104&amp;"|"&amp;BX$5)=0,"",SUMIF('Competency Event Log'!$U$4:$U$803,$B104&amp;"|"&amp;BX$5,'Competency Event Log'!$D$4:$D$803)))</f>
        <v/>
      </c>
      <c r="BY104" s="8" t="str">
        <f>IF($B104="","",IF(COUNTIF('Competency Event Log'!$U$4:$U$803,$B104&amp;"|"&amp;BY$5)=0,"",SUMIF('Competency Event Log'!$U$4:$U$803,$B104&amp;"|"&amp;BY$5,'Competency Event Log'!$D$4:$D$803)))</f>
        <v/>
      </c>
      <c r="BZ104" s="8" t="str">
        <f>IF($B104="","",IF(COUNTIF('Competency Event Log'!$U$4:$U$803,$B104&amp;"|"&amp;BZ$5)=0,"",SUMIF('Competency Event Log'!$U$4:$U$803,$B104&amp;"|"&amp;BZ$5,'Competency Event Log'!$D$4:$D$803)))</f>
        <v/>
      </c>
      <c r="CA104" s="8" t="str">
        <f>IF($B104="","",IF(COUNTIF('Competency Event Log'!$U$4:$U$803,$B104&amp;"|"&amp;CA$5)=0,"",SUMIF('Competency Event Log'!$U$4:$U$803,$B104&amp;"|"&amp;CA$5,'Competency Event Log'!$D$4:$D$803)))</f>
        <v/>
      </c>
      <c r="CB104" s="8" t="str">
        <f>IF($B104="","",IF(COUNTIF('Competency Event Log'!$U$4:$U$803,$B104&amp;"|"&amp;CB$5)=0,"",SUMIF('Competency Event Log'!$U$4:$U$803,$B104&amp;"|"&amp;CB$5,'Competency Event Log'!$D$4:$D$803)))</f>
        <v/>
      </c>
      <c r="CC104" s="8" t="str">
        <f>IF($B104="","",IF(COUNTIF('Competency Event Log'!$U$4:$U$803,$B104&amp;"|"&amp;CC$5)=0,"",SUMIF('Competency Event Log'!$U$4:$U$803,$B104&amp;"|"&amp;CC$5,'Competency Event Log'!$D$4:$D$803)))</f>
        <v/>
      </c>
      <c r="CD104" s="8" t="str">
        <f>IF($B104="","",IF(COUNTIF('Competency Event Log'!$U$4:$U$803,$B104&amp;"|"&amp;CD$5)=0,"",SUMIF('Competency Event Log'!$U$4:$U$803,$B104&amp;"|"&amp;CD$5,'Competency Event Log'!$D$4:$D$803)))</f>
        <v/>
      </c>
      <c r="CE104" s="8" t="str">
        <f>IF($B104="","",IF(COUNTIF('Competency Event Log'!$U$4:$U$803,$B104&amp;"|"&amp;CE$5)=0,"",SUMIF('Competency Event Log'!$U$4:$U$803,$B104&amp;"|"&amp;CE$5,'Competency Event Log'!$D$4:$D$803)))</f>
        <v/>
      </c>
      <c r="CF104" s="8" t="str">
        <f>IF($B104="","",IF(COUNTIF('Competency Event Log'!$U$4:$U$803,$B104&amp;"|"&amp;CF$5)=0,"",SUMIF('Competency Event Log'!$U$4:$U$803,$B104&amp;"|"&amp;CF$5,'Competency Event Log'!$D$4:$D$803)))</f>
        <v/>
      </c>
      <c r="CG104" s="8" t="str">
        <f>IF($B104="","",IF(COUNTIF('Competency Event Log'!$U$4:$U$803,$B104&amp;"|"&amp;CG$5)=0,"",SUMIF('Competency Event Log'!$U$4:$U$803,$B104&amp;"|"&amp;CG$5,'Competency Event Log'!$D$4:$D$803)))</f>
        <v/>
      </c>
      <c r="CH104" s="8" t="str">
        <f>IF($B104="","",IF(COUNTIF('Competency Event Log'!$U$4:$U$803,$B104&amp;"|"&amp;CH$5)=0,"",SUMIF('Competency Event Log'!$U$4:$U$803,$B104&amp;"|"&amp;CH$5,'Competency Event Log'!$D$4:$D$803)))</f>
        <v/>
      </c>
      <c r="CI104" s="8" t="str">
        <f>IF($B104="","",IF(COUNTIF('Competency Event Log'!$U$4:$U$803,$B104&amp;"|"&amp;CI$5)=0,"",SUMIF('Competency Event Log'!$U$4:$U$803,$B104&amp;"|"&amp;CI$5,'Competency Event Log'!$D$4:$D$803)))</f>
        <v/>
      </c>
      <c r="CJ104" s="8" t="str">
        <f>IF($B104="","",IF(COUNTIF('Competency Event Log'!$U$4:$U$803,$B104&amp;"|"&amp;CJ$5)=0,"",SUMIF('Competency Event Log'!$U$4:$U$803,$B104&amp;"|"&amp;CJ$5,'Competency Event Log'!$D$4:$D$803)))</f>
        <v/>
      </c>
      <c r="CK104" s="8" t="str">
        <f>IF($B104="","",IF(COUNTIF('Competency Event Log'!$U$4:$U$803,$B104&amp;"|"&amp;CK$5)=0,"",SUMIF('Competency Event Log'!$U$4:$U$803,$B104&amp;"|"&amp;CK$5,'Competency Event Log'!$D$4:$D$803)))</f>
        <v/>
      </c>
      <c r="CL104" s="8" t="str">
        <f>IF($B104="","",IF(COUNTIF('Competency Event Log'!$U$4:$U$803,$B104&amp;"|"&amp;CL$5)=0,"",SUMIF('Competency Event Log'!$U$4:$U$803,$B104&amp;"|"&amp;CL$5,'Competency Event Log'!$D$4:$D$803)))</f>
        <v/>
      </c>
      <c r="CM104" s="8" t="str">
        <f>IF($B104="","",IF(COUNTIF('Competency Event Log'!$U$4:$U$803,$B104&amp;"|"&amp;CM$5)=0,"",SUMIF('Competency Event Log'!$U$4:$U$803,$B104&amp;"|"&amp;CM$5,'Competency Event Log'!$D$4:$D$803)))</f>
        <v/>
      </c>
      <c r="CN104" s="8" t="str">
        <f>IF($B104="","",IF(COUNTIF('Competency Event Log'!$U$4:$U$803,$B104&amp;"|"&amp;CN$5)=0,"",SUMIF('Competency Event Log'!$U$4:$U$803,$B104&amp;"|"&amp;CN$5,'Competency Event Log'!$D$4:$D$803)))</f>
        <v/>
      </c>
      <c r="CO104" s="8" t="str">
        <f>IF($B104="","",IF(COUNTIF('Competency Event Log'!$U$4:$U$803,$B104&amp;"|"&amp;CO$5)=0,"",SUMIF('Competency Event Log'!$U$4:$U$803,$B104&amp;"|"&amp;CO$5,'Competency Event Log'!$D$4:$D$803)))</f>
        <v/>
      </c>
      <c r="CP104" s="8" t="str">
        <f>IF($B104="","",IF(COUNTIF('Competency Event Log'!$U$4:$U$803,$B104&amp;"|"&amp;CP$5)=0,"",SUMIF('Competency Event Log'!$U$4:$U$803,$B104&amp;"|"&amp;CP$5,'Competency Event Log'!$D$4:$D$803)))</f>
        <v/>
      </c>
      <c r="CQ104" s="8" t="str">
        <f>IF($B104="","",IF(COUNTIF('Competency Event Log'!$U$4:$U$803,$B104&amp;"|"&amp;CQ$5)=0,"",SUMIF('Competency Event Log'!$U$4:$U$803,$B104&amp;"|"&amp;CQ$5,'Competency Event Log'!$D$4:$D$803)))</f>
        <v/>
      </c>
      <c r="CR104" s="8" t="str">
        <f>IF($B104="","",IF(COUNTIF('Competency Event Log'!$U$4:$U$803,$B104&amp;"|"&amp;CR$5)=0,"",SUMIF('Competency Event Log'!$U$4:$U$803,$B104&amp;"|"&amp;CR$5,'Competency Event Log'!$D$4:$D$803)))</f>
        <v/>
      </c>
      <c r="CS104" s="8" t="str">
        <f>IF($B104="","",IF(COUNTIF('Competency Event Log'!$U$4:$U$803,$B104&amp;"|"&amp;CS$5)=0,"",SUMIF('Competency Event Log'!$U$4:$U$803,$B104&amp;"|"&amp;CS$5,'Competency Event Log'!$D$4:$D$803)))</f>
        <v/>
      </c>
      <c r="CT104" s="8" t="str">
        <f>IF($B104="","",IF(COUNTIF('Competency Event Log'!$U$4:$U$803,$B104&amp;"|"&amp;CT$5)=0,"",SUMIF('Competency Event Log'!$U$4:$U$803,$B104&amp;"|"&amp;CT$5,'Competency Event Log'!$D$4:$D$803)))</f>
        <v/>
      </c>
      <c r="CU104" s="8" t="str">
        <f>IF($B104="","",IF(COUNTIF('Competency Event Log'!$U$4:$U$803,$B104&amp;"|"&amp;CU$5)=0,"",SUMIF('Competency Event Log'!$U$4:$U$803,$B104&amp;"|"&amp;CU$5,'Competency Event Log'!$D$4:$D$803)))</f>
        <v/>
      </c>
      <c r="CV104" s="8" t="str">
        <f>IF($B104="","",IF(COUNTIF('Competency Event Log'!$U$4:$U$803,$B104&amp;"|"&amp;CV$5)=0,"",SUMIF('Competency Event Log'!$U$4:$U$803,$B104&amp;"|"&amp;CV$5,'Competency Event Log'!$D$4:$D$803)))</f>
        <v/>
      </c>
      <c r="CW104" s="8" t="str">
        <f>IF($B104="","",IF(COUNTIF('Competency Event Log'!$U$4:$U$803,$B104&amp;"|"&amp;CW$5)=0,"",SUMIF('Competency Event Log'!$U$4:$U$803,$B104&amp;"|"&amp;CW$5,'Competency Event Log'!$D$4:$D$803)))</f>
        <v/>
      </c>
      <c r="CX104" s="8" t="str">
        <f>IF($B104="","",IF(COUNTIF('Competency Event Log'!$U$4:$U$803,$B104&amp;"|"&amp;CX$5)=0,"",SUMIF('Competency Event Log'!$U$4:$U$803,$B104&amp;"|"&amp;CX$5,'Competency Event Log'!$D$4:$D$803)))</f>
        <v/>
      </c>
      <c r="CY104" s="8" t="str">
        <f>IF($B104="","",IF(COUNTIF('Competency Event Log'!$U$4:$U$803,$B104&amp;"|"&amp;CY$5)=0,"",SUMIF('Competency Event Log'!$U$4:$U$803,$B104&amp;"|"&amp;CY$5,'Competency Event Log'!$D$4:$D$803)))</f>
        <v/>
      </c>
      <c r="CZ104" s="8" t="str">
        <f>IF($B104="","",IF(COUNTIF('Competency Event Log'!$U$4:$U$803,$B104&amp;"|"&amp;CZ$5)=0,"",SUMIF('Competency Event Log'!$U$4:$U$803,$B104&amp;"|"&amp;CZ$5,'Competency Event Log'!$D$4:$D$803)))</f>
        <v/>
      </c>
      <c r="DA104" s="8" t="str">
        <f>IF($B104="","",IF(COUNTIF('Competency Event Log'!$U$4:$U$803,$B104&amp;"|"&amp;DA$5)=0,"",SUMIF('Competency Event Log'!$U$4:$U$803,$B104&amp;"|"&amp;DA$5,'Competency Event Log'!$D$4:$D$803)))</f>
        <v/>
      </c>
      <c r="DB104" s="8" t="str">
        <f>IF($B104="","",IF(COUNTIF('Competency Event Log'!$U$4:$U$803,$B104&amp;"|"&amp;DB$5)=0,"",SUMIF('Competency Event Log'!$U$4:$U$803,$B104&amp;"|"&amp;DB$5,'Competency Event Log'!$D$4:$D$803)))</f>
        <v/>
      </c>
      <c r="DC104" s="8" t="str">
        <f>IF($B104="","",IF(COUNTIF('Competency Event Log'!$U$4:$U$803,$B104&amp;"|"&amp;DC$5)=0,"",SUMIF('Competency Event Log'!$U$4:$U$803,$B104&amp;"|"&amp;DC$5,'Competency Event Log'!$D$4:$D$803)))</f>
        <v/>
      </c>
      <c r="DD104" s="8" t="str">
        <f>IF($B104="","",IF(COUNTIF('Competency Event Log'!$U$4:$U$803,$B104&amp;"|"&amp;DD$5)=0,"",SUMIF('Competency Event Log'!$U$4:$U$803,$B104&amp;"|"&amp;DD$5,'Competency Event Log'!$D$4:$D$803)))</f>
        <v/>
      </c>
      <c r="DE104" s="8" t="str">
        <f>IF($B104="","",IF(COUNTIF('Competency Event Log'!$U$4:$U$803,$B104&amp;"|"&amp;DE$5)=0,"",SUMIF('Competency Event Log'!$U$4:$U$803,$B104&amp;"|"&amp;DE$5,'Competency Event Log'!$D$4:$D$803)))</f>
        <v/>
      </c>
      <c r="DF104" s="8" t="str">
        <f t="shared" si="12"/>
        <v/>
      </c>
      <c r="DG104" s="8" t="str">
        <f t="shared" si="13"/>
        <v/>
      </c>
      <c r="DH104" s="8" t="str">
        <f t="shared" si="14"/>
        <v/>
      </c>
      <c r="DI104" s="11" t="str">
        <f t="shared" si="15"/>
        <v/>
      </c>
    </row>
    <row r="105" spans="1:113">
      <c r="A105" s="7"/>
      <c r="B105" s="7"/>
      <c r="C105" s="8"/>
      <c r="D105" s="9"/>
      <c r="E105" s="10"/>
      <c r="F105" s="8"/>
      <c r="G105" s="8" t="str">
        <f>IF($B105="","",IF(COUNTIF('Competency Event Log'!$U$4:$U$803,$B105&amp;"|"&amp;G$5)=0,"",SUMIF('Competency Event Log'!$U$4:$U$803,$B105&amp;"|"&amp;G$5,'Competency Event Log'!$D$4:$D$803)))</f>
        <v/>
      </c>
      <c r="H105" s="8" t="str">
        <f>IF($B105="","",IF(COUNTIF('Competency Event Log'!$U$4:$U$803,$B105&amp;"|"&amp;H$5)=0,"",SUMIF('Competency Event Log'!$U$4:$U$803,$B105&amp;"|"&amp;H$5,'Competency Event Log'!$D$4:$D$803)))</f>
        <v/>
      </c>
      <c r="I105" s="8" t="str">
        <f>IF($B105="","",IF(COUNTIF('Competency Event Log'!$U$4:$U$803,$B105&amp;"|"&amp;I$5)=0,"",SUMIF('Competency Event Log'!$U$4:$U$803,$B105&amp;"|"&amp;I$5,'Competency Event Log'!$D$4:$D$803)))</f>
        <v/>
      </c>
      <c r="J105" s="8" t="str">
        <f>IF($B105="","",IF(COUNTIF('Competency Event Log'!$U$4:$U$803,$B105&amp;"|"&amp;J$5)=0,"",SUMIF('Competency Event Log'!$U$4:$U$803,$B105&amp;"|"&amp;J$5,'Competency Event Log'!$D$4:$D$803)))</f>
        <v/>
      </c>
      <c r="K105" s="8" t="str">
        <f>IF($B105="","",IF(COUNTIF('Competency Event Log'!$U$4:$U$803,$B105&amp;"|"&amp;K$5)=0,"",SUMIF('Competency Event Log'!$U$4:$U$803,$B105&amp;"|"&amp;K$5,'Competency Event Log'!$D$4:$D$803)))</f>
        <v/>
      </c>
      <c r="L105" s="8" t="str">
        <f>IF($B105="","",IF(COUNTIF('Competency Event Log'!$U$4:$U$803,$B105&amp;"|"&amp;L$5)=0,"",SUMIF('Competency Event Log'!$U$4:$U$803,$B105&amp;"|"&amp;L$5,'Competency Event Log'!$D$4:$D$803)))</f>
        <v/>
      </c>
      <c r="M105" s="8" t="str">
        <f>IF($B105="","",IF(COUNTIF('Competency Event Log'!$U$4:$U$803,$B105&amp;"|"&amp;M$5)=0,"",SUMIF('Competency Event Log'!$U$4:$U$803,$B105&amp;"|"&amp;M$5,'Competency Event Log'!$D$4:$D$803)))</f>
        <v/>
      </c>
      <c r="N105" s="8" t="str">
        <f>IF($B105="","",IF(COUNTIF('Competency Event Log'!$U$4:$U$803,$B105&amp;"|"&amp;N$5)=0,"",SUMIF('Competency Event Log'!$U$4:$U$803,$B105&amp;"|"&amp;N$5,'Competency Event Log'!$D$4:$D$803)))</f>
        <v/>
      </c>
      <c r="O105" s="8" t="str">
        <f>IF($B105="","",IF(COUNTIF('Competency Event Log'!$U$4:$U$803,$B105&amp;"|"&amp;O$5)=0,"",SUMIF('Competency Event Log'!$U$4:$U$803,$B105&amp;"|"&amp;O$5,'Competency Event Log'!$D$4:$D$803)))</f>
        <v/>
      </c>
      <c r="P105" s="8" t="str">
        <f>IF($B105="","",IF(COUNTIF('Competency Event Log'!$U$4:$U$803,$B105&amp;"|"&amp;P$5)=0,"",SUMIF('Competency Event Log'!$U$4:$U$803,$B105&amp;"|"&amp;P$5,'Competency Event Log'!$D$4:$D$803)))</f>
        <v/>
      </c>
      <c r="Q105" s="8" t="str">
        <f>IF($B105="","",IF(COUNTIF('Competency Event Log'!$U$4:$U$803,$B105&amp;"|"&amp;Q$5)=0,"",SUMIF('Competency Event Log'!$U$4:$U$803,$B105&amp;"|"&amp;Q$5,'Competency Event Log'!$D$4:$D$803)))</f>
        <v/>
      </c>
      <c r="R105" s="8" t="str">
        <f>IF($B105="","",IF(COUNTIF('Competency Event Log'!$U$4:$U$803,$B105&amp;"|"&amp;R$5)=0,"",SUMIF('Competency Event Log'!$U$4:$U$803,$B105&amp;"|"&amp;R$5,'Competency Event Log'!$D$4:$D$803)))</f>
        <v/>
      </c>
      <c r="S105" s="8" t="str">
        <f>IF($B105="","",IF(COUNTIF('Competency Event Log'!$U$4:$U$803,$B105&amp;"|"&amp;S$5)=0,"",SUMIF('Competency Event Log'!$U$4:$U$803,$B105&amp;"|"&amp;S$5,'Competency Event Log'!$D$4:$D$803)))</f>
        <v/>
      </c>
      <c r="T105" s="8" t="str">
        <f>IF($B105="","",IF(COUNTIF('Competency Event Log'!$U$4:$U$803,$B105&amp;"|"&amp;T$5)=0,"",SUMIF('Competency Event Log'!$U$4:$U$803,$B105&amp;"|"&amp;T$5,'Competency Event Log'!$D$4:$D$803)))</f>
        <v/>
      </c>
      <c r="U105" s="8" t="str">
        <f>IF($B105="","",IF(COUNTIF('Competency Event Log'!$U$4:$U$803,$B105&amp;"|"&amp;U$5)=0,"",SUMIF('Competency Event Log'!$U$4:$U$803,$B105&amp;"|"&amp;U$5,'Competency Event Log'!$D$4:$D$803)))</f>
        <v/>
      </c>
      <c r="V105" s="8" t="str">
        <f>IF($B105="","",IF(COUNTIF('Competency Event Log'!$U$4:$U$803,$B105&amp;"|"&amp;V$5)=0,"",SUMIF('Competency Event Log'!$U$4:$U$803,$B105&amp;"|"&amp;V$5,'Competency Event Log'!$D$4:$D$803)))</f>
        <v/>
      </c>
      <c r="W105" s="8" t="str">
        <f>IF($B105="","",IF(COUNTIF('Competency Event Log'!$U$4:$U$803,$B105&amp;"|"&amp;W$5)=0,"",SUMIF('Competency Event Log'!$U$4:$U$803,$B105&amp;"|"&amp;W$5,'Competency Event Log'!$D$4:$D$803)))</f>
        <v/>
      </c>
      <c r="X105" s="8" t="str">
        <f>IF($B105="","",IF(COUNTIF('Competency Event Log'!$U$4:$U$803,$B105&amp;"|"&amp;X$5)=0,"",SUMIF('Competency Event Log'!$U$4:$U$803,$B105&amp;"|"&amp;X$5,'Competency Event Log'!$D$4:$D$803)))</f>
        <v/>
      </c>
      <c r="Y105" s="8" t="str">
        <f>IF($B105="","",IF(COUNTIF('Competency Event Log'!$U$4:$U$803,$B105&amp;"|"&amp;Y$5)=0,"",SUMIF('Competency Event Log'!$U$4:$U$803,$B105&amp;"|"&amp;Y$5,'Competency Event Log'!$D$4:$D$803)))</f>
        <v/>
      </c>
      <c r="Z105" s="8" t="str">
        <f>IF($B105="","",IF(COUNTIF('Competency Event Log'!$U$4:$U$803,$B105&amp;"|"&amp;Z$5)=0,"",SUMIF('Competency Event Log'!$U$4:$U$803,$B105&amp;"|"&amp;Z$5,'Competency Event Log'!$D$4:$D$803)))</f>
        <v/>
      </c>
      <c r="AA105" s="8" t="str">
        <f>IF($B105="","",IF(COUNTIF('Competency Event Log'!$U$4:$U$803,$B105&amp;"|"&amp;AA$5)=0,"",SUMIF('Competency Event Log'!$U$4:$U$803,$B105&amp;"|"&amp;AA$5,'Competency Event Log'!$D$4:$D$803)))</f>
        <v/>
      </c>
      <c r="AB105" s="8" t="str">
        <f>IF($B105="","",IF(COUNTIF('Competency Event Log'!$U$4:$U$803,$B105&amp;"|"&amp;AB$5)=0,"",SUMIF('Competency Event Log'!$U$4:$U$803,$B105&amp;"|"&amp;AB$5,'Competency Event Log'!$D$4:$D$803)))</f>
        <v/>
      </c>
      <c r="AC105" s="8" t="str">
        <f>IF($B105="","",IF(COUNTIF('Competency Event Log'!$U$4:$U$803,$B105&amp;"|"&amp;AC$5)=0,"",SUMIF('Competency Event Log'!$U$4:$U$803,$B105&amp;"|"&amp;AC$5,'Competency Event Log'!$D$4:$D$803)))</f>
        <v/>
      </c>
      <c r="AD105" s="8" t="str">
        <f>IF($B105="","",IF(COUNTIF('Competency Event Log'!$U$4:$U$803,$B105&amp;"|"&amp;AD$5)=0,"",SUMIF('Competency Event Log'!$U$4:$U$803,$B105&amp;"|"&amp;AD$5,'Competency Event Log'!$D$4:$D$803)))</f>
        <v/>
      </c>
      <c r="AE105" s="8" t="str">
        <f>IF($B105="","",IF(COUNTIF('Competency Event Log'!$U$4:$U$803,$B105&amp;"|"&amp;AE$5)=0,"",SUMIF('Competency Event Log'!$U$4:$U$803,$B105&amp;"|"&amp;AE$5,'Competency Event Log'!$D$4:$D$803)))</f>
        <v/>
      </c>
      <c r="AF105" s="8" t="str">
        <f>IF($B105="","",IF(COUNTIF('Competency Event Log'!$U$4:$U$803,$B105&amp;"|"&amp;AF$5)=0,"",SUMIF('Competency Event Log'!$U$4:$U$803,$B105&amp;"|"&amp;AF$5,'Competency Event Log'!$D$4:$D$803)))</f>
        <v/>
      </c>
      <c r="AG105" s="8" t="str">
        <f>IF($B105="","",IF(COUNTIF('Competency Event Log'!$U$4:$U$803,$B105&amp;"|"&amp;AG$5)=0,"",SUMIF('Competency Event Log'!$U$4:$U$803,$B105&amp;"|"&amp;AG$5,'Competency Event Log'!$D$4:$D$803)))</f>
        <v/>
      </c>
      <c r="AH105" s="8" t="str">
        <f>IF($B105="","",IF(COUNTIF('Competency Event Log'!$U$4:$U$803,$B105&amp;"|"&amp;AH$5)=0,"",SUMIF('Competency Event Log'!$U$4:$U$803,$B105&amp;"|"&amp;AH$5,'Competency Event Log'!$D$4:$D$803)))</f>
        <v/>
      </c>
      <c r="AI105" s="8" t="str">
        <f>IF($B105="","",IF(COUNTIF('Competency Event Log'!$U$4:$U$803,$B105&amp;"|"&amp;AI$5)=0,"",SUMIF('Competency Event Log'!$U$4:$U$803,$B105&amp;"|"&amp;AI$5,'Competency Event Log'!$D$4:$D$803)))</f>
        <v/>
      </c>
      <c r="AJ105" s="8" t="str">
        <f>IF($B105="","",IF(COUNTIF('Competency Event Log'!$U$4:$U$803,$B105&amp;"|"&amp;AJ$5)=0,"",SUMIF('Competency Event Log'!$U$4:$U$803,$B105&amp;"|"&amp;AJ$5,'Competency Event Log'!$D$4:$D$803)))</f>
        <v/>
      </c>
      <c r="AK105" s="8" t="str">
        <f>IF($B105="","",IF(COUNTIF('Competency Event Log'!$U$4:$U$803,$B105&amp;"|"&amp;AK$5)=0,"",SUMIF('Competency Event Log'!$U$4:$U$803,$B105&amp;"|"&amp;AK$5,'Competency Event Log'!$D$4:$D$803)))</f>
        <v/>
      </c>
      <c r="AL105" s="8" t="str">
        <f>IF($B105="","",IF(COUNTIF('Competency Event Log'!$U$4:$U$803,$B105&amp;"|"&amp;AL$5)=0,"",SUMIF('Competency Event Log'!$U$4:$U$803,$B105&amp;"|"&amp;AL$5,'Competency Event Log'!$D$4:$D$803)))</f>
        <v/>
      </c>
      <c r="AM105" s="8" t="str">
        <f>IF($B105="","",IF(COUNTIF('Competency Event Log'!$U$4:$U$803,$B105&amp;"|"&amp;AM$5)=0,"",SUMIF('Competency Event Log'!$U$4:$U$803,$B105&amp;"|"&amp;AM$5,'Competency Event Log'!$D$4:$D$803)))</f>
        <v/>
      </c>
      <c r="AN105" s="8" t="str">
        <f>IF($B105="","",IF(COUNTIF('Competency Event Log'!$U$4:$U$803,$B105&amp;"|"&amp;AN$5)=0,"",SUMIF('Competency Event Log'!$U$4:$U$803,$B105&amp;"|"&amp;AN$5,'Competency Event Log'!$D$4:$D$803)))</f>
        <v/>
      </c>
      <c r="AO105" s="8" t="str">
        <f>IF($B105="","",IF(COUNTIF('Competency Event Log'!$U$4:$U$803,$B105&amp;"|"&amp;AO$5)=0,"",SUMIF('Competency Event Log'!$U$4:$U$803,$B105&amp;"|"&amp;AO$5,'Competency Event Log'!$D$4:$D$803)))</f>
        <v/>
      </c>
      <c r="AP105" s="8" t="str">
        <f>IF($B105="","",IF(COUNTIF('Competency Event Log'!$U$4:$U$803,$B105&amp;"|"&amp;AP$5)=0,"",SUMIF('Competency Event Log'!$U$4:$U$803,$B105&amp;"|"&amp;AP$5,'Competency Event Log'!$D$4:$D$803)))</f>
        <v/>
      </c>
      <c r="AQ105" s="8" t="str">
        <f>IF($B105="","",IF(COUNTIF('Competency Event Log'!$U$4:$U$803,$B105&amp;"|"&amp;AQ$5)=0,"",SUMIF('Competency Event Log'!$U$4:$U$803,$B105&amp;"|"&amp;AQ$5,'Competency Event Log'!$D$4:$D$803)))</f>
        <v/>
      </c>
      <c r="AR105" s="8" t="str">
        <f>IF($B105="","",IF(COUNTIF('Competency Event Log'!$U$4:$U$803,$B105&amp;"|"&amp;AR$5)=0,"",SUMIF('Competency Event Log'!$U$4:$U$803,$B105&amp;"|"&amp;AR$5,'Competency Event Log'!$D$4:$D$803)))</f>
        <v/>
      </c>
      <c r="AS105" s="8" t="str">
        <f>IF($B105="","",IF(COUNTIF('Competency Event Log'!$U$4:$U$803,$B105&amp;"|"&amp;AS$5)=0,"",SUMIF('Competency Event Log'!$U$4:$U$803,$B105&amp;"|"&amp;AS$5,'Competency Event Log'!$D$4:$D$803)))</f>
        <v/>
      </c>
      <c r="AT105" s="8" t="str">
        <f>IF($B105="","",IF(COUNTIF('Competency Event Log'!$U$4:$U$803,$B105&amp;"|"&amp;AT$5)=0,"",SUMIF('Competency Event Log'!$U$4:$U$803,$B105&amp;"|"&amp;AT$5,'Competency Event Log'!$D$4:$D$803)))</f>
        <v/>
      </c>
      <c r="AU105" s="8" t="str">
        <f>IF($B105="","",IF(COUNTIF('Competency Event Log'!$U$4:$U$803,$B105&amp;"|"&amp;AU$5)=0,"",SUMIF('Competency Event Log'!$U$4:$U$803,$B105&amp;"|"&amp;AU$5,'Competency Event Log'!$D$4:$D$803)))</f>
        <v/>
      </c>
      <c r="AV105" s="8" t="str">
        <f>IF($B105="","",IF(COUNTIF('Competency Event Log'!$U$4:$U$803,$B105&amp;"|"&amp;AV$5)=0,"",SUMIF('Competency Event Log'!$U$4:$U$803,$B105&amp;"|"&amp;AV$5,'Competency Event Log'!$D$4:$D$803)))</f>
        <v/>
      </c>
      <c r="AW105" s="8" t="str">
        <f>IF($B105="","",IF(COUNTIF('Competency Event Log'!$U$4:$U$803,$B105&amp;"|"&amp;AW$5)=0,"",SUMIF('Competency Event Log'!$U$4:$U$803,$B105&amp;"|"&amp;AW$5,'Competency Event Log'!$D$4:$D$803)))</f>
        <v/>
      </c>
      <c r="AX105" s="8" t="str">
        <f>IF($B105="","",IF(COUNTIF('Competency Event Log'!$U$4:$U$803,$B105&amp;"|"&amp;AX$5)=0,"",SUMIF('Competency Event Log'!$U$4:$U$803,$B105&amp;"|"&amp;AX$5,'Competency Event Log'!$D$4:$D$803)))</f>
        <v/>
      </c>
      <c r="AY105" s="8" t="str">
        <f>IF($B105="","",IF(COUNTIF('Competency Event Log'!$U$4:$U$803,$B105&amp;"|"&amp;AY$5)=0,"",SUMIF('Competency Event Log'!$U$4:$U$803,$B105&amp;"|"&amp;AY$5,'Competency Event Log'!$D$4:$D$803)))</f>
        <v/>
      </c>
      <c r="AZ105" s="8" t="str">
        <f>IF($B105="","",IF(COUNTIF('Competency Event Log'!$U$4:$U$803,$B105&amp;"|"&amp;AZ$5)=0,"",SUMIF('Competency Event Log'!$U$4:$U$803,$B105&amp;"|"&amp;AZ$5,'Competency Event Log'!$D$4:$D$803)))</f>
        <v/>
      </c>
      <c r="BA105" s="8" t="str">
        <f>IF($B105="","",IF(COUNTIF('Competency Event Log'!$U$4:$U$803,$B105&amp;"|"&amp;BA$5)=0,"",SUMIF('Competency Event Log'!$U$4:$U$803,$B105&amp;"|"&amp;BA$5,'Competency Event Log'!$D$4:$D$803)))</f>
        <v/>
      </c>
      <c r="BB105" s="8" t="str">
        <f>IF($B105="","",IF(COUNTIF('Competency Event Log'!$U$4:$U$803,$B105&amp;"|"&amp;BB$5)=0,"",SUMIF('Competency Event Log'!$U$4:$U$803,$B105&amp;"|"&amp;BB$5,'Competency Event Log'!$D$4:$D$803)))</f>
        <v/>
      </c>
      <c r="BC105" s="8" t="str">
        <f>IF($B105="","",IF(COUNTIF('Competency Event Log'!$U$4:$U$803,$B105&amp;"|"&amp;BC$5)=0,"",SUMIF('Competency Event Log'!$U$4:$U$803,$B105&amp;"|"&amp;BC$5,'Competency Event Log'!$D$4:$D$803)))</f>
        <v/>
      </c>
      <c r="BD105" s="8" t="str">
        <f>IF($B105="","",IF(COUNTIF('Competency Event Log'!$U$4:$U$803,$B105&amp;"|"&amp;BD$5)=0,"",SUMIF('Competency Event Log'!$U$4:$U$803,$B105&amp;"|"&amp;BD$5,'Competency Event Log'!$D$4:$D$803)))</f>
        <v/>
      </c>
      <c r="BE105" s="8" t="str">
        <f>IF($B105="","",IF(COUNTIF('Competency Event Log'!$U$4:$U$803,$B105&amp;"|"&amp;BE$5)=0,"",SUMIF('Competency Event Log'!$U$4:$U$803,$B105&amp;"|"&amp;BE$5,'Competency Event Log'!$D$4:$D$803)))</f>
        <v/>
      </c>
      <c r="BF105" s="8" t="str">
        <f>IF($B105="","",IF(COUNTIF('Competency Event Log'!$U$4:$U$803,$B105&amp;"|"&amp;BF$5)=0,"",SUMIF('Competency Event Log'!$U$4:$U$803,$B105&amp;"|"&amp;BF$5,'Competency Event Log'!$D$4:$D$803)))</f>
        <v/>
      </c>
      <c r="BG105" s="8" t="str">
        <f>IF($B105="","",IF(COUNTIF('Competency Event Log'!$U$4:$U$803,$B105&amp;"|"&amp;BG$5)=0,"",SUMIF('Competency Event Log'!$U$4:$U$803,$B105&amp;"|"&amp;BG$5,'Competency Event Log'!$D$4:$D$803)))</f>
        <v/>
      </c>
      <c r="BH105" s="8" t="str">
        <f>IF($B105="","",IF(COUNTIF('Competency Event Log'!$U$4:$U$803,$B105&amp;"|"&amp;BH$5)=0,"",SUMIF('Competency Event Log'!$U$4:$U$803,$B105&amp;"|"&amp;BH$5,'Competency Event Log'!$D$4:$D$803)))</f>
        <v/>
      </c>
      <c r="BI105" s="8" t="str">
        <f>IF($B105="","",IF(COUNTIF('Competency Event Log'!$U$4:$U$803,$B105&amp;"|"&amp;BI$5)=0,"",SUMIF('Competency Event Log'!$U$4:$U$803,$B105&amp;"|"&amp;BI$5,'Competency Event Log'!$D$4:$D$803)))</f>
        <v/>
      </c>
      <c r="BJ105" s="8" t="str">
        <f>IF($B105="","",IF(COUNTIF('Competency Event Log'!$U$4:$U$803,$B105&amp;"|"&amp;BJ$5)=0,"",SUMIF('Competency Event Log'!$U$4:$U$803,$B105&amp;"|"&amp;BJ$5,'Competency Event Log'!$D$4:$D$803)))</f>
        <v/>
      </c>
      <c r="BK105" s="8" t="str">
        <f>IF($B105="","",IF(COUNTIF('Competency Event Log'!$U$4:$U$803,$B105&amp;"|"&amp;BK$5)=0,"",SUMIF('Competency Event Log'!$U$4:$U$803,$B105&amp;"|"&amp;BK$5,'Competency Event Log'!$D$4:$D$803)))</f>
        <v/>
      </c>
      <c r="BL105" s="8" t="str">
        <f>IF($B105="","",IF(COUNTIF('Competency Event Log'!$U$4:$U$803,$B105&amp;"|"&amp;BL$5)=0,"",SUMIF('Competency Event Log'!$U$4:$U$803,$B105&amp;"|"&amp;BL$5,'Competency Event Log'!$D$4:$D$803)))</f>
        <v/>
      </c>
      <c r="BM105" s="8" t="str">
        <f>IF($B105="","",IF(COUNTIF('Competency Event Log'!$U$4:$U$803,$B105&amp;"|"&amp;BM$5)=0,"",SUMIF('Competency Event Log'!$U$4:$U$803,$B105&amp;"|"&amp;BM$5,'Competency Event Log'!$D$4:$D$803)))</f>
        <v/>
      </c>
      <c r="BN105" s="8" t="str">
        <f>IF($B105="","",IF(COUNTIF('Competency Event Log'!$U$4:$U$803,$B105&amp;"|"&amp;BN$5)=0,"",SUMIF('Competency Event Log'!$U$4:$U$803,$B105&amp;"|"&amp;BN$5,'Competency Event Log'!$D$4:$D$803)))</f>
        <v/>
      </c>
      <c r="BO105" s="8" t="str">
        <f>IF($B105="","",IF(COUNTIF('Competency Event Log'!$U$4:$U$803,$B105&amp;"|"&amp;BO$5)=0,"",SUMIF('Competency Event Log'!$U$4:$U$803,$B105&amp;"|"&amp;BO$5,'Competency Event Log'!$D$4:$D$803)))</f>
        <v/>
      </c>
      <c r="BP105" s="8" t="str">
        <f>IF($B105="","",IF(COUNTIF('Competency Event Log'!$U$4:$U$803,$B105&amp;"|"&amp;BP$5)=0,"",SUMIF('Competency Event Log'!$U$4:$U$803,$B105&amp;"|"&amp;BP$5,'Competency Event Log'!$D$4:$D$803)))</f>
        <v/>
      </c>
      <c r="BQ105" s="8" t="str">
        <f>IF($B105="","",IF(COUNTIF('Competency Event Log'!$U$4:$U$803,$B105&amp;"|"&amp;BQ$5)=0,"",SUMIF('Competency Event Log'!$U$4:$U$803,$B105&amp;"|"&amp;BQ$5,'Competency Event Log'!$D$4:$D$803)))</f>
        <v/>
      </c>
      <c r="BR105" s="8" t="str">
        <f>IF($B105="","",IF(COUNTIF('Competency Event Log'!$U$4:$U$803,$B105&amp;"|"&amp;BR$5)=0,"",SUMIF('Competency Event Log'!$U$4:$U$803,$B105&amp;"|"&amp;BR$5,'Competency Event Log'!$D$4:$D$803)))</f>
        <v/>
      </c>
      <c r="BS105" s="8" t="str">
        <f>IF($B105="","",IF(COUNTIF('Competency Event Log'!$U$4:$U$803,$B105&amp;"|"&amp;BS$5)=0,"",SUMIF('Competency Event Log'!$U$4:$U$803,$B105&amp;"|"&amp;BS$5,'Competency Event Log'!$D$4:$D$803)))</f>
        <v/>
      </c>
      <c r="BT105" s="8" t="str">
        <f>IF($B105="","",IF(COUNTIF('Competency Event Log'!$U$4:$U$803,$B105&amp;"|"&amp;BT$5)=0,"",SUMIF('Competency Event Log'!$U$4:$U$803,$B105&amp;"|"&amp;BT$5,'Competency Event Log'!$D$4:$D$803)))</f>
        <v/>
      </c>
      <c r="BU105" s="8" t="str">
        <f>IF($B105="","",IF(COUNTIF('Competency Event Log'!$U$4:$U$803,$B105&amp;"|"&amp;BU$5)=0,"",SUMIF('Competency Event Log'!$U$4:$U$803,$B105&amp;"|"&amp;BU$5,'Competency Event Log'!$D$4:$D$803)))</f>
        <v/>
      </c>
      <c r="BV105" s="8" t="str">
        <f>IF($B105="","",IF(COUNTIF('Competency Event Log'!$U$4:$U$803,$B105&amp;"|"&amp;BV$5)=0,"",SUMIF('Competency Event Log'!$U$4:$U$803,$B105&amp;"|"&amp;BV$5,'Competency Event Log'!$D$4:$D$803)))</f>
        <v/>
      </c>
      <c r="BW105" s="8" t="str">
        <f>IF($B105="","",IF(COUNTIF('Competency Event Log'!$U$4:$U$803,$B105&amp;"|"&amp;BW$5)=0,"",SUMIF('Competency Event Log'!$U$4:$U$803,$B105&amp;"|"&amp;BW$5,'Competency Event Log'!$D$4:$D$803)))</f>
        <v/>
      </c>
      <c r="BX105" s="8" t="str">
        <f>IF($B105="","",IF(COUNTIF('Competency Event Log'!$U$4:$U$803,$B105&amp;"|"&amp;BX$5)=0,"",SUMIF('Competency Event Log'!$U$4:$U$803,$B105&amp;"|"&amp;BX$5,'Competency Event Log'!$D$4:$D$803)))</f>
        <v/>
      </c>
      <c r="BY105" s="8" t="str">
        <f>IF($B105="","",IF(COUNTIF('Competency Event Log'!$U$4:$U$803,$B105&amp;"|"&amp;BY$5)=0,"",SUMIF('Competency Event Log'!$U$4:$U$803,$B105&amp;"|"&amp;BY$5,'Competency Event Log'!$D$4:$D$803)))</f>
        <v/>
      </c>
      <c r="BZ105" s="8" t="str">
        <f>IF($B105="","",IF(COUNTIF('Competency Event Log'!$U$4:$U$803,$B105&amp;"|"&amp;BZ$5)=0,"",SUMIF('Competency Event Log'!$U$4:$U$803,$B105&amp;"|"&amp;BZ$5,'Competency Event Log'!$D$4:$D$803)))</f>
        <v/>
      </c>
      <c r="CA105" s="8" t="str">
        <f>IF($B105="","",IF(COUNTIF('Competency Event Log'!$U$4:$U$803,$B105&amp;"|"&amp;CA$5)=0,"",SUMIF('Competency Event Log'!$U$4:$U$803,$B105&amp;"|"&amp;CA$5,'Competency Event Log'!$D$4:$D$803)))</f>
        <v/>
      </c>
      <c r="CB105" s="8" t="str">
        <f>IF($B105="","",IF(COUNTIF('Competency Event Log'!$U$4:$U$803,$B105&amp;"|"&amp;CB$5)=0,"",SUMIF('Competency Event Log'!$U$4:$U$803,$B105&amp;"|"&amp;CB$5,'Competency Event Log'!$D$4:$D$803)))</f>
        <v/>
      </c>
      <c r="CC105" s="8" t="str">
        <f>IF($B105="","",IF(COUNTIF('Competency Event Log'!$U$4:$U$803,$B105&amp;"|"&amp;CC$5)=0,"",SUMIF('Competency Event Log'!$U$4:$U$803,$B105&amp;"|"&amp;CC$5,'Competency Event Log'!$D$4:$D$803)))</f>
        <v/>
      </c>
      <c r="CD105" s="8" t="str">
        <f>IF($B105="","",IF(COUNTIF('Competency Event Log'!$U$4:$U$803,$B105&amp;"|"&amp;CD$5)=0,"",SUMIF('Competency Event Log'!$U$4:$U$803,$B105&amp;"|"&amp;CD$5,'Competency Event Log'!$D$4:$D$803)))</f>
        <v/>
      </c>
      <c r="CE105" s="8" t="str">
        <f>IF($B105="","",IF(COUNTIF('Competency Event Log'!$U$4:$U$803,$B105&amp;"|"&amp;CE$5)=0,"",SUMIF('Competency Event Log'!$U$4:$U$803,$B105&amp;"|"&amp;CE$5,'Competency Event Log'!$D$4:$D$803)))</f>
        <v/>
      </c>
      <c r="CF105" s="8" t="str">
        <f>IF($B105="","",IF(COUNTIF('Competency Event Log'!$U$4:$U$803,$B105&amp;"|"&amp;CF$5)=0,"",SUMIF('Competency Event Log'!$U$4:$U$803,$B105&amp;"|"&amp;CF$5,'Competency Event Log'!$D$4:$D$803)))</f>
        <v/>
      </c>
      <c r="CG105" s="8" t="str">
        <f>IF($B105="","",IF(COUNTIF('Competency Event Log'!$U$4:$U$803,$B105&amp;"|"&amp;CG$5)=0,"",SUMIF('Competency Event Log'!$U$4:$U$803,$B105&amp;"|"&amp;CG$5,'Competency Event Log'!$D$4:$D$803)))</f>
        <v/>
      </c>
      <c r="CH105" s="8" t="str">
        <f>IF($B105="","",IF(COUNTIF('Competency Event Log'!$U$4:$U$803,$B105&amp;"|"&amp;CH$5)=0,"",SUMIF('Competency Event Log'!$U$4:$U$803,$B105&amp;"|"&amp;CH$5,'Competency Event Log'!$D$4:$D$803)))</f>
        <v/>
      </c>
      <c r="CI105" s="8" t="str">
        <f>IF($B105="","",IF(COUNTIF('Competency Event Log'!$U$4:$U$803,$B105&amp;"|"&amp;CI$5)=0,"",SUMIF('Competency Event Log'!$U$4:$U$803,$B105&amp;"|"&amp;CI$5,'Competency Event Log'!$D$4:$D$803)))</f>
        <v/>
      </c>
      <c r="CJ105" s="8" t="str">
        <f>IF($B105="","",IF(COUNTIF('Competency Event Log'!$U$4:$U$803,$B105&amp;"|"&amp;CJ$5)=0,"",SUMIF('Competency Event Log'!$U$4:$U$803,$B105&amp;"|"&amp;CJ$5,'Competency Event Log'!$D$4:$D$803)))</f>
        <v/>
      </c>
      <c r="CK105" s="8" t="str">
        <f>IF($B105="","",IF(COUNTIF('Competency Event Log'!$U$4:$U$803,$B105&amp;"|"&amp;CK$5)=0,"",SUMIF('Competency Event Log'!$U$4:$U$803,$B105&amp;"|"&amp;CK$5,'Competency Event Log'!$D$4:$D$803)))</f>
        <v/>
      </c>
      <c r="CL105" s="8" t="str">
        <f>IF($B105="","",IF(COUNTIF('Competency Event Log'!$U$4:$U$803,$B105&amp;"|"&amp;CL$5)=0,"",SUMIF('Competency Event Log'!$U$4:$U$803,$B105&amp;"|"&amp;CL$5,'Competency Event Log'!$D$4:$D$803)))</f>
        <v/>
      </c>
      <c r="CM105" s="8" t="str">
        <f>IF($B105="","",IF(COUNTIF('Competency Event Log'!$U$4:$U$803,$B105&amp;"|"&amp;CM$5)=0,"",SUMIF('Competency Event Log'!$U$4:$U$803,$B105&amp;"|"&amp;CM$5,'Competency Event Log'!$D$4:$D$803)))</f>
        <v/>
      </c>
      <c r="CN105" s="8" t="str">
        <f>IF($B105="","",IF(COUNTIF('Competency Event Log'!$U$4:$U$803,$B105&amp;"|"&amp;CN$5)=0,"",SUMIF('Competency Event Log'!$U$4:$U$803,$B105&amp;"|"&amp;CN$5,'Competency Event Log'!$D$4:$D$803)))</f>
        <v/>
      </c>
      <c r="CO105" s="8" t="str">
        <f>IF($B105="","",IF(COUNTIF('Competency Event Log'!$U$4:$U$803,$B105&amp;"|"&amp;CO$5)=0,"",SUMIF('Competency Event Log'!$U$4:$U$803,$B105&amp;"|"&amp;CO$5,'Competency Event Log'!$D$4:$D$803)))</f>
        <v/>
      </c>
      <c r="CP105" s="8" t="str">
        <f>IF($B105="","",IF(COUNTIF('Competency Event Log'!$U$4:$U$803,$B105&amp;"|"&amp;CP$5)=0,"",SUMIF('Competency Event Log'!$U$4:$U$803,$B105&amp;"|"&amp;CP$5,'Competency Event Log'!$D$4:$D$803)))</f>
        <v/>
      </c>
      <c r="CQ105" s="8" t="str">
        <f>IF($B105="","",IF(COUNTIF('Competency Event Log'!$U$4:$U$803,$B105&amp;"|"&amp;CQ$5)=0,"",SUMIF('Competency Event Log'!$U$4:$U$803,$B105&amp;"|"&amp;CQ$5,'Competency Event Log'!$D$4:$D$803)))</f>
        <v/>
      </c>
      <c r="CR105" s="8" t="str">
        <f>IF($B105="","",IF(COUNTIF('Competency Event Log'!$U$4:$U$803,$B105&amp;"|"&amp;CR$5)=0,"",SUMIF('Competency Event Log'!$U$4:$U$803,$B105&amp;"|"&amp;CR$5,'Competency Event Log'!$D$4:$D$803)))</f>
        <v/>
      </c>
      <c r="CS105" s="8" t="str">
        <f>IF($B105="","",IF(COUNTIF('Competency Event Log'!$U$4:$U$803,$B105&amp;"|"&amp;CS$5)=0,"",SUMIF('Competency Event Log'!$U$4:$U$803,$B105&amp;"|"&amp;CS$5,'Competency Event Log'!$D$4:$D$803)))</f>
        <v/>
      </c>
      <c r="CT105" s="8" t="str">
        <f>IF($B105="","",IF(COUNTIF('Competency Event Log'!$U$4:$U$803,$B105&amp;"|"&amp;CT$5)=0,"",SUMIF('Competency Event Log'!$U$4:$U$803,$B105&amp;"|"&amp;CT$5,'Competency Event Log'!$D$4:$D$803)))</f>
        <v/>
      </c>
      <c r="CU105" s="8" t="str">
        <f>IF($B105="","",IF(COUNTIF('Competency Event Log'!$U$4:$U$803,$B105&amp;"|"&amp;CU$5)=0,"",SUMIF('Competency Event Log'!$U$4:$U$803,$B105&amp;"|"&amp;CU$5,'Competency Event Log'!$D$4:$D$803)))</f>
        <v/>
      </c>
      <c r="CV105" s="8" t="str">
        <f>IF($B105="","",IF(COUNTIF('Competency Event Log'!$U$4:$U$803,$B105&amp;"|"&amp;CV$5)=0,"",SUMIF('Competency Event Log'!$U$4:$U$803,$B105&amp;"|"&amp;CV$5,'Competency Event Log'!$D$4:$D$803)))</f>
        <v/>
      </c>
      <c r="CW105" s="8" t="str">
        <f>IF($B105="","",IF(COUNTIF('Competency Event Log'!$U$4:$U$803,$B105&amp;"|"&amp;CW$5)=0,"",SUMIF('Competency Event Log'!$U$4:$U$803,$B105&amp;"|"&amp;CW$5,'Competency Event Log'!$D$4:$D$803)))</f>
        <v/>
      </c>
      <c r="CX105" s="8" t="str">
        <f>IF($B105="","",IF(COUNTIF('Competency Event Log'!$U$4:$U$803,$B105&amp;"|"&amp;CX$5)=0,"",SUMIF('Competency Event Log'!$U$4:$U$803,$B105&amp;"|"&amp;CX$5,'Competency Event Log'!$D$4:$D$803)))</f>
        <v/>
      </c>
      <c r="CY105" s="8" t="str">
        <f>IF($B105="","",IF(COUNTIF('Competency Event Log'!$U$4:$U$803,$B105&amp;"|"&amp;CY$5)=0,"",SUMIF('Competency Event Log'!$U$4:$U$803,$B105&amp;"|"&amp;CY$5,'Competency Event Log'!$D$4:$D$803)))</f>
        <v/>
      </c>
      <c r="CZ105" s="8" t="str">
        <f>IF($B105="","",IF(COUNTIF('Competency Event Log'!$U$4:$U$803,$B105&amp;"|"&amp;CZ$5)=0,"",SUMIF('Competency Event Log'!$U$4:$U$803,$B105&amp;"|"&amp;CZ$5,'Competency Event Log'!$D$4:$D$803)))</f>
        <v/>
      </c>
      <c r="DA105" s="8" t="str">
        <f>IF($B105="","",IF(COUNTIF('Competency Event Log'!$U$4:$U$803,$B105&amp;"|"&amp;DA$5)=0,"",SUMIF('Competency Event Log'!$U$4:$U$803,$B105&amp;"|"&amp;DA$5,'Competency Event Log'!$D$4:$D$803)))</f>
        <v/>
      </c>
      <c r="DB105" s="8" t="str">
        <f>IF($B105="","",IF(COUNTIF('Competency Event Log'!$U$4:$U$803,$B105&amp;"|"&amp;DB$5)=0,"",SUMIF('Competency Event Log'!$U$4:$U$803,$B105&amp;"|"&amp;DB$5,'Competency Event Log'!$D$4:$D$803)))</f>
        <v/>
      </c>
      <c r="DC105" s="8" t="str">
        <f>IF($B105="","",IF(COUNTIF('Competency Event Log'!$U$4:$U$803,$B105&amp;"|"&amp;DC$5)=0,"",SUMIF('Competency Event Log'!$U$4:$U$803,$B105&amp;"|"&amp;DC$5,'Competency Event Log'!$D$4:$D$803)))</f>
        <v/>
      </c>
      <c r="DD105" s="8" t="str">
        <f>IF($B105="","",IF(COUNTIF('Competency Event Log'!$U$4:$U$803,$B105&amp;"|"&amp;DD$5)=0,"",SUMIF('Competency Event Log'!$U$4:$U$803,$B105&amp;"|"&amp;DD$5,'Competency Event Log'!$D$4:$D$803)))</f>
        <v/>
      </c>
      <c r="DE105" s="8" t="str">
        <f>IF($B105="","",IF(COUNTIF('Competency Event Log'!$U$4:$U$803,$B105&amp;"|"&amp;DE$5)=0,"",SUMIF('Competency Event Log'!$U$4:$U$803,$B105&amp;"|"&amp;DE$5,'Competency Event Log'!$D$4:$D$803)))</f>
        <v/>
      </c>
      <c r="DF105" s="8" t="str">
        <f t="shared" si="12"/>
        <v/>
      </c>
      <c r="DG105" s="8" t="str">
        <f t="shared" si="13"/>
        <v/>
      </c>
      <c r="DH105" s="8" t="str">
        <f t="shared" si="14"/>
        <v/>
      </c>
      <c r="DI105" s="11" t="str">
        <f t="shared" si="15"/>
        <v/>
      </c>
    </row>
    <row r="106" spans="1:113">
      <c r="A106" s="7"/>
      <c r="B106" s="7"/>
      <c r="C106" s="8"/>
      <c r="D106" s="9"/>
      <c r="E106" s="10"/>
      <c r="F106" s="8"/>
      <c r="G106" s="8" t="str">
        <f>IF($B106="","",IF(COUNTIF('Competency Event Log'!$U$4:$U$803,$B106&amp;"|"&amp;G$5)=0,"",SUMIF('Competency Event Log'!$U$4:$U$803,$B106&amp;"|"&amp;G$5,'Competency Event Log'!$D$4:$D$803)))</f>
        <v/>
      </c>
      <c r="H106" s="8" t="str">
        <f>IF($B106="","",IF(COUNTIF('Competency Event Log'!$U$4:$U$803,$B106&amp;"|"&amp;H$5)=0,"",SUMIF('Competency Event Log'!$U$4:$U$803,$B106&amp;"|"&amp;H$5,'Competency Event Log'!$D$4:$D$803)))</f>
        <v/>
      </c>
      <c r="I106" s="8" t="str">
        <f>IF($B106="","",IF(COUNTIF('Competency Event Log'!$U$4:$U$803,$B106&amp;"|"&amp;I$5)=0,"",SUMIF('Competency Event Log'!$U$4:$U$803,$B106&amp;"|"&amp;I$5,'Competency Event Log'!$D$4:$D$803)))</f>
        <v/>
      </c>
      <c r="J106" s="8" t="str">
        <f>IF($B106="","",IF(COUNTIF('Competency Event Log'!$U$4:$U$803,$B106&amp;"|"&amp;J$5)=0,"",SUMIF('Competency Event Log'!$U$4:$U$803,$B106&amp;"|"&amp;J$5,'Competency Event Log'!$D$4:$D$803)))</f>
        <v/>
      </c>
      <c r="K106" s="8" t="str">
        <f>IF($B106="","",IF(COUNTIF('Competency Event Log'!$U$4:$U$803,$B106&amp;"|"&amp;K$5)=0,"",SUMIF('Competency Event Log'!$U$4:$U$803,$B106&amp;"|"&amp;K$5,'Competency Event Log'!$D$4:$D$803)))</f>
        <v/>
      </c>
      <c r="L106" s="8" t="str">
        <f>IF($B106="","",IF(COUNTIF('Competency Event Log'!$U$4:$U$803,$B106&amp;"|"&amp;L$5)=0,"",SUMIF('Competency Event Log'!$U$4:$U$803,$B106&amp;"|"&amp;L$5,'Competency Event Log'!$D$4:$D$803)))</f>
        <v/>
      </c>
      <c r="M106" s="8" t="str">
        <f>IF($B106="","",IF(COUNTIF('Competency Event Log'!$U$4:$U$803,$B106&amp;"|"&amp;M$5)=0,"",SUMIF('Competency Event Log'!$U$4:$U$803,$B106&amp;"|"&amp;M$5,'Competency Event Log'!$D$4:$D$803)))</f>
        <v/>
      </c>
      <c r="N106" s="8" t="str">
        <f>IF($B106="","",IF(COUNTIF('Competency Event Log'!$U$4:$U$803,$B106&amp;"|"&amp;N$5)=0,"",SUMIF('Competency Event Log'!$U$4:$U$803,$B106&amp;"|"&amp;N$5,'Competency Event Log'!$D$4:$D$803)))</f>
        <v/>
      </c>
      <c r="O106" s="8" t="str">
        <f>IF($B106="","",IF(COUNTIF('Competency Event Log'!$U$4:$U$803,$B106&amp;"|"&amp;O$5)=0,"",SUMIF('Competency Event Log'!$U$4:$U$803,$B106&amp;"|"&amp;O$5,'Competency Event Log'!$D$4:$D$803)))</f>
        <v/>
      </c>
      <c r="P106" s="8" t="str">
        <f>IF($B106="","",IF(COUNTIF('Competency Event Log'!$U$4:$U$803,$B106&amp;"|"&amp;P$5)=0,"",SUMIF('Competency Event Log'!$U$4:$U$803,$B106&amp;"|"&amp;P$5,'Competency Event Log'!$D$4:$D$803)))</f>
        <v/>
      </c>
      <c r="Q106" s="8" t="str">
        <f>IF($B106="","",IF(COUNTIF('Competency Event Log'!$U$4:$U$803,$B106&amp;"|"&amp;Q$5)=0,"",SUMIF('Competency Event Log'!$U$4:$U$803,$B106&amp;"|"&amp;Q$5,'Competency Event Log'!$D$4:$D$803)))</f>
        <v/>
      </c>
      <c r="R106" s="8" t="str">
        <f>IF($B106="","",IF(COUNTIF('Competency Event Log'!$U$4:$U$803,$B106&amp;"|"&amp;R$5)=0,"",SUMIF('Competency Event Log'!$U$4:$U$803,$B106&amp;"|"&amp;R$5,'Competency Event Log'!$D$4:$D$803)))</f>
        <v/>
      </c>
      <c r="S106" s="8" t="str">
        <f>IF($B106="","",IF(COUNTIF('Competency Event Log'!$U$4:$U$803,$B106&amp;"|"&amp;S$5)=0,"",SUMIF('Competency Event Log'!$U$4:$U$803,$B106&amp;"|"&amp;S$5,'Competency Event Log'!$D$4:$D$803)))</f>
        <v/>
      </c>
      <c r="T106" s="8" t="str">
        <f>IF($B106="","",IF(COUNTIF('Competency Event Log'!$U$4:$U$803,$B106&amp;"|"&amp;T$5)=0,"",SUMIF('Competency Event Log'!$U$4:$U$803,$B106&amp;"|"&amp;T$5,'Competency Event Log'!$D$4:$D$803)))</f>
        <v/>
      </c>
      <c r="U106" s="8" t="str">
        <f>IF($B106="","",IF(COUNTIF('Competency Event Log'!$U$4:$U$803,$B106&amp;"|"&amp;U$5)=0,"",SUMIF('Competency Event Log'!$U$4:$U$803,$B106&amp;"|"&amp;U$5,'Competency Event Log'!$D$4:$D$803)))</f>
        <v/>
      </c>
      <c r="V106" s="8" t="str">
        <f>IF($B106="","",IF(COUNTIF('Competency Event Log'!$U$4:$U$803,$B106&amp;"|"&amp;V$5)=0,"",SUMIF('Competency Event Log'!$U$4:$U$803,$B106&amp;"|"&amp;V$5,'Competency Event Log'!$D$4:$D$803)))</f>
        <v/>
      </c>
      <c r="W106" s="8" t="str">
        <f>IF($B106="","",IF(COUNTIF('Competency Event Log'!$U$4:$U$803,$B106&amp;"|"&amp;W$5)=0,"",SUMIF('Competency Event Log'!$U$4:$U$803,$B106&amp;"|"&amp;W$5,'Competency Event Log'!$D$4:$D$803)))</f>
        <v/>
      </c>
      <c r="X106" s="8" t="str">
        <f>IF($B106="","",IF(COUNTIF('Competency Event Log'!$U$4:$U$803,$B106&amp;"|"&amp;X$5)=0,"",SUMIF('Competency Event Log'!$U$4:$U$803,$B106&amp;"|"&amp;X$5,'Competency Event Log'!$D$4:$D$803)))</f>
        <v/>
      </c>
      <c r="Y106" s="8" t="str">
        <f>IF($B106="","",IF(COUNTIF('Competency Event Log'!$U$4:$U$803,$B106&amp;"|"&amp;Y$5)=0,"",SUMIF('Competency Event Log'!$U$4:$U$803,$B106&amp;"|"&amp;Y$5,'Competency Event Log'!$D$4:$D$803)))</f>
        <v/>
      </c>
      <c r="Z106" s="8" t="str">
        <f>IF($B106="","",IF(COUNTIF('Competency Event Log'!$U$4:$U$803,$B106&amp;"|"&amp;Z$5)=0,"",SUMIF('Competency Event Log'!$U$4:$U$803,$B106&amp;"|"&amp;Z$5,'Competency Event Log'!$D$4:$D$803)))</f>
        <v/>
      </c>
      <c r="AA106" s="8" t="str">
        <f>IF($B106="","",IF(COUNTIF('Competency Event Log'!$U$4:$U$803,$B106&amp;"|"&amp;AA$5)=0,"",SUMIF('Competency Event Log'!$U$4:$U$803,$B106&amp;"|"&amp;AA$5,'Competency Event Log'!$D$4:$D$803)))</f>
        <v/>
      </c>
      <c r="AB106" s="8" t="str">
        <f>IF($B106="","",IF(COUNTIF('Competency Event Log'!$U$4:$U$803,$B106&amp;"|"&amp;AB$5)=0,"",SUMIF('Competency Event Log'!$U$4:$U$803,$B106&amp;"|"&amp;AB$5,'Competency Event Log'!$D$4:$D$803)))</f>
        <v/>
      </c>
      <c r="AC106" s="8" t="str">
        <f>IF($B106="","",IF(COUNTIF('Competency Event Log'!$U$4:$U$803,$B106&amp;"|"&amp;AC$5)=0,"",SUMIF('Competency Event Log'!$U$4:$U$803,$B106&amp;"|"&amp;AC$5,'Competency Event Log'!$D$4:$D$803)))</f>
        <v/>
      </c>
      <c r="AD106" s="8" t="str">
        <f>IF($B106="","",IF(COUNTIF('Competency Event Log'!$U$4:$U$803,$B106&amp;"|"&amp;AD$5)=0,"",SUMIF('Competency Event Log'!$U$4:$U$803,$B106&amp;"|"&amp;AD$5,'Competency Event Log'!$D$4:$D$803)))</f>
        <v/>
      </c>
      <c r="AE106" s="8" t="str">
        <f>IF($B106="","",IF(COUNTIF('Competency Event Log'!$U$4:$U$803,$B106&amp;"|"&amp;AE$5)=0,"",SUMIF('Competency Event Log'!$U$4:$U$803,$B106&amp;"|"&amp;AE$5,'Competency Event Log'!$D$4:$D$803)))</f>
        <v/>
      </c>
      <c r="AF106" s="8" t="str">
        <f>IF($B106="","",IF(COUNTIF('Competency Event Log'!$U$4:$U$803,$B106&amp;"|"&amp;AF$5)=0,"",SUMIF('Competency Event Log'!$U$4:$U$803,$B106&amp;"|"&amp;AF$5,'Competency Event Log'!$D$4:$D$803)))</f>
        <v/>
      </c>
      <c r="AG106" s="8" t="str">
        <f>IF($B106="","",IF(COUNTIF('Competency Event Log'!$U$4:$U$803,$B106&amp;"|"&amp;AG$5)=0,"",SUMIF('Competency Event Log'!$U$4:$U$803,$B106&amp;"|"&amp;AG$5,'Competency Event Log'!$D$4:$D$803)))</f>
        <v/>
      </c>
      <c r="AH106" s="8" t="str">
        <f>IF($B106="","",IF(COUNTIF('Competency Event Log'!$U$4:$U$803,$B106&amp;"|"&amp;AH$5)=0,"",SUMIF('Competency Event Log'!$U$4:$U$803,$B106&amp;"|"&amp;AH$5,'Competency Event Log'!$D$4:$D$803)))</f>
        <v/>
      </c>
      <c r="AI106" s="8" t="str">
        <f>IF($B106="","",IF(COUNTIF('Competency Event Log'!$U$4:$U$803,$B106&amp;"|"&amp;AI$5)=0,"",SUMIF('Competency Event Log'!$U$4:$U$803,$B106&amp;"|"&amp;AI$5,'Competency Event Log'!$D$4:$D$803)))</f>
        <v/>
      </c>
      <c r="AJ106" s="8" t="str">
        <f>IF($B106="","",IF(COUNTIF('Competency Event Log'!$U$4:$U$803,$B106&amp;"|"&amp;AJ$5)=0,"",SUMIF('Competency Event Log'!$U$4:$U$803,$B106&amp;"|"&amp;AJ$5,'Competency Event Log'!$D$4:$D$803)))</f>
        <v/>
      </c>
      <c r="AK106" s="8" t="str">
        <f>IF($B106="","",IF(COUNTIF('Competency Event Log'!$U$4:$U$803,$B106&amp;"|"&amp;AK$5)=0,"",SUMIF('Competency Event Log'!$U$4:$U$803,$B106&amp;"|"&amp;AK$5,'Competency Event Log'!$D$4:$D$803)))</f>
        <v/>
      </c>
      <c r="AL106" s="8" t="str">
        <f>IF($B106="","",IF(COUNTIF('Competency Event Log'!$U$4:$U$803,$B106&amp;"|"&amp;AL$5)=0,"",SUMIF('Competency Event Log'!$U$4:$U$803,$B106&amp;"|"&amp;AL$5,'Competency Event Log'!$D$4:$D$803)))</f>
        <v/>
      </c>
      <c r="AM106" s="8" t="str">
        <f>IF($B106="","",IF(COUNTIF('Competency Event Log'!$U$4:$U$803,$B106&amp;"|"&amp;AM$5)=0,"",SUMIF('Competency Event Log'!$U$4:$U$803,$B106&amp;"|"&amp;AM$5,'Competency Event Log'!$D$4:$D$803)))</f>
        <v/>
      </c>
      <c r="AN106" s="8" t="str">
        <f>IF($B106="","",IF(COUNTIF('Competency Event Log'!$U$4:$U$803,$B106&amp;"|"&amp;AN$5)=0,"",SUMIF('Competency Event Log'!$U$4:$U$803,$B106&amp;"|"&amp;AN$5,'Competency Event Log'!$D$4:$D$803)))</f>
        <v/>
      </c>
      <c r="AO106" s="8" t="str">
        <f>IF($B106="","",IF(COUNTIF('Competency Event Log'!$U$4:$U$803,$B106&amp;"|"&amp;AO$5)=0,"",SUMIF('Competency Event Log'!$U$4:$U$803,$B106&amp;"|"&amp;AO$5,'Competency Event Log'!$D$4:$D$803)))</f>
        <v/>
      </c>
      <c r="AP106" s="8" t="str">
        <f>IF($B106="","",IF(COUNTIF('Competency Event Log'!$U$4:$U$803,$B106&amp;"|"&amp;AP$5)=0,"",SUMIF('Competency Event Log'!$U$4:$U$803,$B106&amp;"|"&amp;AP$5,'Competency Event Log'!$D$4:$D$803)))</f>
        <v/>
      </c>
      <c r="AQ106" s="8" t="str">
        <f>IF($B106="","",IF(COUNTIF('Competency Event Log'!$U$4:$U$803,$B106&amp;"|"&amp;AQ$5)=0,"",SUMIF('Competency Event Log'!$U$4:$U$803,$B106&amp;"|"&amp;AQ$5,'Competency Event Log'!$D$4:$D$803)))</f>
        <v/>
      </c>
      <c r="AR106" s="8" t="str">
        <f>IF($B106="","",IF(COUNTIF('Competency Event Log'!$U$4:$U$803,$B106&amp;"|"&amp;AR$5)=0,"",SUMIF('Competency Event Log'!$U$4:$U$803,$B106&amp;"|"&amp;AR$5,'Competency Event Log'!$D$4:$D$803)))</f>
        <v/>
      </c>
      <c r="AS106" s="8" t="str">
        <f>IF($B106="","",IF(COUNTIF('Competency Event Log'!$U$4:$U$803,$B106&amp;"|"&amp;AS$5)=0,"",SUMIF('Competency Event Log'!$U$4:$U$803,$B106&amp;"|"&amp;AS$5,'Competency Event Log'!$D$4:$D$803)))</f>
        <v/>
      </c>
      <c r="AT106" s="8" t="str">
        <f>IF($B106="","",IF(COUNTIF('Competency Event Log'!$U$4:$U$803,$B106&amp;"|"&amp;AT$5)=0,"",SUMIF('Competency Event Log'!$U$4:$U$803,$B106&amp;"|"&amp;AT$5,'Competency Event Log'!$D$4:$D$803)))</f>
        <v/>
      </c>
      <c r="AU106" s="8" t="str">
        <f>IF($B106="","",IF(COUNTIF('Competency Event Log'!$U$4:$U$803,$B106&amp;"|"&amp;AU$5)=0,"",SUMIF('Competency Event Log'!$U$4:$U$803,$B106&amp;"|"&amp;AU$5,'Competency Event Log'!$D$4:$D$803)))</f>
        <v/>
      </c>
      <c r="AV106" s="8" t="str">
        <f>IF($B106="","",IF(COUNTIF('Competency Event Log'!$U$4:$U$803,$B106&amp;"|"&amp;AV$5)=0,"",SUMIF('Competency Event Log'!$U$4:$U$803,$B106&amp;"|"&amp;AV$5,'Competency Event Log'!$D$4:$D$803)))</f>
        <v/>
      </c>
      <c r="AW106" s="8" t="str">
        <f>IF($B106="","",IF(COUNTIF('Competency Event Log'!$U$4:$U$803,$B106&amp;"|"&amp;AW$5)=0,"",SUMIF('Competency Event Log'!$U$4:$U$803,$B106&amp;"|"&amp;AW$5,'Competency Event Log'!$D$4:$D$803)))</f>
        <v/>
      </c>
      <c r="AX106" s="8" t="str">
        <f>IF($B106="","",IF(COUNTIF('Competency Event Log'!$U$4:$U$803,$B106&amp;"|"&amp;AX$5)=0,"",SUMIF('Competency Event Log'!$U$4:$U$803,$B106&amp;"|"&amp;AX$5,'Competency Event Log'!$D$4:$D$803)))</f>
        <v/>
      </c>
      <c r="AY106" s="8" t="str">
        <f>IF($B106="","",IF(COUNTIF('Competency Event Log'!$U$4:$U$803,$B106&amp;"|"&amp;AY$5)=0,"",SUMIF('Competency Event Log'!$U$4:$U$803,$B106&amp;"|"&amp;AY$5,'Competency Event Log'!$D$4:$D$803)))</f>
        <v/>
      </c>
      <c r="AZ106" s="8" t="str">
        <f>IF($B106="","",IF(COUNTIF('Competency Event Log'!$U$4:$U$803,$B106&amp;"|"&amp;AZ$5)=0,"",SUMIF('Competency Event Log'!$U$4:$U$803,$B106&amp;"|"&amp;AZ$5,'Competency Event Log'!$D$4:$D$803)))</f>
        <v/>
      </c>
      <c r="BA106" s="8" t="str">
        <f>IF($B106="","",IF(COUNTIF('Competency Event Log'!$U$4:$U$803,$B106&amp;"|"&amp;BA$5)=0,"",SUMIF('Competency Event Log'!$U$4:$U$803,$B106&amp;"|"&amp;BA$5,'Competency Event Log'!$D$4:$D$803)))</f>
        <v/>
      </c>
      <c r="BB106" s="8" t="str">
        <f>IF($B106="","",IF(COUNTIF('Competency Event Log'!$U$4:$U$803,$B106&amp;"|"&amp;BB$5)=0,"",SUMIF('Competency Event Log'!$U$4:$U$803,$B106&amp;"|"&amp;BB$5,'Competency Event Log'!$D$4:$D$803)))</f>
        <v/>
      </c>
      <c r="BC106" s="8" t="str">
        <f>IF($B106="","",IF(COUNTIF('Competency Event Log'!$U$4:$U$803,$B106&amp;"|"&amp;BC$5)=0,"",SUMIF('Competency Event Log'!$U$4:$U$803,$B106&amp;"|"&amp;BC$5,'Competency Event Log'!$D$4:$D$803)))</f>
        <v/>
      </c>
      <c r="BD106" s="8" t="str">
        <f>IF($B106="","",IF(COUNTIF('Competency Event Log'!$U$4:$U$803,$B106&amp;"|"&amp;BD$5)=0,"",SUMIF('Competency Event Log'!$U$4:$U$803,$B106&amp;"|"&amp;BD$5,'Competency Event Log'!$D$4:$D$803)))</f>
        <v/>
      </c>
      <c r="BE106" s="8" t="str">
        <f>IF($B106="","",IF(COUNTIF('Competency Event Log'!$U$4:$U$803,$B106&amp;"|"&amp;BE$5)=0,"",SUMIF('Competency Event Log'!$U$4:$U$803,$B106&amp;"|"&amp;BE$5,'Competency Event Log'!$D$4:$D$803)))</f>
        <v/>
      </c>
      <c r="BF106" s="8" t="str">
        <f>IF($B106="","",IF(COUNTIF('Competency Event Log'!$U$4:$U$803,$B106&amp;"|"&amp;BF$5)=0,"",SUMIF('Competency Event Log'!$U$4:$U$803,$B106&amp;"|"&amp;BF$5,'Competency Event Log'!$D$4:$D$803)))</f>
        <v/>
      </c>
      <c r="BG106" s="8" t="str">
        <f>IF($B106="","",IF(COUNTIF('Competency Event Log'!$U$4:$U$803,$B106&amp;"|"&amp;BG$5)=0,"",SUMIF('Competency Event Log'!$U$4:$U$803,$B106&amp;"|"&amp;BG$5,'Competency Event Log'!$D$4:$D$803)))</f>
        <v/>
      </c>
      <c r="BH106" s="8" t="str">
        <f>IF($B106="","",IF(COUNTIF('Competency Event Log'!$U$4:$U$803,$B106&amp;"|"&amp;BH$5)=0,"",SUMIF('Competency Event Log'!$U$4:$U$803,$B106&amp;"|"&amp;BH$5,'Competency Event Log'!$D$4:$D$803)))</f>
        <v/>
      </c>
      <c r="BI106" s="8" t="str">
        <f>IF($B106="","",IF(COUNTIF('Competency Event Log'!$U$4:$U$803,$B106&amp;"|"&amp;BI$5)=0,"",SUMIF('Competency Event Log'!$U$4:$U$803,$B106&amp;"|"&amp;BI$5,'Competency Event Log'!$D$4:$D$803)))</f>
        <v/>
      </c>
      <c r="BJ106" s="8" t="str">
        <f>IF($B106="","",IF(COUNTIF('Competency Event Log'!$U$4:$U$803,$B106&amp;"|"&amp;BJ$5)=0,"",SUMIF('Competency Event Log'!$U$4:$U$803,$B106&amp;"|"&amp;BJ$5,'Competency Event Log'!$D$4:$D$803)))</f>
        <v/>
      </c>
      <c r="BK106" s="8" t="str">
        <f>IF($B106="","",IF(COUNTIF('Competency Event Log'!$U$4:$U$803,$B106&amp;"|"&amp;BK$5)=0,"",SUMIF('Competency Event Log'!$U$4:$U$803,$B106&amp;"|"&amp;BK$5,'Competency Event Log'!$D$4:$D$803)))</f>
        <v/>
      </c>
      <c r="BL106" s="8" t="str">
        <f>IF($B106="","",IF(COUNTIF('Competency Event Log'!$U$4:$U$803,$B106&amp;"|"&amp;BL$5)=0,"",SUMIF('Competency Event Log'!$U$4:$U$803,$B106&amp;"|"&amp;BL$5,'Competency Event Log'!$D$4:$D$803)))</f>
        <v/>
      </c>
      <c r="BM106" s="8" t="str">
        <f>IF($B106="","",IF(COUNTIF('Competency Event Log'!$U$4:$U$803,$B106&amp;"|"&amp;BM$5)=0,"",SUMIF('Competency Event Log'!$U$4:$U$803,$B106&amp;"|"&amp;BM$5,'Competency Event Log'!$D$4:$D$803)))</f>
        <v/>
      </c>
      <c r="BN106" s="8" t="str">
        <f>IF($B106="","",IF(COUNTIF('Competency Event Log'!$U$4:$U$803,$B106&amp;"|"&amp;BN$5)=0,"",SUMIF('Competency Event Log'!$U$4:$U$803,$B106&amp;"|"&amp;BN$5,'Competency Event Log'!$D$4:$D$803)))</f>
        <v/>
      </c>
      <c r="BO106" s="8" t="str">
        <f>IF($B106="","",IF(COUNTIF('Competency Event Log'!$U$4:$U$803,$B106&amp;"|"&amp;BO$5)=0,"",SUMIF('Competency Event Log'!$U$4:$U$803,$B106&amp;"|"&amp;BO$5,'Competency Event Log'!$D$4:$D$803)))</f>
        <v/>
      </c>
      <c r="BP106" s="8" t="str">
        <f>IF($B106="","",IF(COUNTIF('Competency Event Log'!$U$4:$U$803,$B106&amp;"|"&amp;BP$5)=0,"",SUMIF('Competency Event Log'!$U$4:$U$803,$B106&amp;"|"&amp;BP$5,'Competency Event Log'!$D$4:$D$803)))</f>
        <v/>
      </c>
      <c r="BQ106" s="8" t="str">
        <f>IF($B106="","",IF(COUNTIF('Competency Event Log'!$U$4:$U$803,$B106&amp;"|"&amp;BQ$5)=0,"",SUMIF('Competency Event Log'!$U$4:$U$803,$B106&amp;"|"&amp;BQ$5,'Competency Event Log'!$D$4:$D$803)))</f>
        <v/>
      </c>
      <c r="BR106" s="8" t="str">
        <f>IF($B106="","",IF(COUNTIF('Competency Event Log'!$U$4:$U$803,$B106&amp;"|"&amp;BR$5)=0,"",SUMIF('Competency Event Log'!$U$4:$U$803,$B106&amp;"|"&amp;BR$5,'Competency Event Log'!$D$4:$D$803)))</f>
        <v/>
      </c>
      <c r="BS106" s="8" t="str">
        <f>IF($B106="","",IF(COUNTIF('Competency Event Log'!$U$4:$U$803,$B106&amp;"|"&amp;BS$5)=0,"",SUMIF('Competency Event Log'!$U$4:$U$803,$B106&amp;"|"&amp;BS$5,'Competency Event Log'!$D$4:$D$803)))</f>
        <v/>
      </c>
      <c r="BT106" s="8" t="str">
        <f>IF($B106="","",IF(COUNTIF('Competency Event Log'!$U$4:$U$803,$B106&amp;"|"&amp;BT$5)=0,"",SUMIF('Competency Event Log'!$U$4:$U$803,$B106&amp;"|"&amp;BT$5,'Competency Event Log'!$D$4:$D$803)))</f>
        <v/>
      </c>
      <c r="BU106" s="8" t="str">
        <f>IF($B106="","",IF(COUNTIF('Competency Event Log'!$U$4:$U$803,$B106&amp;"|"&amp;BU$5)=0,"",SUMIF('Competency Event Log'!$U$4:$U$803,$B106&amp;"|"&amp;BU$5,'Competency Event Log'!$D$4:$D$803)))</f>
        <v/>
      </c>
      <c r="BV106" s="8" t="str">
        <f>IF($B106="","",IF(COUNTIF('Competency Event Log'!$U$4:$U$803,$B106&amp;"|"&amp;BV$5)=0,"",SUMIF('Competency Event Log'!$U$4:$U$803,$B106&amp;"|"&amp;BV$5,'Competency Event Log'!$D$4:$D$803)))</f>
        <v/>
      </c>
      <c r="BW106" s="8" t="str">
        <f>IF($B106="","",IF(COUNTIF('Competency Event Log'!$U$4:$U$803,$B106&amp;"|"&amp;BW$5)=0,"",SUMIF('Competency Event Log'!$U$4:$U$803,$B106&amp;"|"&amp;BW$5,'Competency Event Log'!$D$4:$D$803)))</f>
        <v/>
      </c>
      <c r="BX106" s="8" t="str">
        <f>IF($B106="","",IF(COUNTIF('Competency Event Log'!$U$4:$U$803,$B106&amp;"|"&amp;BX$5)=0,"",SUMIF('Competency Event Log'!$U$4:$U$803,$B106&amp;"|"&amp;BX$5,'Competency Event Log'!$D$4:$D$803)))</f>
        <v/>
      </c>
      <c r="BY106" s="8" t="str">
        <f>IF($B106="","",IF(COUNTIF('Competency Event Log'!$U$4:$U$803,$B106&amp;"|"&amp;BY$5)=0,"",SUMIF('Competency Event Log'!$U$4:$U$803,$B106&amp;"|"&amp;BY$5,'Competency Event Log'!$D$4:$D$803)))</f>
        <v/>
      </c>
      <c r="BZ106" s="8" t="str">
        <f>IF($B106="","",IF(COUNTIF('Competency Event Log'!$U$4:$U$803,$B106&amp;"|"&amp;BZ$5)=0,"",SUMIF('Competency Event Log'!$U$4:$U$803,$B106&amp;"|"&amp;BZ$5,'Competency Event Log'!$D$4:$D$803)))</f>
        <v/>
      </c>
      <c r="CA106" s="8" t="str">
        <f>IF($B106="","",IF(COUNTIF('Competency Event Log'!$U$4:$U$803,$B106&amp;"|"&amp;CA$5)=0,"",SUMIF('Competency Event Log'!$U$4:$U$803,$B106&amp;"|"&amp;CA$5,'Competency Event Log'!$D$4:$D$803)))</f>
        <v/>
      </c>
      <c r="CB106" s="8" t="str">
        <f>IF($B106="","",IF(COUNTIF('Competency Event Log'!$U$4:$U$803,$B106&amp;"|"&amp;CB$5)=0,"",SUMIF('Competency Event Log'!$U$4:$U$803,$B106&amp;"|"&amp;CB$5,'Competency Event Log'!$D$4:$D$803)))</f>
        <v/>
      </c>
      <c r="CC106" s="8" t="str">
        <f>IF($B106="","",IF(COUNTIF('Competency Event Log'!$U$4:$U$803,$B106&amp;"|"&amp;CC$5)=0,"",SUMIF('Competency Event Log'!$U$4:$U$803,$B106&amp;"|"&amp;CC$5,'Competency Event Log'!$D$4:$D$803)))</f>
        <v/>
      </c>
      <c r="CD106" s="8" t="str">
        <f>IF($B106="","",IF(COUNTIF('Competency Event Log'!$U$4:$U$803,$B106&amp;"|"&amp;CD$5)=0,"",SUMIF('Competency Event Log'!$U$4:$U$803,$B106&amp;"|"&amp;CD$5,'Competency Event Log'!$D$4:$D$803)))</f>
        <v/>
      </c>
      <c r="CE106" s="8" t="str">
        <f>IF($B106="","",IF(COUNTIF('Competency Event Log'!$U$4:$U$803,$B106&amp;"|"&amp;CE$5)=0,"",SUMIF('Competency Event Log'!$U$4:$U$803,$B106&amp;"|"&amp;CE$5,'Competency Event Log'!$D$4:$D$803)))</f>
        <v/>
      </c>
      <c r="CF106" s="8" t="str">
        <f>IF($B106="","",IF(COUNTIF('Competency Event Log'!$U$4:$U$803,$B106&amp;"|"&amp;CF$5)=0,"",SUMIF('Competency Event Log'!$U$4:$U$803,$B106&amp;"|"&amp;CF$5,'Competency Event Log'!$D$4:$D$803)))</f>
        <v/>
      </c>
      <c r="CG106" s="8" t="str">
        <f>IF($B106="","",IF(COUNTIF('Competency Event Log'!$U$4:$U$803,$B106&amp;"|"&amp;CG$5)=0,"",SUMIF('Competency Event Log'!$U$4:$U$803,$B106&amp;"|"&amp;CG$5,'Competency Event Log'!$D$4:$D$803)))</f>
        <v/>
      </c>
      <c r="CH106" s="8" t="str">
        <f>IF($B106="","",IF(COUNTIF('Competency Event Log'!$U$4:$U$803,$B106&amp;"|"&amp;CH$5)=0,"",SUMIF('Competency Event Log'!$U$4:$U$803,$B106&amp;"|"&amp;CH$5,'Competency Event Log'!$D$4:$D$803)))</f>
        <v/>
      </c>
      <c r="CI106" s="8" t="str">
        <f>IF($B106="","",IF(COUNTIF('Competency Event Log'!$U$4:$U$803,$B106&amp;"|"&amp;CI$5)=0,"",SUMIF('Competency Event Log'!$U$4:$U$803,$B106&amp;"|"&amp;CI$5,'Competency Event Log'!$D$4:$D$803)))</f>
        <v/>
      </c>
      <c r="CJ106" s="8" t="str">
        <f>IF($B106="","",IF(COUNTIF('Competency Event Log'!$U$4:$U$803,$B106&amp;"|"&amp;CJ$5)=0,"",SUMIF('Competency Event Log'!$U$4:$U$803,$B106&amp;"|"&amp;CJ$5,'Competency Event Log'!$D$4:$D$803)))</f>
        <v/>
      </c>
      <c r="CK106" s="8" t="str">
        <f>IF($B106="","",IF(COUNTIF('Competency Event Log'!$U$4:$U$803,$B106&amp;"|"&amp;CK$5)=0,"",SUMIF('Competency Event Log'!$U$4:$U$803,$B106&amp;"|"&amp;CK$5,'Competency Event Log'!$D$4:$D$803)))</f>
        <v/>
      </c>
      <c r="CL106" s="8" t="str">
        <f>IF($B106="","",IF(COUNTIF('Competency Event Log'!$U$4:$U$803,$B106&amp;"|"&amp;CL$5)=0,"",SUMIF('Competency Event Log'!$U$4:$U$803,$B106&amp;"|"&amp;CL$5,'Competency Event Log'!$D$4:$D$803)))</f>
        <v/>
      </c>
      <c r="CM106" s="8" t="str">
        <f>IF($B106="","",IF(COUNTIF('Competency Event Log'!$U$4:$U$803,$B106&amp;"|"&amp;CM$5)=0,"",SUMIF('Competency Event Log'!$U$4:$U$803,$B106&amp;"|"&amp;CM$5,'Competency Event Log'!$D$4:$D$803)))</f>
        <v/>
      </c>
      <c r="CN106" s="8" t="str">
        <f>IF($B106="","",IF(COUNTIF('Competency Event Log'!$U$4:$U$803,$B106&amp;"|"&amp;CN$5)=0,"",SUMIF('Competency Event Log'!$U$4:$U$803,$B106&amp;"|"&amp;CN$5,'Competency Event Log'!$D$4:$D$803)))</f>
        <v/>
      </c>
      <c r="CO106" s="8" t="str">
        <f>IF($B106="","",IF(COUNTIF('Competency Event Log'!$U$4:$U$803,$B106&amp;"|"&amp;CO$5)=0,"",SUMIF('Competency Event Log'!$U$4:$U$803,$B106&amp;"|"&amp;CO$5,'Competency Event Log'!$D$4:$D$803)))</f>
        <v/>
      </c>
      <c r="CP106" s="8" t="str">
        <f>IF($B106="","",IF(COUNTIF('Competency Event Log'!$U$4:$U$803,$B106&amp;"|"&amp;CP$5)=0,"",SUMIF('Competency Event Log'!$U$4:$U$803,$B106&amp;"|"&amp;CP$5,'Competency Event Log'!$D$4:$D$803)))</f>
        <v/>
      </c>
      <c r="CQ106" s="8" t="str">
        <f>IF($B106="","",IF(COUNTIF('Competency Event Log'!$U$4:$U$803,$B106&amp;"|"&amp;CQ$5)=0,"",SUMIF('Competency Event Log'!$U$4:$U$803,$B106&amp;"|"&amp;CQ$5,'Competency Event Log'!$D$4:$D$803)))</f>
        <v/>
      </c>
      <c r="CR106" s="8" t="str">
        <f>IF($B106="","",IF(COUNTIF('Competency Event Log'!$U$4:$U$803,$B106&amp;"|"&amp;CR$5)=0,"",SUMIF('Competency Event Log'!$U$4:$U$803,$B106&amp;"|"&amp;CR$5,'Competency Event Log'!$D$4:$D$803)))</f>
        <v/>
      </c>
      <c r="CS106" s="8" t="str">
        <f>IF($B106="","",IF(COUNTIF('Competency Event Log'!$U$4:$U$803,$B106&amp;"|"&amp;CS$5)=0,"",SUMIF('Competency Event Log'!$U$4:$U$803,$B106&amp;"|"&amp;CS$5,'Competency Event Log'!$D$4:$D$803)))</f>
        <v/>
      </c>
      <c r="CT106" s="8" t="str">
        <f>IF($B106="","",IF(COUNTIF('Competency Event Log'!$U$4:$U$803,$B106&amp;"|"&amp;CT$5)=0,"",SUMIF('Competency Event Log'!$U$4:$U$803,$B106&amp;"|"&amp;CT$5,'Competency Event Log'!$D$4:$D$803)))</f>
        <v/>
      </c>
      <c r="CU106" s="8" t="str">
        <f>IF($B106="","",IF(COUNTIF('Competency Event Log'!$U$4:$U$803,$B106&amp;"|"&amp;CU$5)=0,"",SUMIF('Competency Event Log'!$U$4:$U$803,$B106&amp;"|"&amp;CU$5,'Competency Event Log'!$D$4:$D$803)))</f>
        <v/>
      </c>
      <c r="CV106" s="8" t="str">
        <f>IF($B106="","",IF(COUNTIF('Competency Event Log'!$U$4:$U$803,$B106&amp;"|"&amp;CV$5)=0,"",SUMIF('Competency Event Log'!$U$4:$U$803,$B106&amp;"|"&amp;CV$5,'Competency Event Log'!$D$4:$D$803)))</f>
        <v/>
      </c>
      <c r="CW106" s="8" t="str">
        <f>IF($B106="","",IF(COUNTIF('Competency Event Log'!$U$4:$U$803,$B106&amp;"|"&amp;CW$5)=0,"",SUMIF('Competency Event Log'!$U$4:$U$803,$B106&amp;"|"&amp;CW$5,'Competency Event Log'!$D$4:$D$803)))</f>
        <v/>
      </c>
      <c r="CX106" s="8" t="str">
        <f>IF($B106="","",IF(COUNTIF('Competency Event Log'!$U$4:$U$803,$B106&amp;"|"&amp;CX$5)=0,"",SUMIF('Competency Event Log'!$U$4:$U$803,$B106&amp;"|"&amp;CX$5,'Competency Event Log'!$D$4:$D$803)))</f>
        <v/>
      </c>
      <c r="CY106" s="8" t="str">
        <f>IF($B106="","",IF(COUNTIF('Competency Event Log'!$U$4:$U$803,$B106&amp;"|"&amp;CY$5)=0,"",SUMIF('Competency Event Log'!$U$4:$U$803,$B106&amp;"|"&amp;CY$5,'Competency Event Log'!$D$4:$D$803)))</f>
        <v/>
      </c>
      <c r="CZ106" s="8" t="str">
        <f>IF($B106="","",IF(COUNTIF('Competency Event Log'!$U$4:$U$803,$B106&amp;"|"&amp;CZ$5)=0,"",SUMIF('Competency Event Log'!$U$4:$U$803,$B106&amp;"|"&amp;CZ$5,'Competency Event Log'!$D$4:$D$803)))</f>
        <v/>
      </c>
      <c r="DA106" s="8" t="str">
        <f>IF($B106="","",IF(COUNTIF('Competency Event Log'!$U$4:$U$803,$B106&amp;"|"&amp;DA$5)=0,"",SUMIF('Competency Event Log'!$U$4:$U$803,$B106&amp;"|"&amp;DA$5,'Competency Event Log'!$D$4:$D$803)))</f>
        <v/>
      </c>
      <c r="DB106" s="8" t="str">
        <f>IF($B106="","",IF(COUNTIF('Competency Event Log'!$U$4:$U$803,$B106&amp;"|"&amp;DB$5)=0,"",SUMIF('Competency Event Log'!$U$4:$U$803,$B106&amp;"|"&amp;DB$5,'Competency Event Log'!$D$4:$D$803)))</f>
        <v/>
      </c>
      <c r="DC106" s="8" t="str">
        <f>IF($B106="","",IF(COUNTIF('Competency Event Log'!$U$4:$U$803,$B106&amp;"|"&amp;DC$5)=0,"",SUMIF('Competency Event Log'!$U$4:$U$803,$B106&amp;"|"&amp;DC$5,'Competency Event Log'!$D$4:$D$803)))</f>
        <v/>
      </c>
      <c r="DD106" s="8" t="str">
        <f>IF($B106="","",IF(COUNTIF('Competency Event Log'!$U$4:$U$803,$B106&amp;"|"&amp;DD$5)=0,"",SUMIF('Competency Event Log'!$U$4:$U$803,$B106&amp;"|"&amp;DD$5,'Competency Event Log'!$D$4:$D$803)))</f>
        <v/>
      </c>
      <c r="DE106" s="8" t="str">
        <f>IF($B106="","",IF(COUNTIF('Competency Event Log'!$U$4:$U$803,$B106&amp;"|"&amp;DE$5)=0,"",SUMIF('Competency Event Log'!$U$4:$U$803,$B106&amp;"|"&amp;DE$5,'Competency Event Log'!$D$4:$D$803)))</f>
        <v/>
      </c>
      <c r="DF106" s="8" t="str">
        <f t="shared" si="12"/>
        <v/>
      </c>
      <c r="DG106" s="8" t="str">
        <f t="shared" si="13"/>
        <v/>
      </c>
      <c r="DH106" s="8" t="str">
        <f t="shared" si="14"/>
        <v/>
      </c>
      <c r="DI106" s="11" t="str">
        <f t="shared" si="15"/>
        <v/>
      </c>
    </row>
    <row r="107" spans="1:113">
      <c r="A107" s="7"/>
      <c r="B107" s="7"/>
      <c r="C107" s="8"/>
      <c r="D107" s="9"/>
      <c r="E107" s="10"/>
      <c r="F107" s="8"/>
      <c r="G107" s="8" t="str">
        <f>IF($B107="","",IF(COUNTIF('Competency Event Log'!$U$4:$U$803,$B107&amp;"|"&amp;G$5)=0,"",SUMIF('Competency Event Log'!$U$4:$U$803,$B107&amp;"|"&amp;G$5,'Competency Event Log'!$D$4:$D$803)))</f>
        <v/>
      </c>
      <c r="H107" s="8" t="str">
        <f>IF($B107="","",IF(COUNTIF('Competency Event Log'!$U$4:$U$803,$B107&amp;"|"&amp;H$5)=0,"",SUMIF('Competency Event Log'!$U$4:$U$803,$B107&amp;"|"&amp;H$5,'Competency Event Log'!$D$4:$D$803)))</f>
        <v/>
      </c>
      <c r="I107" s="8" t="str">
        <f>IF($B107="","",IF(COUNTIF('Competency Event Log'!$U$4:$U$803,$B107&amp;"|"&amp;I$5)=0,"",SUMIF('Competency Event Log'!$U$4:$U$803,$B107&amp;"|"&amp;I$5,'Competency Event Log'!$D$4:$D$803)))</f>
        <v/>
      </c>
      <c r="J107" s="8" t="str">
        <f>IF($B107="","",IF(COUNTIF('Competency Event Log'!$U$4:$U$803,$B107&amp;"|"&amp;J$5)=0,"",SUMIF('Competency Event Log'!$U$4:$U$803,$B107&amp;"|"&amp;J$5,'Competency Event Log'!$D$4:$D$803)))</f>
        <v/>
      </c>
      <c r="K107" s="8" t="str">
        <f>IF($B107="","",IF(COUNTIF('Competency Event Log'!$U$4:$U$803,$B107&amp;"|"&amp;K$5)=0,"",SUMIF('Competency Event Log'!$U$4:$U$803,$B107&amp;"|"&amp;K$5,'Competency Event Log'!$D$4:$D$803)))</f>
        <v/>
      </c>
      <c r="L107" s="8" t="str">
        <f>IF($B107="","",IF(COUNTIF('Competency Event Log'!$U$4:$U$803,$B107&amp;"|"&amp;L$5)=0,"",SUMIF('Competency Event Log'!$U$4:$U$803,$B107&amp;"|"&amp;L$5,'Competency Event Log'!$D$4:$D$803)))</f>
        <v/>
      </c>
      <c r="M107" s="8" t="str">
        <f>IF($B107="","",IF(COUNTIF('Competency Event Log'!$U$4:$U$803,$B107&amp;"|"&amp;M$5)=0,"",SUMIF('Competency Event Log'!$U$4:$U$803,$B107&amp;"|"&amp;M$5,'Competency Event Log'!$D$4:$D$803)))</f>
        <v/>
      </c>
      <c r="N107" s="8" t="str">
        <f>IF($B107="","",IF(COUNTIF('Competency Event Log'!$U$4:$U$803,$B107&amp;"|"&amp;N$5)=0,"",SUMIF('Competency Event Log'!$U$4:$U$803,$B107&amp;"|"&amp;N$5,'Competency Event Log'!$D$4:$D$803)))</f>
        <v/>
      </c>
      <c r="O107" s="8" t="str">
        <f>IF($B107="","",IF(COUNTIF('Competency Event Log'!$U$4:$U$803,$B107&amp;"|"&amp;O$5)=0,"",SUMIF('Competency Event Log'!$U$4:$U$803,$B107&amp;"|"&amp;O$5,'Competency Event Log'!$D$4:$D$803)))</f>
        <v/>
      </c>
      <c r="P107" s="8" t="str">
        <f>IF($B107="","",IF(COUNTIF('Competency Event Log'!$U$4:$U$803,$B107&amp;"|"&amp;P$5)=0,"",SUMIF('Competency Event Log'!$U$4:$U$803,$B107&amp;"|"&amp;P$5,'Competency Event Log'!$D$4:$D$803)))</f>
        <v/>
      </c>
      <c r="Q107" s="8" t="str">
        <f>IF($B107="","",IF(COUNTIF('Competency Event Log'!$U$4:$U$803,$B107&amp;"|"&amp;Q$5)=0,"",SUMIF('Competency Event Log'!$U$4:$U$803,$B107&amp;"|"&amp;Q$5,'Competency Event Log'!$D$4:$D$803)))</f>
        <v/>
      </c>
      <c r="R107" s="8" t="str">
        <f>IF($B107="","",IF(COUNTIF('Competency Event Log'!$U$4:$U$803,$B107&amp;"|"&amp;R$5)=0,"",SUMIF('Competency Event Log'!$U$4:$U$803,$B107&amp;"|"&amp;R$5,'Competency Event Log'!$D$4:$D$803)))</f>
        <v/>
      </c>
      <c r="S107" s="8" t="str">
        <f>IF($B107="","",IF(COUNTIF('Competency Event Log'!$U$4:$U$803,$B107&amp;"|"&amp;S$5)=0,"",SUMIF('Competency Event Log'!$U$4:$U$803,$B107&amp;"|"&amp;S$5,'Competency Event Log'!$D$4:$D$803)))</f>
        <v/>
      </c>
      <c r="T107" s="8" t="str">
        <f>IF($B107="","",IF(COUNTIF('Competency Event Log'!$U$4:$U$803,$B107&amp;"|"&amp;T$5)=0,"",SUMIF('Competency Event Log'!$U$4:$U$803,$B107&amp;"|"&amp;T$5,'Competency Event Log'!$D$4:$D$803)))</f>
        <v/>
      </c>
      <c r="U107" s="8" t="str">
        <f>IF($B107="","",IF(COUNTIF('Competency Event Log'!$U$4:$U$803,$B107&amp;"|"&amp;U$5)=0,"",SUMIF('Competency Event Log'!$U$4:$U$803,$B107&amp;"|"&amp;U$5,'Competency Event Log'!$D$4:$D$803)))</f>
        <v/>
      </c>
      <c r="V107" s="8" t="str">
        <f>IF($B107="","",IF(COUNTIF('Competency Event Log'!$U$4:$U$803,$B107&amp;"|"&amp;V$5)=0,"",SUMIF('Competency Event Log'!$U$4:$U$803,$B107&amp;"|"&amp;V$5,'Competency Event Log'!$D$4:$D$803)))</f>
        <v/>
      </c>
      <c r="W107" s="8" t="str">
        <f>IF($B107="","",IF(COUNTIF('Competency Event Log'!$U$4:$U$803,$B107&amp;"|"&amp;W$5)=0,"",SUMIF('Competency Event Log'!$U$4:$U$803,$B107&amp;"|"&amp;W$5,'Competency Event Log'!$D$4:$D$803)))</f>
        <v/>
      </c>
      <c r="X107" s="8" t="str">
        <f>IF($B107="","",IF(COUNTIF('Competency Event Log'!$U$4:$U$803,$B107&amp;"|"&amp;X$5)=0,"",SUMIF('Competency Event Log'!$U$4:$U$803,$B107&amp;"|"&amp;X$5,'Competency Event Log'!$D$4:$D$803)))</f>
        <v/>
      </c>
      <c r="Y107" s="8" t="str">
        <f>IF($B107="","",IF(COUNTIF('Competency Event Log'!$U$4:$U$803,$B107&amp;"|"&amp;Y$5)=0,"",SUMIF('Competency Event Log'!$U$4:$U$803,$B107&amp;"|"&amp;Y$5,'Competency Event Log'!$D$4:$D$803)))</f>
        <v/>
      </c>
      <c r="Z107" s="8" t="str">
        <f>IF($B107="","",IF(COUNTIF('Competency Event Log'!$U$4:$U$803,$B107&amp;"|"&amp;Z$5)=0,"",SUMIF('Competency Event Log'!$U$4:$U$803,$B107&amp;"|"&amp;Z$5,'Competency Event Log'!$D$4:$D$803)))</f>
        <v/>
      </c>
      <c r="AA107" s="8" t="str">
        <f>IF($B107="","",IF(COUNTIF('Competency Event Log'!$U$4:$U$803,$B107&amp;"|"&amp;AA$5)=0,"",SUMIF('Competency Event Log'!$U$4:$U$803,$B107&amp;"|"&amp;AA$5,'Competency Event Log'!$D$4:$D$803)))</f>
        <v/>
      </c>
      <c r="AB107" s="8" t="str">
        <f>IF($B107="","",IF(COUNTIF('Competency Event Log'!$U$4:$U$803,$B107&amp;"|"&amp;AB$5)=0,"",SUMIF('Competency Event Log'!$U$4:$U$803,$B107&amp;"|"&amp;AB$5,'Competency Event Log'!$D$4:$D$803)))</f>
        <v/>
      </c>
      <c r="AC107" s="8" t="str">
        <f>IF($B107="","",IF(COUNTIF('Competency Event Log'!$U$4:$U$803,$B107&amp;"|"&amp;AC$5)=0,"",SUMIF('Competency Event Log'!$U$4:$U$803,$B107&amp;"|"&amp;AC$5,'Competency Event Log'!$D$4:$D$803)))</f>
        <v/>
      </c>
      <c r="AD107" s="8" t="str">
        <f>IF($B107="","",IF(COUNTIF('Competency Event Log'!$U$4:$U$803,$B107&amp;"|"&amp;AD$5)=0,"",SUMIF('Competency Event Log'!$U$4:$U$803,$B107&amp;"|"&amp;AD$5,'Competency Event Log'!$D$4:$D$803)))</f>
        <v/>
      </c>
      <c r="AE107" s="8" t="str">
        <f>IF($B107="","",IF(COUNTIF('Competency Event Log'!$U$4:$U$803,$B107&amp;"|"&amp;AE$5)=0,"",SUMIF('Competency Event Log'!$U$4:$U$803,$B107&amp;"|"&amp;AE$5,'Competency Event Log'!$D$4:$D$803)))</f>
        <v/>
      </c>
      <c r="AF107" s="8" t="str">
        <f>IF($B107="","",IF(COUNTIF('Competency Event Log'!$U$4:$U$803,$B107&amp;"|"&amp;AF$5)=0,"",SUMIF('Competency Event Log'!$U$4:$U$803,$B107&amp;"|"&amp;AF$5,'Competency Event Log'!$D$4:$D$803)))</f>
        <v/>
      </c>
      <c r="AG107" s="8" t="str">
        <f>IF($B107="","",IF(COUNTIF('Competency Event Log'!$U$4:$U$803,$B107&amp;"|"&amp;AG$5)=0,"",SUMIF('Competency Event Log'!$U$4:$U$803,$B107&amp;"|"&amp;AG$5,'Competency Event Log'!$D$4:$D$803)))</f>
        <v/>
      </c>
      <c r="AH107" s="8" t="str">
        <f>IF($B107="","",IF(COUNTIF('Competency Event Log'!$U$4:$U$803,$B107&amp;"|"&amp;AH$5)=0,"",SUMIF('Competency Event Log'!$U$4:$U$803,$B107&amp;"|"&amp;AH$5,'Competency Event Log'!$D$4:$D$803)))</f>
        <v/>
      </c>
      <c r="AI107" s="8" t="str">
        <f>IF($B107="","",IF(COUNTIF('Competency Event Log'!$U$4:$U$803,$B107&amp;"|"&amp;AI$5)=0,"",SUMIF('Competency Event Log'!$U$4:$U$803,$B107&amp;"|"&amp;AI$5,'Competency Event Log'!$D$4:$D$803)))</f>
        <v/>
      </c>
      <c r="AJ107" s="8" t="str">
        <f>IF($B107="","",IF(COUNTIF('Competency Event Log'!$U$4:$U$803,$B107&amp;"|"&amp;AJ$5)=0,"",SUMIF('Competency Event Log'!$U$4:$U$803,$B107&amp;"|"&amp;AJ$5,'Competency Event Log'!$D$4:$D$803)))</f>
        <v/>
      </c>
      <c r="AK107" s="8" t="str">
        <f>IF($B107="","",IF(COUNTIF('Competency Event Log'!$U$4:$U$803,$B107&amp;"|"&amp;AK$5)=0,"",SUMIF('Competency Event Log'!$U$4:$U$803,$B107&amp;"|"&amp;AK$5,'Competency Event Log'!$D$4:$D$803)))</f>
        <v/>
      </c>
      <c r="AL107" s="8" t="str">
        <f>IF($B107="","",IF(COUNTIF('Competency Event Log'!$U$4:$U$803,$B107&amp;"|"&amp;AL$5)=0,"",SUMIF('Competency Event Log'!$U$4:$U$803,$B107&amp;"|"&amp;AL$5,'Competency Event Log'!$D$4:$D$803)))</f>
        <v/>
      </c>
      <c r="AM107" s="8" t="str">
        <f>IF($B107="","",IF(COUNTIF('Competency Event Log'!$U$4:$U$803,$B107&amp;"|"&amp;AM$5)=0,"",SUMIF('Competency Event Log'!$U$4:$U$803,$B107&amp;"|"&amp;AM$5,'Competency Event Log'!$D$4:$D$803)))</f>
        <v/>
      </c>
      <c r="AN107" s="8" t="str">
        <f>IF($B107="","",IF(COUNTIF('Competency Event Log'!$U$4:$U$803,$B107&amp;"|"&amp;AN$5)=0,"",SUMIF('Competency Event Log'!$U$4:$U$803,$B107&amp;"|"&amp;AN$5,'Competency Event Log'!$D$4:$D$803)))</f>
        <v/>
      </c>
      <c r="AO107" s="8" t="str">
        <f>IF($B107="","",IF(COUNTIF('Competency Event Log'!$U$4:$U$803,$B107&amp;"|"&amp;AO$5)=0,"",SUMIF('Competency Event Log'!$U$4:$U$803,$B107&amp;"|"&amp;AO$5,'Competency Event Log'!$D$4:$D$803)))</f>
        <v/>
      </c>
      <c r="AP107" s="8" t="str">
        <f>IF($B107="","",IF(COUNTIF('Competency Event Log'!$U$4:$U$803,$B107&amp;"|"&amp;AP$5)=0,"",SUMIF('Competency Event Log'!$U$4:$U$803,$B107&amp;"|"&amp;AP$5,'Competency Event Log'!$D$4:$D$803)))</f>
        <v/>
      </c>
      <c r="AQ107" s="8" t="str">
        <f>IF($B107="","",IF(COUNTIF('Competency Event Log'!$U$4:$U$803,$B107&amp;"|"&amp;AQ$5)=0,"",SUMIF('Competency Event Log'!$U$4:$U$803,$B107&amp;"|"&amp;AQ$5,'Competency Event Log'!$D$4:$D$803)))</f>
        <v/>
      </c>
      <c r="AR107" s="8" t="str">
        <f>IF($B107="","",IF(COUNTIF('Competency Event Log'!$U$4:$U$803,$B107&amp;"|"&amp;AR$5)=0,"",SUMIF('Competency Event Log'!$U$4:$U$803,$B107&amp;"|"&amp;AR$5,'Competency Event Log'!$D$4:$D$803)))</f>
        <v/>
      </c>
      <c r="AS107" s="8" t="str">
        <f>IF($B107="","",IF(COUNTIF('Competency Event Log'!$U$4:$U$803,$B107&amp;"|"&amp;AS$5)=0,"",SUMIF('Competency Event Log'!$U$4:$U$803,$B107&amp;"|"&amp;AS$5,'Competency Event Log'!$D$4:$D$803)))</f>
        <v/>
      </c>
      <c r="AT107" s="8" t="str">
        <f>IF($B107="","",IF(COUNTIF('Competency Event Log'!$U$4:$U$803,$B107&amp;"|"&amp;AT$5)=0,"",SUMIF('Competency Event Log'!$U$4:$U$803,$B107&amp;"|"&amp;AT$5,'Competency Event Log'!$D$4:$D$803)))</f>
        <v/>
      </c>
      <c r="AU107" s="8" t="str">
        <f>IF($B107="","",IF(COUNTIF('Competency Event Log'!$U$4:$U$803,$B107&amp;"|"&amp;AU$5)=0,"",SUMIF('Competency Event Log'!$U$4:$U$803,$B107&amp;"|"&amp;AU$5,'Competency Event Log'!$D$4:$D$803)))</f>
        <v/>
      </c>
      <c r="AV107" s="8" t="str">
        <f>IF($B107="","",IF(COUNTIF('Competency Event Log'!$U$4:$U$803,$B107&amp;"|"&amp;AV$5)=0,"",SUMIF('Competency Event Log'!$U$4:$U$803,$B107&amp;"|"&amp;AV$5,'Competency Event Log'!$D$4:$D$803)))</f>
        <v/>
      </c>
      <c r="AW107" s="8" t="str">
        <f>IF($B107="","",IF(COUNTIF('Competency Event Log'!$U$4:$U$803,$B107&amp;"|"&amp;AW$5)=0,"",SUMIF('Competency Event Log'!$U$4:$U$803,$B107&amp;"|"&amp;AW$5,'Competency Event Log'!$D$4:$D$803)))</f>
        <v/>
      </c>
      <c r="AX107" s="8" t="str">
        <f>IF($B107="","",IF(COUNTIF('Competency Event Log'!$U$4:$U$803,$B107&amp;"|"&amp;AX$5)=0,"",SUMIF('Competency Event Log'!$U$4:$U$803,$B107&amp;"|"&amp;AX$5,'Competency Event Log'!$D$4:$D$803)))</f>
        <v/>
      </c>
      <c r="AY107" s="8" t="str">
        <f>IF($B107="","",IF(COUNTIF('Competency Event Log'!$U$4:$U$803,$B107&amp;"|"&amp;AY$5)=0,"",SUMIF('Competency Event Log'!$U$4:$U$803,$B107&amp;"|"&amp;AY$5,'Competency Event Log'!$D$4:$D$803)))</f>
        <v/>
      </c>
      <c r="AZ107" s="8" t="str">
        <f>IF($B107="","",IF(COUNTIF('Competency Event Log'!$U$4:$U$803,$B107&amp;"|"&amp;AZ$5)=0,"",SUMIF('Competency Event Log'!$U$4:$U$803,$B107&amp;"|"&amp;AZ$5,'Competency Event Log'!$D$4:$D$803)))</f>
        <v/>
      </c>
      <c r="BA107" s="8" t="str">
        <f>IF($B107="","",IF(COUNTIF('Competency Event Log'!$U$4:$U$803,$B107&amp;"|"&amp;BA$5)=0,"",SUMIF('Competency Event Log'!$U$4:$U$803,$B107&amp;"|"&amp;BA$5,'Competency Event Log'!$D$4:$D$803)))</f>
        <v/>
      </c>
      <c r="BB107" s="8" t="str">
        <f>IF($B107="","",IF(COUNTIF('Competency Event Log'!$U$4:$U$803,$B107&amp;"|"&amp;BB$5)=0,"",SUMIF('Competency Event Log'!$U$4:$U$803,$B107&amp;"|"&amp;BB$5,'Competency Event Log'!$D$4:$D$803)))</f>
        <v/>
      </c>
      <c r="BC107" s="8" t="str">
        <f>IF($B107="","",IF(COUNTIF('Competency Event Log'!$U$4:$U$803,$B107&amp;"|"&amp;BC$5)=0,"",SUMIF('Competency Event Log'!$U$4:$U$803,$B107&amp;"|"&amp;BC$5,'Competency Event Log'!$D$4:$D$803)))</f>
        <v/>
      </c>
      <c r="BD107" s="8" t="str">
        <f>IF($B107="","",IF(COUNTIF('Competency Event Log'!$U$4:$U$803,$B107&amp;"|"&amp;BD$5)=0,"",SUMIF('Competency Event Log'!$U$4:$U$803,$B107&amp;"|"&amp;BD$5,'Competency Event Log'!$D$4:$D$803)))</f>
        <v/>
      </c>
      <c r="BE107" s="8" t="str">
        <f>IF($B107="","",IF(COUNTIF('Competency Event Log'!$U$4:$U$803,$B107&amp;"|"&amp;BE$5)=0,"",SUMIF('Competency Event Log'!$U$4:$U$803,$B107&amp;"|"&amp;BE$5,'Competency Event Log'!$D$4:$D$803)))</f>
        <v/>
      </c>
      <c r="BF107" s="8" t="str">
        <f>IF($B107="","",IF(COUNTIF('Competency Event Log'!$U$4:$U$803,$B107&amp;"|"&amp;BF$5)=0,"",SUMIF('Competency Event Log'!$U$4:$U$803,$B107&amp;"|"&amp;BF$5,'Competency Event Log'!$D$4:$D$803)))</f>
        <v/>
      </c>
      <c r="BG107" s="8" t="str">
        <f>IF($B107="","",IF(COUNTIF('Competency Event Log'!$U$4:$U$803,$B107&amp;"|"&amp;BG$5)=0,"",SUMIF('Competency Event Log'!$U$4:$U$803,$B107&amp;"|"&amp;BG$5,'Competency Event Log'!$D$4:$D$803)))</f>
        <v/>
      </c>
      <c r="BH107" s="8" t="str">
        <f>IF($B107="","",IF(COUNTIF('Competency Event Log'!$U$4:$U$803,$B107&amp;"|"&amp;BH$5)=0,"",SUMIF('Competency Event Log'!$U$4:$U$803,$B107&amp;"|"&amp;BH$5,'Competency Event Log'!$D$4:$D$803)))</f>
        <v/>
      </c>
      <c r="BI107" s="8" t="str">
        <f>IF($B107="","",IF(COUNTIF('Competency Event Log'!$U$4:$U$803,$B107&amp;"|"&amp;BI$5)=0,"",SUMIF('Competency Event Log'!$U$4:$U$803,$B107&amp;"|"&amp;BI$5,'Competency Event Log'!$D$4:$D$803)))</f>
        <v/>
      </c>
      <c r="BJ107" s="8" t="str">
        <f>IF($B107="","",IF(COUNTIF('Competency Event Log'!$U$4:$U$803,$B107&amp;"|"&amp;BJ$5)=0,"",SUMIF('Competency Event Log'!$U$4:$U$803,$B107&amp;"|"&amp;BJ$5,'Competency Event Log'!$D$4:$D$803)))</f>
        <v/>
      </c>
      <c r="BK107" s="8" t="str">
        <f>IF($B107="","",IF(COUNTIF('Competency Event Log'!$U$4:$U$803,$B107&amp;"|"&amp;BK$5)=0,"",SUMIF('Competency Event Log'!$U$4:$U$803,$B107&amp;"|"&amp;BK$5,'Competency Event Log'!$D$4:$D$803)))</f>
        <v/>
      </c>
      <c r="BL107" s="8" t="str">
        <f>IF($B107="","",IF(COUNTIF('Competency Event Log'!$U$4:$U$803,$B107&amp;"|"&amp;BL$5)=0,"",SUMIF('Competency Event Log'!$U$4:$U$803,$B107&amp;"|"&amp;BL$5,'Competency Event Log'!$D$4:$D$803)))</f>
        <v/>
      </c>
      <c r="BM107" s="8" t="str">
        <f>IF($B107="","",IF(COUNTIF('Competency Event Log'!$U$4:$U$803,$B107&amp;"|"&amp;BM$5)=0,"",SUMIF('Competency Event Log'!$U$4:$U$803,$B107&amp;"|"&amp;BM$5,'Competency Event Log'!$D$4:$D$803)))</f>
        <v/>
      </c>
      <c r="BN107" s="8" t="str">
        <f>IF($B107="","",IF(COUNTIF('Competency Event Log'!$U$4:$U$803,$B107&amp;"|"&amp;BN$5)=0,"",SUMIF('Competency Event Log'!$U$4:$U$803,$B107&amp;"|"&amp;BN$5,'Competency Event Log'!$D$4:$D$803)))</f>
        <v/>
      </c>
      <c r="BO107" s="8" t="str">
        <f>IF($B107="","",IF(COUNTIF('Competency Event Log'!$U$4:$U$803,$B107&amp;"|"&amp;BO$5)=0,"",SUMIF('Competency Event Log'!$U$4:$U$803,$B107&amp;"|"&amp;BO$5,'Competency Event Log'!$D$4:$D$803)))</f>
        <v/>
      </c>
      <c r="BP107" s="8" t="str">
        <f>IF($B107="","",IF(COUNTIF('Competency Event Log'!$U$4:$U$803,$B107&amp;"|"&amp;BP$5)=0,"",SUMIF('Competency Event Log'!$U$4:$U$803,$B107&amp;"|"&amp;BP$5,'Competency Event Log'!$D$4:$D$803)))</f>
        <v/>
      </c>
      <c r="BQ107" s="8" t="str">
        <f>IF($B107="","",IF(COUNTIF('Competency Event Log'!$U$4:$U$803,$B107&amp;"|"&amp;BQ$5)=0,"",SUMIF('Competency Event Log'!$U$4:$U$803,$B107&amp;"|"&amp;BQ$5,'Competency Event Log'!$D$4:$D$803)))</f>
        <v/>
      </c>
      <c r="BR107" s="8" t="str">
        <f>IF($B107="","",IF(COUNTIF('Competency Event Log'!$U$4:$U$803,$B107&amp;"|"&amp;BR$5)=0,"",SUMIF('Competency Event Log'!$U$4:$U$803,$B107&amp;"|"&amp;BR$5,'Competency Event Log'!$D$4:$D$803)))</f>
        <v/>
      </c>
      <c r="BS107" s="8" t="str">
        <f>IF($B107="","",IF(COUNTIF('Competency Event Log'!$U$4:$U$803,$B107&amp;"|"&amp;BS$5)=0,"",SUMIF('Competency Event Log'!$U$4:$U$803,$B107&amp;"|"&amp;BS$5,'Competency Event Log'!$D$4:$D$803)))</f>
        <v/>
      </c>
      <c r="BT107" s="8" t="str">
        <f>IF($B107="","",IF(COUNTIF('Competency Event Log'!$U$4:$U$803,$B107&amp;"|"&amp;BT$5)=0,"",SUMIF('Competency Event Log'!$U$4:$U$803,$B107&amp;"|"&amp;BT$5,'Competency Event Log'!$D$4:$D$803)))</f>
        <v/>
      </c>
      <c r="BU107" s="8" t="str">
        <f>IF($B107="","",IF(COUNTIF('Competency Event Log'!$U$4:$U$803,$B107&amp;"|"&amp;BU$5)=0,"",SUMIF('Competency Event Log'!$U$4:$U$803,$B107&amp;"|"&amp;BU$5,'Competency Event Log'!$D$4:$D$803)))</f>
        <v/>
      </c>
      <c r="BV107" s="8" t="str">
        <f>IF($B107="","",IF(COUNTIF('Competency Event Log'!$U$4:$U$803,$B107&amp;"|"&amp;BV$5)=0,"",SUMIF('Competency Event Log'!$U$4:$U$803,$B107&amp;"|"&amp;BV$5,'Competency Event Log'!$D$4:$D$803)))</f>
        <v/>
      </c>
      <c r="BW107" s="8" t="str">
        <f>IF($B107="","",IF(COUNTIF('Competency Event Log'!$U$4:$U$803,$B107&amp;"|"&amp;BW$5)=0,"",SUMIF('Competency Event Log'!$U$4:$U$803,$B107&amp;"|"&amp;BW$5,'Competency Event Log'!$D$4:$D$803)))</f>
        <v/>
      </c>
      <c r="BX107" s="8" t="str">
        <f>IF($B107="","",IF(COUNTIF('Competency Event Log'!$U$4:$U$803,$B107&amp;"|"&amp;BX$5)=0,"",SUMIF('Competency Event Log'!$U$4:$U$803,$B107&amp;"|"&amp;BX$5,'Competency Event Log'!$D$4:$D$803)))</f>
        <v/>
      </c>
      <c r="BY107" s="8" t="str">
        <f>IF($B107="","",IF(COUNTIF('Competency Event Log'!$U$4:$U$803,$B107&amp;"|"&amp;BY$5)=0,"",SUMIF('Competency Event Log'!$U$4:$U$803,$B107&amp;"|"&amp;BY$5,'Competency Event Log'!$D$4:$D$803)))</f>
        <v/>
      </c>
      <c r="BZ107" s="8" t="str">
        <f>IF($B107="","",IF(COUNTIF('Competency Event Log'!$U$4:$U$803,$B107&amp;"|"&amp;BZ$5)=0,"",SUMIF('Competency Event Log'!$U$4:$U$803,$B107&amp;"|"&amp;BZ$5,'Competency Event Log'!$D$4:$D$803)))</f>
        <v/>
      </c>
      <c r="CA107" s="8" t="str">
        <f>IF($B107="","",IF(COUNTIF('Competency Event Log'!$U$4:$U$803,$B107&amp;"|"&amp;CA$5)=0,"",SUMIF('Competency Event Log'!$U$4:$U$803,$B107&amp;"|"&amp;CA$5,'Competency Event Log'!$D$4:$D$803)))</f>
        <v/>
      </c>
      <c r="CB107" s="8" t="str">
        <f>IF($B107="","",IF(COUNTIF('Competency Event Log'!$U$4:$U$803,$B107&amp;"|"&amp;CB$5)=0,"",SUMIF('Competency Event Log'!$U$4:$U$803,$B107&amp;"|"&amp;CB$5,'Competency Event Log'!$D$4:$D$803)))</f>
        <v/>
      </c>
      <c r="CC107" s="8" t="str">
        <f>IF($B107="","",IF(COUNTIF('Competency Event Log'!$U$4:$U$803,$B107&amp;"|"&amp;CC$5)=0,"",SUMIF('Competency Event Log'!$U$4:$U$803,$B107&amp;"|"&amp;CC$5,'Competency Event Log'!$D$4:$D$803)))</f>
        <v/>
      </c>
      <c r="CD107" s="8" t="str">
        <f>IF($B107="","",IF(COUNTIF('Competency Event Log'!$U$4:$U$803,$B107&amp;"|"&amp;CD$5)=0,"",SUMIF('Competency Event Log'!$U$4:$U$803,$B107&amp;"|"&amp;CD$5,'Competency Event Log'!$D$4:$D$803)))</f>
        <v/>
      </c>
      <c r="CE107" s="8" t="str">
        <f>IF($B107="","",IF(COUNTIF('Competency Event Log'!$U$4:$U$803,$B107&amp;"|"&amp;CE$5)=0,"",SUMIF('Competency Event Log'!$U$4:$U$803,$B107&amp;"|"&amp;CE$5,'Competency Event Log'!$D$4:$D$803)))</f>
        <v/>
      </c>
      <c r="CF107" s="8" t="str">
        <f>IF($B107="","",IF(COUNTIF('Competency Event Log'!$U$4:$U$803,$B107&amp;"|"&amp;CF$5)=0,"",SUMIF('Competency Event Log'!$U$4:$U$803,$B107&amp;"|"&amp;CF$5,'Competency Event Log'!$D$4:$D$803)))</f>
        <v/>
      </c>
      <c r="CG107" s="8" t="str">
        <f>IF($B107="","",IF(COUNTIF('Competency Event Log'!$U$4:$U$803,$B107&amp;"|"&amp;CG$5)=0,"",SUMIF('Competency Event Log'!$U$4:$U$803,$B107&amp;"|"&amp;CG$5,'Competency Event Log'!$D$4:$D$803)))</f>
        <v/>
      </c>
      <c r="CH107" s="8" t="str">
        <f>IF($B107="","",IF(COUNTIF('Competency Event Log'!$U$4:$U$803,$B107&amp;"|"&amp;CH$5)=0,"",SUMIF('Competency Event Log'!$U$4:$U$803,$B107&amp;"|"&amp;CH$5,'Competency Event Log'!$D$4:$D$803)))</f>
        <v/>
      </c>
      <c r="CI107" s="8" t="str">
        <f>IF($B107="","",IF(COUNTIF('Competency Event Log'!$U$4:$U$803,$B107&amp;"|"&amp;CI$5)=0,"",SUMIF('Competency Event Log'!$U$4:$U$803,$B107&amp;"|"&amp;CI$5,'Competency Event Log'!$D$4:$D$803)))</f>
        <v/>
      </c>
      <c r="CJ107" s="8" t="str">
        <f>IF($B107="","",IF(COUNTIF('Competency Event Log'!$U$4:$U$803,$B107&amp;"|"&amp;CJ$5)=0,"",SUMIF('Competency Event Log'!$U$4:$U$803,$B107&amp;"|"&amp;CJ$5,'Competency Event Log'!$D$4:$D$803)))</f>
        <v/>
      </c>
      <c r="CK107" s="8" t="str">
        <f>IF($B107="","",IF(COUNTIF('Competency Event Log'!$U$4:$U$803,$B107&amp;"|"&amp;CK$5)=0,"",SUMIF('Competency Event Log'!$U$4:$U$803,$B107&amp;"|"&amp;CK$5,'Competency Event Log'!$D$4:$D$803)))</f>
        <v/>
      </c>
      <c r="CL107" s="8" t="str">
        <f>IF($B107="","",IF(COUNTIF('Competency Event Log'!$U$4:$U$803,$B107&amp;"|"&amp;CL$5)=0,"",SUMIF('Competency Event Log'!$U$4:$U$803,$B107&amp;"|"&amp;CL$5,'Competency Event Log'!$D$4:$D$803)))</f>
        <v/>
      </c>
      <c r="CM107" s="8" t="str">
        <f>IF($B107="","",IF(COUNTIF('Competency Event Log'!$U$4:$U$803,$B107&amp;"|"&amp;CM$5)=0,"",SUMIF('Competency Event Log'!$U$4:$U$803,$B107&amp;"|"&amp;CM$5,'Competency Event Log'!$D$4:$D$803)))</f>
        <v/>
      </c>
      <c r="CN107" s="8" t="str">
        <f>IF($B107="","",IF(COUNTIF('Competency Event Log'!$U$4:$U$803,$B107&amp;"|"&amp;CN$5)=0,"",SUMIF('Competency Event Log'!$U$4:$U$803,$B107&amp;"|"&amp;CN$5,'Competency Event Log'!$D$4:$D$803)))</f>
        <v/>
      </c>
      <c r="CO107" s="8" t="str">
        <f>IF($B107="","",IF(COUNTIF('Competency Event Log'!$U$4:$U$803,$B107&amp;"|"&amp;CO$5)=0,"",SUMIF('Competency Event Log'!$U$4:$U$803,$B107&amp;"|"&amp;CO$5,'Competency Event Log'!$D$4:$D$803)))</f>
        <v/>
      </c>
      <c r="CP107" s="8" t="str">
        <f>IF($B107="","",IF(COUNTIF('Competency Event Log'!$U$4:$U$803,$B107&amp;"|"&amp;CP$5)=0,"",SUMIF('Competency Event Log'!$U$4:$U$803,$B107&amp;"|"&amp;CP$5,'Competency Event Log'!$D$4:$D$803)))</f>
        <v/>
      </c>
      <c r="CQ107" s="8" t="str">
        <f>IF($B107="","",IF(COUNTIF('Competency Event Log'!$U$4:$U$803,$B107&amp;"|"&amp;CQ$5)=0,"",SUMIF('Competency Event Log'!$U$4:$U$803,$B107&amp;"|"&amp;CQ$5,'Competency Event Log'!$D$4:$D$803)))</f>
        <v/>
      </c>
      <c r="CR107" s="8" t="str">
        <f>IF($B107="","",IF(COUNTIF('Competency Event Log'!$U$4:$U$803,$B107&amp;"|"&amp;CR$5)=0,"",SUMIF('Competency Event Log'!$U$4:$U$803,$B107&amp;"|"&amp;CR$5,'Competency Event Log'!$D$4:$D$803)))</f>
        <v/>
      </c>
      <c r="CS107" s="8" t="str">
        <f>IF($B107="","",IF(COUNTIF('Competency Event Log'!$U$4:$U$803,$B107&amp;"|"&amp;CS$5)=0,"",SUMIF('Competency Event Log'!$U$4:$U$803,$B107&amp;"|"&amp;CS$5,'Competency Event Log'!$D$4:$D$803)))</f>
        <v/>
      </c>
      <c r="CT107" s="8" t="str">
        <f>IF($B107="","",IF(COUNTIF('Competency Event Log'!$U$4:$U$803,$B107&amp;"|"&amp;CT$5)=0,"",SUMIF('Competency Event Log'!$U$4:$U$803,$B107&amp;"|"&amp;CT$5,'Competency Event Log'!$D$4:$D$803)))</f>
        <v/>
      </c>
      <c r="CU107" s="8" t="str">
        <f>IF($B107="","",IF(COUNTIF('Competency Event Log'!$U$4:$U$803,$B107&amp;"|"&amp;CU$5)=0,"",SUMIF('Competency Event Log'!$U$4:$U$803,$B107&amp;"|"&amp;CU$5,'Competency Event Log'!$D$4:$D$803)))</f>
        <v/>
      </c>
      <c r="CV107" s="8" t="str">
        <f>IF($B107="","",IF(COUNTIF('Competency Event Log'!$U$4:$U$803,$B107&amp;"|"&amp;CV$5)=0,"",SUMIF('Competency Event Log'!$U$4:$U$803,$B107&amp;"|"&amp;CV$5,'Competency Event Log'!$D$4:$D$803)))</f>
        <v/>
      </c>
      <c r="CW107" s="8" t="str">
        <f>IF($B107="","",IF(COUNTIF('Competency Event Log'!$U$4:$U$803,$B107&amp;"|"&amp;CW$5)=0,"",SUMIF('Competency Event Log'!$U$4:$U$803,$B107&amp;"|"&amp;CW$5,'Competency Event Log'!$D$4:$D$803)))</f>
        <v/>
      </c>
      <c r="CX107" s="8" t="str">
        <f>IF($B107="","",IF(COUNTIF('Competency Event Log'!$U$4:$U$803,$B107&amp;"|"&amp;CX$5)=0,"",SUMIF('Competency Event Log'!$U$4:$U$803,$B107&amp;"|"&amp;CX$5,'Competency Event Log'!$D$4:$D$803)))</f>
        <v/>
      </c>
      <c r="CY107" s="8" t="str">
        <f>IF($B107="","",IF(COUNTIF('Competency Event Log'!$U$4:$U$803,$B107&amp;"|"&amp;CY$5)=0,"",SUMIF('Competency Event Log'!$U$4:$U$803,$B107&amp;"|"&amp;CY$5,'Competency Event Log'!$D$4:$D$803)))</f>
        <v/>
      </c>
      <c r="CZ107" s="8" t="str">
        <f>IF($B107="","",IF(COUNTIF('Competency Event Log'!$U$4:$U$803,$B107&amp;"|"&amp;CZ$5)=0,"",SUMIF('Competency Event Log'!$U$4:$U$803,$B107&amp;"|"&amp;CZ$5,'Competency Event Log'!$D$4:$D$803)))</f>
        <v/>
      </c>
      <c r="DA107" s="8" t="str">
        <f>IF($B107="","",IF(COUNTIF('Competency Event Log'!$U$4:$U$803,$B107&amp;"|"&amp;DA$5)=0,"",SUMIF('Competency Event Log'!$U$4:$U$803,$B107&amp;"|"&amp;DA$5,'Competency Event Log'!$D$4:$D$803)))</f>
        <v/>
      </c>
      <c r="DB107" s="8" t="str">
        <f>IF($B107="","",IF(COUNTIF('Competency Event Log'!$U$4:$U$803,$B107&amp;"|"&amp;DB$5)=0,"",SUMIF('Competency Event Log'!$U$4:$U$803,$B107&amp;"|"&amp;DB$5,'Competency Event Log'!$D$4:$D$803)))</f>
        <v/>
      </c>
      <c r="DC107" s="8" t="str">
        <f>IF($B107="","",IF(COUNTIF('Competency Event Log'!$U$4:$U$803,$B107&amp;"|"&amp;DC$5)=0,"",SUMIF('Competency Event Log'!$U$4:$U$803,$B107&amp;"|"&amp;DC$5,'Competency Event Log'!$D$4:$D$803)))</f>
        <v/>
      </c>
      <c r="DD107" s="8" t="str">
        <f>IF($B107="","",IF(COUNTIF('Competency Event Log'!$U$4:$U$803,$B107&amp;"|"&amp;DD$5)=0,"",SUMIF('Competency Event Log'!$U$4:$U$803,$B107&amp;"|"&amp;DD$5,'Competency Event Log'!$D$4:$D$803)))</f>
        <v/>
      </c>
      <c r="DE107" s="8" t="str">
        <f>IF($B107="","",IF(COUNTIF('Competency Event Log'!$U$4:$U$803,$B107&amp;"|"&amp;DE$5)=0,"",SUMIF('Competency Event Log'!$U$4:$U$803,$B107&amp;"|"&amp;DE$5,'Competency Event Log'!$D$4:$D$803)))</f>
        <v/>
      </c>
      <c r="DF107" s="8" t="str">
        <f t="shared" si="12"/>
        <v/>
      </c>
      <c r="DG107" s="8" t="str">
        <f t="shared" si="13"/>
        <v/>
      </c>
      <c r="DH107" s="8" t="str">
        <f t="shared" si="14"/>
        <v/>
      </c>
      <c r="DI107" s="11" t="str">
        <f t="shared" si="15"/>
        <v/>
      </c>
    </row>
    <row r="108" spans="1:113">
      <c r="A108" s="7"/>
      <c r="B108" s="7"/>
      <c r="C108" s="8"/>
      <c r="D108" s="9"/>
      <c r="E108" s="10"/>
      <c r="F108" s="8"/>
      <c r="G108" s="8" t="str">
        <f>IF($B108="","",IF(COUNTIF('Competency Event Log'!$U$4:$U$803,$B108&amp;"|"&amp;G$5)=0,"",SUMIF('Competency Event Log'!$U$4:$U$803,$B108&amp;"|"&amp;G$5,'Competency Event Log'!$D$4:$D$803)))</f>
        <v/>
      </c>
      <c r="H108" s="8" t="str">
        <f>IF($B108="","",IF(COUNTIF('Competency Event Log'!$U$4:$U$803,$B108&amp;"|"&amp;H$5)=0,"",SUMIF('Competency Event Log'!$U$4:$U$803,$B108&amp;"|"&amp;H$5,'Competency Event Log'!$D$4:$D$803)))</f>
        <v/>
      </c>
      <c r="I108" s="8" t="str">
        <f>IF($B108="","",IF(COUNTIF('Competency Event Log'!$U$4:$U$803,$B108&amp;"|"&amp;I$5)=0,"",SUMIF('Competency Event Log'!$U$4:$U$803,$B108&amp;"|"&amp;I$5,'Competency Event Log'!$D$4:$D$803)))</f>
        <v/>
      </c>
      <c r="J108" s="8" t="str">
        <f>IF($B108="","",IF(COUNTIF('Competency Event Log'!$U$4:$U$803,$B108&amp;"|"&amp;J$5)=0,"",SUMIF('Competency Event Log'!$U$4:$U$803,$B108&amp;"|"&amp;J$5,'Competency Event Log'!$D$4:$D$803)))</f>
        <v/>
      </c>
      <c r="K108" s="8" t="str">
        <f>IF($B108="","",IF(COUNTIF('Competency Event Log'!$U$4:$U$803,$B108&amp;"|"&amp;K$5)=0,"",SUMIF('Competency Event Log'!$U$4:$U$803,$B108&amp;"|"&amp;K$5,'Competency Event Log'!$D$4:$D$803)))</f>
        <v/>
      </c>
      <c r="L108" s="8" t="str">
        <f>IF($B108="","",IF(COUNTIF('Competency Event Log'!$U$4:$U$803,$B108&amp;"|"&amp;L$5)=0,"",SUMIF('Competency Event Log'!$U$4:$U$803,$B108&amp;"|"&amp;L$5,'Competency Event Log'!$D$4:$D$803)))</f>
        <v/>
      </c>
      <c r="M108" s="8" t="str">
        <f>IF($B108="","",IF(COUNTIF('Competency Event Log'!$U$4:$U$803,$B108&amp;"|"&amp;M$5)=0,"",SUMIF('Competency Event Log'!$U$4:$U$803,$B108&amp;"|"&amp;M$5,'Competency Event Log'!$D$4:$D$803)))</f>
        <v/>
      </c>
      <c r="N108" s="8" t="str">
        <f>IF($B108="","",IF(COUNTIF('Competency Event Log'!$U$4:$U$803,$B108&amp;"|"&amp;N$5)=0,"",SUMIF('Competency Event Log'!$U$4:$U$803,$B108&amp;"|"&amp;N$5,'Competency Event Log'!$D$4:$D$803)))</f>
        <v/>
      </c>
      <c r="O108" s="8" t="str">
        <f>IF($B108="","",IF(COUNTIF('Competency Event Log'!$U$4:$U$803,$B108&amp;"|"&amp;O$5)=0,"",SUMIF('Competency Event Log'!$U$4:$U$803,$B108&amp;"|"&amp;O$5,'Competency Event Log'!$D$4:$D$803)))</f>
        <v/>
      </c>
      <c r="P108" s="8" t="str">
        <f>IF($B108="","",IF(COUNTIF('Competency Event Log'!$U$4:$U$803,$B108&amp;"|"&amp;P$5)=0,"",SUMIF('Competency Event Log'!$U$4:$U$803,$B108&amp;"|"&amp;P$5,'Competency Event Log'!$D$4:$D$803)))</f>
        <v/>
      </c>
      <c r="Q108" s="8" t="str">
        <f>IF($B108="","",IF(COUNTIF('Competency Event Log'!$U$4:$U$803,$B108&amp;"|"&amp;Q$5)=0,"",SUMIF('Competency Event Log'!$U$4:$U$803,$B108&amp;"|"&amp;Q$5,'Competency Event Log'!$D$4:$D$803)))</f>
        <v/>
      </c>
      <c r="R108" s="8" t="str">
        <f>IF($B108="","",IF(COUNTIF('Competency Event Log'!$U$4:$U$803,$B108&amp;"|"&amp;R$5)=0,"",SUMIF('Competency Event Log'!$U$4:$U$803,$B108&amp;"|"&amp;R$5,'Competency Event Log'!$D$4:$D$803)))</f>
        <v/>
      </c>
      <c r="S108" s="8" t="str">
        <f>IF($B108="","",IF(COUNTIF('Competency Event Log'!$U$4:$U$803,$B108&amp;"|"&amp;S$5)=0,"",SUMIF('Competency Event Log'!$U$4:$U$803,$B108&amp;"|"&amp;S$5,'Competency Event Log'!$D$4:$D$803)))</f>
        <v/>
      </c>
      <c r="T108" s="8" t="str">
        <f>IF($B108="","",IF(COUNTIF('Competency Event Log'!$U$4:$U$803,$B108&amp;"|"&amp;T$5)=0,"",SUMIF('Competency Event Log'!$U$4:$U$803,$B108&amp;"|"&amp;T$5,'Competency Event Log'!$D$4:$D$803)))</f>
        <v/>
      </c>
      <c r="U108" s="8" t="str">
        <f>IF($B108="","",IF(COUNTIF('Competency Event Log'!$U$4:$U$803,$B108&amp;"|"&amp;U$5)=0,"",SUMIF('Competency Event Log'!$U$4:$U$803,$B108&amp;"|"&amp;U$5,'Competency Event Log'!$D$4:$D$803)))</f>
        <v/>
      </c>
      <c r="V108" s="8" t="str">
        <f>IF($B108="","",IF(COUNTIF('Competency Event Log'!$U$4:$U$803,$B108&amp;"|"&amp;V$5)=0,"",SUMIF('Competency Event Log'!$U$4:$U$803,$B108&amp;"|"&amp;V$5,'Competency Event Log'!$D$4:$D$803)))</f>
        <v/>
      </c>
      <c r="W108" s="8" t="str">
        <f>IF($B108="","",IF(COUNTIF('Competency Event Log'!$U$4:$U$803,$B108&amp;"|"&amp;W$5)=0,"",SUMIF('Competency Event Log'!$U$4:$U$803,$B108&amp;"|"&amp;W$5,'Competency Event Log'!$D$4:$D$803)))</f>
        <v/>
      </c>
      <c r="X108" s="8" t="str">
        <f>IF($B108="","",IF(COUNTIF('Competency Event Log'!$U$4:$U$803,$B108&amp;"|"&amp;X$5)=0,"",SUMIF('Competency Event Log'!$U$4:$U$803,$B108&amp;"|"&amp;X$5,'Competency Event Log'!$D$4:$D$803)))</f>
        <v/>
      </c>
      <c r="Y108" s="8" t="str">
        <f>IF($B108="","",IF(COUNTIF('Competency Event Log'!$U$4:$U$803,$B108&amp;"|"&amp;Y$5)=0,"",SUMIF('Competency Event Log'!$U$4:$U$803,$B108&amp;"|"&amp;Y$5,'Competency Event Log'!$D$4:$D$803)))</f>
        <v/>
      </c>
      <c r="Z108" s="8" t="str">
        <f>IF($B108="","",IF(COUNTIF('Competency Event Log'!$U$4:$U$803,$B108&amp;"|"&amp;Z$5)=0,"",SUMIF('Competency Event Log'!$U$4:$U$803,$B108&amp;"|"&amp;Z$5,'Competency Event Log'!$D$4:$D$803)))</f>
        <v/>
      </c>
      <c r="AA108" s="8" t="str">
        <f>IF($B108="","",IF(COUNTIF('Competency Event Log'!$U$4:$U$803,$B108&amp;"|"&amp;AA$5)=0,"",SUMIF('Competency Event Log'!$U$4:$U$803,$B108&amp;"|"&amp;AA$5,'Competency Event Log'!$D$4:$D$803)))</f>
        <v/>
      </c>
      <c r="AB108" s="8" t="str">
        <f>IF($B108="","",IF(COUNTIF('Competency Event Log'!$U$4:$U$803,$B108&amp;"|"&amp;AB$5)=0,"",SUMIF('Competency Event Log'!$U$4:$U$803,$B108&amp;"|"&amp;AB$5,'Competency Event Log'!$D$4:$D$803)))</f>
        <v/>
      </c>
      <c r="AC108" s="8" t="str">
        <f>IF($B108="","",IF(COUNTIF('Competency Event Log'!$U$4:$U$803,$B108&amp;"|"&amp;AC$5)=0,"",SUMIF('Competency Event Log'!$U$4:$U$803,$B108&amp;"|"&amp;AC$5,'Competency Event Log'!$D$4:$D$803)))</f>
        <v/>
      </c>
      <c r="AD108" s="8" t="str">
        <f>IF($B108="","",IF(COUNTIF('Competency Event Log'!$U$4:$U$803,$B108&amp;"|"&amp;AD$5)=0,"",SUMIF('Competency Event Log'!$U$4:$U$803,$B108&amp;"|"&amp;AD$5,'Competency Event Log'!$D$4:$D$803)))</f>
        <v/>
      </c>
      <c r="AE108" s="8" t="str">
        <f>IF($B108="","",IF(COUNTIF('Competency Event Log'!$U$4:$U$803,$B108&amp;"|"&amp;AE$5)=0,"",SUMIF('Competency Event Log'!$U$4:$U$803,$B108&amp;"|"&amp;AE$5,'Competency Event Log'!$D$4:$D$803)))</f>
        <v/>
      </c>
      <c r="AF108" s="8" t="str">
        <f>IF($B108="","",IF(COUNTIF('Competency Event Log'!$U$4:$U$803,$B108&amp;"|"&amp;AF$5)=0,"",SUMIF('Competency Event Log'!$U$4:$U$803,$B108&amp;"|"&amp;AF$5,'Competency Event Log'!$D$4:$D$803)))</f>
        <v/>
      </c>
      <c r="AG108" s="8" t="str">
        <f>IF($B108="","",IF(COUNTIF('Competency Event Log'!$U$4:$U$803,$B108&amp;"|"&amp;AG$5)=0,"",SUMIF('Competency Event Log'!$U$4:$U$803,$B108&amp;"|"&amp;AG$5,'Competency Event Log'!$D$4:$D$803)))</f>
        <v/>
      </c>
      <c r="AH108" s="8" t="str">
        <f>IF($B108="","",IF(COUNTIF('Competency Event Log'!$U$4:$U$803,$B108&amp;"|"&amp;AH$5)=0,"",SUMIF('Competency Event Log'!$U$4:$U$803,$B108&amp;"|"&amp;AH$5,'Competency Event Log'!$D$4:$D$803)))</f>
        <v/>
      </c>
      <c r="AI108" s="8" t="str">
        <f>IF($B108="","",IF(COUNTIF('Competency Event Log'!$U$4:$U$803,$B108&amp;"|"&amp;AI$5)=0,"",SUMIF('Competency Event Log'!$U$4:$U$803,$B108&amp;"|"&amp;AI$5,'Competency Event Log'!$D$4:$D$803)))</f>
        <v/>
      </c>
      <c r="AJ108" s="8" t="str">
        <f>IF($B108="","",IF(COUNTIF('Competency Event Log'!$U$4:$U$803,$B108&amp;"|"&amp;AJ$5)=0,"",SUMIF('Competency Event Log'!$U$4:$U$803,$B108&amp;"|"&amp;AJ$5,'Competency Event Log'!$D$4:$D$803)))</f>
        <v/>
      </c>
      <c r="AK108" s="8" t="str">
        <f>IF($B108="","",IF(COUNTIF('Competency Event Log'!$U$4:$U$803,$B108&amp;"|"&amp;AK$5)=0,"",SUMIF('Competency Event Log'!$U$4:$U$803,$B108&amp;"|"&amp;AK$5,'Competency Event Log'!$D$4:$D$803)))</f>
        <v/>
      </c>
      <c r="AL108" s="8" t="str">
        <f>IF($B108="","",IF(COUNTIF('Competency Event Log'!$U$4:$U$803,$B108&amp;"|"&amp;AL$5)=0,"",SUMIF('Competency Event Log'!$U$4:$U$803,$B108&amp;"|"&amp;AL$5,'Competency Event Log'!$D$4:$D$803)))</f>
        <v/>
      </c>
      <c r="AM108" s="8" t="str">
        <f>IF($B108="","",IF(COUNTIF('Competency Event Log'!$U$4:$U$803,$B108&amp;"|"&amp;AM$5)=0,"",SUMIF('Competency Event Log'!$U$4:$U$803,$B108&amp;"|"&amp;AM$5,'Competency Event Log'!$D$4:$D$803)))</f>
        <v/>
      </c>
      <c r="AN108" s="8" t="str">
        <f>IF($B108="","",IF(COUNTIF('Competency Event Log'!$U$4:$U$803,$B108&amp;"|"&amp;AN$5)=0,"",SUMIF('Competency Event Log'!$U$4:$U$803,$B108&amp;"|"&amp;AN$5,'Competency Event Log'!$D$4:$D$803)))</f>
        <v/>
      </c>
      <c r="AO108" s="8" t="str">
        <f>IF($B108="","",IF(COUNTIF('Competency Event Log'!$U$4:$U$803,$B108&amp;"|"&amp;AO$5)=0,"",SUMIF('Competency Event Log'!$U$4:$U$803,$B108&amp;"|"&amp;AO$5,'Competency Event Log'!$D$4:$D$803)))</f>
        <v/>
      </c>
      <c r="AP108" s="8" t="str">
        <f>IF($B108="","",IF(COUNTIF('Competency Event Log'!$U$4:$U$803,$B108&amp;"|"&amp;AP$5)=0,"",SUMIF('Competency Event Log'!$U$4:$U$803,$B108&amp;"|"&amp;AP$5,'Competency Event Log'!$D$4:$D$803)))</f>
        <v/>
      </c>
      <c r="AQ108" s="8" t="str">
        <f>IF($B108="","",IF(COUNTIF('Competency Event Log'!$U$4:$U$803,$B108&amp;"|"&amp;AQ$5)=0,"",SUMIF('Competency Event Log'!$U$4:$U$803,$B108&amp;"|"&amp;AQ$5,'Competency Event Log'!$D$4:$D$803)))</f>
        <v/>
      </c>
      <c r="AR108" s="8" t="str">
        <f>IF($B108="","",IF(COUNTIF('Competency Event Log'!$U$4:$U$803,$B108&amp;"|"&amp;AR$5)=0,"",SUMIF('Competency Event Log'!$U$4:$U$803,$B108&amp;"|"&amp;AR$5,'Competency Event Log'!$D$4:$D$803)))</f>
        <v/>
      </c>
      <c r="AS108" s="8" t="str">
        <f>IF($B108="","",IF(COUNTIF('Competency Event Log'!$U$4:$U$803,$B108&amp;"|"&amp;AS$5)=0,"",SUMIF('Competency Event Log'!$U$4:$U$803,$B108&amp;"|"&amp;AS$5,'Competency Event Log'!$D$4:$D$803)))</f>
        <v/>
      </c>
      <c r="AT108" s="8" t="str">
        <f>IF($B108="","",IF(COUNTIF('Competency Event Log'!$U$4:$U$803,$B108&amp;"|"&amp;AT$5)=0,"",SUMIF('Competency Event Log'!$U$4:$U$803,$B108&amp;"|"&amp;AT$5,'Competency Event Log'!$D$4:$D$803)))</f>
        <v/>
      </c>
      <c r="AU108" s="8" t="str">
        <f>IF($B108="","",IF(COUNTIF('Competency Event Log'!$U$4:$U$803,$B108&amp;"|"&amp;AU$5)=0,"",SUMIF('Competency Event Log'!$U$4:$U$803,$B108&amp;"|"&amp;AU$5,'Competency Event Log'!$D$4:$D$803)))</f>
        <v/>
      </c>
      <c r="AV108" s="8" t="str">
        <f>IF($B108="","",IF(COUNTIF('Competency Event Log'!$U$4:$U$803,$B108&amp;"|"&amp;AV$5)=0,"",SUMIF('Competency Event Log'!$U$4:$U$803,$B108&amp;"|"&amp;AV$5,'Competency Event Log'!$D$4:$D$803)))</f>
        <v/>
      </c>
      <c r="AW108" s="8" t="str">
        <f>IF($B108="","",IF(COUNTIF('Competency Event Log'!$U$4:$U$803,$B108&amp;"|"&amp;AW$5)=0,"",SUMIF('Competency Event Log'!$U$4:$U$803,$B108&amp;"|"&amp;AW$5,'Competency Event Log'!$D$4:$D$803)))</f>
        <v/>
      </c>
      <c r="AX108" s="8" t="str">
        <f>IF($B108="","",IF(COUNTIF('Competency Event Log'!$U$4:$U$803,$B108&amp;"|"&amp;AX$5)=0,"",SUMIF('Competency Event Log'!$U$4:$U$803,$B108&amp;"|"&amp;AX$5,'Competency Event Log'!$D$4:$D$803)))</f>
        <v/>
      </c>
      <c r="AY108" s="8" t="str">
        <f>IF($B108="","",IF(COUNTIF('Competency Event Log'!$U$4:$U$803,$B108&amp;"|"&amp;AY$5)=0,"",SUMIF('Competency Event Log'!$U$4:$U$803,$B108&amp;"|"&amp;AY$5,'Competency Event Log'!$D$4:$D$803)))</f>
        <v/>
      </c>
      <c r="AZ108" s="8" t="str">
        <f>IF($B108="","",IF(COUNTIF('Competency Event Log'!$U$4:$U$803,$B108&amp;"|"&amp;AZ$5)=0,"",SUMIF('Competency Event Log'!$U$4:$U$803,$B108&amp;"|"&amp;AZ$5,'Competency Event Log'!$D$4:$D$803)))</f>
        <v/>
      </c>
      <c r="BA108" s="8" t="str">
        <f>IF($B108="","",IF(COUNTIF('Competency Event Log'!$U$4:$U$803,$B108&amp;"|"&amp;BA$5)=0,"",SUMIF('Competency Event Log'!$U$4:$U$803,$B108&amp;"|"&amp;BA$5,'Competency Event Log'!$D$4:$D$803)))</f>
        <v/>
      </c>
      <c r="BB108" s="8" t="str">
        <f>IF($B108="","",IF(COUNTIF('Competency Event Log'!$U$4:$U$803,$B108&amp;"|"&amp;BB$5)=0,"",SUMIF('Competency Event Log'!$U$4:$U$803,$B108&amp;"|"&amp;BB$5,'Competency Event Log'!$D$4:$D$803)))</f>
        <v/>
      </c>
      <c r="BC108" s="8" t="str">
        <f>IF($B108="","",IF(COUNTIF('Competency Event Log'!$U$4:$U$803,$B108&amp;"|"&amp;BC$5)=0,"",SUMIF('Competency Event Log'!$U$4:$U$803,$B108&amp;"|"&amp;BC$5,'Competency Event Log'!$D$4:$D$803)))</f>
        <v/>
      </c>
      <c r="BD108" s="8" t="str">
        <f>IF($B108="","",IF(COUNTIF('Competency Event Log'!$U$4:$U$803,$B108&amp;"|"&amp;BD$5)=0,"",SUMIF('Competency Event Log'!$U$4:$U$803,$B108&amp;"|"&amp;BD$5,'Competency Event Log'!$D$4:$D$803)))</f>
        <v/>
      </c>
      <c r="BE108" s="8" t="str">
        <f>IF($B108="","",IF(COUNTIF('Competency Event Log'!$U$4:$U$803,$B108&amp;"|"&amp;BE$5)=0,"",SUMIF('Competency Event Log'!$U$4:$U$803,$B108&amp;"|"&amp;BE$5,'Competency Event Log'!$D$4:$D$803)))</f>
        <v/>
      </c>
      <c r="BF108" s="8" t="str">
        <f>IF($B108="","",IF(COUNTIF('Competency Event Log'!$U$4:$U$803,$B108&amp;"|"&amp;BF$5)=0,"",SUMIF('Competency Event Log'!$U$4:$U$803,$B108&amp;"|"&amp;BF$5,'Competency Event Log'!$D$4:$D$803)))</f>
        <v/>
      </c>
      <c r="BG108" s="8" t="str">
        <f>IF($B108="","",IF(COUNTIF('Competency Event Log'!$U$4:$U$803,$B108&amp;"|"&amp;BG$5)=0,"",SUMIF('Competency Event Log'!$U$4:$U$803,$B108&amp;"|"&amp;BG$5,'Competency Event Log'!$D$4:$D$803)))</f>
        <v/>
      </c>
      <c r="BH108" s="8" t="str">
        <f>IF($B108="","",IF(COUNTIF('Competency Event Log'!$U$4:$U$803,$B108&amp;"|"&amp;BH$5)=0,"",SUMIF('Competency Event Log'!$U$4:$U$803,$B108&amp;"|"&amp;BH$5,'Competency Event Log'!$D$4:$D$803)))</f>
        <v/>
      </c>
      <c r="BI108" s="8" t="str">
        <f>IF($B108="","",IF(COUNTIF('Competency Event Log'!$U$4:$U$803,$B108&amp;"|"&amp;BI$5)=0,"",SUMIF('Competency Event Log'!$U$4:$U$803,$B108&amp;"|"&amp;BI$5,'Competency Event Log'!$D$4:$D$803)))</f>
        <v/>
      </c>
      <c r="BJ108" s="8" t="str">
        <f>IF($B108="","",IF(COUNTIF('Competency Event Log'!$U$4:$U$803,$B108&amp;"|"&amp;BJ$5)=0,"",SUMIF('Competency Event Log'!$U$4:$U$803,$B108&amp;"|"&amp;BJ$5,'Competency Event Log'!$D$4:$D$803)))</f>
        <v/>
      </c>
      <c r="BK108" s="8" t="str">
        <f>IF($B108="","",IF(COUNTIF('Competency Event Log'!$U$4:$U$803,$B108&amp;"|"&amp;BK$5)=0,"",SUMIF('Competency Event Log'!$U$4:$U$803,$B108&amp;"|"&amp;BK$5,'Competency Event Log'!$D$4:$D$803)))</f>
        <v/>
      </c>
      <c r="BL108" s="8" t="str">
        <f>IF($B108="","",IF(COUNTIF('Competency Event Log'!$U$4:$U$803,$B108&amp;"|"&amp;BL$5)=0,"",SUMIF('Competency Event Log'!$U$4:$U$803,$B108&amp;"|"&amp;BL$5,'Competency Event Log'!$D$4:$D$803)))</f>
        <v/>
      </c>
      <c r="BM108" s="8" t="str">
        <f>IF($B108="","",IF(COUNTIF('Competency Event Log'!$U$4:$U$803,$B108&amp;"|"&amp;BM$5)=0,"",SUMIF('Competency Event Log'!$U$4:$U$803,$B108&amp;"|"&amp;BM$5,'Competency Event Log'!$D$4:$D$803)))</f>
        <v/>
      </c>
      <c r="BN108" s="8" t="str">
        <f>IF($B108="","",IF(COUNTIF('Competency Event Log'!$U$4:$U$803,$B108&amp;"|"&amp;BN$5)=0,"",SUMIF('Competency Event Log'!$U$4:$U$803,$B108&amp;"|"&amp;BN$5,'Competency Event Log'!$D$4:$D$803)))</f>
        <v/>
      </c>
      <c r="BO108" s="8" t="str">
        <f>IF($B108="","",IF(COUNTIF('Competency Event Log'!$U$4:$U$803,$B108&amp;"|"&amp;BO$5)=0,"",SUMIF('Competency Event Log'!$U$4:$U$803,$B108&amp;"|"&amp;BO$5,'Competency Event Log'!$D$4:$D$803)))</f>
        <v/>
      </c>
      <c r="BP108" s="8" t="str">
        <f>IF($B108="","",IF(COUNTIF('Competency Event Log'!$U$4:$U$803,$B108&amp;"|"&amp;BP$5)=0,"",SUMIF('Competency Event Log'!$U$4:$U$803,$B108&amp;"|"&amp;BP$5,'Competency Event Log'!$D$4:$D$803)))</f>
        <v/>
      </c>
      <c r="BQ108" s="8" t="str">
        <f>IF($B108="","",IF(COUNTIF('Competency Event Log'!$U$4:$U$803,$B108&amp;"|"&amp;BQ$5)=0,"",SUMIF('Competency Event Log'!$U$4:$U$803,$B108&amp;"|"&amp;BQ$5,'Competency Event Log'!$D$4:$D$803)))</f>
        <v/>
      </c>
      <c r="BR108" s="8" t="str">
        <f>IF($B108="","",IF(COUNTIF('Competency Event Log'!$U$4:$U$803,$B108&amp;"|"&amp;BR$5)=0,"",SUMIF('Competency Event Log'!$U$4:$U$803,$B108&amp;"|"&amp;BR$5,'Competency Event Log'!$D$4:$D$803)))</f>
        <v/>
      </c>
      <c r="BS108" s="8" t="str">
        <f>IF($B108="","",IF(COUNTIF('Competency Event Log'!$U$4:$U$803,$B108&amp;"|"&amp;BS$5)=0,"",SUMIF('Competency Event Log'!$U$4:$U$803,$B108&amp;"|"&amp;BS$5,'Competency Event Log'!$D$4:$D$803)))</f>
        <v/>
      </c>
      <c r="BT108" s="8" t="str">
        <f>IF($B108="","",IF(COUNTIF('Competency Event Log'!$U$4:$U$803,$B108&amp;"|"&amp;BT$5)=0,"",SUMIF('Competency Event Log'!$U$4:$U$803,$B108&amp;"|"&amp;BT$5,'Competency Event Log'!$D$4:$D$803)))</f>
        <v/>
      </c>
      <c r="BU108" s="8" t="str">
        <f>IF($B108="","",IF(COUNTIF('Competency Event Log'!$U$4:$U$803,$B108&amp;"|"&amp;BU$5)=0,"",SUMIF('Competency Event Log'!$U$4:$U$803,$B108&amp;"|"&amp;BU$5,'Competency Event Log'!$D$4:$D$803)))</f>
        <v/>
      </c>
      <c r="BV108" s="8" t="str">
        <f>IF($B108="","",IF(COUNTIF('Competency Event Log'!$U$4:$U$803,$B108&amp;"|"&amp;BV$5)=0,"",SUMIF('Competency Event Log'!$U$4:$U$803,$B108&amp;"|"&amp;BV$5,'Competency Event Log'!$D$4:$D$803)))</f>
        <v/>
      </c>
      <c r="BW108" s="8" t="str">
        <f>IF($B108="","",IF(COUNTIF('Competency Event Log'!$U$4:$U$803,$B108&amp;"|"&amp;BW$5)=0,"",SUMIF('Competency Event Log'!$U$4:$U$803,$B108&amp;"|"&amp;BW$5,'Competency Event Log'!$D$4:$D$803)))</f>
        <v/>
      </c>
      <c r="BX108" s="8" t="str">
        <f>IF($B108="","",IF(COUNTIF('Competency Event Log'!$U$4:$U$803,$B108&amp;"|"&amp;BX$5)=0,"",SUMIF('Competency Event Log'!$U$4:$U$803,$B108&amp;"|"&amp;BX$5,'Competency Event Log'!$D$4:$D$803)))</f>
        <v/>
      </c>
      <c r="BY108" s="8" t="str">
        <f>IF($B108="","",IF(COUNTIF('Competency Event Log'!$U$4:$U$803,$B108&amp;"|"&amp;BY$5)=0,"",SUMIF('Competency Event Log'!$U$4:$U$803,$B108&amp;"|"&amp;BY$5,'Competency Event Log'!$D$4:$D$803)))</f>
        <v/>
      </c>
      <c r="BZ108" s="8" t="str">
        <f>IF($B108="","",IF(COUNTIF('Competency Event Log'!$U$4:$U$803,$B108&amp;"|"&amp;BZ$5)=0,"",SUMIF('Competency Event Log'!$U$4:$U$803,$B108&amp;"|"&amp;BZ$5,'Competency Event Log'!$D$4:$D$803)))</f>
        <v/>
      </c>
      <c r="CA108" s="8" t="str">
        <f>IF($B108="","",IF(COUNTIF('Competency Event Log'!$U$4:$U$803,$B108&amp;"|"&amp;CA$5)=0,"",SUMIF('Competency Event Log'!$U$4:$U$803,$B108&amp;"|"&amp;CA$5,'Competency Event Log'!$D$4:$D$803)))</f>
        <v/>
      </c>
      <c r="CB108" s="8" t="str">
        <f>IF($B108="","",IF(COUNTIF('Competency Event Log'!$U$4:$U$803,$B108&amp;"|"&amp;CB$5)=0,"",SUMIF('Competency Event Log'!$U$4:$U$803,$B108&amp;"|"&amp;CB$5,'Competency Event Log'!$D$4:$D$803)))</f>
        <v/>
      </c>
      <c r="CC108" s="8" t="str">
        <f>IF($B108="","",IF(COUNTIF('Competency Event Log'!$U$4:$U$803,$B108&amp;"|"&amp;CC$5)=0,"",SUMIF('Competency Event Log'!$U$4:$U$803,$B108&amp;"|"&amp;CC$5,'Competency Event Log'!$D$4:$D$803)))</f>
        <v/>
      </c>
      <c r="CD108" s="8" t="str">
        <f>IF($B108="","",IF(COUNTIF('Competency Event Log'!$U$4:$U$803,$B108&amp;"|"&amp;CD$5)=0,"",SUMIF('Competency Event Log'!$U$4:$U$803,$B108&amp;"|"&amp;CD$5,'Competency Event Log'!$D$4:$D$803)))</f>
        <v/>
      </c>
      <c r="CE108" s="8" t="str">
        <f>IF($B108="","",IF(COUNTIF('Competency Event Log'!$U$4:$U$803,$B108&amp;"|"&amp;CE$5)=0,"",SUMIF('Competency Event Log'!$U$4:$U$803,$B108&amp;"|"&amp;CE$5,'Competency Event Log'!$D$4:$D$803)))</f>
        <v/>
      </c>
      <c r="CF108" s="8" t="str">
        <f>IF($B108="","",IF(COUNTIF('Competency Event Log'!$U$4:$U$803,$B108&amp;"|"&amp;CF$5)=0,"",SUMIF('Competency Event Log'!$U$4:$U$803,$B108&amp;"|"&amp;CF$5,'Competency Event Log'!$D$4:$D$803)))</f>
        <v/>
      </c>
      <c r="CG108" s="8" t="str">
        <f>IF($B108="","",IF(COUNTIF('Competency Event Log'!$U$4:$U$803,$B108&amp;"|"&amp;CG$5)=0,"",SUMIF('Competency Event Log'!$U$4:$U$803,$B108&amp;"|"&amp;CG$5,'Competency Event Log'!$D$4:$D$803)))</f>
        <v/>
      </c>
      <c r="CH108" s="8" t="str">
        <f>IF($B108="","",IF(COUNTIF('Competency Event Log'!$U$4:$U$803,$B108&amp;"|"&amp;CH$5)=0,"",SUMIF('Competency Event Log'!$U$4:$U$803,$B108&amp;"|"&amp;CH$5,'Competency Event Log'!$D$4:$D$803)))</f>
        <v/>
      </c>
      <c r="CI108" s="8" t="str">
        <f>IF($B108="","",IF(COUNTIF('Competency Event Log'!$U$4:$U$803,$B108&amp;"|"&amp;CI$5)=0,"",SUMIF('Competency Event Log'!$U$4:$U$803,$B108&amp;"|"&amp;CI$5,'Competency Event Log'!$D$4:$D$803)))</f>
        <v/>
      </c>
      <c r="CJ108" s="8" t="str">
        <f>IF($B108="","",IF(COUNTIF('Competency Event Log'!$U$4:$U$803,$B108&amp;"|"&amp;CJ$5)=0,"",SUMIF('Competency Event Log'!$U$4:$U$803,$B108&amp;"|"&amp;CJ$5,'Competency Event Log'!$D$4:$D$803)))</f>
        <v/>
      </c>
      <c r="CK108" s="8" t="str">
        <f>IF($B108="","",IF(COUNTIF('Competency Event Log'!$U$4:$U$803,$B108&amp;"|"&amp;CK$5)=0,"",SUMIF('Competency Event Log'!$U$4:$U$803,$B108&amp;"|"&amp;CK$5,'Competency Event Log'!$D$4:$D$803)))</f>
        <v/>
      </c>
      <c r="CL108" s="8" t="str">
        <f>IF($B108="","",IF(COUNTIF('Competency Event Log'!$U$4:$U$803,$B108&amp;"|"&amp;CL$5)=0,"",SUMIF('Competency Event Log'!$U$4:$U$803,$B108&amp;"|"&amp;CL$5,'Competency Event Log'!$D$4:$D$803)))</f>
        <v/>
      </c>
      <c r="CM108" s="8" t="str">
        <f>IF($B108="","",IF(COUNTIF('Competency Event Log'!$U$4:$U$803,$B108&amp;"|"&amp;CM$5)=0,"",SUMIF('Competency Event Log'!$U$4:$U$803,$B108&amp;"|"&amp;CM$5,'Competency Event Log'!$D$4:$D$803)))</f>
        <v/>
      </c>
      <c r="CN108" s="8" t="str">
        <f>IF($B108="","",IF(COUNTIF('Competency Event Log'!$U$4:$U$803,$B108&amp;"|"&amp;CN$5)=0,"",SUMIF('Competency Event Log'!$U$4:$U$803,$B108&amp;"|"&amp;CN$5,'Competency Event Log'!$D$4:$D$803)))</f>
        <v/>
      </c>
      <c r="CO108" s="8" t="str">
        <f>IF($B108="","",IF(COUNTIF('Competency Event Log'!$U$4:$U$803,$B108&amp;"|"&amp;CO$5)=0,"",SUMIF('Competency Event Log'!$U$4:$U$803,$B108&amp;"|"&amp;CO$5,'Competency Event Log'!$D$4:$D$803)))</f>
        <v/>
      </c>
      <c r="CP108" s="8" t="str">
        <f>IF($B108="","",IF(COUNTIF('Competency Event Log'!$U$4:$U$803,$B108&amp;"|"&amp;CP$5)=0,"",SUMIF('Competency Event Log'!$U$4:$U$803,$B108&amp;"|"&amp;CP$5,'Competency Event Log'!$D$4:$D$803)))</f>
        <v/>
      </c>
      <c r="CQ108" s="8" t="str">
        <f>IF($B108="","",IF(COUNTIF('Competency Event Log'!$U$4:$U$803,$B108&amp;"|"&amp;CQ$5)=0,"",SUMIF('Competency Event Log'!$U$4:$U$803,$B108&amp;"|"&amp;CQ$5,'Competency Event Log'!$D$4:$D$803)))</f>
        <v/>
      </c>
      <c r="CR108" s="8" t="str">
        <f>IF($B108="","",IF(COUNTIF('Competency Event Log'!$U$4:$U$803,$B108&amp;"|"&amp;CR$5)=0,"",SUMIF('Competency Event Log'!$U$4:$U$803,$B108&amp;"|"&amp;CR$5,'Competency Event Log'!$D$4:$D$803)))</f>
        <v/>
      </c>
      <c r="CS108" s="8" t="str">
        <f>IF($B108="","",IF(COUNTIF('Competency Event Log'!$U$4:$U$803,$B108&amp;"|"&amp;CS$5)=0,"",SUMIF('Competency Event Log'!$U$4:$U$803,$B108&amp;"|"&amp;CS$5,'Competency Event Log'!$D$4:$D$803)))</f>
        <v/>
      </c>
      <c r="CT108" s="8" t="str">
        <f>IF($B108="","",IF(COUNTIF('Competency Event Log'!$U$4:$U$803,$B108&amp;"|"&amp;CT$5)=0,"",SUMIF('Competency Event Log'!$U$4:$U$803,$B108&amp;"|"&amp;CT$5,'Competency Event Log'!$D$4:$D$803)))</f>
        <v/>
      </c>
      <c r="CU108" s="8" t="str">
        <f>IF($B108="","",IF(COUNTIF('Competency Event Log'!$U$4:$U$803,$B108&amp;"|"&amp;CU$5)=0,"",SUMIF('Competency Event Log'!$U$4:$U$803,$B108&amp;"|"&amp;CU$5,'Competency Event Log'!$D$4:$D$803)))</f>
        <v/>
      </c>
      <c r="CV108" s="8" t="str">
        <f>IF($B108="","",IF(COUNTIF('Competency Event Log'!$U$4:$U$803,$B108&amp;"|"&amp;CV$5)=0,"",SUMIF('Competency Event Log'!$U$4:$U$803,$B108&amp;"|"&amp;CV$5,'Competency Event Log'!$D$4:$D$803)))</f>
        <v/>
      </c>
      <c r="CW108" s="8" t="str">
        <f>IF($B108="","",IF(COUNTIF('Competency Event Log'!$U$4:$U$803,$B108&amp;"|"&amp;CW$5)=0,"",SUMIF('Competency Event Log'!$U$4:$U$803,$B108&amp;"|"&amp;CW$5,'Competency Event Log'!$D$4:$D$803)))</f>
        <v/>
      </c>
      <c r="CX108" s="8" t="str">
        <f>IF($B108="","",IF(COUNTIF('Competency Event Log'!$U$4:$U$803,$B108&amp;"|"&amp;CX$5)=0,"",SUMIF('Competency Event Log'!$U$4:$U$803,$B108&amp;"|"&amp;CX$5,'Competency Event Log'!$D$4:$D$803)))</f>
        <v/>
      </c>
      <c r="CY108" s="8" t="str">
        <f>IF($B108="","",IF(COUNTIF('Competency Event Log'!$U$4:$U$803,$B108&amp;"|"&amp;CY$5)=0,"",SUMIF('Competency Event Log'!$U$4:$U$803,$B108&amp;"|"&amp;CY$5,'Competency Event Log'!$D$4:$D$803)))</f>
        <v/>
      </c>
      <c r="CZ108" s="8" t="str">
        <f>IF($B108="","",IF(COUNTIF('Competency Event Log'!$U$4:$U$803,$B108&amp;"|"&amp;CZ$5)=0,"",SUMIF('Competency Event Log'!$U$4:$U$803,$B108&amp;"|"&amp;CZ$5,'Competency Event Log'!$D$4:$D$803)))</f>
        <v/>
      </c>
      <c r="DA108" s="8" t="str">
        <f>IF($B108="","",IF(COUNTIF('Competency Event Log'!$U$4:$U$803,$B108&amp;"|"&amp;DA$5)=0,"",SUMIF('Competency Event Log'!$U$4:$U$803,$B108&amp;"|"&amp;DA$5,'Competency Event Log'!$D$4:$D$803)))</f>
        <v/>
      </c>
      <c r="DB108" s="8" t="str">
        <f>IF($B108="","",IF(COUNTIF('Competency Event Log'!$U$4:$U$803,$B108&amp;"|"&amp;DB$5)=0,"",SUMIF('Competency Event Log'!$U$4:$U$803,$B108&amp;"|"&amp;DB$5,'Competency Event Log'!$D$4:$D$803)))</f>
        <v/>
      </c>
      <c r="DC108" s="8" t="str">
        <f>IF($B108="","",IF(COUNTIF('Competency Event Log'!$U$4:$U$803,$B108&amp;"|"&amp;DC$5)=0,"",SUMIF('Competency Event Log'!$U$4:$U$803,$B108&amp;"|"&amp;DC$5,'Competency Event Log'!$D$4:$D$803)))</f>
        <v/>
      </c>
      <c r="DD108" s="8" t="str">
        <f>IF($B108="","",IF(COUNTIF('Competency Event Log'!$U$4:$U$803,$B108&amp;"|"&amp;DD$5)=0,"",SUMIF('Competency Event Log'!$U$4:$U$803,$B108&amp;"|"&amp;DD$5,'Competency Event Log'!$D$4:$D$803)))</f>
        <v/>
      </c>
      <c r="DE108" s="8" t="str">
        <f>IF($B108="","",IF(COUNTIF('Competency Event Log'!$U$4:$U$803,$B108&amp;"|"&amp;DE$5)=0,"",SUMIF('Competency Event Log'!$U$4:$U$803,$B108&amp;"|"&amp;DE$5,'Competency Event Log'!$D$4:$D$803)))</f>
        <v/>
      </c>
      <c r="DF108" s="8" t="str">
        <f t="shared" si="12"/>
        <v/>
      </c>
      <c r="DG108" s="8" t="str">
        <f t="shared" si="13"/>
        <v/>
      </c>
      <c r="DH108" s="8" t="str">
        <f t="shared" si="14"/>
        <v/>
      </c>
      <c r="DI108" s="11" t="str">
        <f t="shared" si="15"/>
        <v/>
      </c>
    </row>
    <row r="109" spans="1:113">
      <c r="A109" s="7"/>
      <c r="B109" s="7"/>
      <c r="C109" s="8"/>
      <c r="D109" s="9"/>
      <c r="E109" s="10"/>
      <c r="F109" s="8"/>
      <c r="G109" s="8" t="str">
        <f>IF($B109="","",IF(COUNTIF('Competency Event Log'!$U$4:$U$803,$B109&amp;"|"&amp;G$5)=0,"",SUMIF('Competency Event Log'!$U$4:$U$803,$B109&amp;"|"&amp;G$5,'Competency Event Log'!$D$4:$D$803)))</f>
        <v/>
      </c>
      <c r="H109" s="8" t="str">
        <f>IF($B109="","",IF(COUNTIF('Competency Event Log'!$U$4:$U$803,$B109&amp;"|"&amp;H$5)=0,"",SUMIF('Competency Event Log'!$U$4:$U$803,$B109&amp;"|"&amp;H$5,'Competency Event Log'!$D$4:$D$803)))</f>
        <v/>
      </c>
      <c r="I109" s="8" t="str">
        <f>IF($B109="","",IF(COUNTIF('Competency Event Log'!$U$4:$U$803,$B109&amp;"|"&amp;I$5)=0,"",SUMIF('Competency Event Log'!$U$4:$U$803,$B109&amp;"|"&amp;I$5,'Competency Event Log'!$D$4:$D$803)))</f>
        <v/>
      </c>
      <c r="J109" s="8" t="str">
        <f>IF($B109="","",IF(COUNTIF('Competency Event Log'!$U$4:$U$803,$B109&amp;"|"&amp;J$5)=0,"",SUMIF('Competency Event Log'!$U$4:$U$803,$B109&amp;"|"&amp;J$5,'Competency Event Log'!$D$4:$D$803)))</f>
        <v/>
      </c>
      <c r="K109" s="8" t="str">
        <f>IF($B109="","",IF(COUNTIF('Competency Event Log'!$U$4:$U$803,$B109&amp;"|"&amp;K$5)=0,"",SUMIF('Competency Event Log'!$U$4:$U$803,$B109&amp;"|"&amp;K$5,'Competency Event Log'!$D$4:$D$803)))</f>
        <v/>
      </c>
      <c r="L109" s="8" t="str">
        <f>IF($B109="","",IF(COUNTIF('Competency Event Log'!$U$4:$U$803,$B109&amp;"|"&amp;L$5)=0,"",SUMIF('Competency Event Log'!$U$4:$U$803,$B109&amp;"|"&amp;L$5,'Competency Event Log'!$D$4:$D$803)))</f>
        <v/>
      </c>
      <c r="M109" s="8" t="str">
        <f>IF($B109="","",IF(COUNTIF('Competency Event Log'!$U$4:$U$803,$B109&amp;"|"&amp;M$5)=0,"",SUMIF('Competency Event Log'!$U$4:$U$803,$B109&amp;"|"&amp;M$5,'Competency Event Log'!$D$4:$D$803)))</f>
        <v/>
      </c>
      <c r="N109" s="8" t="str">
        <f>IF($B109="","",IF(COUNTIF('Competency Event Log'!$U$4:$U$803,$B109&amp;"|"&amp;N$5)=0,"",SUMIF('Competency Event Log'!$U$4:$U$803,$B109&amp;"|"&amp;N$5,'Competency Event Log'!$D$4:$D$803)))</f>
        <v/>
      </c>
      <c r="O109" s="8" t="str">
        <f>IF($B109="","",IF(COUNTIF('Competency Event Log'!$U$4:$U$803,$B109&amp;"|"&amp;O$5)=0,"",SUMIF('Competency Event Log'!$U$4:$U$803,$B109&amp;"|"&amp;O$5,'Competency Event Log'!$D$4:$D$803)))</f>
        <v/>
      </c>
      <c r="P109" s="8" t="str">
        <f>IF($B109="","",IF(COUNTIF('Competency Event Log'!$U$4:$U$803,$B109&amp;"|"&amp;P$5)=0,"",SUMIF('Competency Event Log'!$U$4:$U$803,$B109&amp;"|"&amp;P$5,'Competency Event Log'!$D$4:$D$803)))</f>
        <v/>
      </c>
      <c r="Q109" s="8" t="str">
        <f>IF($B109="","",IF(COUNTIF('Competency Event Log'!$U$4:$U$803,$B109&amp;"|"&amp;Q$5)=0,"",SUMIF('Competency Event Log'!$U$4:$U$803,$B109&amp;"|"&amp;Q$5,'Competency Event Log'!$D$4:$D$803)))</f>
        <v/>
      </c>
      <c r="R109" s="8" t="str">
        <f>IF($B109="","",IF(COUNTIF('Competency Event Log'!$U$4:$U$803,$B109&amp;"|"&amp;R$5)=0,"",SUMIF('Competency Event Log'!$U$4:$U$803,$B109&amp;"|"&amp;R$5,'Competency Event Log'!$D$4:$D$803)))</f>
        <v/>
      </c>
      <c r="S109" s="8" t="str">
        <f>IF($B109="","",IF(COUNTIF('Competency Event Log'!$U$4:$U$803,$B109&amp;"|"&amp;S$5)=0,"",SUMIF('Competency Event Log'!$U$4:$U$803,$B109&amp;"|"&amp;S$5,'Competency Event Log'!$D$4:$D$803)))</f>
        <v/>
      </c>
      <c r="T109" s="8" t="str">
        <f>IF($B109="","",IF(COUNTIF('Competency Event Log'!$U$4:$U$803,$B109&amp;"|"&amp;T$5)=0,"",SUMIF('Competency Event Log'!$U$4:$U$803,$B109&amp;"|"&amp;T$5,'Competency Event Log'!$D$4:$D$803)))</f>
        <v/>
      </c>
      <c r="U109" s="8" t="str">
        <f>IF($B109="","",IF(COUNTIF('Competency Event Log'!$U$4:$U$803,$B109&amp;"|"&amp;U$5)=0,"",SUMIF('Competency Event Log'!$U$4:$U$803,$B109&amp;"|"&amp;U$5,'Competency Event Log'!$D$4:$D$803)))</f>
        <v/>
      </c>
      <c r="V109" s="8" t="str">
        <f>IF($B109="","",IF(COUNTIF('Competency Event Log'!$U$4:$U$803,$B109&amp;"|"&amp;V$5)=0,"",SUMIF('Competency Event Log'!$U$4:$U$803,$B109&amp;"|"&amp;V$5,'Competency Event Log'!$D$4:$D$803)))</f>
        <v/>
      </c>
      <c r="W109" s="8" t="str">
        <f>IF($B109="","",IF(COUNTIF('Competency Event Log'!$U$4:$U$803,$B109&amp;"|"&amp;W$5)=0,"",SUMIF('Competency Event Log'!$U$4:$U$803,$B109&amp;"|"&amp;W$5,'Competency Event Log'!$D$4:$D$803)))</f>
        <v/>
      </c>
      <c r="X109" s="8" t="str">
        <f>IF($B109="","",IF(COUNTIF('Competency Event Log'!$U$4:$U$803,$B109&amp;"|"&amp;X$5)=0,"",SUMIF('Competency Event Log'!$U$4:$U$803,$B109&amp;"|"&amp;X$5,'Competency Event Log'!$D$4:$D$803)))</f>
        <v/>
      </c>
      <c r="Y109" s="8" t="str">
        <f>IF($B109="","",IF(COUNTIF('Competency Event Log'!$U$4:$U$803,$B109&amp;"|"&amp;Y$5)=0,"",SUMIF('Competency Event Log'!$U$4:$U$803,$B109&amp;"|"&amp;Y$5,'Competency Event Log'!$D$4:$D$803)))</f>
        <v/>
      </c>
      <c r="Z109" s="8" t="str">
        <f>IF($B109="","",IF(COUNTIF('Competency Event Log'!$U$4:$U$803,$B109&amp;"|"&amp;Z$5)=0,"",SUMIF('Competency Event Log'!$U$4:$U$803,$B109&amp;"|"&amp;Z$5,'Competency Event Log'!$D$4:$D$803)))</f>
        <v/>
      </c>
      <c r="AA109" s="8" t="str">
        <f>IF($B109="","",IF(COUNTIF('Competency Event Log'!$U$4:$U$803,$B109&amp;"|"&amp;AA$5)=0,"",SUMIF('Competency Event Log'!$U$4:$U$803,$B109&amp;"|"&amp;AA$5,'Competency Event Log'!$D$4:$D$803)))</f>
        <v/>
      </c>
      <c r="AB109" s="8" t="str">
        <f>IF($B109="","",IF(COUNTIF('Competency Event Log'!$U$4:$U$803,$B109&amp;"|"&amp;AB$5)=0,"",SUMIF('Competency Event Log'!$U$4:$U$803,$B109&amp;"|"&amp;AB$5,'Competency Event Log'!$D$4:$D$803)))</f>
        <v/>
      </c>
      <c r="AC109" s="8" t="str">
        <f>IF($B109="","",IF(COUNTIF('Competency Event Log'!$U$4:$U$803,$B109&amp;"|"&amp;AC$5)=0,"",SUMIF('Competency Event Log'!$U$4:$U$803,$B109&amp;"|"&amp;AC$5,'Competency Event Log'!$D$4:$D$803)))</f>
        <v/>
      </c>
      <c r="AD109" s="8" t="str">
        <f>IF($B109="","",IF(COUNTIF('Competency Event Log'!$U$4:$U$803,$B109&amp;"|"&amp;AD$5)=0,"",SUMIF('Competency Event Log'!$U$4:$U$803,$B109&amp;"|"&amp;AD$5,'Competency Event Log'!$D$4:$D$803)))</f>
        <v/>
      </c>
      <c r="AE109" s="8" t="str">
        <f>IF($B109="","",IF(COUNTIF('Competency Event Log'!$U$4:$U$803,$B109&amp;"|"&amp;AE$5)=0,"",SUMIF('Competency Event Log'!$U$4:$U$803,$B109&amp;"|"&amp;AE$5,'Competency Event Log'!$D$4:$D$803)))</f>
        <v/>
      </c>
      <c r="AF109" s="8" t="str">
        <f>IF($B109="","",IF(COUNTIF('Competency Event Log'!$U$4:$U$803,$B109&amp;"|"&amp;AF$5)=0,"",SUMIF('Competency Event Log'!$U$4:$U$803,$B109&amp;"|"&amp;AF$5,'Competency Event Log'!$D$4:$D$803)))</f>
        <v/>
      </c>
      <c r="AG109" s="8" t="str">
        <f>IF($B109="","",IF(COUNTIF('Competency Event Log'!$U$4:$U$803,$B109&amp;"|"&amp;AG$5)=0,"",SUMIF('Competency Event Log'!$U$4:$U$803,$B109&amp;"|"&amp;AG$5,'Competency Event Log'!$D$4:$D$803)))</f>
        <v/>
      </c>
      <c r="AH109" s="8" t="str">
        <f>IF($B109="","",IF(COUNTIF('Competency Event Log'!$U$4:$U$803,$B109&amp;"|"&amp;AH$5)=0,"",SUMIF('Competency Event Log'!$U$4:$U$803,$B109&amp;"|"&amp;AH$5,'Competency Event Log'!$D$4:$D$803)))</f>
        <v/>
      </c>
      <c r="AI109" s="8" t="str">
        <f>IF($B109="","",IF(COUNTIF('Competency Event Log'!$U$4:$U$803,$B109&amp;"|"&amp;AI$5)=0,"",SUMIF('Competency Event Log'!$U$4:$U$803,$B109&amp;"|"&amp;AI$5,'Competency Event Log'!$D$4:$D$803)))</f>
        <v/>
      </c>
      <c r="AJ109" s="8" t="str">
        <f>IF($B109="","",IF(COUNTIF('Competency Event Log'!$U$4:$U$803,$B109&amp;"|"&amp;AJ$5)=0,"",SUMIF('Competency Event Log'!$U$4:$U$803,$B109&amp;"|"&amp;AJ$5,'Competency Event Log'!$D$4:$D$803)))</f>
        <v/>
      </c>
      <c r="AK109" s="8" t="str">
        <f>IF($B109="","",IF(COUNTIF('Competency Event Log'!$U$4:$U$803,$B109&amp;"|"&amp;AK$5)=0,"",SUMIF('Competency Event Log'!$U$4:$U$803,$B109&amp;"|"&amp;AK$5,'Competency Event Log'!$D$4:$D$803)))</f>
        <v/>
      </c>
      <c r="AL109" s="8" t="str">
        <f>IF($B109="","",IF(COUNTIF('Competency Event Log'!$U$4:$U$803,$B109&amp;"|"&amp;AL$5)=0,"",SUMIF('Competency Event Log'!$U$4:$U$803,$B109&amp;"|"&amp;AL$5,'Competency Event Log'!$D$4:$D$803)))</f>
        <v/>
      </c>
      <c r="AM109" s="8" t="str">
        <f>IF($B109="","",IF(COUNTIF('Competency Event Log'!$U$4:$U$803,$B109&amp;"|"&amp;AM$5)=0,"",SUMIF('Competency Event Log'!$U$4:$U$803,$B109&amp;"|"&amp;AM$5,'Competency Event Log'!$D$4:$D$803)))</f>
        <v/>
      </c>
      <c r="AN109" s="8" t="str">
        <f>IF($B109="","",IF(COUNTIF('Competency Event Log'!$U$4:$U$803,$B109&amp;"|"&amp;AN$5)=0,"",SUMIF('Competency Event Log'!$U$4:$U$803,$B109&amp;"|"&amp;AN$5,'Competency Event Log'!$D$4:$D$803)))</f>
        <v/>
      </c>
      <c r="AO109" s="8" t="str">
        <f>IF($B109="","",IF(COUNTIF('Competency Event Log'!$U$4:$U$803,$B109&amp;"|"&amp;AO$5)=0,"",SUMIF('Competency Event Log'!$U$4:$U$803,$B109&amp;"|"&amp;AO$5,'Competency Event Log'!$D$4:$D$803)))</f>
        <v/>
      </c>
      <c r="AP109" s="8" t="str">
        <f>IF($B109="","",IF(COUNTIF('Competency Event Log'!$U$4:$U$803,$B109&amp;"|"&amp;AP$5)=0,"",SUMIF('Competency Event Log'!$U$4:$U$803,$B109&amp;"|"&amp;AP$5,'Competency Event Log'!$D$4:$D$803)))</f>
        <v/>
      </c>
      <c r="AQ109" s="8" t="str">
        <f>IF($B109="","",IF(COUNTIF('Competency Event Log'!$U$4:$U$803,$B109&amp;"|"&amp;AQ$5)=0,"",SUMIF('Competency Event Log'!$U$4:$U$803,$B109&amp;"|"&amp;AQ$5,'Competency Event Log'!$D$4:$D$803)))</f>
        <v/>
      </c>
      <c r="AR109" s="8" t="str">
        <f>IF($B109="","",IF(COUNTIF('Competency Event Log'!$U$4:$U$803,$B109&amp;"|"&amp;AR$5)=0,"",SUMIF('Competency Event Log'!$U$4:$U$803,$B109&amp;"|"&amp;AR$5,'Competency Event Log'!$D$4:$D$803)))</f>
        <v/>
      </c>
      <c r="AS109" s="8" t="str">
        <f>IF($B109="","",IF(COUNTIF('Competency Event Log'!$U$4:$U$803,$B109&amp;"|"&amp;AS$5)=0,"",SUMIF('Competency Event Log'!$U$4:$U$803,$B109&amp;"|"&amp;AS$5,'Competency Event Log'!$D$4:$D$803)))</f>
        <v/>
      </c>
      <c r="AT109" s="8" t="str">
        <f>IF($B109="","",IF(COUNTIF('Competency Event Log'!$U$4:$U$803,$B109&amp;"|"&amp;AT$5)=0,"",SUMIF('Competency Event Log'!$U$4:$U$803,$B109&amp;"|"&amp;AT$5,'Competency Event Log'!$D$4:$D$803)))</f>
        <v/>
      </c>
      <c r="AU109" s="8" t="str">
        <f>IF($B109="","",IF(COUNTIF('Competency Event Log'!$U$4:$U$803,$B109&amp;"|"&amp;AU$5)=0,"",SUMIF('Competency Event Log'!$U$4:$U$803,$B109&amp;"|"&amp;AU$5,'Competency Event Log'!$D$4:$D$803)))</f>
        <v/>
      </c>
      <c r="AV109" s="8" t="str">
        <f>IF($B109="","",IF(COUNTIF('Competency Event Log'!$U$4:$U$803,$B109&amp;"|"&amp;AV$5)=0,"",SUMIF('Competency Event Log'!$U$4:$U$803,$B109&amp;"|"&amp;AV$5,'Competency Event Log'!$D$4:$D$803)))</f>
        <v/>
      </c>
      <c r="AW109" s="8" t="str">
        <f>IF($B109="","",IF(COUNTIF('Competency Event Log'!$U$4:$U$803,$B109&amp;"|"&amp;AW$5)=0,"",SUMIF('Competency Event Log'!$U$4:$U$803,$B109&amp;"|"&amp;AW$5,'Competency Event Log'!$D$4:$D$803)))</f>
        <v/>
      </c>
      <c r="AX109" s="8" t="str">
        <f>IF($B109="","",IF(COUNTIF('Competency Event Log'!$U$4:$U$803,$B109&amp;"|"&amp;AX$5)=0,"",SUMIF('Competency Event Log'!$U$4:$U$803,$B109&amp;"|"&amp;AX$5,'Competency Event Log'!$D$4:$D$803)))</f>
        <v/>
      </c>
      <c r="AY109" s="8" t="str">
        <f>IF($B109="","",IF(COUNTIF('Competency Event Log'!$U$4:$U$803,$B109&amp;"|"&amp;AY$5)=0,"",SUMIF('Competency Event Log'!$U$4:$U$803,$B109&amp;"|"&amp;AY$5,'Competency Event Log'!$D$4:$D$803)))</f>
        <v/>
      </c>
      <c r="AZ109" s="8" t="str">
        <f>IF($B109="","",IF(COUNTIF('Competency Event Log'!$U$4:$U$803,$B109&amp;"|"&amp;AZ$5)=0,"",SUMIF('Competency Event Log'!$U$4:$U$803,$B109&amp;"|"&amp;AZ$5,'Competency Event Log'!$D$4:$D$803)))</f>
        <v/>
      </c>
      <c r="BA109" s="8" t="str">
        <f>IF($B109="","",IF(COUNTIF('Competency Event Log'!$U$4:$U$803,$B109&amp;"|"&amp;BA$5)=0,"",SUMIF('Competency Event Log'!$U$4:$U$803,$B109&amp;"|"&amp;BA$5,'Competency Event Log'!$D$4:$D$803)))</f>
        <v/>
      </c>
      <c r="BB109" s="8" t="str">
        <f>IF($B109="","",IF(COUNTIF('Competency Event Log'!$U$4:$U$803,$B109&amp;"|"&amp;BB$5)=0,"",SUMIF('Competency Event Log'!$U$4:$U$803,$B109&amp;"|"&amp;BB$5,'Competency Event Log'!$D$4:$D$803)))</f>
        <v/>
      </c>
      <c r="BC109" s="8" t="str">
        <f>IF($B109="","",IF(COUNTIF('Competency Event Log'!$U$4:$U$803,$B109&amp;"|"&amp;BC$5)=0,"",SUMIF('Competency Event Log'!$U$4:$U$803,$B109&amp;"|"&amp;BC$5,'Competency Event Log'!$D$4:$D$803)))</f>
        <v/>
      </c>
      <c r="BD109" s="8" t="str">
        <f>IF($B109="","",IF(COUNTIF('Competency Event Log'!$U$4:$U$803,$B109&amp;"|"&amp;BD$5)=0,"",SUMIF('Competency Event Log'!$U$4:$U$803,$B109&amp;"|"&amp;BD$5,'Competency Event Log'!$D$4:$D$803)))</f>
        <v/>
      </c>
      <c r="BE109" s="8" t="str">
        <f>IF($B109="","",IF(COUNTIF('Competency Event Log'!$U$4:$U$803,$B109&amp;"|"&amp;BE$5)=0,"",SUMIF('Competency Event Log'!$U$4:$U$803,$B109&amp;"|"&amp;BE$5,'Competency Event Log'!$D$4:$D$803)))</f>
        <v/>
      </c>
      <c r="BF109" s="8" t="str">
        <f>IF($B109="","",IF(COUNTIF('Competency Event Log'!$U$4:$U$803,$B109&amp;"|"&amp;BF$5)=0,"",SUMIF('Competency Event Log'!$U$4:$U$803,$B109&amp;"|"&amp;BF$5,'Competency Event Log'!$D$4:$D$803)))</f>
        <v/>
      </c>
      <c r="BG109" s="8" t="str">
        <f>IF($B109="","",IF(COUNTIF('Competency Event Log'!$U$4:$U$803,$B109&amp;"|"&amp;BG$5)=0,"",SUMIF('Competency Event Log'!$U$4:$U$803,$B109&amp;"|"&amp;BG$5,'Competency Event Log'!$D$4:$D$803)))</f>
        <v/>
      </c>
      <c r="BH109" s="8" t="str">
        <f>IF($B109="","",IF(COUNTIF('Competency Event Log'!$U$4:$U$803,$B109&amp;"|"&amp;BH$5)=0,"",SUMIF('Competency Event Log'!$U$4:$U$803,$B109&amp;"|"&amp;BH$5,'Competency Event Log'!$D$4:$D$803)))</f>
        <v/>
      </c>
      <c r="BI109" s="8" t="str">
        <f>IF($B109="","",IF(COUNTIF('Competency Event Log'!$U$4:$U$803,$B109&amp;"|"&amp;BI$5)=0,"",SUMIF('Competency Event Log'!$U$4:$U$803,$B109&amp;"|"&amp;BI$5,'Competency Event Log'!$D$4:$D$803)))</f>
        <v/>
      </c>
      <c r="BJ109" s="8" t="str">
        <f>IF($B109="","",IF(COUNTIF('Competency Event Log'!$U$4:$U$803,$B109&amp;"|"&amp;BJ$5)=0,"",SUMIF('Competency Event Log'!$U$4:$U$803,$B109&amp;"|"&amp;BJ$5,'Competency Event Log'!$D$4:$D$803)))</f>
        <v/>
      </c>
      <c r="BK109" s="8" t="str">
        <f>IF($B109="","",IF(COUNTIF('Competency Event Log'!$U$4:$U$803,$B109&amp;"|"&amp;BK$5)=0,"",SUMIF('Competency Event Log'!$U$4:$U$803,$B109&amp;"|"&amp;BK$5,'Competency Event Log'!$D$4:$D$803)))</f>
        <v/>
      </c>
      <c r="BL109" s="8" t="str">
        <f>IF($B109="","",IF(COUNTIF('Competency Event Log'!$U$4:$U$803,$B109&amp;"|"&amp;BL$5)=0,"",SUMIF('Competency Event Log'!$U$4:$U$803,$B109&amp;"|"&amp;BL$5,'Competency Event Log'!$D$4:$D$803)))</f>
        <v/>
      </c>
      <c r="BM109" s="8" t="str">
        <f>IF($B109="","",IF(COUNTIF('Competency Event Log'!$U$4:$U$803,$B109&amp;"|"&amp;BM$5)=0,"",SUMIF('Competency Event Log'!$U$4:$U$803,$B109&amp;"|"&amp;BM$5,'Competency Event Log'!$D$4:$D$803)))</f>
        <v/>
      </c>
      <c r="BN109" s="8" t="str">
        <f>IF($B109="","",IF(COUNTIF('Competency Event Log'!$U$4:$U$803,$B109&amp;"|"&amp;BN$5)=0,"",SUMIF('Competency Event Log'!$U$4:$U$803,$B109&amp;"|"&amp;BN$5,'Competency Event Log'!$D$4:$D$803)))</f>
        <v/>
      </c>
      <c r="BO109" s="8" t="str">
        <f>IF($B109="","",IF(COUNTIF('Competency Event Log'!$U$4:$U$803,$B109&amp;"|"&amp;BO$5)=0,"",SUMIF('Competency Event Log'!$U$4:$U$803,$B109&amp;"|"&amp;BO$5,'Competency Event Log'!$D$4:$D$803)))</f>
        <v/>
      </c>
      <c r="BP109" s="8" t="str">
        <f>IF($B109="","",IF(COUNTIF('Competency Event Log'!$U$4:$U$803,$B109&amp;"|"&amp;BP$5)=0,"",SUMIF('Competency Event Log'!$U$4:$U$803,$B109&amp;"|"&amp;BP$5,'Competency Event Log'!$D$4:$D$803)))</f>
        <v/>
      </c>
      <c r="BQ109" s="8" t="str">
        <f>IF($B109="","",IF(COUNTIF('Competency Event Log'!$U$4:$U$803,$B109&amp;"|"&amp;BQ$5)=0,"",SUMIF('Competency Event Log'!$U$4:$U$803,$B109&amp;"|"&amp;BQ$5,'Competency Event Log'!$D$4:$D$803)))</f>
        <v/>
      </c>
      <c r="BR109" s="8" t="str">
        <f>IF($B109="","",IF(COUNTIF('Competency Event Log'!$U$4:$U$803,$B109&amp;"|"&amp;BR$5)=0,"",SUMIF('Competency Event Log'!$U$4:$U$803,$B109&amp;"|"&amp;BR$5,'Competency Event Log'!$D$4:$D$803)))</f>
        <v/>
      </c>
      <c r="BS109" s="8" t="str">
        <f>IF($B109="","",IF(COUNTIF('Competency Event Log'!$U$4:$U$803,$B109&amp;"|"&amp;BS$5)=0,"",SUMIF('Competency Event Log'!$U$4:$U$803,$B109&amp;"|"&amp;BS$5,'Competency Event Log'!$D$4:$D$803)))</f>
        <v/>
      </c>
      <c r="BT109" s="8" t="str">
        <f>IF($B109="","",IF(COUNTIF('Competency Event Log'!$U$4:$U$803,$B109&amp;"|"&amp;BT$5)=0,"",SUMIF('Competency Event Log'!$U$4:$U$803,$B109&amp;"|"&amp;BT$5,'Competency Event Log'!$D$4:$D$803)))</f>
        <v/>
      </c>
      <c r="BU109" s="8" t="str">
        <f>IF($B109="","",IF(COUNTIF('Competency Event Log'!$U$4:$U$803,$B109&amp;"|"&amp;BU$5)=0,"",SUMIF('Competency Event Log'!$U$4:$U$803,$B109&amp;"|"&amp;BU$5,'Competency Event Log'!$D$4:$D$803)))</f>
        <v/>
      </c>
      <c r="BV109" s="8" t="str">
        <f>IF($B109="","",IF(COUNTIF('Competency Event Log'!$U$4:$U$803,$B109&amp;"|"&amp;BV$5)=0,"",SUMIF('Competency Event Log'!$U$4:$U$803,$B109&amp;"|"&amp;BV$5,'Competency Event Log'!$D$4:$D$803)))</f>
        <v/>
      </c>
      <c r="BW109" s="8" t="str">
        <f>IF($B109="","",IF(COUNTIF('Competency Event Log'!$U$4:$U$803,$B109&amp;"|"&amp;BW$5)=0,"",SUMIF('Competency Event Log'!$U$4:$U$803,$B109&amp;"|"&amp;BW$5,'Competency Event Log'!$D$4:$D$803)))</f>
        <v/>
      </c>
      <c r="BX109" s="8" t="str">
        <f>IF($B109="","",IF(COUNTIF('Competency Event Log'!$U$4:$U$803,$B109&amp;"|"&amp;BX$5)=0,"",SUMIF('Competency Event Log'!$U$4:$U$803,$B109&amp;"|"&amp;BX$5,'Competency Event Log'!$D$4:$D$803)))</f>
        <v/>
      </c>
      <c r="BY109" s="8" t="str">
        <f>IF($B109="","",IF(COUNTIF('Competency Event Log'!$U$4:$U$803,$B109&amp;"|"&amp;BY$5)=0,"",SUMIF('Competency Event Log'!$U$4:$U$803,$B109&amp;"|"&amp;BY$5,'Competency Event Log'!$D$4:$D$803)))</f>
        <v/>
      </c>
      <c r="BZ109" s="8" t="str">
        <f>IF($B109="","",IF(COUNTIF('Competency Event Log'!$U$4:$U$803,$B109&amp;"|"&amp;BZ$5)=0,"",SUMIF('Competency Event Log'!$U$4:$U$803,$B109&amp;"|"&amp;BZ$5,'Competency Event Log'!$D$4:$D$803)))</f>
        <v/>
      </c>
      <c r="CA109" s="8" t="str">
        <f>IF($B109="","",IF(COUNTIF('Competency Event Log'!$U$4:$U$803,$B109&amp;"|"&amp;CA$5)=0,"",SUMIF('Competency Event Log'!$U$4:$U$803,$B109&amp;"|"&amp;CA$5,'Competency Event Log'!$D$4:$D$803)))</f>
        <v/>
      </c>
      <c r="CB109" s="8" t="str">
        <f>IF($B109="","",IF(COUNTIF('Competency Event Log'!$U$4:$U$803,$B109&amp;"|"&amp;CB$5)=0,"",SUMIF('Competency Event Log'!$U$4:$U$803,$B109&amp;"|"&amp;CB$5,'Competency Event Log'!$D$4:$D$803)))</f>
        <v/>
      </c>
      <c r="CC109" s="8" t="str">
        <f>IF($B109="","",IF(COUNTIF('Competency Event Log'!$U$4:$U$803,$B109&amp;"|"&amp;CC$5)=0,"",SUMIF('Competency Event Log'!$U$4:$U$803,$B109&amp;"|"&amp;CC$5,'Competency Event Log'!$D$4:$D$803)))</f>
        <v/>
      </c>
      <c r="CD109" s="8" t="str">
        <f>IF($B109="","",IF(COUNTIF('Competency Event Log'!$U$4:$U$803,$B109&amp;"|"&amp;CD$5)=0,"",SUMIF('Competency Event Log'!$U$4:$U$803,$B109&amp;"|"&amp;CD$5,'Competency Event Log'!$D$4:$D$803)))</f>
        <v/>
      </c>
      <c r="CE109" s="8" t="str">
        <f>IF($B109="","",IF(COUNTIF('Competency Event Log'!$U$4:$U$803,$B109&amp;"|"&amp;CE$5)=0,"",SUMIF('Competency Event Log'!$U$4:$U$803,$B109&amp;"|"&amp;CE$5,'Competency Event Log'!$D$4:$D$803)))</f>
        <v/>
      </c>
      <c r="CF109" s="8" t="str">
        <f>IF($B109="","",IF(COUNTIF('Competency Event Log'!$U$4:$U$803,$B109&amp;"|"&amp;CF$5)=0,"",SUMIF('Competency Event Log'!$U$4:$U$803,$B109&amp;"|"&amp;CF$5,'Competency Event Log'!$D$4:$D$803)))</f>
        <v/>
      </c>
      <c r="CG109" s="8" t="str">
        <f>IF($B109="","",IF(COUNTIF('Competency Event Log'!$U$4:$U$803,$B109&amp;"|"&amp;CG$5)=0,"",SUMIF('Competency Event Log'!$U$4:$U$803,$B109&amp;"|"&amp;CG$5,'Competency Event Log'!$D$4:$D$803)))</f>
        <v/>
      </c>
      <c r="CH109" s="8" t="str">
        <f>IF($B109="","",IF(COUNTIF('Competency Event Log'!$U$4:$U$803,$B109&amp;"|"&amp;CH$5)=0,"",SUMIF('Competency Event Log'!$U$4:$U$803,$B109&amp;"|"&amp;CH$5,'Competency Event Log'!$D$4:$D$803)))</f>
        <v/>
      </c>
      <c r="CI109" s="8" t="str">
        <f>IF($B109="","",IF(COUNTIF('Competency Event Log'!$U$4:$U$803,$B109&amp;"|"&amp;CI$5)=0,"",SUMIF('Competency Event Log'!$U$4:$U$803,$B109&amp;"|"&amp;CI$5,'Competency Event Log'!$D$4:$D$803)))</f>
        <v/>
      </c>
      <c r="CJ109" s="8" t="str">
        <f>IF($B109="","",IF(COUNTIF('Competency Event Log'!$U$4:$U$803,$B109&amp;"|"&amp;CJ$5)=0,"",SUMIF('Competency Event Log'!$U$4:$U$803,$B109&amp;"|"&amp;CJ$5,'Competency Event Log'!$D$4:$D$803)))</f>
        <v/>
      </c>
      <c r="CK109" s="8" t="str">
        <f>IF($B109="","",IF(COUNTIF('Competency Event Log'!$U$4:$U$803,$B109&amp;"|"&amp;CK$5)=0,"",SUMIF('Competency Event Log'!$U$4:$U$803,$B109&amp;"|"&amp;CK$5,'Competency Event Log'!$D$4:$D$803)))</f>
        <v/>
      </c>
      <c r="CL109" s="8" t="str">
        <f>IF($B109="","",IF(COUNTIF('Competency Event Log'!$U$4:$U$803,$B109&amp;"|"&amp;CL$5)=0,"",SUMIF('Competency Event Log'!$U$4:$U$803,$B109&amp;"|"&amp;CL$5,'Competency Event Log'!$D$4:$D$803)))</f>
        <v/>
      </c>
      <c r="CM109" s="8" t="str">
        <f>IF($B109="","",IF(COUNTIF('Competency Event Log'!$U$4:$U$803,$B109&amp;"|"&amp;CM$5)=0,"",SUMIF('Competency Event Log'!$U$4:$U$803,$B109&amp;"|"&amp;CM$5,'Competency Event Log'!$D$4:$D$803)))</f>
        <v/>
      </c>
      <c r="CN109" s="8" t="str">
        <f>IF($B109="","",IF(COUNTIF('Competency Event Log'!$U$4:$U$803,$B109&amp;"|"&amp;CN$5)=0,"",SUMIF('Competency Event Log'!$U$4:$U$803,$B109&amp;"|"&amp;CN$5,'Competency Event Log'!$D$4:$D$803)))</f>
        <v/>
      </c>
      <c r="CO109" s="8" t="str">
        <f>IF($B109="","",IF(COUNTIF('Competency Event Log'!$U$4:$U$803,$B109&amp;"|"&amp;CO$5)=0,"",SUMIF('Competency Event Log'!$U$4:$U$803,$B109&amp;"|"&amp;CO$5,'Competency Event Log'!$D$4:$D$803)))</f>
        <v/>
      </c>
      <c r="CP109" s="8" t="str">
        <f>IF($B109="","",IF(COUNTIF('Competency Event Log'!$U$4:$U$803,$B109&amp;"|"&amp;CP$5)=0,"",SUMIF('Competency Event Log'!$U$4:$U$803,$B109&amp;"|"&amp;CP$5,'Competency Event Log'!$D$4:$D$803)))</f>
        <v/>
      </c>
      <c r="CQ109" s="8" t="str">
        <f>IF($B109="","",IF(COUNTIF('Competency Event Log'!$U$4:$U$803,$B109&amp;"|"&amp;CQ$5)=0,"",SUMIF('Competency Event Log'!$U$4:$U$803,$B109&amp;"|"&amp;CQ$5,'Competency Event Log'!$D$4:$D$803)))</f>
        <v/>
      </c>
      <c r="CR109" s="8" t="str">
        <f>IF($B109="","",IF(COUNTIF('Competency Event Log'!$U$4:$U$803,$B109&amp;"|"&amp;CR$5)=0,"",SUMIF('Competency Event Log'!$U$4:$U$803,$B109&amp;"|"&amp;CR$5,'Competency Event Log'!$D$4:$D$803)))</f>
        <v/>
      </c>
      <c r="CS109" s="8" t="str">
        <f>IF($B109="","",IF(COUNTIF('Competency Event Log'!$U$4:$U$803,$B109&amp;"|"&amp;CS$5)=0,"",SUMIF('Competency Event Log'!$U$4:$U$803,$B109&amp;"|"&amp;CS$5,'Competency Event Log'!$D$4:$D$803)))</f>
        <v/>
      </c>
      <c r="CT109" s="8" t="str">
        <f>IF($B109="","",IF(COUNTIF('Competency Event Log'!$U$4:$U$803,$B109&amp;"|"&amp;CT$5)=0,"",SUMIF('Competency Event Log'!$U$4:$U$803,$B109&amp;"|"&amp;CT$5,'Competency Event Log'!$D$4:$D$803)))</f>
        <v/>
      </c>
      <c r="CU109" s="8" t="str">
        <f>IF($B109="","",IF(COUNTIF('Competency Event Log'!$U$4:$U$803,$B109&amp;"|"&amp;CU$5)=0,"",SUMIF('Competency Event Log'!$U$4:$U$803,$B109&amp;"|"&amp;CU$5,'Competency Event Log'!$D$4:$D$803)))</f>
        <v/>
      </c>
      <c r="CV109" s="8" t="str">
        <f>IF($B109="","",IF(COUNTIF('Competency Event Log'!$U$4:$U$803,$B109&amp;"|"&amp;CV$5)=0,"",SUMIF('Competency Event Log'!$U$4:$U$803,$B109&amp;"|"&amp;CV$5,'Competency Event Log'!$D$4:$D$803)))</f>
        <v/>
      </c>
      <c r="CW109" s="8" t="str">
        <f>IF($B109="","",IF(COUNTIF('Competency Event Log'!$U$4:$U$803,$B109&amp;"|"&amp;CW$5)=0,"",SUMIF('Competency Event Log'!$U$4:$U$803,$B109&amp;"|"&amp;CW$5,'Competency Event Log'!$D$4:$D$803)))</f>
        <v/>
      </c>
      <c r="CX109" s="8" t="str">
        <f>IF($B109="","",IF(COUNTIF('Competency Event Log'!$U$4:$U$803,$B109&amp;"|"&amp;CX$5)=0,"",SUMIF('Competency Event Log'!$U$4:$U$803,$B109&amp;"|"&amp;CX$5,'Competency Event Log'!$D$4:$D$803)))</f>
        <v/>
      </c>
      <c r="CY109" s="8" t="str">
        <f>IF($B109="","",IF(COUNTIF('Competency Event Log'!$U$4:$U$803,$B109&amp;"|"&amp;CY$5)=0,"",SUMIF('Competency Event Log'!$U$4:$U$803,$B109&amp;"|"&amp;CY$5,'Competency Event Log'!$D$4:$D$803)))</f>
        <v/>
      </c>
      <c r="CZ109" s="8" t="str">
        <f>IF($B109="","",IF(COUNTIF('Competency Event Log'!$U$4:$U$803,$B109&amp;"|"&amp;CZ$5)=0,"",SUMIF('Competency Event Log'!$U$4:$U$803,$B109&amp;"|"&amp;CZ$5,'Competency Event Log'!$D$4:$D$803)))</f>
        <v/>
      </c>
      <c r="DA109" s="8" t="str">
        <f>IF($B109="","",IF(COUNTIF('Competency Event Log'!$U$4:$U$803,$B109&amp;"|"&amp;DA$5)=0,"",SUMIF('Competency Event Log'!$U$4:$U$803,$B109&amp;"|"&amp;DA$5,'Competency Event Log'!$D$4:$D$803)))</f>
        <v/>
      </c>
      <c r="DB109" s="8" t="str">
        <f>IF($B109="","",IF(COUNTIF('Competency Event Log'!$U$4:$U$803,$B109&amp;"|"&amp;DB$5)=0,"",SUMIF('Competency Event Log'!$U$4:$U$803,$B109&amp;"|"&amp;DB$5,'Competency Event Log'!$D$4:$D$803)))</f>
        <v/>
      </c>
      <c r="DC109" s="8" t="str">
        <f>IF($B109="","",IF(COUNTIF('Competency Event Log'!$U$4:$U$803,$B109&amp;"|"&amp;DC$5)=0,"",SUMIF('Competency Event Log'!$U$4:$U$803,$B109&amp;"|"&amp;DC$5,'Competency Event Log'!$D$4:$D$803)))</f>
        <v/>
      </c>
      <c r="DD109" s="8" t="str">
        <f>IF($B109="","",IF(COUNTIF('Competency Event Log'!$U$4:$U$803,$B109&amp;"|"&amp;DD$5)=0,"",SUMIF('Competency Event Log'!$U$4:$U$803,$B109&amp;"|"&amp;DD$5,'Competency Event Log'!$D$4:$D$803)))</f>
        <v/>
      </c>
      <c r="DE109" s="8" t="str">
        <f>IF($B109="","",IF(COUNTIF('Competency Event Log'!$U$4:$U$803,$B109&amp;"|"&amp;DE$5)=0,"",SUMIF('Competency Event Log'!$U$4:$U$803,$B109&amp;"|"&amp;DE$5,'Competency Event Log'!$D$4:$D$803)))</f>
        <v/>
      </c>
      <c r="DF109" s="8" t="str">
        <f t="shared" si="12"/>
        <v/>
      </c>
      <c r="DG109" s="8" t="str">
        <f t="shared" si="13"/>
        <v/>
      </c>
      <c r="DH109" s="8" t="str">
        <f t="shared" si="14"/>
        <v/>
      </c>
      <c r="DI109" s="11" t="str">
        <f t="shared" si="15"/>
        <v/>
      </c>
    </row>
    <row r="110" spans="1:113">
      <c r="A110" s="7"/>
      <c r="B110" s="7"/>
      <c r="C110" s="8"/>
      <c r="D110" s="9"/>
      <c r="E110" s="10"/>
      <c r="F110" s="8"/>
      <c r="G110" s="8" t="str">
        <f>IF($B110="","",IF(COUNTIF('Competency Event Log'!$U$4:$U$803,$B110&amp;"|"&amp;G$5)=0,"",SUMIF('Competency Event Log'!$U$4:$U$803,$B110&amp;"|"&amp;G$5,'Competency Event Log'!$D$4:$D$803)))</f>
        <v/>
      </c>
      <c r="H110" s="8" t="str">
        <f>IF($B110="","",IF(COUNTIF('Competency Event Log'!$U$4:$U$803,$B110&amp;"|"&amp;H$5)=0,"",SUMIF('Competency Event Log'!$U$4:$U$803,$B110&amp;"|"&amp;H$5,'Competency Event Log'!$D$4:$D$803)))</f>
        <v/>
      </c>
      <c r="I110" s="8" t="str">
        <f>IF($B110="","",IF(COUNTIF('Competency Event Log'!$U$4:$U$803,$B110&amp;"|"&amp;I$5)=0,"",SUMIF('Competency Event Log'!$U$4:$U$803,$B110&amp;"|"&amp;I$5,'Competency Event Log'!$D$4:$D$803)))</f>
        <v/>
      </c>
      <c r="J110" s="8" t="str">
        <f>IF($B110="","",IF(COUNTIF('Competency Event Log'!$U$4:$U$803,$B110&amp;"|"&amp;J$5)=0,"",SUMIF('Competency Event Log'!$U$4:$U$803,$B110&amp;"|"&amp;J$5,'Competency Event Log'!$D$4:$D$803)))</f>
        <v/>
      </c>
      <c r="K110" s="8" t="str">
        <f>IF($B110="","",IF(COUNTIF('Competency Event Log'!$U$4:$U$803,$B110&amp;"|"&amp;K$5)=0,"",SUMIF('Competency Event Log'!$U$4:$U$803,$B110&amp;"|"&amp;K$5,'Competency Event Log'!$D$4:$D$803)))</f>
        <v/>
      </c>
      <c r="L110" s="8" t="str">
        <f>IF($B110="","",IF(COUNTIF('Competency Event Log'!$U$4:$U$803,$B110&amp;"|"&amp;L$5)=0,"",SUMIF('Competency Event Log'!$U$4:$U$803,$B110&amp;"|"&amp;L$5,'Competency Event Log'!$D$4:$D$803)))</f>
        <v/>
      </c>
      <c r="M110" s="8" t="str">
        <f>IF($B110="","",IF(COUNTIF('Competency Event Log'!$U$4:$U$803,$B110&amp;"|"&amp;M$5)=0,"",SUMIF('Competency Event Log'!$U$4:$U$803,$B110&amp;"|"&amp;M$5,'Competency Event Log'!$D$4:$D$803)))</f>
        <v/>
      </c>
      <c r="N110" s="8" t="str">
        <f>IF($B110="","",IF(COUNTIF('Competency Event Log'!$U$4:$U$803,$B110&amp;"|"&amp;N$5)=0,"",SUMIF('Competency Event Log'!$U$4:$U$803,$B110&amp;"|"&amp;N$5,'Competency Event Log'!$D$4:$D$803)))</f>
        <v/>
      </c>
      <c r="O110" s="8" t="str">
        <f>IF($B110="","",IF(COUNTIF('Competency Event Log'!$U$4:$U$803,$B110&amp;"|"&amp;O$5)=0,"",SUMIF('Competency Event Log'!$U$4:$U$803,$B110&amp;"|"&amp;O$5,'Competency Event Log'!$D$4:$D$803)))</f>
        <v/>
      </c>
      <c r="P110" s="8" t="str">
        <f>IF($B110="","",IF(COUNTIF('Competency Event Log'!$U$4:$U$803,$B110&amp;"|"&amp;P$5)=0,"",SUMIF('Competency Event Log'!$U$4:$U$803,$B110&amp;"|"&amp;P$5,'Competency Event Log'!$D$4:$D$803)))</f>
        <v/>
      </c>
      <c r="Q110" s="8" t="str">
        <f>IF($B110="","",IF(COUNTIF('Competency Event Log'!$U$4:$U$803,$B110&amp;"|"&amp;Q$5)=0,"",SUMIF('Competency Event Log'!$U$4:$U$803,$B110&amp;"|"&amp;Q$5,'Competency Event Log'!$D$4:$D$803)))</f>
        <v/>
      </c>
      <c r="R110" s="8" t="str">
        <f>IF($B110="","",IF(COUNTIF('Competency Event Log'!$U$4:$U$803,$B110&amp;"|"&amp;R$5)=0,"",SUMIF('Competency Event Log'!$U$4:$U$803,$B110&amp;"|"&amp;R$5,'Competency Event Log'!$D$4:$D$803)))</f>
        <v/>
      </c>
      <c r="S110" s="8" t="str">
        <f>IF($B110="","",IF(COUNTIF('Competency Event Log'!$U$4:$U$803,$B110&amp;"|"&amp;S$5)=0,"",SUMIF('Competency Event Log'!$U$4:$U$803,$B110&amp;"|"&amp;S$5,'Competency Event Log'!$D$4:$D$803)))</f>
        <v/>
      </c>
      <c r="T110" s="8" t="str">
        <f>IF($B110="","",IF(COUNTIF('Competency Event Log'!$U$4:$U$803,$B110&amp;"|"&amp;T$5)=0,"",SUMIF('Competency Event Log'!$U$4:$U$803,$B110&amp;"|"&amp;T$5,'Competency Event Log'!$D$4:$D$803)))</f>
        <v/>
      </c>
      <c r="U110" s="8" t="str">
        <f>IF($B110="","",IF(COUNTIF('Competency Event Log'!$U$4:$U$803,$B110&amp;"|"&amp;U$5)=0,"",SUMIF('Competency Event Log'!$U$4:$U$803,$B110&amp;"|"&amp;U$5,'Competency Event Log'!$D$4:$D$803)))</f>
        <v/>
      </c>
      <c r="V110" s="8" t="str">
        <f>IF($B110="","",IF(COUNTIF('Competency Event Log'!$U$4:$U$803,$B110&amp;"|"&amp;V$5)=0,"",SUMIF('Competency Event Log'!$U$4:$U$803,$B110&amp;"|"&amp;V$5,'Competency Event Log'!$D$4:$D$803)))</f>
        <v/>
      </c>
      <c r="W110" s="8" t="str">
        <f>IF($B110="","",IF(COUNTIF('Competency Event Log'!$U$4:$U$803,$B110&amp;"|"&amp;W$5)=0,"",SUMIF('Competency Event Log'!$U$4:$U$803,$B110&amp;"|"&amp;W$5,'Competency Event Log'!$D$4:$D$803)))</f>
        <v/>
      </c>
      <c r="X110" s="8" t="str">
        <f>IF($B110="","",IF(COUNTIF('Competency Event Log'!$U$4:$U$803,$B110&amp;"|"&amp;X$5)=0,"",SUMIF('Competency Event Log'!$U$4:$U$803,$B110&amp;"|"&amp;X$5,'Competency Event Log'!$D$4:$D$803)))</f>
        <v/>
      </c>
      <c r="Y110" s="8" t="str">
        <f>IF($B110="","",IF(COUNTIF('Competency Event Log'!$U$4:$U$803,$B110&amp;"|"&amp;Y$5)=0,"",SUMIF('Competency Event Log'!$U$4:$U$803,$B110&amp;"|"&amp;Y$5,'Competency Event Log'!$D$4:$D$803)))</f>
        <v/>
      </c>
      <c r="Z110" s="8" t="str">
        <f>IF($B110="","",IF(COUNTIF('Competency Event Log'!$U$4:$U$803,$B110&amp;"|"&amp;Z$5)=0,"",SUMIF('Competency Event Log'!$U$4:$U$803,$B110&amp;"|"&amp;Z$5,'Competency Event Log'!$D$4:$D$803)))</f>
        <v/>
      </c>
      <c r="AA110" s="8" t="str">
        <f>IF($B110="","",IF(COUNTIF('Competency Event Log'!$U$4:$U$803,$B110&amp;"|"&amp;AA$5)=0,"",SUMIF('Competency Event Log'!$U$4:$U$803,$B110&amp;"|"&amp;AA$5,'Competency Event Log'!$D$4:$D$803)))</f>
        <v/>
      </c>
      <c r="AB110" s="8" t="str">
        <f>IF($B110="","",IF(COUNTIF('Competency Event Log'!$U$4:$U$803,$B110&amp;"|"&amp;AB$5)=0,"",SUMIF('Competency Event Log'!$U$4:$U$803,$B110&amp;"|"&amp;AB$5,'Competency Event Log'!$D$4:$D$803)))</f>
        <v/>
      </c>
      <c r="AC110" s="8" t="str">
        <f>IF($B110="","",IF(COUNTIF('Competency Event Log'!$U$4:$U$803,$B110&amp;"|"&amp;AC$5)=0,"",SUMIF('Competency Event Log'!$U$4:$U$803,$B110&amp;"|"&amp;AC$5,'Competency Event Log'!$D$4:$D$803)))</f>
        <v/>
      </c>
      <c r="AD110" s="8" t="str">
        <f>IF($B110="","",IF(COUNTIF('Competency Event Log'!$U$4:$U$803,$B110&amp;"|"&amp;AD$5)=0,"",SUMIF('Competency Event Log'!$U$4:$U$803,$B110&amp;"|"&amp;AD$5,'Competency Event Log'!$D$4:$D$803)))</f>
        <v/>
      </c>
      <c r="AE110" s="8" t="str">
        <f>IF($B110="","",IF(COUNTIF('Competency Event Log'!$U$4:$U$803,$B110&amp;"|"&amp;AE$5)=0,"",SUMIF('Competency Event Log'!$U$4:$U$803,$B110&amp;"|"&amp;AE$5,'Competency Event Log'!$D$4:$D$803)))</f>
        <v/>
      </c>
      <c r="AF110" s="8" t="str">
        <f>IF($B110="","",IF(COUNTIF('Competency Event Log'!$U$4:$U$803,$B110&amp;"|"&amp;AF$5)=0,"",SUMIF('Competency Event Log'!$U$4:$U$803,$B110&amp;"|"&amp;AF$5,'Competency Event Log'!$D$4:$D$803)))</f>
        <v/>
      </c>
      <c r="AG110" s="8" t="str">
        <f>IF($B110="","",IF(COUNTIF('Competency Event Log'!$U$4:$U$803,$B110&amp;"|"&amp;AG$5)=0,"",SUMIF('Competency Event Log'!$U$4:$U$803,$B110&amp;"|"&amp;AG$5,'Competency Event Log'!$D$4:$D$803)))</f>
        <v/>
      </c>
      <c r="AH110" s="8" t="str">
        <f>IF($B110="","",IF(COUNTIF('Competency Event Log'!$U$4:$U$803,$B110&amp;"|"&amp;AH$5)=0,"",SUMIF('Competency Event Log'!$U$4:$U$803,$B110&amp;"|"&amp;AH$5,'Competency Event Log'!$D$4:$D$803)))</f>
        <v/>
      </c>
      <c r="AI110" s="8" t="str">
        <f>IF($B110="","",IF(COUNTIF('Competency Event Log'!$U$4:$U$803,$B110&amp;"|"&amp;AI$5)=0,"",SUMIF('Competency Event Log'!$U$4:$U$803,$B110&amp;"|"&amp;AI$5,'Competency Event Log'!$D$4:$D$803)))</f>
        <v/>
      </c>
      <c r="AJ110" s="8" t="str">
        <f>IF($B110="","",IF(COUNTIF('Competency Event Log'!$U$4:$U$803,$B110&amp;"|"&amp;AJ$5)=0,"",SUMIF('Competency Event Log'!$U$4:$U$803,$B110&amp;"|"&amp;AJ$5,'Competency Event Log'!$D$4:$D$803)))</f>
        <v/>
      </c>
      <c r="AK110" s="8" t="str">
        <f>IF($B110="","",IF(COUNTIF('Competency Event Log'!$U$4:$U$803,$B110&amp;"|"&amp;AK$5)=0,"",SUMIF('Competency Event Log'!$U$4:$U$803,$B110&amp;"|"&amp;AK$5,'Competency Event Log'!$D$4:$D$803)))</f>
        <v/>
      </c>
      <c r="AL110" s="8" t="str">
        <f>IF($B110="","",IF(COUNTIF('Competency Event Log'!$U$4:$U$803,$B110&amp;"|"&amp;AL$5)=0,"",SUMIF('Competency Event Log'!$U$4:$U$803,$B110&amp;"|"&amp;AL$5,'Competency Event Log'!$D$4:$D$803)))</f>
        <v/>
      </c>
      <c r="AM110" s="8" t="str">
        <f>IF($B110="","",IF(COUNTIF('Competency Event Log'!$U$4:$U$803,$B110&amp;"|"&amp;AM$5)=0,"",SUMIF('Competency Event Log'!$U$4:$U$803,$B110&amp;"|"&amp;AM$5,'Competency Event Log'!$D$4:$D$803)))</f>
        <v/>
      </c>
      <c r="AN110" s="8" t="str">
        <f>IF($B110="","",IF(COUNTIF('Competency Event Log'!$U$4:$U$803,$B110&amp;"|"&amp;AN$5)=0,"",SUMIF('Competency Event Log'!$U$4:$U$803,$B110&amp;"|"&amp;AN$5,'Competency Event Log'!$D$4:$D$803)))</f>
        <v/>
      </c>
      <c r="AO110" s="8" t="str">
        <f>IF($B110="","",IF(COUNTIF('Competency Event Log'!$U$4:$U$803,$B110&amp;"|"&amp;AO$5)=0,"",SUMIF('Competency Event Log'!$U$4:$U$803,$B110&amp;"|"&amp;AO$5,'Competency Event Log'!$D$4:$D$803)))</f>
        <v/>
      </c>
      <c r="AP110" s="8" t="str">
        <f>IF($B110="","",IF(COUNTIF('Competency Event Log'!$U$4:$U$803,$B110&amp;"|"&amp;AP$5)=0,"",SUMIF('Competency Event Log'!$U$4:$U$803,$B110&amp;"|"&amp;AP$5,'Competency Event Log'!$D$4:$D$803)))</f>
        <v/>
      </c>
      <c r="AQ110" s="8" t="str">
        <f>IF($B110="","",IF(COUNTIF('Competency Event Log'!$U$4:$U$803,$B110&amp;"|"&amp;AQ$5)=0,"",SUMIF('Competency Event Log'!$U$4:$U$803,$B110&amp;"|"&amp;AQ$5,'Competency Event Log'!$D$4:$D$803)))</f>
        <v/>
      </c>
      <c r="AR110" s="8" t="str">
        <f>IF($B110="","",IF(COUNTIF('Competency Event Log'!$U$4:$U$803,$B110&amp;"|"&amp;AR$5)=0,"",SUMIF('Competency Event Log'!$U$4:$U$803,$B110&amp;"|"&amp;AR$5,'Competency Event Log'!$D$4:$D$803)))</f>
        <v/>
      </c>
      <c r="AS110" s="8" t="str">
        <f>IF($B110="","",IF(COUNTIF('Competency Event Log'!$U$4:$U$803,$B110&amp;"|"&amp;AS$5)=0,"",SUMIF('Competency Event Log'!$U$4:$U$803,$B110&amp;"|"&amp;AS$5,'Competency Event Log'!$D$4:$D$803)))</f>
        <v/>
      </c>
      <c r="AT110" s="8" t="str">
        <f>IF($B110="","",IF(COUNTIF('Competency Event Log'!$U$4:$U$803,$B110&amp;"|"&amp;AT$5)=0,"",SUMIF('Competency Event Log'!$U$4:$U$803,$B110&amp;"|"&amp;AT$5,'Competency Event Log'!$D$4:$D$803)))</f>
        <v/>
      </c>
      <c r="AU110" s="8" t="str">
        <f>IF($B110="","",IF(COUNTIF('Competency Event Log'!$U$4:$U$803,$B110&amp;"|"&amp;AU$5)=0,"",SUMIF('Competency Event Log'!$U$4:$U$803,$B110&amp;"|"&amp;AU$5,'Competency Event Log'!$D$4:$D$803)))</f>
        <v/>
      </c>
      <c r="AV110" s="8" t="str">
        <f>IF($B110="","",IF(COUNTIF('Competency Event Log'!$U$4:$U$803,$B110&amp;"|"&amp;AV$5)=0,"",SUMIF('Competency Event Log'!$U$4:$U$803,$B110&amp;"|"&amp;AV$5,'Competency Event Log'!$D$4:$D$803)))</f>
        <v/>
      </c>
      <c r="AW110" s="8" t="str">
        <f>IF($B110="","",IF(COUNTIF('Competency Event Log'!$U$4:$U$803,$B110&amp;"|"&amp;AW$5)=0,"",SUMIF('Competency Event Log'!$U$4:$U$803,$B110&amp;"|"&amp;AW$5,'Competency Event Log'!$D$4:$D$803)))</f>
        <v/>
      </c>
      <c r="AX110" s="8" t="str">
        <f>IF($B110="","",IF(COUNTIF('Competency Event Log'!$U$4:$U$803,$B110&amp;"|"&amp;AX$5)=0,"",SUMIF('Competency Event Log'!$U$4:$U$803,$B110&amp;"|"&amp;AX$5,'Competency Event Log'!$D$4:$D$803)))</f>
        <v/>
      </c>
      <c r="AY110" s="8" t="str">
        <f>IF($B110="","",IF(COUNTIF('Competency Event Log'!$U$4:$U$803,$B110&amp;"|"&amp;AY$5)=0,"",SUMIF('Competency Event Log'!$U$4:$U$803,$B110&amp;"|"&amp;AY$5,'Competency Event Log'!$D$4:$D$803)))</f>
        <v/>
      </c>
      <c r="AZ110" s="8" t="str">
        <f>IF($B110="","",IF(COUNTIF('Competency Event Log'!$U$4:$U$803,$B110&amp;"|"&amp;AZ$5)=0,"",SUMIF('Competency Event Log'!$U$4:$U$803,$B110&amp;"|"&amp;AZ$5,'Competency Event Log'!$D$4:$D$803)))</f>
        <v/>
      </c>
      <c r="BA110" s="8" t="str">
        <f>IF($B110="","",IF(COUNTIF('Competency Event Log'!$U$4:$U$803,$B110&amp;"|"&amp;BA$5)=0,"",SUMIF('Competency Event Log'!$U$4:$U$803,$B110&amp;"|"&amp;BA$5,'Competency Event Log'!$D$4:$D$803)))</f>
        <v/>
      </c>
      <c r="BB110" s="8" t="str">
        <f>IF($B110="","",IF(COUNTIF('Competency Event Log'!$U$4:$U$803,$B110&amp;"|"&amp;BB$5)=0,"",SUMIF('Competency Event Log'!$U$4:$U$803,$B110&amp;"|"&amp;BB$5,'Competency Event Log'!$D$4:$D$803)))</f>
        <v/>
      </c>
      <c r="BC110" s="8" t="str">
        <f>IF($B110="","",IF(COUNTIF('Competency Event Log'!$U$4:$U$803,$B110&amp;"|"&amp;BC$5)=0,"",SUMIF('Competency Event Log'!$U$4:$U$803,$B110&amp;"|"&amp;BC$5,'Competency Event Log'!$D$4:$D$803)))</f>
        <v/>
      </c>
      <c r="BD110" s="8" t="str">
        <f>IF($B110="","",IF(COUNTIF('Competency Event Log'!$U$4:$U$803,$B110&amp;"|"&amp;BD$5)=0,"",SUMIF('Competency Event Log'!$U$4:$U$803,$B110&amp;"|"&amp;BD$5,'Competency Event Log'!$D$4:$D$803)))</f>
        <v/>
      </c>
      <c r="BE110" s="8" t="str">
        <f>IF($B110="","",IF(COUNTIF('Competency Event Log'!$U$4:$U$803,$B110&amp;"|"&amp;BE$5)=0,"",SUMIF('Competency Event Log'!$U$4:$U$803,$B110&amp;"|"&amp;BE$5,'Competency Event Log'!$D$4:$D$803)))</f>
        <v/>
      </c>
      <c r="BF110" s="8" t="str">
        <f>IF($B110="","",IF(COUNTIF('Competency Event Log'!$U$4:$U$803,$B110&amp;"|"&amp;BF$5)=0,"",SUMIF('Competency Event Log'!$U$4:$U$803,$B110&amp;"|"&amp;BF$5,'Competency Event Log'!$D$4:$D$803)))</f>
        <v/>
      </c>
      <c r="BG110" s="8" t="str">
        <f>IF($B110="","",IF(COUNTIF('Competency Event Log'!$U$4:$U$803,$B110&amp;"|"&amp;BG$5)=0,"",SUMIF('Competency Event Log'!$U$4:$U$803,$B110&amp;"|"&amp;BG$5,'Competency Event Log'!$D$4:$D$803)))</f>
        <v/>
      </c>
      <c r="BH110" s="8" t="str">
        <f>IF($B110="","",IF(COUNTIF('Competency Event Log'!$U$4:$U$803,$B110&amp;"|"&amp;BH$5)=0,"",SUMIF('Competency Event Log'!$U$4:$U$803,$B110&amp;"|"&amp;BH$5,'Competency Event Log'!$D$4:$D$803)))</f>
        <v/>
      </c>
      <c r="BI110" s="8" t="str">
        <f>IF($B110="","",IF(COUNTIF('Competency Event Log'!$U$4:$U$803,$B110&amp;"|"&amp;BI$5)=0,"",SUMIF('Competency Event Log'!$U$4:$U$803,$B110&amp;"|"&amp;BI$5,'Competency Event Log'!$D$4:$D$803)))</f>
        <v/>
      </c>
      <c r="BJ110" s="8" t="str">
        <f>IF($B110="","",IF(COUNTIF('Competency Event Log'!$U$4:$U$803,$B110&amp;"|"&amp;BJ$5)=0,"",SUMIF('Competency Event Log'!$U$4:$U$803,$B110&amp;"|"&amp;BJ$5,'Competency Event Log'!$D$4:$D$803)))</f>
        <v/>
      </c>
      <c r="BK110" s="8" t="str">
        <f>IF($B110="","",IF(COUNTIF('Competency Event Log'!$U$4:$U$803,$B110&amp;"|"&amp;BK$5)=0,"",SUMIF('Competency Event Log'!$U$4:$U$803,$B110&amp;"|"&amp;BK$5,'Competency Event Log'!$D$4:$D$803)))</f>
        <v/>
      </c>
      <c r="BL110" s="8" t="str">
        <f>IF($B110="","",IF(COUNTIF('Competency Event Log'!$U$4:$U$803,$B110&amp;"|"&amp;BL$5)=0,"",SUMIF('Competency Event Log'!$U$4:$U$803,$B110&amp;"|"&amp;BL$5,'Competency Event Log'!$D$4:$D$803)))</f>
        <v/>
      </c>
      <c r="BM110" s="8" t="str">
        <f>IF($B110="","",IF(COUNTIF('Competency Event Log'!$U$4:$U$803,$B110&amp;"|"&amp;BM$5)=0,"",SUMIF('Competency Event Log'!$U$4:$U$803,$B110&amp;"|"&amp;BM$5,'Competency Event Log'!$D$4:$D$803)))</f>
        <v/>
      </c>
      <c r="BN110" s="8" t="str">
        <f>IF($B110="","",IF(COUNTIF('Competency Event Log'!$U$4:$U$803,$B110&amp;"|"&amp;BN$5)=0,"",SUMIF('Competency Event Log'!$U$4:$U$803,$B110&amp;"|"&amp;BN$5,'Competency Event Log'!$D$4:$D$803)))</f>
        <v/>
      </c>
      <c r="BO110" s="8" t="str">
        <f>IF($B110="","",IF(COUNTIF('Competency Event Log'!$U$4:$U$803,$B110&amp;"|"&amp;BO$5)=0,"",SUMIF('Competency Event Log'!$U$4:$U$803,$B110&amp;"|"&amp;BO$5,'Competency Event Log'!$D$4:$D$803)))</f>
        <v/>
      </c>
      <c r="BP110" s="8" t="str">
        <f>IF($B110="","",IF(COUNTIF('Competency Event Log'!$U$4:$U$803,$B110&amp;"|"&amp;BP$5)=0,"",SUMIF('Competency Event Log'!$U$4:$U$803,$B110&amp;"|"&amp;BP$5,'Competency Event Log'!$D$4:$D$803)))</f>
        <v/>
      </c>
      <c r="BQ110" s="8" t="str">
        <f>IF($B110="","",IF(COUNTIF('Competency Event Log'!$U$4:$U$803,$B110&amp;"|"&amp;BQ$5)=0,"",SUMIF('Competency Event Log'!$U$4:$U$803,$B110&amp;"|"&amp;BQ$5,'Competency Event Log'!$D$4:$D$803)))</f>
        <v/>
      </c>
      <c r="BR110" s="8" t="str">
        <f>IF($B110="","",IF(COUNTIF('Competency Event Log'!$U$4:$U$803,$B110&amp;"|"&amp;BR$5)=0,"",SUMIF('Competency Event Log'!$U$4:$U$803,$B110&amp;"|"&amp;BR$5,'Competency Event Log'!$D$4:$D$803)))</f>
        <v/>
      </c>
      <c r="BS110" s="8" t="str">
        <f>IF($B110="","",IF(COUNTIF('Competency Event Log'!$U$4:$U$803,$B110&amp;"|"&amp;BS$5)=0,"",SUMIF('Competency Event Log'!$U$4:$U$803,$B110&amp;"|"&amp;BS$5,'Competency Event Log'!$D$4:$D$803)))</f>
        <v/>
      </c>
      <c r="BT110" s="8" t="str">
        <f>IF($B110="","",IF(COUNTIF('Competency Event Log'!$U$4:$U$803,$B110&amp;"|"&amp;BT$5)=0,"",SUMIF('Competency Event Log'!$U$4:$U$803,$B110&amp;"|"&amp;BT$5,'Competency Event Log'!$D$4:$D$803)))</f>
        <v/>
      </c>
      <c r="BU110" s="8" t="str">
        <f>IF($B110="","",IF(COUNTIF('Competency Event Log'!$U$4:$U$803,$B110&amp;"|"&amp;BU$5)=0,"",SUMIF('Competency Event Log'!$U$4:$U$803,$B110&amp;"|"&amp;BU$5,'Competency Event Log'!$D$4:$D$803)))</f>
        <v/>
      </c>
      <c r="BV110" s="8" t="str">
        <f>IF($B110="","",IF(COUNTIF('Competency Event Log'!$U$4:$U$803,$B110&amp;"|"&amp;BV$5)=0,"",SUMIF('Competency Event Log'!$U$4:$U$803,$B110&amp;"|"&amp;BV$5,'Competency Event Log'!$D$4:$D$803)))</f>
        <v/>
      </c>
      <c r="BW110" s="8" t="str">
        <f>IF($B110="","",IF(COUNTIF('Competency Event Log'!$U$4:$U$803,$B110&amp;"|"&amp;BW$5)=0,"",SUMIF('Competency Event Log'!$U$4:$U$803,$B110&amp;"|"&amp;BW$5,'Competency Event Log'!$D$4:$D$803)))</f>
        <v/>
      </c>
      <c r="BX110" s="8" t="str">
        <f>IF($B110="","",IF(COUNTIF('Competency Event Log'!$U$4:$U$803,$B110&amp;"|"&amp;BX$5)=0,"",SUMIF('Competency Event Log'!$U$4:$U$803,$B110&amp;"|"&amp;BX$5,'Competency Event Log'!$D$4:$D$803)))</f>
        <v/>
      </c>
      <c r="BY110" s="8" t="str">
        <f>IF($B110="","",IF(COUNTIF('Competency Event Log'!$U$4:$U$803,$B110&amp;"|"&amp;BY$5)=0,"",SUMIF('Competency Event Log'!$U$4:$U$803,$B110&amp;"|"&amp;BY$5,'Competency Event Log'!$D$4:$D$803)))</f>
        <v/>
      </c>
      <c r="BZ110" s="8" t="str">
        <f>IF($B110="","",IF(COUNTIF('Competency Event Log'!$U$4:$U$803,$B110&amp;"|"&amp;BZ$5)=0,"",SUMIF('Competency Event Log'!$U$4:$U$803,$B110&amp;"|"&amp;BZ$5,'Competency Event Log'!$D$4:$D$803)))</f>
        <v/>
      </c>
      <c r="CA110" s="8" t="str">
        <f>IF($B110="","",IF(COUNTIF('Competency Event Log'!$U$4:$U$803,$B110&amp;"|"&amp;CA$5)=0,"",SUMIF('Competency Event Log'!$U$4:$U$803,$B110&amp;"|"&amp;CA$5,'Competency Event Log'!$D$4:$D$803)))</f>
        <v/>
      </c>
      <c r="CB110" s="8" t="str">
        <f>IF($B110="","",IF(COUNTIF('Competency Event Log'!$U$4:$U$803,$B110&amp;"|"&amp;CB$5)=0,"",SUMIF('Competency Event Log'!$U$4:$U$803,$B110&amp;"|"&amp;CB$5,'Competency Event Log'!$D$4:$D$803)))</f>
        <v/>
      </c>
      <c r="CC110" s="8" t="str">
        <f>IF($B110="","",IF(COUNTIF('Competency Event Log'!$U$4:$U$803,$B110&amp;"|"&amp;CC$5)=0,"",SUMIF('Competency Event Log'!$U$4:$U$803,$B110&amp;"|"&amp;CC$5,'Competency Event Log'!$D$4:$D$803)))</f>
        <v/>
      </c>
      <c r="CD110" s="8" t="str">
        <f>IF($B110="","",IF(COUNTIF('Competency Event Log'!$U$4:$U$803,$B110&amp;"|"&amp;CD$5)=0,"",SUMIF('Competency Event Log'!$U$4:$U$803,$B110&amp;"|"&amp;CD$5,'Competency Event Log'!$D$4:$D$803)))</f>
        <v/>
      </c>
      <c r="CE110" s="8" t="str">
        <f>IF($B110="","",IF(COUNTIF('Competency Event Log'!$U$4:$U$803,$B110&amp;"|"&amp;CE$5)=0,"",SUMIF('Competency Event Log'!$U$4:$U$803,$B110&amp;"|"&amp;CE$5,'Competency Event Log'!$D$4:$D$803)))</f>
        <v/>
      </c>
      <c r="CF110" s="8" t="str">
        <f>IF($B110="","",IF(COUNTIF('Competency Event Log'!$U$4:$U$803,$B110&amp;"|"&amp;CF$5)=0,"",SUMIF('Competency Event Log'!$U$4:$U$803,$B110&amp;"|"&amp;CF$5,'Competency Event Log'!$D$4:$D$803)))</f>
        <v/>
      </c>
      <c r="CG110" s="8" t="str">
        <f>IF($B110="","",IF(COUNTIF('Competency Event Log'!$U$4:$U$803,$B110&amp;"|"&amp;CG$5)=0,"",SUMIF('Competency Event Log'!$U$4:$U$803,$B110&amp;"|"&amp;CG$5,'Competency Event Log'!$D$4:$D$803)))</f>
        <v/>
      </c>
      <c r="CH110" s="8" t="str">
        <f>IF($B110="","",IF(COUNTIF('Competency Event Log'!$U$4:$U$803,$B110&amp;"|"&amp;CH$5)=0,"",SUMIF('Competency Event Log'!$U$4:$U$803,$B110&amp;"|"&amp;CH$5,'Competency Event Log'!$D$4:$D$803)))</f>
        <v/>
      </c>
      <c r="CI110" s="8" t="str">
        <f>IF($B110="","",IF(COUNTIF('Competency Event Log'!$U$4:$U$803,$B110&amp;"|"&amp;CI$5)=0,"",SUMIF('Competency Event Log'!$U$4:$U$803,$B110&amp;"|"&amp;CI$5,'Competency Event Log'!$D$4:$D$803)))</f>
        <v/>
      </c>
      <c r="CJ110" s="8" t="str">
        <f>IF($B110="","",IF(COUNTIF('Competency Event Log'!$U$4:$U$803,$B110&amp;"|"&amp;CJ$5)=0,"",SUMIF('Competency Event Log'!$U$4:$U$803,$B110&amp;"|"&amp;CJ$5,'Competency Event Log'!$D$4:$D$803)))</f>
        <v/>
      </c>
      <c r="CK110" s="8" t="str">
        <f>IF($B110="","",IF(COUNTIF('Competency Event Log'!$U$4:$U$803,$B110&amp;"|"&amp;CK$5)=0,"",SUMIF('Competency Event Log'!$U$4:$U$803,$B110&amp;"|"&amp;CK$5,'Competency Event Log'!$D$4:$D$803)))</f>
        <v/>
      </c>
      <c r="CL110" s="8" t="str">
        <f>IF($B110="","",IF(COUNTIF('Competency Event Log'!$U$4:$U$803,$B110&amp;"|"&amp;CL$5)=0,"",SUMIF('Competency Event Log'!$U$4:$U$803,$B110&amp;"|"&amp;CL$5,'Competency Event Log'!$D$4:$D$803)))</f>
        <v/>
      </c>
      <c r="CM110" s="8" t="str">
        <f>IF($B110="","",IF(COUNTIF('Competency Event Log'!$U$4:$U$803,$B110&amp;"|"&amp;CM$5)=0,"",SUMIF('Competency Event Log'!$U$4:$U$803,$B110&amp;"|"&amp;CM$5,'Competency Event Log'!$D$4:$D$803)))</f>
        <v/>
      </c>
      <c r="CN110" s="8" t="str">
        <f>IF($B110="","",IF(COUNTIF('Competency Event Log'!$U$4:$U$803,$B110&amp;"|"&amp;CN$5)=0,"",SUMIF('Competency Event Log'!$U$4:$U$803,$B110&amp;"|"&amp;CN$5,'Competency Event Log'!$D$4:$D$803)))</f>
        <v/>
      </c>
      <c r="CO110" s="8" t="str">
        <f>IF($B110="","",IF(COUNTIF('Competency Event Log'!$U$4:$U$803,$B110&amp;"|"&amp;CO$5)=0,"",SUMIF('Competency Event Log'!$U$4:$U$803,$B110&amp;"|"&amp;CO$5,'Competency Event Log'!$D$4:$D$803)))</f>
        <v/>
      </c>
      <c r="CP110" s="8" t="str">
        <f>IF($B110="","",IF(COUNTIF('Competency Event Log'!$U$4:$U$803,$B110&amp;"|"&amp;CP$5)=0,"",SUMIF('Competency Event Log'!$U$4:$U$803,$B110&amp;"|"&amp;CP$5,'Competency Event Log'!$D$4:$D$803)))</f>
        <v/>
      </c>
      <c r="CQ110" s="8" t="str">
        <f>IF($B110="","",IF(COUNTIF('Competency Event Log'!$U$4:$U$803,$B110&amp;"|"&amp;CQ$5)=0,"",SUMIF('Competency Event Log'!$U$4:$U$803,$B110&amp;"|"&amp;CQ$5,'Competency Event Log'!$D$4:$D$803)))</f>
        <v/>
      </c>
      <c r="CR110" s="8" t="str">
        <f>IF($B110="","",IF(COUNTIF('Competency Event Log'!$U$4:$U$803,$B110&amp;"|"&amp;CR$5)=0,"",SUMIF('Competency Event Log'!$U$4:$U$803,$B110&amp;"|"&amp;CR$5,'Competency Event Log'!$D$4:$D$803)))</f>
        <v/>
      </c>
      <c r="CS110" s="8" t="str">
        <f>IF($B110="","",IF(COUNTIF('Competency Event Log'!$U$4:$U$803,$B110&amp;"|"&amp;CS$5)=0,"",SUMIF('Competency Event Log'!$U$4:$U$803,$B110&amp;"|"&amp;CS$5,'Competency Event Log'!$D$4:$D$803)))</f>
        <v/>
      </c>
      <c r="CT110" s="8" t="str">
        <f>IF($B110="","",IF(COUNTIF('Competency Event Log'!$U$4:$U$803,$B110&amp;"|"&amp;CT$5)=0,"",SUMIF('Competency Event Log'!$U$4:$U$803,$B110&amp;"|"&amp;CT$5,'Competency Event Log'!$D$4:$D$803)))</f>
        <v/>
      </c>
      <c r="CU110" s="8" t="str">
        <f>IF($B110="","",IF(COUNTIF('Competency Event Log'!$U$4:$U$803,$B110&amp;"|"&amp;CU$5)=0,"",SUMIF('Competency Event Log'!$U$4:$U$803,$B110&amp;"|"&amp;CU$5,'Competency Event Log'!$D$4:$D$803)))</f>
        <v/>
      </c>
      <c r="CV110" s="8" t="str">
        <f>IF($B110="","",IF(COUNTIF('Competency Event Log'!$U$4:$U$803,$B110&amp;"|"&amp;CV$5)=0,"",SUMIF('Competency Event Log'!$U$4:$U$803,$B110&amp;"|"&amp;CV$5,'Competency Event Log'!$D$4:$D$803)))</f>
        <v/>
      </c>
      <c r="CW110" s="8" t="str">
        <f>IF($B110="","",IF(COUNTIF('Competency Event Log'!$U$4:$U$803,$B110&amp;"|"&amp;CW$5)=0,"",SUMIF('Competency Event Log'!$U$4:$U$803,$B110&amp;"|"&amp;CW$5,'Competency Event Log'!$D$4:$D$803)))</f>
        <v/>
      </c>
      <c r="CX110" s="8" t="str">
        <f>IF($B110="","",IF(COUNTIF('Competency Event Log'!$U$4:$U$803,$B110&amp;"|"&amp;CX$5)=0,"",SUMIF('Competency Event Log'!$U$4:$U$803,$B110&amp;"|"&amp;CX$5,'Competency Event Log'!$D$4:$D$803)))</f>
        <v/>
      </c>
      <c r="CY110" s="8" t="str">
        <f>IF($B110="","",IF(COUNTIF('Competency Event Log'!$U$4:$U$803,$B110&amp;"|"&amp;CY$5)=0,"",SUMIF('Competency Event Log'!$U$4:$U$803,$B110&amp;"|"&amp;CY$5,'Competency Event Log'!$D$4:$D$803)))</f>
        <v/>
      </c>
      <c r="CZ110" s="8" t="str">
        <f>IF($B110="","",IF(COUNTIF('Competency Event Log'!$U$4:$U$803,$B110&amp;"|"&amp;CZ$5)=0,"",SUMIF('Competency Event Log'!$U$4:$U$803,$B110&amp;"|"&amp;CZ$5,'Competency Event Log'!$D$4:$D$803)))</f>
        <v/>
      </c>
      <c r="DA110" s="8" t="str">
        <f>IF($B110="","",IF(COUNTIF('Competency Event Log'!$U$4:$U$803,$B110&amp;"|"&amp;DA$5)=0,"",SUMIF('Competency Event Log'!$U$4:$U$803,$B110&amp;"|"&amp;DA$5,'Competency Event Log'!$D$4:$D$803)))</f>
        <v/>
      </c>
      <c r="DB110" s="8" t="str">
        <f>IF($B110="","",IF(COUNTIF('Competency Event Log'!$U$4:$U$803,$B110&amp;"|"&amp;DB$5)=0,"",SUMIF('Competency Event Log'!$U$4:$U$803,$B110&amp;"|"&amp;DB$5,'Competency Event Log'!$D$4:$D$803)))</f>
        <v/>
      </c>
      <c r="DC110" s="8" t="str">
        <f>IF($B110="","",IF(COUNTIF('Competency Event Log'!$U$4:$U$803,$B110&amp;"|"&amp;DC$5)=0,"",SUMIF('Competency Event Log'!$U$4:$U$803,$B110&amp;"|"&amp;DC$5,'Competency Event Log'!$D$4:$D$803)))</f>
        <v/>
      </c>
      <c r="DD110" s="8" t="str">
        <f>IF($B110="","",IF(COUNTIF('Competency Event Log'!$U$4:$U$803,$B110&amp;"|"&amp;DD$5)=0,"",SUMIF('Competency Event Log'!$U$4:$U$803,$B110&amp;"|"&amp;DD$5,'Competency Event Log'!$D$4:$D$803)))</f>
        <v/>
      </c>
      <c r="DE110" s="8" t="str">
        <f>IF($B110="","",IF(COUNTIF('Competency Event Log'!$U$4:$U$803,$B110&amp;"|"&amp;DE$5)=0,"",SUMIF('Competency Event Log'!$U$4:$U$803,$B110&amp;"|"&amp;DE$5,'Competency Event Log'!$D$4:$D$803)))</f>
        <v/>
      </c>
      <c r="DF110" s="8" t="str">
        <f t="shared" si="12"/>
        <v/>
      </c>
      <c r="DG110" s="8" t="str">
        <f t="shared" si="13"/>
        <v/>
      </c>
      <c r="DH110" s="8" t="str">
        <f t="shared" si="14"/>
        <v/>
      </c>
      <c r="DI110" s="11" t="str">
        <f t="shared" si="15"/>
        <v/>
      </c>
    </row>
    <row r="111" spans="1:113">
      <c r="A111" s="7"/>
      <c r="B111" s="7"/>
      <c r="C111" s="8"/>
      <c r="D111" s="9"/>
      <c r="E111" s="10"/>
      <c r="F111" s="8"/>
      <c r="G111" s="8" t="str">
        <f>IF($B111="","",IF(COUNTIF('Competency Event Log'!$U$4:$U$803,$B111&amp;"|"&amp;G$5)=0,"",SUMIF('Competency Event Log'!$U$4:$U$803,$B111&amp;"|"&amp;G$5,'Competency Event Log'!$D$4:$D$803)))</f>
        <v/>
      </c>
      <c r="H111" s="8" t="str">
        <f>IF($B111="","",IF(COUNTIF('Competency Event Log'!$U$4:$U$803,$B111&amp;"|"&amp;H$5)=0,"",SUMIF('Competency Event Log'!$U$4:$U$803,$B111&amp;"|"&amp;H$5,'Competency Event Log'!$D$4:$D$803)))</f>
        <v/>
      </c>
      <c r="I111" s="8" t="str">
        <f>IF($B111="","",IF(COUNTIF('Competency Event Log'!$U$4:$U$803,$B111&amp;"|"&amp;I$5)=0,"",SUMIF('Competency Event Log'!$U$4:$U$803,$B111&amp;"|"&amp;I$5,'Competency Event Log'!$D$4:$D$803)))</f>
        <v/>
      </c>
      <c r="J111" s="8" t="str">
        <f>IF($B111="","",IF(COUNTIF('Competency Event Log'!$U$4:$U$803,$B111&amp;"|"&amp;J$5)=0,"",SUMIF('Competency Event Log'!$U$4:$U$803,$B111&amp;"|"&amp;J$5,'Competency Event Log'!$D$4:$D$803)))</f>
        <v/>
      </c>
      <c r="K111" s="8" t="str">
        <f>IF($B111="","",IF(COUNTIF('Competency Event Log'!$U$4:$U$803,$B111&amp;"|"&amp;K$5)=0,"",SUMIF('Competency Event Log'!$U$4:$U$803,$B111&amp;"|"&amp;K$5,'Competency Event Log'!$D$4:$D$803)))</f>
        <v/>
      </c>
      <c r="L111" s="8" t="str">
        <f>IF($B111="","",IF(COUNTIF('Competency Event Log'!$U$4:$U$803,$B111&amp;"|"&amp;L$5)=0,"",SUMIF('Competency Event Log'!$U$4:$U$803,$B111&amp;"|"&amp;L$5,'Competency Event Log'!$D$4:$D$803)))</f>
        <v/>
      </c>
      <c r="M111" s="8" t="str">
        <f>IF($B111="","",IF(COUNTIF('Competency Event Log'!$U$4:$U$803,$B111&amp;"|"&amp;M$5)=0,"",SUMIF('Competency Event Log'!$U$4:$U$803,$B111&amp;"|"&amp;M$5,'Competency Event Log'!$D$4:$D$803)))</f>
        <v/>
      </c>
      <c r="N111" s="8" t="str">
        <f>IF($B111="","",IF(COUNTIF('Competency Event Log'!$U$4:$U$803,$B111&amp;"|"&amp;N$5)=0,"",SUMIF('Competency Event Log'!$U$4:$U$803,$B111&amp;"|"&amp;N$5,'Competency Event Log'!$D$4:$D$803)))</f>
        <v/>
      </c>
      <c r="O111" s="8" t="str">
        <f>IF($B111="","",IF(COUNTIF('Competency Event Log'!$U$4:$U$803,$B111&amp;"|"&amp;O$5)=0,"",SUMIF('Competency Event Log'!$U$4:$U$803,$B111&amp;"|"&amp;O$5,'Competency Event Log'!$D$4:$D$803)))</f>
        <v/>
      </c>
      <c r="P111" s="8" t="str">
        <f>IF($B111="","",IF(COUNTIF('Competency Event Log'!$U$4:$U$803,$B111&amp;"|"&amp;P$5)=0,"",SUMIF('Competency Event Log'!$U$4:$U$803,$B111&amp;"|"&amp;P$5,'Competency Event Log'!$D$4:$D$803)))</f>
        <v/>
      </c>
      <c r="Q111" s="8" t="str">
        <f>IF($B111="","",IF(COUNTIF('Competency Event Log'!$U$4:$U$803,$B111&amp;"|"&amp;Q$5)=0,"",SUMIF('Competency Event Log'!$U$4:$U$803,$B111&amp;"|"&amp;Q$5,'Competency Event Log'!$D$4:$D$803)))</f>
        <v/>
      </c>
      <c r="R111" s="8" t="str">
        <f>IF($B111="","",IF(COUNTIF('Competency Event Log'!$U$4:$U$803,$B111&amp;"|"&amp;R$5)=0,"",SUMIF('Competency Event Log'!$U$4:$U$803,$B111&amp;"|"&amp;R$5,'Competency Event Log'!$D$4:$D$803)))</f>
        <v/>
      </c>
      <c r="S111" s="8" t="str">
        <f>IF($B111="","",IF(COUNTIF('Competency Event Log'!$U$4:$U$803,$B111&amp;"|"&amp;S$5)=0,"",SUMIF('Competency Event Log'!$U$4:$U$803,$B111&amp;"|"&amp;S$5,'Competency Event Log'!$D$4:$D$803)))</f>
        <v/>
      </c>
      <c r="T111" s="8" t="str">
        <f>IF($B111="","",IF(COUNTIF('Competency Event Log'!$U$4:$U$803,$B111&amp;"|"&amp;T$5)=0,"",SUMIF('Competency Event Log'!$U$4:$U$803,$B111&amp;"|"&amp;T$5,'Competency Event Log'!$D$4:$D$803)))</f>
        <v/>
      </c>
      <c r="U111" s="8" t="str">
        <f>IF($B111="","",IF(COUNTIF('Competency Event Log'!$U$4:$U$803,$B111&amp;"|"&amp;U$5)=0,"",SUMIF('Competency Event Log'!$U$4:$U$803,$B111&amp;"|"&amp;U$5,'Competency Event Log'!$D$4:$D$803)))</f>
        <v/>
      </c>
      <c r="V111" s="8" t="str">
        <f>IF($B111="","",IF(COUNTIF('Competency Event Log'!$U$4:$U$803,$B111&amp;"|"&amp;V$5)=0,"",SUMIF('Competency Event Log'!$U$4:$U$803,$B111&amp;"|"&amp;V$5,'Competency Event Log'!$D$4:$D$803)))</f>
        <v/>
      </c>
      <c r="W111" s="8" t="str">
        <f>IF($B111="","",IF(COUNTIF('Competency Event Log'!$U$4:$U$803,$B111&amp;"|"&amp;W$5)=0,"",SUMIF('Competency Event Log'!$U$4:$U$803,$B111&amp;"|"&amp;W$5,'Competency Event Log'!$D$4:$D$803)))</f>
        <v/>
      </c>
      <c r="X111" s="8" t="str">
        <f>IF($B111="","",IF(COUNTIF('Competency Event Log'!$U$4:$U$803,$B111&amp;"|"&amp;X$5)=0,"",SUMIF('Competency Event Log'!$U$4:$U$803,$B111&amp;"|"&amp;X$5,'Competency Event Log'!$D$4:$D$803)))</f>
        <v/>
      </c>
      <c r="Y111" s="8" t="str">
        <f>IF($B111="","",IF(COUNTIF('Competency Event Log'!$U$4:$U$803,$B111&amp;"|"&amp;Y$5)=0,"",SUMIF('Competency Event Log'!$U$4:$U$803,$B111&amp;"|"&amp;Y$5,'Competency Event Log'!$D$4:$D$803)))</f>
        <v/>
      </c>
      <c r="Z111" s="8" t="str">
        <f>IF($B111="","",IF(COUNTIF('Competency Event Log'!$U$4:$U$803,$B111&amp;"|"&amp;Z$5)=0,"",SUMIF('Competency Event Log'!$U$4:$U$803,$B111&amp;"|"&amp;Z$5,'Competency Event Log'!$D$4:$D$803)))</f>
        <v/>
      </c>
      <c r="AA111" s="8" t="str">
        <f>IF($B111="","",IF(COUNTIF('Competency Event Log'!$U$4:$U$803,$B111&amp;"|"&amp;AA$5)=0,"",SUMIF('Competency Event Log'!$U$4:$U$803,$B111&amp;"|"&amp;AA$5,'Competency Event Log'!$D$4:$D$803)))</f>
        <v/>
      </c>
      <c r="AB111" s="8" t="str">
        <f>IF($B111="","",IF(COUNTIF('Competency Event Log'!$U$4:$U$803,$B111&amp;"|"&amp;AB$5)=0,"",SUMIF('Competency Event Log'!$U$4:$U$803,$B111&amp;"|"&amp;AB$5,'Competency Event Log'!$D$4:$D$803)))</f>
        <v/>
      </c>
      <c r="AC111" s="8" t="str">
        <f>IF($B111="","",IF(COUNTIF('Competency Event Log'!$U$4:$U$803,$B111&amp;"|"&amp;AC$5)=0,"",SUMIF('Competency Event Log'!$U$4:$U$803,$B111&amp;"|"&amp;AC$5,'Competency Event Log'!$D$4:$D$803)))</f>
        <v/>
      </c>
      <c r="AD111" s="8" t="str">
        <f>IF($B111="","",IF(COUNTIF('Competency Event Log'!$U$4:$U$803,$B111&amp;"|"&amp;AD$5)=0,"",SUMIF('Competency Event Log'!$U$4:$U$803,$B111&amp;"|"&amp;AD$5,'Competency Event Log'!$D$4:$D$803)))</f>
        <v/>
      </c>
      <c r="AE111" s="8" t="str">
        <f>IF($B111="","",IF(COUNTIF('Competency Event Log'!$U$4:$U$803,$B111&amp;"|"&amp;AE$5)=0,"",SUMIF('Competency Event Log'!$U$4:$U$803,$B111&amp;"|"&amp;AE$5,'Competency Event Log'!$D$4:$D$803)))</f>
        <v/>
      </c>
      <c r="AF111" s="8" t="str">
        <f>IF($B111="","",IF(COUNTIF('Competency Event Log'!$U$4:$U$803,$B111&amp;"|"&amp;AF$5)=0,"",SUMIF('Competency Event Log'!$U$4:$U$803,$B111&amp;"|"&amp;AF$5,'Competency Event Log'!$D$4:$D$803)))</f>
        <v/>
      </c>
      <c r="AG111" s="8" t="str">
        <f>IF($B111="","",IF(COUNTIF('Competency Event Log'!$U$4:$U$803,$B111&amp;"|"&amp;AG$5)=0,"",SUMIF('Competency Event Log'!$U$4:$U$803,$B111&amp;"|"&amp;AG$5,'Competency Event Log'!$D$4:$D$803)))</f>
        <v/>
      </c>
      <c r="AH111" s="8" t="str">
        <f>IF($B111="","",IF(COUNTIF('Competency Event Log'!$U$4:$U$803,$B111&amp;"|"&amp;AH$5)=0,"",SUMIF('Competency Event Log'!$U$4:$U$803,$B111&amp;"|"&amp;AH$5,'Competency Event Log'!$D$4:$D$803)))</f>
        <v/>
      </c>
      <c r="AI111" s="8" t="str">
        <f>IF($B111="","",IF(COUNTIF('Competency Event Log'!$U$4:$U$803,$B111&amp;"|"&amp;AI$5)=0,"",SUMIF('Competency Event Log'!$U$4:$U$803,$B111&amp;"|"&amp;AI$5,'Competency Event Log'!$D$4:$D$803)))</f>
        <v/>
      </c>
      <c r="AJ111" s="8" t="str">
        <f>IF($B111="","",IF(COUNTIF('Competency Event Log'!$U$4:$U$803,$B111&amp;"|"&amp;AJ$5)=0,"",SUMIF('Competency Event Log'!$U$4:$U$803,$B111&amp;"|"&amp;AJ$5,'Competency Event Log'!$D$4:$D$803)))</f>
        <v/>
      </c>
      <c r="AK111" s="8" t="str">
        <f>IF($B111="","",IF(COUNTIF('Competency Event Log'!$U$4:$U$803,$B111&amp;"|"&amp;AK$5)=0,"",SUMIF('Competency Event Log'!$U$4:$U$803,$B111&amp;"|"&amp;AK$5,'Competency Event Log'!$D$4:$D$803)))</f>
        <v/>
      </c>
      <c r="AL111" s="8" t="str">
        <f>IF($B111="","",IF(COUNTIF('Competency Event Log'!$U$4:$U$803,$B111&amp;"|"&amp;AL$5)=0,"",SUMIF('Competency Event Log'!$U$4:$U$803,$B111&amp;"|"&amp;AL$5,'Competency Event Log'!$D$4:$D$803)))</f>
        <v/>
      </c>
      <c r="AM111" s="8" t="str">
        <f>IF($B111="","",IF(COUNTIF('Competency Event Log'!$U$4:$U$803,$B111&amp;"|"&amp;AM$5)=0,"",SUMIF('Competency Event Log'!$U$4:$U$803,$B111&amp;"|"&amp;AM$5,'Competency Event Log'!$D$4:$D$803)))</f>
        <v/>
      </c>
      <c r="AN111" s="8" t="str">
        <f>IF($B111="","",IF(COUNTIF('Competency Event Log'!$U$4:$U$803,$B111&amp;"|"&amp;AN$5)=0,"",SUMIF('Competency Event Log'!$U$4:$U$803,$B111&amp;"|"&amp;AN$5,'Competency Event Log'!$D$4:$D$803)))</f>
        <v/>
      </c>
      <c r="AO111" s="8" t="str">
        <f>IF($B111="","",IF(COUNTIF('Competency Event Log'!$U$4:$U$803,$B111&amp;"|"&amp;AO$5)=0,"",SUMIF('Competency Event Log'!$U$4:$U$803,$B111&amp;"|"&amp;AO$5,'Competency Event Log'!$D$4:$D$803)))</f>
        <v/>
      </c>
      <c r="AP111" s="8" t="str">
        <f>IF($B111="","",IF(COUNTIF('Competency Event Log'!$U$4:$U$803,$B111&amp;"|"&amp;AP$5)=0,"",SUMIF('Competency Event Log'!$U$4:$U$803,$B111&amp;"|"&amp;AP$5,'Competency Event Log'!$D$4:$D$803)))</f>
        <v/>
      </c>
      <c r="AQ111" s="8" t="str">
        <f>IF($B111="","",IF(COUNTIF('Competency Event Log'!$U$4:$U$803,$B111&amp;"|"&amp;AQ$5)=0,"",SUMIF('Competency Event Log'!$U$4:$U$803,$B111&amp;"|"&amp;AQ$5,'Competency Event Log'!$D$4:$D$803)))</f>
        <v/>
      </c>
      <c r="AR111" s="8" t="str">
        <f>IF($B111="","",IF(COUNTIF('Competency Event Log'!$U$4:$U$803,$B111&amp;"|"&amp;AR$5)=0,"",SUMIF('Competency Event Log'!$U$4:$U$803,$B111&amp;"|"&amp;AR$5,'Competency Event Log'!$D$4:$D$803)))</f>
        <v/>
      </c>
      <c r="AS111" s="8" t="str">
        <f>IF($B111="","",IF(COUNTIF('Competency Event Log'!$U$4:$U$803,$B111&amp;"|"&amp;AS$5)=0,"",SUMIF('Competency Event Log'!$U$4:$U$803,$B111&amp;"|"&amp;AS$5,'Competency Event Log'!$D$4:$D$803)))</f>
        <v/>
      </c>
      <c r="AT111" s="8" t="str">
        <f>IF($B111="","",IF(COUNTIF('Competency Event Log'!$U$4:$U$803,$B111&amp;"|"&amp;AT$5)=0,"",SUMIF('Competency Event Log'!$U$4:$U$803,$B111&amp;"|"&amp;AT$5,'Competency Event Log'!$D$4:$D$803)))</f>
        <v/>
      </c>
      <c r="AU111" s="8" t="str">
        <f>IF($B111="","",IF(COUNTIF('Competency Event Log'!$U$4:$U$803,$B111&amp;"|"&amp;AU$5)=0,"",SUMIF('Competency Event Log'!$U$4:$U$803,$B111&amp;"|"&amp;AU$5,'Competency Event Log'!$D$4:$D$803)))</f>
        <v/>
      </c>
      <c r="AV111" s="8" t="str">
        <f>IF($B111="","",IF(COUNTIF('Competency Event Log'!$U$4:$U$803,$B111&amp;"|"&amp;AV$5)=0,"",SUMIF('Competency Event Log'!$U$4:$U$803,$B111&amp;"|"&amp;AV$5,'Competency Event Log'!$D$4:$D$803)))</f>
        <v/>
      </c>
      <c r="AW111" s="8" t="str">
        <f>IF($B111="","",IF(COUNTIF('Competency Event Log'!$U$4:$U$803,$B111&amp;"|"&amp;AW$5)=0,"",SUMIF('Competency Event Log'!$U$4:$U$803,$B111&amp;"|"&amp;AW$5,'Competency Event Log'!$D$4:$D$803)))</f>
        <v/>
      </c>
      <c r="AX111" s="8" t="str">
        <f>IF($B111="","",IF(COUNTIF('Competency Event Log'!$U$4:$U$803,$B111&amp;"|"&amp;AX$5)=0,"",SUMIF('Competency Event Log'!$U$4:$U$803,$B111&amp;"|"&amp;AX$5,'Competency Event Log'!$D$4:$D$803)))</f>
        <v/>
      </c>
      <c r="AY111" s="8" t="str">
        <f>IF($B111="","",IF(COUNTIF('Competency Event Log'!$U$4:$U$803,$B111&amp;"|"&amp;AY$5)=0,"",SUMIF('Competency Event Log'!$U$4:$U$803,$B111&amp;"|"&amp;AY$5,'Competency Event Log'!$D$4:$D$803)))</f>
        <v/>
      </c>
      <c r="AZ111" s="8" t="str">
        <f>IF($B111="","",IF(COUNTIF('Competency Event Log'!$U$4:$U$803,$B111&amp;"|"&amp;AZ$5)=0,"",SUMIF('Competency Event Log'!$U$4:$U$803,$B111&amp;"|"&amp;AZ$5,'Competency Event Log'!$D$4:$D$803)))</f>
        <v/>
      </c>
      <c r="BA111" s="8" t="str">
        <f>IF($B111="","",IF(COUNTIF('Competency Event Log'!$U$4:$U$803,$B111&amp;"|"&amp;BA$5)=0,"",SUMIF('Competency Event Log'!$U$4:$U$803,$B111&amp;"|"&amp;BA$5,'Competency Event Log'!$D$4:$D$803)))</f>
        <v/>
      </c>
      <c r="BB111" s="8" t="str">
        <f>IF($B111="","",IF(COUNTIF('Competency Event Log'!$U$4:$U$803,$B111&amp;"|"&amp;BB$5)=0,"",SUMIF('Competency Event Log'!$U$4:$U$803,$B111&amp;"|"&amp;BB$5,'Competency Event Log'!$D$4:$D$803)))</f>
        <v/>
      </c>
      <c r="BC111" s="8" t="str">
        <f>IF($B111="","",IF(COUNTIF('Competency Event Log'!$U$4:$U$803,$B111&amp;"|"&amp;BC$5)=0,"",SUMIF('Competency Event Log'!$U$4:$U$803,$B111&amp;"|"&amp;BC$5,'Competency Event Log'!$D$4:$D$803)))</f>
        <v/>
      </c>
      <c r="BD111" s="8" t="str">
        <f>IF($B111="","",IF(COUNTIF('Competency Event Log'!$U$4:$U$803,$B111&amp;"|"&amp;BD$5)=0,"",SUMIF('Competency Event Log'!$U$4:$U$803,$B111&amp;"|"&amp;BD$5,'Competency Event Log'!$D$4:$D$803)))</f>
        <v/>
      </c>
      <c r="BE111" s="8" t="str">
        <f>IF($B111="","",IF(COUNTIF('Competency Event Log'!$U$4:$U$803,$B111&amp;"|"&amp;BE$5)=0,"",SUMIF('Competency Event Log'!$U$4:$U$803,$B111&amp;"|"&amp;BE$5,'Competency Event Log'!$D$4:$D$803)))</f>
        <v/>
      </c>
      <c r="BF111" s="8" t="str">
        <f>IF($B111="","",IF(COUNTIF('Competency Event Log'!$U$4:$U$803,$B111&amp;"|"&amp;BF$5)=0,"",SUMIF('Competency Event Log'!$U$4:$U$803,$B111&amp;"|"&amp;BF$5,'Competency Event Log'!$D$4:$D$803)))</f>
        <v/>
      </c>
      <c r="BG111" s="8" t="str">
        <f>IF($B111="","",IF(COUNTIF('Competency Event Log'!$U$4:$U$803,$B111&amp;"|"&amp;BG$5)=0,"",SUMIF('Competency Event Log'!$U$4:$U$803,$B111&amp;"|"&amp;BG$5,'Competency Event Log'!$D$4:$D$803)))</f>
        <v/>
      </c>
      <c r="BH111" s="8" t="str">
        <f>IF($B111="","",IF(COUNTIF('Competency Event Log'!$U$4:$U$803,$B111&amp;"|"&amp;BH$5)=0,"",SUMIF('Competency Event Log'!$U$4:$U$803,$B111&amp;"|"&amp;BH$5,'Competency Event Log'!$D$4:$D$803)))</f>
        <v/>
      </c>
      <c r="BI111" s="8" t="str">
        <f>IF($B111="","",IF(COUNTIF('Competency Event Log'!$U$4:$U$803,$B111&amp;"|"&amp;BI$5)=0,"",SUMIF('Competency Event Log'!$U$4:$U$803,$B111&amp;"|"&amp;BI$5,'Competency Event Log'!$D$4:$D$803)))</f>
        <v/>
      </c>
      <c r="BJ111" s="8" t="str">
        <f>IF($B111="","",IF(COUNTIF('Competency Event Log'!$U$4:$U$803,$B111&amp;"|"&amp;BJ$5)=0,"",SUMIF('Competency Event Log'!$U$4:$U$803,$B111&amp;"|"&amp;BJ$5,'Competency Event Log'!$D$4:$D$803)))</f>
        <v/>
      </c>
      <c r="BK111" s="8" t="str">
        <f>IF($B111="","",IF(COUNTIF('Competency Event Log'!$U$4:$U$803,$B111&amp;"|"&amp;BK$5)=0,"",SUMIF('Competency Event Log'!$U$4:$U$803,$B111&amp;"|"&amp;BK$5,'Competency Event Log'!$D$4:$D$803)))</f>
        <v/>
      </c>
      <c r="BL111" s="8" t="str">
        <f>IF($B111="","",IF(COUNTIF('Competency Event Log'!$U$4:$U$803,$B111&amp;"|"&amp;BL$5)=0,"",SUMIF('Competency Event Log'!$U$4:$U$803,$B111&amp;"|"&amp;BL$5,'Competency Event Log'!$D$4:$D$803)))</f>
        <v/>
      </c>
      <c r="BM111" s="8" t="str">
        <f>IF($B111="","",IF(COUNTIF('Competency Event Log'!$U$4:$U$803,$B111&amp;"|"&amp;BM$5)=0,"",SUMIF('Competency Event Log'!$U$4:$U$803,$B111&amp;"|"&amp;BM$5,'Competency Event Log'!$D$4:$D$803)))</f>
        <v/>
      </c>
      <c r="BN111" s="8" t="str">
        <f>IF($B111="","",IF(COUNTIF('Competency Event Log'!$U$4:$U$803,$B111&amp;"|"&amp;BN$5)=0,"",SUMIF('Competency Event Log'!$U$4:$U$803,$B111&amp;"|"&amp;BN$5,'Competency Event Log'!$D$4:$D$803)))</f>
        <v/>
      </c>
      <c r="BO111" s="8" t="str">
        <f>IF($B111="","",IF(COUNTIF('Competency Event Log'!$U$4:$U$803,$B111&amp;"|"&amp;BO$5)=0,"",SUMIF('Competency Event Log'!$U$4:$U$803,$B111&amp;"|"&amp;BO$5,'Competency Event Log'!$D$4:$D$803)))</f>
        <v/>
      </c>
      <c r="BP111" s="8" t="str">
        <f>IF($B111="","",IF(COUNTIF('Competency Event Log'!$U$4:$U$803,$B111&amp;"|"&amp;BP$5)=0,"",SUMIF('Competency Event Log'!$U$4:$U$803,$B111&amp;"|"&amp;BP$5,'Competency Event Log'!$D$4:$D$803)))</f>
        <v/>
      </c>
      <c r="BQ111" s="8" t="str">
        <f>IF($B111="","",IF(COUNTIF('Competency Event Log'!$U$4:$U$803,$B111&amp;"|"&amp;BQ$5)=0,"",SUMIF('Competency Event Log'!$U$4:$U$803,$B111&amp;"|"&amp;BQ$5,'Competency Event Log'!$D$4:$D$803)))</f>
        <v/>
      </c>
      <c r="BR111" s="8" t="str">
        <f>IF($B111="","",IF(COUNTIF('Competency Event Log'!$U$4:$U$803,$B111&amp;"|"&amp;BR$5)=0,"",SUMIF('Competency Event Log'!$U$4:$U$803,$B111&amp;"|"&amp;BR$5,'Competency Event Log'!$D$4:$D$803)))</f>
        <v/>
      </c>
      <c r="BS111" s="8" t="str">
        <f>IF($B111="","",IF(COUNTIF('Competency Event Log'!$U$4:$U$803,$B111&amp;"|"&amp;BS$5)=0,"",SUMIF('Competency Event Log'!$U$4:$U$803,$B111&amp;"|"&amp;BS$5,'Competency Event Log'!$D$4:$D$803)))</f>
        <v/>
      </c>
      <c r="BT111" s="8" t="str">
        <f>IF($B111="","",IF(COUNTIF('Competency Event Log'!$U$4:$U$803,$B111&amp;"|"&amp;BT$5)=0,"",SUMIF('Competency Event Log'!$U$4:$U$803,$B111&amp;"|"&amp;BT$5,'Competency Event Log'!$D$4:$D$803)))</f>
        <v/>
      </c>
      <c r="BU111" s="8" t="str">
        <f>IF($B111="","",IF(COUNTIF('Competency Event Log'!$U$4:$U$803,$B111&amp;"|"&amp;BU$5)=0,"",SUMIF('Competency Event Log'!$U$4:$U$803,$B111&amp;"|"&amp;BU$5,'Competency Event Log'!$D$4:$D$803)))</f>
        <v/>
      </c>
      <c r="BV111" s="8" t="str">
        <f>IF($B111="","",IF(COUNTIF('Competency Event Log'!$U$4:$U$803,$B111&amp;"|"&amp;BV$5)=0,"",SUMIF('Competency Event Log'!$U$4:$U$803,$B111&amp;"|"&amp;BV$5,'Competency Event Log'!$D$4:$D$803)))</f>
        <v/>
      </c>
      <c r="BW111" s="8" t="str">
        <f>IF($B111="","",IF(COUNTIF('Competency Event Log'!$U$4:$U$803,$B111&amp;"|"&amp;BW$5)=0,"",SUMIF('Competency Event Log'!$U$4:$U$803,$B111&amp;"|"&amp;BW$5,'Competency Event Log'!$D$4:$D$803)))</f>
        <v/>
      </c>
      <c r="BX111" s="8" t="str">
        <f>IF($B111="","",IF(COUNTIF('Competency Event Log'!$U$4:$U$803,$B111&amp;"|"&amp;BX$5)=0,"",SUMIF('Competency Event Log'!$U$4:$U$803,$B111&amp;"|"&amp;BX$5,'Competency Event Log'!$D$4:$D$803)))</f>
        <v/>
      </c>
      <c r="BY111" s="8" t="str">
        <f>IF($B111="","",IF(COUNTIF('Competency Event Log'!$U$4:$U$803,$B111&amp;"|"&amp;BY$5)=0,"",SUMIF('Competency Event Log'!$U$4:$U$803,$B111&amp;"|"&amp;BY$5,'Competency Event Log'!$D$4:$D$803)))</f>
        <v/>
      </c>
      <c r="BZ111" s="8" t="str">
        <f>IF($B111="","",IF(COUNTIF('Competency Event Log'!$U$4:$U$803,$B111&amp;"|"&amp;BZ$5)=0,"",SUMIF('Competency Event Log'!$U$4:$U$803,$B111&amp;"|"&amp;BZ$5,'Competency Event Log'!$D$4:$D$803)))</f>
        <v/>
      </c>
      <c r="CA111" s="8" t="str">
        <f>IF($B111="","",IF(COUNTIF('Competency Event Log'!$U$4:$U$803,$B111&amp;"|"&amp;CA$5)=0,"",SUMIF('Competency Event Log'!$U$4:$U$803,$B111&amp;"|"&amp;CA$5,'Competency Event Log'!$D$4:$D$803)))</f>
        <v/>
      </c>
      <c r="CB111" s="8" t="str">
        <f>IF($B111="","",IF(COUNTIF('Competency Event Log'!$U$4:$U$803,$B111&amp;"|"&amp;CB$5)=0,"",SUMIF('Competency Event Log'!$U$4:$U$803,$B111&amp;"|"&amp;CB$5,'Competency Event Log'!$D$4:$D$803)))</f>
        <v/>
      </c>
      <c r="CC111" s="8" t="str">
        <f>IF($B111="","",IF(COUNTIF('Competency Event Log'!$U$4:$U$803,$B111&amp;"|"&amp;CC$5)=0,"",SUMIF('Competency Event Log'!$U$4:$U$803,$B111&amp;"|"&amp;CC$5,'Competency Event Log'!$D$4:$D$803)))</f>
        <v/>
      </c>
      <c r="CD111" s="8" t="str">
        <f>IF($B111="","",IF(COUNTIF('Competency Event Log'!$U$4:$U$803,$B111&amp;"|"&amp;CD$5)=0,"",SUMIF('Competency Event Log'!$U$4:$U$803,$B111&amp;"|"&amp;CD$5,'Competency Event Log'!$D$4:$D$803)))</f>
        <v/>
      </c>
      <c r="CE111" s="8" t="str">
        <f>IF($B111="","",IF(COUNTIF('Competency Event Log'!$U$4:$U$803,$B111&amp;"|"&amp;CE$5)=0,"",SUMIF('Competency Event Log'!$U$4:$U$803,$B111&amp;"|"&amp;CE$5,'Competency Event Log'!$D$4:$D$803)))</f>
        <v/>
      </c>
      <c r="CF111" s="8" t="str">
        <f>IF($B111="","",IF(COUNTIF('Competency Event Log'!$U$4:$U$803,$B111&amp;"|"&amp;CF$5)=0,"",SUMIF('Competency Event Log'!$U$4:$U$803,$B111&amp;"|"&amp;CF$5,'Competency Event Log'!$D$4:$D$803)))</f>
        <v/>
      </c>
      <c r="CG111" s="8" t="str">
        <f>IF($B111="","",IF(COUNTIF('Competency Event Log'!$U$4:$U$803,$B111&amp;"|"&amp;CG$5)=0,"",SUMIF('Competency Event Log'!$U$4:$U$803,$B111&amp;"|"&amp;CG$5,'Competency Event Log'!$D$4:$D$803)))</f>
        <v/>
      </c>
      <c r="CH111" s="8" t="str">
        <f>IF($B111="","",IF(COUNTIF('Competency Event Log'!$U$4:$U$803,$B111&amp;"|"&amp;CH$5)=0,"",SUMIF('Competency Event Log'!$U$4:$U$803,$B111&amp;"|"&amp;CH$5,'Competency Event Log'!$D$4:$D$803)))</f>
        <v/>
      </c>
      <c r="CI111" s="8" t="str">
        <f>IF($B111="","",IF(COUNTIF('Competency Event Log'!$U$4:$U$803,$B111&amp;"|"&amp;CI$5)=0,"",SUMIF('Competency Event Log'!$U$4:$U$803,$B111&amp;"|"&amp;CI$5,'Competency Event Log'!$D$4:$D$803)))</f>
        <v/>
      </c>
      <c r="CJ111" s="8" t="str">
        <f>IF($B111="","",IF(COUNTIF('Competency Event Log'!$U$4:$U$803,$B111&amp;"|"&amp;CJ$5)=0,"",SUMIF('Competency Event Log'!$U$4:$U$803,$B111&amp;"|"&amp;CJ$5,'Competency Event Log'!$D$4:$D$803)))</f>
        <v/>
      </c>
      <c r="CK111" s="8" t="str">
        <f>IF($B111="","",IF(COUNTIF('Competency Event Log'!$U$4:$U$803,$B111&amp;"|"&amp;CK$5)=0,"",SUMIF('Competency Event Log'!$U$4:$U$803,$B111&amp;"|"&amp;CK$5,'Competency Event Log'!$D$4:$D$803)))</f>
        <v/>
      </c>
      <c r="CL111" s="8" t="str">
        <f>IF($B111="","",IF(COUNTIF('Competency Event Log'!$U$4:$U$803,$B111&amp;"|"&amp;CL$5)=0,"",SUMIF('Competency Event Log'!$U$4:$U$803,$B111&amp;"|"&amp;CL$5,'Competency Event Log'!$D$4:$D$803)))</f>
        <v/>
      </c>
      <c r="CM111" s="8" t="str">
        <f>IF($B111="","",IF(COUNTIF('Competency Event Log'!$U$4:$U$803,$B111&amp;"|"&amp;CM$5)=0,"",SUMIF('Competency Event Log'!$U$4:$U$803,$B111&amp;"|"&amp;CM$5,'Competency Event Log'!$D$4:$D$803)))</f>
        <v/>
      </c>
      <c r="CN111" s="8" t="str">
        <f>IF($B111="","",IF(COUNTIF('Competency Event Log'!$U$4:$U$803,$B111&amp;"|"&amp;CN$5)=0,"",SUMIF('Competency Event Log'!$U$4:$U$803,$B111&amp;"|"&amp;CN$5,'Competency Event Log'!$D$4:$D$803)))</f>
        <v/>
      </c>
      <c r="CO111" s="8" t="str">
        <f>IF($B111="","",IF(COUNTIF('Competency Event Log'!$U$4:$U$803,$B111&amp;"|"&amp;CO$5)=0,"",SUMIF('Competency Event Log'!$U$4:$U$803,$B111&amp;"|"&amp;CO$5,'Competency Event Log'!$D$4:$D$803)))</f>
        <v/>
      </c>
      <c r="CP111" s="8" t="str">
        <f>IF($B111="","",IF(COUNTIF('Competency Event Log'!$U$4:$U$803,$B111&amp;"|"&amp;CP$5)=0,"",SUMIF('Competency Event Log'!$U$4:$U$803,$B111&amp;"|"&amp;CP$5,'Competency Event Log'!$D$4:$D$803)))</f>
        <v/>
      </c>
      <c r="CQ111" s="8" t="str">
        <f>IF($B111="","",IF(COUNTIF('Competency Event Log'!$U$4:$U$803,$B111&amp;"|"&amp;CQ$5)=0,"",SUMIF('Competency Event Log'!$U$4:$U$803,$B111&amp;"|"&amp;CQ$5,'Competency Event Log'!$D$4:$D$803)))</f>
        <v/>
      </c>
      <c r="CR111" s="8" t="str">
        <f>IF($B111="","",IF(COUNTIF('Competency Event Log'!$U$4:$U$803,$B111&amp;"|"&amp;CR$5)=0,"",SUMIF('Competency Event Log'!$U$4:$U$803,$B111&amp;"|"&amp;CR$5,'Competency Event Log'!$D$4:$D$803)))</f>
        <v/>
      </c>
      <c r="CS111" s="8" t="str">
        <f>IF($B111="","",IF(COUNTIF('Competency Event Log'!$U$4:$U$803,$B111&amp;"|"&amp;CS$5)=0,"",SUMIF('Competency Event Log'!$U$4:$U$803,$B111&amp;"|"&amp;CS$5,'Competency Event Log'!$D$4:$D$803)))</f>
        <v/>
      </c>
      <c r="CT111" s="8" t="str">
        <f>IF($B111="","",IF(COUNTIF('Competency Event Log'!$U$4:$U$803,$B111&amp;"|"&amp;CT$5)=0,"",SUMIF('Competency Event Log'!$U$4:$U$803,$B111&amp;"|"&amp;CT$5,'Competency Event Log'!$D$4:$D$803)))</f>
        <v/>
      </c>
      <c r="CU111" s="8" t="str">
        <f>IF($B111="","",IF(COUNTIF('Competency Event Log'!$U$4:$U$803,$B111&amp;"|"&amp;CU$5)=0,"",SUMIF('Competency Event Log'!$U$4:$U$803,$B111&amp;"|"&amp;CU$5,'Competency Event Log'!$D$4:$D$803)))</f>
        <v/>
      </c>
      <c r="CV111" s="8" t="str">
        <f>IF($B111="","",IF(COUNTIF('Competency Event Log'!$U$4:$U$803,$B111&amp;"|"&amp;CV$5)=0,"",SUMIF('Competency Event Log'!$U$4:$U$803,$B111&amp;"|"&amp;CV$5,'Competency Event Log'!$D$4:$D$803)))</f>
        <v/>
      </c>
      <c r="CW111" s="8" t="str">
        <f>IF($B111="","",IF(COUNTIF('Competency Event Log'!$U$4:$U$803,$B111&amp;"|"&amp;CW$5)=0,"",SUMIF('Competency Event Log'!$U$4:$U$803,$B111&amp;"|"&amp;CW$5,'Competency Event Log'!$D$4:$D$803)))</f>
        <v/>
      </c>
      <c r="CX111" s="8" t="str">
        <f>IF($B111="","",IF(COUNTIF('Competency Event Log'!$U$4:$U$803,$B111&amp;"|"&amp;CX$5)=0,"",SUMIF('Competency Event Log'!$U$4:$U$803,$B111&amp;"|"&amp;CX$5,'Competency Event Log'!$D$4:$D$803)))</f>
        <v/>
      </c>
      <c r="CY111" s="8" t="str">
        <f>IF($B111="","",IF(COUNTIF('Competency Event Log'!$U$4:$U$803,$B111&amp;"|"&amp;CY$5)=0,"",SUMIF('Competency Event Log'!$U$4:$U$803,$B111&amp;"|"&amp;CY$5,'Competency Event Log'!$D$4:$D$803)))</f>
        <v/>
      </c>
      <c r="CZ111" s="8" t="str">
        <f>IF($B111="","",IF(COUNTIF('Competency Event Log'!$U$4:$U$803,$B111&amp;"|"&amp;CZ$5)=0,"",SUMIF('Competency Event Log'!$U$4:$U$803,$B111&amp;"|"&amp;CZ$5,'Competency Event Log'!$D$4:$D$803)))</f>
        <v/>
      </c>
      <c r="DA111" s="8" t="str">
        <f>IF($B111="","",IF(COUNTIF('Competency Event Log'!$U$4:$U$803,$B111&amp;"|"&amp;DA$5)=0,"",SUMIF('Competency Event Log'!$U$4:$U$803,$B111&amp;"|"&amp;DA$5,'Competency Event Log'!$D$4:$D$803)))</f>
        <v/>
      </c>
      <c r="DB111" s="8" t="str">
        <f>IF($B111="","",IF(COUNTIF('Competency Event Log'!$U$4:$U$803,$B111&amp;"|"&amp;DB$5)=0,"",SUMIF('Competency Event Log'!$U$4:$U$803,$B111&amp;"|"&amp;DB$5,'Competency Event Log'!$D$4:$D$803)))</f>
        <v/>
      </c>
      <c r="DC111" s="8" t="str">
        <f>IF($B111="","",IF(COUNTIF('Competency Event Log'!$U$4:$U$803,$B111&amp;"|"&amp;DC$5)=0,"",SUMIF('Competency Event Log'!$U$4:$U$803,$B111&amp;"|"&amp;DC$5,'Competency Event Log'!$D$4:$D$803)))</f>
        <v/>
      </c>
      <c r="DD111" s="8" t="str">
        <f>IF($B111="","",IF(COUNTIF('Competency Event Log'!$U$4:$U$803,$B111&amp;"|"&amp;DD$5)=0,"",SUMIF('Competency Event Log'!$U$4:$U$803,$B111&amp;"|"&amp;DD$5,'Competency Event Log'!$D$4:$D$803)))</f>
        <v/>
      </c>
      <c r="DE111" s="8" t="str">
        <f>IF($B111="","",IF(COUNTIF('Competency Event Log'!$U$4:$U$803,$B111&amp;"|"&amp;DE$5)=0,"",SUMIF('Competency Event Log'!$U$4:$U$803,$B111&amp;"|"&amp;DE$5,'Competency Event Log'!$D$4:$D$803)))</f>
        <v/>
      </c>
      <c r="DF111" s="8" t="str">
        <f t="shared" si="12"/>
        <v/>
      </c>
      <c r="DG111" s="8" t="str">
        <f t="shared" si="13"/>
        <v/>
      </c>
      <c r="DH111" s="8" t="str">
        <f t="shared" si="14"/>
        <v/>
      </c>
      <c r="DI111" s="11" t="str">
        <f t="shared" si="15"/>
        <v/>
      </c>
    </row>
    <row r="112" spans="1:113">
      <c r="A112" s="7"/>
      <c r="B112" s="7"/>
      <c r="C112" s="8"/>
      <c r="D112" s="9"/>
      <c r="E112" s="10"/>
      <c r="F112" s="8"/>
      <c r="G112" s="8" t="str">
        <f>IF($B112="","",IF(COUNTIF('Competency Event Log'!$U$4:$U$803,$B112&amp;"|"&amp;G$5)=0,"",SUMIF('Competency Event Log'!$U$4:$U$803,$B112&amp;"|"&amp;G$5,'Competency Event Log'!$D$4:$D$803)))</f>
        <v/>
      </c>
      <c r="H112" s="8" t="str">
        <f>IF($B112="","",IF(COUNTIF('Competency Event Log'!$U$4:$U$803,$B112&amp;"|"&amp;H$5)=0,"",SUMIF('Competency Event Log'!$U$4:$U$803,$B112&amp;"|"&amp;H$5,'Competency Event Log'!$D$4:$D$803)))</f>
        <v/>
      </c>
      <c r="I112" s="8" t="str">
        <f>IF($B112="","",IF(COUNTIF('Competency Event Log'!$U$4:$U$803,$B112&amp;"|"&amp;I$5)=0,"",SUMIF('Competency Event Log'!$U$4:$U$803,$B112&amp;"|"&amp;I$5,'Competency Event Log'!$D$4:$D$803)))</f>
        <v/>
      </c>
      <c r="J112" s="8" t="str">
        <f>IF($B112="","",IF(COUNTIF('Competency Event Log'!$U$4:$U$803,$B112&amp;"|"&amp;J$5)=0,"",SUMIF('Competency Event Log'!$U$4:$U$803,$B112&amp;"|"&amp;J$5,'Competency Event Log'!$D$4:$D$803)))</f>
        <v/>
      </c>
      <c r="K112" s="8" t="str">
        <f>IF($B112="","",IF(COUNTIF('Competency Event Log'!$U$4:$U$803,$B112&amp;"|"&amp;K$5)=0,"",SUMIF('Competency Event Log'!$U$4:$U$803,$B112&amp;"|"&amp;K$5,'Competency Event Log'!$D$4:$D$803)))</f>
        <v/>
      </c>
      <c r="L112" s="8" t="str">
        <f>IF($B112="","",IF(COUNTIF('Competency Event Log'!$U$4:$U$803,$B112&amp;"|"&amp;L$5)=0,"",SUMIF('Competency Event Log'!$U$4:$U$803,$B112&amp;"|"&amp;L$5,'Competency Event Log'!$D$4:$D$803)))</f>
        <v/>
      </c>
      <c r="M112" s="8" t="str">
        <f>IF($B112="","",IF(COUNTIF('Competency Event Log'!$U$4:$U$803,$B112&amp;"|"&amp;M$5)=0,"",SUMIF('Competency Event Log'!$U$4:$U$803,$B112&amp;"|"&amp;M$5,'Competency Event Log'!$D$4:$D$803)))</f>
        <v/>
      </c>
      <c r="N112" s="8" t="str">
        <f>IF($B112="","",IF(COUNTIF('Competency Event Log'!$U$4:$U$803,$B112&amp;"|"&amp;N$5)=0,"",SUMIF('Competency Event Log'!$U$4:$U$803,$B112&amp;"|"&amp;N$5,'Competency Event Log'!$D$4:$D$803)))</f>
        <v/>
      </c>
      <c r="O112" s="8" t="str">
        <f>IF($B112="","",IF(COUNTIF('Competency Event Log'!$U$4:$U$803,$B112&amp;"|"&amp;O$5)=0,"",SUMIF('Competency Event Log'!$U$4:$U$803,$B112&amp;"|"&amp;O$5,'Competency Event Log'!$D$4:$D$803)))</f>
        <v/>
      </c>
      <c r="P112" s="8" t="str">
        <f>IF($B112="","",IF(COUNTIF('Competency Event Log'!$U$4:$U$803,$B112&amp;"|"&amp;P$5)=0,"",SUMIF('Competency Event Log'!$U$4:$U$803,$B112&amp;"|"&amp;P$5,'Competency Event Log'!$D$4:$D$803)))</f>
        <v/>
      </c>
      <c r="Q112" s="8" t="str">
        <f>IF($B112="","",IF(COUNTIF('Competency Event Log'!$U$4:$U$803,$B112&amp;"|"&amp;Q$5)=0,"",SUMIF('Competency Event Log'!$U$4:$U$803,$B112&amp;"|"&amp;Q$5,'Competency Event Log'!$D$4:$D$803)))</f>
        <v/>
      </c>
      <c r="R112" s="8" t="str">
        <f>IF($B112="","",IF(COUNTIF('Competency Event Log'!$U$4:$U$803,$B112&amp;"|"&amp;R$5)=0,"",SUMIF('Competency Event Log'!$U$4:$U$803,$B112&amp;"|"&amp;R$5,'Competency Event Log'!$D$4:$D$803)))</f>
        <v/>
      </c>
      <c r="S112" s="8" t="str">
        <f>IF($B112="","",IF(COUNTIF('Competency Event Log'!$U$4:$U$803,$B112&amp;"|"&amp;S$5)=0,"",SUMIF('Competency Event Log'!$U$4:$U$803,$B112&amp;"|"&amp;S$5,'Competency Event Log'!$D$4:$D$803)))</f>
        <v/>
      </c>
      <c r="T112" s="8" t="str">
        <f>IF($B112="","",IF(COUNTIF('Competency Event Log'!$U$4:$U$803,$B112&amp;"|"&amp;T$5)=0,"",SUMIF('Competency Event Log'!$U$4:$U$803,$B112&amp;"|"&amp;T$5,'Competency Event Log'!$D$4:$D$803)))</f>
        <v/>
      </c>
      <c r="U112" s="8" t="str">
        <f>IF($B112="","",IF(COUNTIF('Competency Event Log'!$U$4:$U$803,$B112&amp;"|"&amp;U$5)=0,"",SUMIF('Competency Event Log'!$U$4:$U$803,$B112&amp;"|"&amp;U$5,'Competency Event Log'!$D$4:$D$803)))</f>
        <v/>
      </c>
      <c r="V112" s="8" t="str">
        <f>IF($B112="","",IF(COUNTIF('Competency Event Log'!$U$4:$U$803,$B112&amp;"|"&amp;V$5)=0,"",SUMIF('Competency Event Log'!$U$4:$U$803,$B112&amp;"|"&amp;V$5,'Competency Event Log'!$D$4:$D$803)))</f>
        <v/>
      </c>
      <c r="W112" s="8" t="str">
        <f>IF($B112="","",IF(COUNTIF('Competency Event Log'!$U$4:$U$803,$B112&amp;"|"&amp;W$5)=0,"",SUMIF('Competency Event Log'!$U$4:$U$803,$B112&amp;"|"&amp;W$5,'Competency Event Log'!$D$4:$D$803)))</f>
        <v/>
      </c>
      <c r="X112" s="8" t="str">
        <f>IF($B112="","",IF(COUNTIF('Competency Event Log'!$U$4:$U$803,$B112&amp;"|"&amp;X$5)=0,"",SUMIF('Competency Event Log'!$U$4:$U$803,$B112&amp;"|"&amp;X$5,'Competency Event Log'!$D$4:$D$803)))</f>
        <v/>
      </c>
      <c r="Y112" s="8" t="str">
        <f>IF($B112="","",IF(COUNTIF('Competency Event Log'!$U$4:$U$803,$B112&amp;"|"&amp;Y$5)=0,"",SUMIF('Competency Event Log'!$U$4:$U$803,$B112&amp;"|"&amp;Y$5,'Competency Event Log'!$D$4:$D$803)))</f>
        <v/>
      </c>
      <c r="Z112" s="8" t="str">
        <f>IF($B112="","",IF(COUNTIF('Competency Event Log'!$U$4:$U$803,$B112&amp;"|"&amp;Z$5)=0,"",SUMIF('Competency Event Log'!$U$4:$U$803,$B112&amp;"|"&amp;Z$5,'Competency Event Log'!$D$4:$D$803)))</f>
        <v/>
      </c>
      <c r="AA112" s="8" t="str">
        <f>IF($B112="","",IF(COUNTIF('Competency Event Log'!$U$4:$U$803,$B112&amp;"|"&amp;AA$5)=0,"",SUMIF('Competency Event Log'!$U$4:$U$803,$B112&amp;"|"&amp;AA$5,'Competency Event Log'!$D$4:$D$803)))</f>
        <v/>
      </c>
      <c r="AB112" s="8" t="str">
        <f>IF($B112="","",IF(COUNTIF('Competency Event Log'!$U$4:$U$803,$B112&amp;"|"&amp;AB$5)=0,"",SUMIF('Competency Event Log'!$U$4:$U$803,$B112&amp;"|"&amp;AB$5,'Competency Event Log'!$D$4:$D$803)))</f>
        <v/>
      </c>
      <c r="AC112" s="8" t="str">
        <f>IF($B112="","",IF(COUNTIF('Competency Event Log'!$U$4:$U$803,$B112&amp;"|"&amp;AC$5)=0,"",SUMIF('Competency Event Log'!$U$4:$U$803,$B112&amp;"|"&amp;AC$5,'Competency Event Log'!$D$4:$D$803)))</f>
        <v/>
      </c>
      <c r="AD112" s="8" t="str">
        <f>IF($B112="","",IF(COUNTIF('Competency Event Log'!$U$4:$U$803,$B112&amp;"|"&amp;AD$5)=0,"",SUMIF('Competency Event Log'!$U$4:$U$803,$B112&amp;"|"&amp;AD$5,'Competency Event Log'!$D$4:$D$803)))</f>
        <v/>
      </c>
      <c r="AE112" s="8" t="str">
        <f>IF($B112="","",IF(COUNTIF('Competency Event Log'!$U$4:$U$803,$B112&amp;"|"&amp;AE$5)=0,"",SUMIF('Competency Event Log'!$U$4:$U$803,$B112&amp;"|"&amp;AE$5,'Competency Event Log'!$D$4:$D$803)))</f>
        <v/>
      </c>
      <c r="AF112" s="8" t="str">
        <f>IF($B112="","",IF(COUNTIF('Competency Event Log'!$U$4:$U$803,$B112&amp;"|"&amp;AF$5)=0,"",SUMIF('Competency Event Log'!$U$4:$U$803,$B112&amp;"|"&amp;AF$5,'Competency Event Log'!$D$4:$D$803)))</f>
        <v/>
      </c>
      <c r="AG112" s="8" t="str">
        <f>IF($B112="","",IF(COUNTIF('Competency Event Log'!$U$4:$U$803,$B112&amp;"|"&amp;AG$5)=0,"",SUMIF('Competency Event Log'!$U$4:$U$803,$B112&amp;"|"&amp;AG$5,'Competency Event Log'!$D$4:$D$803)))</f>
        <v/>
      </c>
      <c r="AH112" s="8" t="str">
        <f>IF($B112="","",IF(COUNTIF('Competency Event Log'!$U$4:$U$803,$B112&amp;"|"&amp;AH$5)=0,"",SUMIF('Competency Event Log'!$U$4:$U$803,$B112&amp;"|"&amp;AH$5,'Competency Event Log'!$D$4:$D$803)))</f>
        <v/>
      </c>
      <c r="AI112" s="8" t="str">
        <f>IF($B112="","",IF(COUNTIF('Competency Event Log'!$U$4:$U$803,$B112&amp;"|"&amp;AI$5)=0,"",SUMIF('Competency Event Log'!$U$4:$U$803,$B112&amp;"|"&amp;AI$5,'Competency Event Log'!$D$4:$D$803)))</f>
        <v/>
      </c>
      <c r="AJ112" s="8" t="str">
        <f>IF($B112="","",IF(COUNTIF('Competency Event Log'!$U$4:$U$803,$B112&amp;"|"&amp;AJ$5)=0,"",SUMIF('Competency Event Log'!$U$4:$U$803,$B112&amp;"|"&amp;AJ$5,'Competency Event Log'!$D$4:$D$803)))</f>
        <v/>
      </c>
      <c r="AK112" s="8" t="str">
        <f>IF($B112="","",IF(COUNTIF('Competency Event Log'!$U$4:$U$803,$B112&amp;"|"&amp;AK$5)=0,"",SUMIF('Competency Event Log'!$U$4:$U$803,$B112&amp;"|"&amp;AK$5,'Competency Event Log'!$D$4:$D$803)))</f>
        <v/>
      </c>
      <c r="AL112" s="8" t="str">
        <f>IF($B112="","",IF(COUNTIF('Competency Event Log'!$U$4:$U$803,$B112&amp;"|"&amp;AL$5)=0,"",SUMIF('Competency Event Log'!$U$4:$U$803,$B112&amp;"|"&amp;AL$5,'Competency Event Log'!$D$4:$D$803)))</f>
        <v/>
      </c>
      <c r="AM112" s="8" t="str">
        <f>IF($B112="","",IF(COUNTIF('Competency Event Log'!$U$4:$U$803,$B112&amp;"|"&amp;AM$5)=0,"",SUMIF('Competency Event Log'!$U$4:$U$803,$B112&amp;"|"&amp;AM$5,'Competency Event Log'!$D$4:$D$803)))</f>
        <v/>
      </c>
      <c r="AN112" s="8" t="str">
        <f>IF($B112="","",IF(COUNTIF('Competency Event Log'!$U$4:$U$803,$B112&amp;"|"&amp;AN$5)=0,"",SUMIF('Competency Event Log'!$U$4:$U$803,$B112&amp;"|"&amp;AN$5,'Competency Event Log'!$D$4:$D$803)))</f>
        <v/>
      </c>
      <c r="AO112" s="8" t="str">
        <f>IF($B112="","",IF(COUNTIF('Competency Event Log'!$U$4:$U$803,$B112&amp;"|"&amp;AO$5)=0,"",SUMIF('Competency Event Log'!$U$4:$U$803,$B112&amp;"|"&amp;AO$5,'Competency Event Log'!$D$4:$D$803)))</f>
        <v/>
      </c>
      <c r="AP112" s="8" t="str">
        <f>IF($B112="","",IF(COUNTIF('Competency Event Log'!$U$4:$U$803,$B112&amp;"|"&amp;AP$5)=0,"",SUMIF('Competency Event Log'!$U$4:$U$803,$B112&amp;"|"&amp;AP$5,'Competency Event Log'!$D$4:$D$803)))</f>
        <v/>
      </c>
      <c r="AQ112" s="8" t="str">
        <f>IF($B112="","",IF(COUNTIF('Competency Event Log'!$U$4:$U$803,$B112&amp;"|"&amp;AQ$5)=0,"",SUMIF('Competency Event Log'!$U$4:$U$803,$B112&amp;"|"&amp;AQ$5,'Competency Event Log'!$D$4:$D$803)))</f>
        <v/>
      </c>
      <c r="AR112" s="8" t="str">
        <f>IF($B112="","",IF(COUNTIF('Competency Event Log'!$U$4:$U$803,$B112&amp;"|"&amp;AR$5)=0,"",SUMIF('Competency Event Log'!$U$4:$U$803,$B112&amp;"|"&amp;AR$5,'Competency Event Log'!$D$4:$D$803)))</f>
        <v/>
      </c>
      <c r="AS112" s="8" t="str">
        <f>IF($B112="","",IF(COUNTIF('Competency Event Log'!$U$4:$U$803,$B112&amp;"|"&amp;AS$5)=0,"",SUMIF('Competency Event Log'!$U$4:$U$803,$B112&amp;"|"&amp;AS$5,'Competency Event Log'!$D$4:$D$803)))</f>
        <v/>
      </c>
      <c r="AT112" s="8" t="str">
        <f>IF($B112="","",IF(COUNTIF('Competency Event Log'!$U$4:$U$803,$B112&amp;"|"&amp;AT$5)=0,"",SUMIF('Competency Event Log'!$U$4:$U$803,$B112&amp;"|"&amp;AT$5,'Competency Event Log'!$D$4:$D$803)))</f>
        <v/>
      </c>
      <c r="AU112" s="8" t="str">
        <f>IF($B112="","",IF(COUNTIF('Competency Event Log'!$U$4:$U$803,$B112&amp;"|"&amp;AU$5)=0,"",SUMIF('Competency Event Log'!$U$4:$U$803,$B112&amp;"|"&amp;AU$5,'Competency Event Log'!$D$4:$D$803)))</f>
        <v/>
      </c>
      <c r="AV112" s="8" t="str">
        <f>IF($B112="","",IF(COUNTIF('Competency Event Log'!$U$4:$U$803,$B112&amp;"|"&amp;AV$5)=0,"",SUMIF('Competency Event Log'!$U$4:$U$803,$B112&amp;"|"&amp;AV$5,'Competency Event Log'!$D$4:$D$803)))</f>
        <v/>
      </c>
      <c r="AW112" s="8" t="str">
        <f>IF($B112="","",IF(COUNTIF('Competency Event Log'!$U$4:$U$803,$B112&amp;"|"&amp;AW$5)=0,"",SUMIF('Competency Event Log'!$U$4:$U$803,$B112&amp;"|"&amp;AW$5,'Competency Event Log'!$D$4:$D$803)))</f>
        <v/>
      </c>
      <c r="AX112" s="8" t="str">
        <f>IF($B112="","",IF(COUNTIF('Competency Event Log'!$U$4:$U$803,$B112&amp;"|"&amp;AX$5)=0,"",SUMIF('Competency Event Log'!$U$4:$U$803,$B112&amp;"|"&amp;AX$5,'Competency Event Log'!$D$4:$D$803)))</f>
        <v/>
      </c>
      <c r="AY112" s="8" t="str">
        <f>IF($B112="","",IF(COUNTIF('Competency Event Log'!$U$4:$U$803,$B112&amp;"|"&amp;AY$5)=0,"",SUMIF('Competency Event Log'!$U$4:$U$803,$B112&amp;"|"&amp;AY$5,'Competency Event Log'!$D$4:$D$803)))</f>
        <v/>
      </c>
      <c r="AZ112" s="8" t="str">
        <f>IF($B112="","",IF(COUNTIF('Competency Event Log'!$U$4:$U$803,$B112&amp;"|"&amp;AZ$5)=0,"",SUMIF('Competency Event Log'!$U$4:$U$803,$B112&amp;"|"&amp;AZ$5,'Competency Event Log'!$D$4:$D$803)))</f>
        <v/>
      </c>
      <c r="BA112" s="8" t="str">
        <f>IF($B112="","",IF(COUNTIF('Competency Event Log'!$U$4:$U$803,$B112&amp;"|"&amp;BA$5)=0,"",SUMIF('Competency Event Log'!$U$4:$U$803,$B112&amp;"|"&amp;BA$5,'Competency Event Log'!$D$4:$D$803)))</f>
        <v/>
      </c>
      <c r="BB112" s="8" t="str">
        <f>IF($B112="","",IF(COUNTIF('Competency Event Log'!$U$4:$U$803,$B112&amp;"|"&amp;BB$5)=0,"",SUMIF('Competency Event Log'!$U$4:$U$803,$B112&amp;"|"&amp;BB$5,'Competency Event Log'!$D$4:$D$803)))</f>
        <v/>
      </c>
      <c r="BC112" s="8" t="str">
        <f>IF($B112="","",IF(COUNTIF('Competency Event Log'!$U$4:$U$803,$B112&amp;"|"&amp;BC$5)=0,"",SUMIF('Competency Event Log'!$U$4:$U$803,$B112&amp;"|"&amp;BC$5,'Competency Event Log'!$D$4:$D$803)))</f>
        <v/>
      </c>
      <c r="BD112" s="8" t="str">
        <f>IF($B112="","",IF(COUNTIF('Competency Event Log'!$U$4:$U$803,$B112&amp;"|"&amp;BD$5)=0,"",SUMIF('Competency Event Log'!$U$4:$U$803,$B112&amp;"|"&amp;BD$5,'Competency Event Log'!$D$4:$D$803)))</f>
        <v/>
      </c>
      <c r="BE112" s="8" t="str">
        <f>IF($B112="","",IF(COUNTIF('Competency Event Log'!$U$4:$U$803,$B112&amp;"|"&amp;BE$5)=0,"",SUMIF('Competency Event Log'!$U$4:$U$803,$B112&amp;"|"&amp;BE$5,'Competency Event Log'!$D$4:$D$803)))</f>
        <v/>
      </c>
      <c r="BF112" s="8" t="str">
        <f>IF($B112="","",IF(COUNTIF('Competency Event Log'!$U$4:$U$803,$B112&amp;"|"&amp;BF$5)=0,"",SUMIF('Competency Event Log'!$U$4:$U$803,$B112&amp;"|"&amp;BF$5,'Competency Event Log'!$D$4:$D$803)))</f>
        <v/>
      </c>
      <c r="BG112" s="8" t="str">
        <f>IF($B112="","",IF(COUNTIF('Competency Event Log'!$U$4:$U$803,$B112&amp;"|"&amp;BG$5)=0,"",SUMIF('Competency Event Log'!$U$4:$U$803,$B112&amp;"|"&amp;BG$5,'Competency Event Log'!$D$4:$D$803)))</f>
        <v/>
      </c>
      <c r="BH112" s="8" t="str">
        <f>IF($B112="","",IF(COUNTIF('Competency Event Log'!$U$4:$U$803,$B112&amp;"|"&amp;BH$5)=0,"",SUMIF('Competency Event Log'!$U$4:$U$803,$B112&amp;"|"&amp;BH$5,'Competency Event Log'!$D$4:$D$803)))</f>
        <v/>
      </c>
      <c r="BI112" s="8" t="str">
        <f>IF($B112="","",IF(COUNTIF('Competency Event Log'!$U$4:$U$803,$B112&amp;"|"&amp;BI$5)=0,"",SUMIF('Competency Event Log'!$U$4:$U$803,$B112&amp;"|"&amp;BI$5,'Competency Event Log'!$D$4:$D$803)))</f>
        <v/>
      </c>
      <c r="BJ112" s="8" t="str">
        <f>IF($B112="","",IF(COUNTIF('Competency Event Log'!$U$4:$U$803,$B112&amp;"|"&amp;BJ$5)=0,"",SUMIF('Competency Event Log'!$U$4:$U$803,$B112&amp;"|"&amp;BJ$5,'Competency Event Log'!$D$4:$D$803)))</f>
        <v/>
      </c>
      <c r="BK112" s="8" t="str">
        <f>IF($B112="","",IF(COUNTIF('Competency Event Log'!$U$4:$U$803,$B112&amp;"|"&amp;BK$5)=0,"",SUMIF('Competency Event Log'!$U$4:$U$803,$B112&amp;"|"&amp;BK$5,'Competency Event Log'!$D$4:$D$803)))</f>
        <v/>
      </c>
      <c r="BL112" s="8" t="str">
        <f>IF($B112="","",IF(COUNTIF('Competency Event Log'!$U$4:$U$803,$B112&amp;"|"&amp;BL$5)=0,"",SUMIF('Competency Event Log'!$U$4:$U$803,$B112&amp;"|"&amp;BL$5,'Competency Event Log'!$D$4:$D$803)))</f>
        <v/>
      </c>
      <c r="BM112" s="8" t="str">
        <f>IF($B112="","",IF(COUNTIF('Competency Event Log'!$U$4:$U$803,$B112&amp;"|"&amp;BM$5)=0,"",SUMIF('Competency Event Log'!$U$4:$U$803,$B112&amp;"|"&amp;BM$5,'Competency Event Log'!$D$4:$D$803)))</f>
        <v/>
      </c>
      <c r="BN112" s="8" t="str">
        <f>IF($B112="","",IF(COUNTIF('Competency Event Log'!$U$4:$U$803,$B112&amp;"|"&amp;BN$5)=0,"",SUMIF('Competency Event Log'!$U$4:$U$803,$B112&amp;"|"&amp;BN$5,'Competency Event Log'!$D$4:$D$803)))</f>
        <v/>
      </c>
      <c r="BO112" s="8" t="str">
        <f>IF($B112="","",IF(COUNTIF('Competency Event Log'!$U$4:$U$803,$B112&amp;"|"&amp;BO$5)=0,"",SUMIF('Competency Event Log'!$U$4:$U$803,$B112&amp;"|"&amp;BO$5,'Competency Event Log'!$D$4:$D$803)))</f>
        <v/>
      </c>
      <c r="BP112" s="8" t="str">
        <f>IF($B112="","",IF(COUNTIF('Competency Event Log'!$U$4:$U$803,$B112&amp;"|"&amp;BP$5)=0,"",SUMIF('Competency Event Log'!$U$4:$U$803,$B112&amp;"|"&amp;BP$5,'Competency Event Log'!$D$4:$D$803)))</f>
        <v/>
      </c>
      <c r="BQ112" s="8" t="str">
        <f>IF($B112="","",IF(COUNTIF('Competency Event Log'!$U$4:$U$803,$B112&amp;"|"&amp;BQ$5)=0,"",SUMIF('Competency Event Log'!$U$4:$U$803,$B112&amp;"|"&amp;BQ$5,'Competency Event Log'!$D$4:$D$803)))</f>
        <v/>
      </c>
      <c r="BR112" s="8" t="str">
        <f>IF($B112="","",IF(COUNTIF('Competency Event Log'!$U$4:$U$803,$B112&amp;"|"&amp;BR$5)=0,"",SUMIF('Competency Event Log'!$U$4:$U$803,$B112&amp;"|"&amp;BR$5,'Competency Event Log'!$D$4:$D$803)))</f>
        <v/>
      </c>
      <c r="BS112" s="8" t="str">
        <f>IF($B112="","",IF(COUNTIF('Competency Event Log'!$U$4:$U$803,$B112&amp;"|"&amp;BS$5)=0,"",SUMIF('Competency Event Log'!$U$4:$U$803,$B112&amp;"|"&amp;BS$5,'Competency Event Log'!$D$4:$D$803)))</f>
        <v/>
      </c>
      <c r="BT112" s="8" t="str">
        <f>IF($B112="","",IF(COUNTIF('Competency Event Log'!$U$4:$U$803,$B112&amp;"|"&amp;BT$5)=0,"",SUMIF('Competency Event Log'!$U$4:$U$803,$B112&amp;"|"&amp;BT$5,'Competency Event Log'!$D$4:$D$803)))</f>
        <v/>
      </c>
      <c r="BU112" s="8" t="str">
        <f>IF($B112="","",IF(COUNTIF('Competency Event Log'!$U$4:$U$803,$B112&amp;"|"&amp;BU$5)=0,"",SUMIF('Competency Event Log'!$U$4:$U$803,$B112&amp;"|"&amp;BU$5,'Competency Event Log'!$D$4:$D$803)))</f>
        <v/>
      </c>
      <c r="BV112" s="8" t="str">
        <f>IF($B112="","",IF(COUNTIF('Competency Event Log'!$U$4:$U$803,$B112&amp;"|"&amp;BV$5)=0,"",SUMIF('Competency Event Log'!$U$4:$U$803,$B112&amp;"|"&amp;BV$5,'Competency Event Log'!$D$4:$D$803)))</f>
        <v/>
      </c>
      <c r="BW112" s="8" t="str">
        <f>IF($B112="","",IF(COUNTIF('Competency Event Log'!$U$4:$U$803,$B112&amp;"|"&amp;BW$5)=0,"",SUMIF('Competency Event Log'!$U$4:$U$803,$B112&amp;"|"&amp;BW$5,'Competency Event Log'!$D$4:$D$803)))</f>
        <v/>
      </c>
      <c r="BX112" s="8" t="str">
        <f>IF($B112="","",IF(COUNTIF('Competency Event Log'!$U$4:$U$803,$B112&amp;"|"&amp;BX$5)=0,"",SUMIF('Competency Event Log'!$U$4:$U$803,$B112&amp;"|"&amp;BX$5,'Competency Event Log'!$D$4:$D$803)))</f>
        <v/>
      </c>
      <c r="BY112" s="8" t="str">
        <f>IF($B112="","",IF(COUNTIF('Competency Event Log'!$U$4:$U$803,$B112&amp;"|"&amp;BY$5)=0,"",SUMIF('Competency Event Log'!$U$4:$U$803,$B112&amp;"|"&amp;BY$5,'Competency Event Log'!$D$4:$D$803)))</f>
        <v/>
      </c>
      <c r="BZ112" s="8" t="str">
        <f>IF($B112="","",IF(COUNTIF('Competency Event Log'!$U$4:$U$803,$B112&amp;"|"&amp;BZ$5)=0,"",SUMIF('Competency Event Log'!$U$4:$U$803,$B112&amp;"|"&amp;BZ$5,'Competency Event Log'!$D$4:$D$803)))</f>
        <v/>
      </c>
      <c r="CA112" s="8" t="str">
        <f>IF($B112="","",IF(COUNTIF('Competency Event Log'!$U$4:$U$803,$B112&amp;"|"&amp;CA$5)=0,"",SUMIF('Competency Event Log'!$U$4:$U$803,$B112&amp;"|"&amp;CA$5,'Competency Event Log'!$D$4:$D$803)))</f>
        <v/>
      </c>
      <c r="CB112" s="8" t="str">
        <f>IF($B112="","",IF(COUNTIF('Competency Event Log'!$U$4:$U$803,$B112&amp;"|"&amp;CB$5)=0,"",SUMIF('Competency Event Log'!$U$4:$U$803,$B112&amp;"|"&amp;CB$5,'Competency Event Log'!$D$4:$D$803)))</f>
        <v/>
      </c>
      <c r="CC112" s="8" t="str">
        <f>IF($B112="","",IF(COUNTIF('Competency Event Log'!$U$4:$U$803,$B112&amp;"|"&amp;CC$5)=0,"",SUMIF('Competency Event Log'!$U$4:$U$803,$B112&amp;"|"&amp;CC$5,'Competency Event Log'!$D$4:$D$803)))</f>
        <v/>
      </c>
      <c r="CD112" s="8" t="str">
        <f>IF($B112="","",IF(COUNTIF('Competency Event Log'!$U$4:$U$803,$B112&amp;"|"&amp;CD$5)=0,"",SUMIF('Competency Event Log'!$U$4:$U$803,$B112&amp;"|"&amp;CD$5,'Competency Event Log'!$D$4:$D$803)))</f>
        <v/>
      </c>
      <c r="CE112" s="8" t="str">
        <f>IF($B112="","",IF(COUNTIF('Competency Event Log'!$U$4:$U$803,$B112&amp;"|"&amp;CE$5)=0,"",SUMIF('Competency Event Log'!$U$4:$U$803,$B112&amp;"|"&amp;CE$5,'Competency Event Log'!$D$4:$D$803)))</f>
        <v/>
      </c>
      <c r="CF112" s="8" t="str">
        <f>IF($B112="","",IF(COUNTIF('Competency Event Log'!$U$4:$U$803,$B112&amp;"|"&amp;CF$5)=0,"",SUMIF('Competency Event Log'!$U$4:$U$803,$B112&amp;"|"&amp;CF$5,'Competency Event Log'!$D$4:$D$803)))</f>
        <v/>
      </c>
      <c r="CG112" s="8" t="str">
        <f>IF($B112="","",IF(COUNTIF('Competency Event Log'!$U$4:$U$803,$B112&amp;"|"&amp;CG$5)=0,"",SUMIF('Competency Event Log'!$U$4:$U$803,$B112&amp;"|"&amp;CG$5,'Competency Event Log'!$D$4:$D$803)))</f>
        <v/>
      </c>
      <c r="CH112" s="8" t="str">
        <f>IF($B112="","",IF(COUNTIF('Competency Event Log'!$U$4:$U$803,$B112&amp;"|"&amp;CH$5)=0,"",SUMIF('Competency Event Log'!$U$4:$U$803,$B112&amp;"|"&amp;CH$5,'Competency Event Log'!$D$4:$D$803)))</f>
        <v/>
      </c>
      <c r="CI112" s="8" t="str">
        <f>IF($B112="","",IF(COUNTIF('Competency Event Log'!$U$4:$U$803,$B112&amp;"|"&amp;CI$5)=0,"",SUMIF('Competency Event Log'!$U$4:$U$803,$B112&amp;"|"&amp;CI$5,'Competency Event Log'!$D$4:$D$803)))</f>
        <v/>
      </c>
      <c r="CJ112" s="8" t="str">
        <f>IF($B112="","",IF(COUNTIF('Competency Event Log'!$U$4:$U$803,$B112&amp;"|"&amp;CJ$5)=0,"",SUMIF('Competency Event Log'!$U$4:$U$803,$B112&amp;"|"&amp;CJ$5,'Competency Event Log'!$D$4:$D$803)))</f>
        <v/>
      </c>
      <c r="CK112" s="8" t="str">
        <f>IF($B112="","",IF(COUNTIF('Competency Event Log'!$U$4:$U$803,$B112&amp;"|"&amp;CK$5)=0,"",SUMIF('Competency Event Log'!$U$4:$U$803,$B112&amp;"|"&amp;CK$5,'Competency Event Log'!$D$4:$D$803)))</f>
        <v/>
      </c>
      <c r="CL112" s="8" t="str">
        <f>IF($B112="","",IF(COUNTIF('Competency Event Log'!$U$4:$U$803,$B112&amp;"|"&amp;CL$5)=0,"",SUMIF('Competency Event Log'!$U$4:$U$803,$B112&amp;"|"&amp;CL$5,'Competency Event Log'!$D$4:$D$803)))</f>
        <v/>
      </c>
      <c r="CM112" s="8" t="str">
        <f>IF($B112="","",IF(COUNTIF('Competency Event Log'!$U$4:$U$803,$B112&amp;"|"&amp;CM$5)=0,"",SUMIF('Competency Event Log'!$U$4:$U$803,$B112&amp;"|"&amp;CM$5,'Competency Event Log'!$D$4:$D$803)))</f>
        <v/>
      </c>
      <c r="CN112" s="8" t="str">
        <f>IF($B112="","",IF(COUNTIF('Competency Event Log'!$U$4:$U$803,$B112&amp;"|"&amp;CN$5)=0,"",SUMIF('Competency Event Log'!$U$4:$U$803,$B112&amp;"|"&amp;CN$5,'Competency Event Log'!$D$4:$D$803)))</f>
        <v/>
      </c>
      <c r="CO112" s="8" t="str">
        <f>IF($B112="","",IF(COUNTIF('Competency Event Log'!$U$4:$U$803,$B112&amp;"|"&amp;CO$5)=0,"",SUMIF('Competency Event Log'!$U$4:$U$803,$B112&amp;"|"&amp;CO$5,'Competency Event Log'!$D$4:$D$803)))</f>
        <v/>
      </c>
      <c r="CP112" s="8" t="str">
        <f>IF($B112="","",IF(COUNTIF('Competency Event Log'!$U$4:$U$803,$B112&amp;"|"&amp;CP$5)=0,"",SUMIF('Competency Event Log'!$U$4:$U$803,$B112&amp;"|"&amp;CP$5,'Competency Event Log'!$D$4:$D$803)))</f>
        <v/>
      </c>
      <c r="CQ112" s="8" t="str">
        <f>IF($B112="","",IF(COUNTIF('Competency Event Log'!$U$4:$U$803,$B112&amp;"|"&amp;CQ$5)=0,"",SUMIF('Competency Event Log'!$U$4:$U$803,$B112&amp;"|"&amp;CQ$5,'Competency Event Log'!$D$4:$D$803)))</f>
        <v/>
      </c>
      <c r="CR112" s="8" t="str">
        <f>IF($B112="","",IF(COUNTIF('Competency Event Log'!$U$4:$U$803,$B112&amp;"|"&amp;CR$5)=0,"",SUMIF('Competency Event Log'!$U$4:$U$803,$B112&amp;"|"&amp;CR$5,'Competency Event Log'!$D$4:$D$803)))</f>
        <v/>
      </c>
      <c r="CS112" s="8" t="str">
        <f>IF($B112="","",IF(COUNTIF('Competency Event Log'!$U$4:$U$803,$B112&amp;"|"&amp;CS$5)=0,"",SUMIF('Competency Event Log'!$U$4:$U$803,$B112&amp;"|"&amp;CS$5,'Competency Event Log'!$D$4:$D$803)))</f>
        <v/>
      </c>
      <c r="CT112" s="8" t="str">
        <f>IF($B112="","",IF(COUNTIF('Competency Event Log'!$U$4:$U$803,$B112&amp;"|"&amp;CT$5)=0,"",SUMIF('Competency Event Log'!$U$4:$U$803,$B112&amp;"|"&amp;CT$5,'Competency Event Log'!$D$4:$D$803)))</f>
        <v/>
      </c>
      <c r="CU112" s="8" t="str">
        <f>IF($B112="","",IF(COUNTIF('Competency Event Log'!$U$4:$U$803,$B112&amp;"|"&amp;CU$5)=0,"",SUMIF('Competency Event Log'!$U$4:$U$803,$B112&amp;"|"&amp;CU$5,'Competency Event Log'!$D$4:$D$803)))</f>
        <v/>
      </c>
      <c r="CV112" s="8" t="str">
        <f>IF($B112="","",IF(COUNTIF('Competency Event Log'!$U$4:$U$803,$B112&amp;"|"&amp;CV$5)=0,"",SUMIF('Competency Event Log'!$U$4:$U$803,$B112&amp;"|"&amp;CV$5,'Competency Event Log'!$D$4:$D$803)))</f>
        <v/>
      </c>
      <c r="CW112" s="8" t="str">
        <f>IF($B112="","",IF(COUNTIF('Competency Event Log'!$U$4:$U$803,$B112&amp;"|"&amp;CW$5)=0,"",SUMIF('Competency Event Log'!$U$4:$U$803,$B112&amp;"|"&amp;CW$5,'Competency Event Log'!$D$4:$D$803)))</f>
        <v/>
      </c>
      <c r="CX112" s="8" t="str">
        <f>IF($B112="","",IF(COUNTIF('Competency Event Log'!$U$4:$U$803,$B112&amp;"|"&amp;CX$5)=0,"",SUMIF('Competency Event Log'!$U$4:$U$803,$B112&amp;"|"&amp;CX$5,'Competency Event Log'!$D$4:$D$803)))</f>
        <v/>
      </c>
      <c r="CY112" s="8" t="str">
        <f>IF($B112="","",IF(COUNTIF('Competency Event Log'!$U$4:$U$803,$B112&amp;"|"&amp;CY$5)=0,"",SUMIF('Competency Event Log'!$U$4:$U$803,$B112&amp;"|"&amp;CY$5,'Competency Event Log'!$D$4:$D$803)))</f>
        <v/>
      </c>
      <c r="CZ112" s="8" t="str">
        <f>IF($B112="","",IF(COUNTIF('Competency Event Log'!$U$4:$U$803,$B112&amp;"|"&amp;CZ$5)=0,"",SUMIF('Competency Event Log'!$U$4:$U$803,$B112&amp;"|"&amp;CZ$5,'Competency Event Log'!$D$4:$D$803)))</f>
        <v/>
      </c>
      <c r="DA112" s="8" t="str">
        <f>IF($B112="","",IF(COUNTIF('Competency Event Log'!$U$4:$U$803,$B112&amp;"|"&amp;DA$5)=0,"",SUMIF('Competency Event Log'!$U$4:$U$803,$B112&amp;"|"&amp;DA$5,'Competency Event Log'!$D$4:$D$803)))</f>
        <v/>
      </c>
      <c r="DB112" s="8" t="str">
        <f>IF($B112="","",IF(COUNTIF('Competency Event Log'!$U$4:$U$803,$B112&amp;"|"&amp;DB$5)=0,"",SUMIF('Competency Event Log'!$U$4:$U$803,$B112&amp;"|"&amp;DB$5,'Competency Event Log'!$D$4:$D$803)))</f>
        <v/>
      </c>
      <c r="DC112" s="8" t="str">
        <f>IF($B112="","",IF(COUNTIF('Competency Event Log'!$U$4:$U$803,$B112&amp;"|"&amp;DC$5)=0,"",SUMIF('Competency Event Log'!$U$4:$U$803,$B112&amp;"|"&amp;DC$5,'Competency Event Log'!$D$4:$D$803)))</f>
        <v/>
      </c>
      <c r="DD112" s="8" t="str">
        <f>IF($B112="","",IF(COUNTIF('Competency Event Log'!$U$4:$U$803,$B112&amp;"|"&amp;DD$5)=0,"",SUMIF('Competency Event Log'!$U$4:$U$803,$B112&amp;"|"&amp;DD$5,'Competency Event Log'!$D$4:$D$803)))</f>
        <v/>
      </c>
      <c r="DE112" s="8" t="str">
        <f>IF($B112="","",IF(COUNTIF('Competency Event Log'!$U$4:$U$803,$B112&amp;"|"&amp;DE$5)=0,"",SUMIF('Competency Event Log'!$U$4:$U$803,$B112&amp;"|"&amp;DE$5,'Competency Event Log'!$D$4:$D$803)))</f>
        <v/>
      </c>
      <c r="DF112" s="8" t="str">
        <f t="shared" si="12"/>
        <v/>
      </c>
      <c r="DG112" s="8" t="str">
        <f t="shared" si="13"/>
        <v/>
      </c>
      <c r="DH112" s="8" t="str">
        <f t="shared" si="14"/>
        <v/>
      </c>
      <c r="DI112" s="11" t="str">
        <f t="shared" si="15"/>
        <v/>
      </c>
    </row>
    <row r="113" spans="1:113">
      <c r="A113" s="7"/>
      <c r="B113" s="7"/>
      <c r="C113" s="8"/>
      <c r="D113" s="9"/>
      <c r="E113" s="10"/>
      <c r="F113" s="8"/>
      <c r="G113" s="8" t="str">
        <f>IF($B113="","",IF(COUNTIF('Competency Event Log'!$U$4:$U$803,$B113&amp;"|"&amp;G$5)=0,"",SUMIF('Competency Event Log'!$U$4:$U$803,$B113&amp;"|"&amp;G$5,'Competency Event Log'!$D$4:$D$803)))</f>
        <v/>
      </c>
      <c r="H113" s="8" t="str">
        <f>IF($B113="","",IF(COUNTIF('Competency Event Log'!$U$4:$U$803,$B113&amp;"|"&amp;H$5)=0,"",SUMIF('Competency Event Log'!$U$4:$U$803,$B113&amp;"|"&amp;H$5,'Competency Event Log'!$D$4:$D$803)))</f>
        <v/>
      </c>
      <c r="I113" s="8" t="str">
        <f>IF($B113="","",IF(COUNTIF('Competency Event Log'!$U$4:$U$803,$B113&amp;"|"&amp;I$5)=0,"",SUMIF('Competency Event Log'!$U$4:$U$803,$B113&amp;"|"&amp;I$5,'Competency Event Log'!$D$4:$D$803)))</f>
        <v/>
      </c>
      <c r="J113" s="8" t="str">
        <f>IF($B113="","",IF(COUNTIF('Competency Event Log'!$U$4:$U$803,$B113&amp;"|"&amp;J$5)=0,"",SUMIF('Competency Event Log'!$U$4:$U$803,$B113&amp;"|"&amp;J$5,'Competency Event Log'!$D$4:$D$803)))</f>
        <v/>
      </c>
      <c r="K113" s="8" t="str">
        <f>IF($B113="","",IF(COUNTIF('Competency Event Log'!$U$4:$U$803,$B113&amp;"|"&amp;K$5)=0,"",SUMIF('Competency Event Log'!$U$4:$U$803,$B113&amp;"|"&amp;K$5,'Competency Event Log'!$D$4:$D$803)))</f>
        <v/>
      </c>
      <c r="L113" s="8" t="str">
        <f>IF($B113="","",IF(COUNTIF('Competency Event Log'!$U$4:$U$803,$B113&amp;"|"&amp;L$5)=0,"",SUMIF('Competency Event Log'!$U$4:$U$803,$B113&amp;"|"&amp;L$5,'Competency Event Log'!$D$4:$D$803)))</f>
        <v/>
      </c>
      <c r="M113" s="8" t="str">
        <f>IF($B113="","",IF(COUNTIF('Competency Event Log'!$U$4:$U$803,$B113&amp;"|"&amp;M$5)=0,"",SUMIF('Competency Event Log'!$U$4:$U$803,$B113&amp;"|"&amp;M$5,'Competency Event Log'!$D$4:$D$803)))</f>
        <v/>
      </c>
      <c r="N113" s="8" t="str">
        <f>IF($B113="","",IF(COUNTIF('Competency Event Log'!$U$4:$U$803,$B113&amp;"|"&amp;N$5)=0,"",SUMIF('Competency Event Log'!$U$4:$U$803,$B113&amp;"|"&amp;N$5,'Competency Event Log'!$D$4:$D$803)))</f>
        <v/>
      </c>
      <c r="O113" s="8" t="str">
        <f>IF($B113="","",IF(COUNTIF('Competency Event Log'!$U$4:$U$803,$B113&amp;"|"&amp;O$5)=0,"",SUMIF('Competency Event Log'!$U$4:$U$803,$B113&amp;"|"&amp;O$5,'Competency Event Log'!$D$4:$D$803)))</f>
        <v/>
      </c>
      <c r="P113" s="8" t="str">
        <f>IF($B113="","",IF(COUNTIF('Competency Event Log'!$U$4:$U$803,$B113&amp;"|"&amp;P$5)=0,"",SUMIF('Competency Event Log'!$U$4:$U$803,$B113&amp;"|"&amp;P$5,'Competency Event Log'!$D$4:$D$803)))</f>
        <v/>
      </c>
      <c r="Q113" s="8" t="str">
        <f>IF($B113="","",IF(COUNTIF('Competency Event Log'!$U$4:$U$803,$B113&amp;"|"&amp;Q$5)=0,"",SUMIF('Competency Event Log'!$U$4:$U$803,$B113&amp;"|"&amp;Q$5,'Competency Event Log'!$D$4:$D$803)))</f>
        <v/>
      </c>
      <c r="R113" s="8" t="str">
        <f>IF($B113="","",IF(COUNTIF('Competency Event Log'!$U$4:$U$803,$B113&amp;"|"&amp;R$5)=0,"",SUMIF('Competency Event Log'!$U$4:$U$803,$B113&amp;"|"&amp;R$5,'Competency Event Log'!$D$4:$D$803)))</f>
        <v/>
      </c>
      <c r="S113" s="8" t="str">
        <f>IF($B113="","",IF(COUNTIF('Competency Event Log'!$U$4:$U$803,$B113&amp;"|"&amp;S$5)=0,"",SUMIF('Competency Event Log'!$U$4:$U$803,$B113&amp;"|"&amp;S$5,'Competency Event Log'!$D$4:$D$803)))</f>
        <v/>
      </c>
      <c r="T113" s="8" t="str">
        <f>IF($B113="","",IF(COUNTIF('Competency Event Log'!$U$4:$U$803,$B113&amp;"|"&amp;T$5)=0,"",SUMIF('Competency Event Log'!$U$4:$U$803,$B113&amp;"|"&amp;T$5,'Competency Event Log'!$D$4:$D$803)))</f>
        <v/>
      </c>
      <c r="U113" s="8" t="str">
        <f>IF($B113="","",IF(COUNTIF('Competency Event Log'!$U$4:$U$803,$B113&amp;"|"&amp;U$5)=0,"",SUMIF('Competency Event Log'!$U$4:$U$803,$B113&amp;"|"&amp;U$5,'Competency Event Log'!$D$4:$D$803)))</f>
        <v/>
      </c>
      <c r="V113" s="8" t="str">
        <f>IF($B113="","",IF(COUNTIF('Competency Event Log'!$U$4:$U$803,$B113&amp;"|"&amp;V$5)=0,"",SUMIF('Competency Event Log'!$U$4:$U$803,$B113&amp;"|"&amp;V$5,'Competency Event Log'!$D$4:$D$803)))</f>
        <v/>
      </c>
      <c r="W113" s="8" t="str">
        <f>IF($B113="","",IF(COUNTIF('Competency Event Log'!$U$4:$U$803,$B113&amp;"|"&amp;W$5)=0,"",SUMIF('Competency Event Log'!$U$4:$U$803,$B113&amp;"|"&amp;W$5,'Competency Event Log'!$D$4:$D$803)))</f>
        <v/>
      </c>
      <c r="X113" s="8" t="str">
        <f>IF($B113="","",IF(COUNTIF('Competency Event Log'!$U$4:$U$803,$B113&amp;"|"&amp;X$5)=0,"",SUMIF('Competency Event Log'!$U$4:$U$803,$B113&amp;"|"&amp;X$5,'Competency Event Log'!$D$4:$D$803)))</f>
        <v/>
      </c>
      <c r="Y113" s="8" t="str">
        <f>IF($B113="","",IF(COUNTIF('Competency Event Log'!$U$4:$U$803,$B113&amp;"|"&amp;Y$5)=0,"",SUMIF('Competency Event Log'!$U$4:$U$803,$B113&amp;"|"&amp;Y$5,'Competency Event Log'!$D$4:$D$803)))</f>
        <v/>
      </c>
      <c r="Z113" s="8" t="str">
        <f>IF($B113="","",IF(COUNTIF('Competency Event Log'!$U$4:$U$803,$B113&amp;"|"&amp;Z$5)=0,"",SUMIF('Competency Event Log'!$U$4:$U$803,$B113&amp;"|"&amp;Z$5,'Competency Event Log'!$D$4:$D$803)))</f>
        <v/>
      </c>
      <c r="AA113" s="8" t="str">
        <f>IF($B113="","",IF(COUNTIF('Competency Event Log'!$U$4:$U$803,$B113&amp;"|"&amp;AA$5)=0,"",SUMIF('Competency Event Log'!$U$4:$U$803,$B113&amp;"|"&amp;AA$5,'Competency Event Log'!$D$4:$D$803)))</f>
        <v/>
      </c>
      <c r="AB113" s="8" t="str">
        <f>IF($B113="","",IF(COUNTIF('Competency Event Log'!$U$4:$U$803,$B113&amp;"|"&amp;AB$5)=0,"",SUMIF('Competency Event Log'!$U$4:$U$803,$B113&amp;"|"&amp;AB$5,'Competency Event Log'!$D$4:$D$803)))</f>
        <v/>
      </c>
      <c r="AC113" s="8" t="str">
        <f>IF($B113="","",IF(COUNTIF('Competency Event Log'!$U$4:$U$803,$B113&amp;"|"&amp;AC$5)=0,"",SUMIF('Competency Event Log'!$U$4:$U$803,$B113&amp;"|"&amp;AC$5,'Competency Event Log'!$D$4:$D$803)))</f>
        <v/>
      </c>
      <c r="AD113" s="8" t="str">
        <f>IF($B113="","",IF(COUNTIF('Competency Event Log'!$U$4:$U$803,$B113&amp;"|"&amp;AD$5)=0,"",SUMIF('Competency Event Log'!$U$4:$U$803,$B113&amp;"|"&amp;AD$5,'Competency Event Log'!$D$4:$D$803)))</f>
        <v/>
      </c>
      <c r="AE113" s="8" t="str">
        <f>IF($B113="","",IF(COUNTIF('Competency Event Log'!$U$4:$U$803,$B113&amp;"|"&amp;AE$5)=0,"",SUMIF('Competency Event Log'!$U$4:$U$803,$B113&amp;"|"&amp;AE$5,'Competency Event Log'!$D$4:$D$803)))</f>
        <v/>
      </c>
      <c r="AF113" s="8" t="str">
        <f>IF($B113="","",IF(COUNTIF('Competency Event Log'!$U$4:$U$803,$B113&amp;"|"&amp;AF$5)=0,"",SUMIF('Competency Event Log'!$U$4:$U$803,$B113&amp;"|"&amp;AF$5,'Competency Event Log'!$D$4:$D$803)))</f>
        <v/>
      </c>
      <c r="AG113" s="8" t="str">
        <f>IF($B113="","",IF(COUNTIF('Competency Event Log'!$U$4:$U$803,$B113&amp;"|"&amp;AG$5)=0,"",SUMIF('Competency Event Log'!$U$4:$U$803,$B113&amp;"|"&amp;AG$5,'Competency Event Log'!$D$4:$D$803)))</f>
        <v/>
      </c>
      <c r="AH113" s="8" t="str">
        <f>IF($B113="","",IF(COUNTIF('Competency Event Log'!$U$4:$U$803,$B113&amp;"|"&amp;AH$5)=0,"",SUMIF('Competency Event Log'!$U$4:$U$803,$B113&amp;"|"&amp;AH$5,'Competency Event Log'!$D$4:$D$803)))</f>
        <v/>
      </c>
      <c r="AI113" s="8" t="str">
        <f>IF($B113="","",IF(COUNTIF('Competency Event Log'!$U$4:$U$803,$B113&amp;"|"&amp;AI$5)=0,"",SUMIF('Competency Event Log'!$U$4:$U$803,$B113&amp;"|"&amp;AI$5,'Competency Event Log'!$D$4:$D$803)))</f>
        <v/>
      </c>
      <c r="AJ113" s="8" t="str">
        <f>IF($B113="","",IF(COUNTIF('Competency Event Log'!$U$4:$U$803,$B113&amp;"|"&amp;AJ$5)=0,"",SUMIF('Competency Event Log'!$U$4:$U$803,$B113&amp;"|"&amp;AJ$5,'Competency Event Log'!$D$4:$D$803)))</f>
        <v/>
      </c>
      <c r="AK113" s="8" t="str">
        <f>IF($B113="","",IF(COUNTIF('Competency Event Log'!$U$4:$U$803,$B113&amp;"|"&amp;AK$5)=0,"",SUMIF('Competency Event Log'!$U$4:$U$803,$B113&amp;"|"&amp;AK$5,'Competency Event Log'!$D$4:$D$803)))</f>
        <v/>
      </c>
      <c r="AL113" s="8" t="str">
        <f>IF($B113="","",IF(COUNTIF('Competency Event Log'!$U$4:$U$803,$B113&amp;"|"&amp;AL$5)=0,"",SUMIF('Competency Event Log'!$U$4:$U$803,$B113&amp;"|"&amp;AL$5,'Competency Event Log'!$D$4:$D$803)))</f>
        <v/>
      </c>
      <c r="AM113" s="8" t="str">
        <f>IF($B113="","",IF(COUNTIF('Competency Event Log'!$U$4:$U$803,$B113&amp;"|"&amp;AM$5)=0,"",SUMIF('Competency Event Log'!$U$4:$U$803,$B113&amp;"|"&amp;AM$5,'Competency Event Log'!$D$4:$D$803)))</f>
        <v/>
      </c>
      <c r="AN113" s="8" t="str">
        <f>IF($B113="","",IF(COUNTIF('Competency Event Log'!$U$4:$U$803,$B113&amp;"|"&amp;AN$5)=0,"",SUMIF('Competency Event Log'!$U$4:$U$803,$B113&amp;"|"&amp;AN$5,'Competency Event Log'!$D$4:$D$803)))</f>
        <v/>
      </c>
      <c r="AO113" s="8" t="str">
        <f>IF($B113="","",IF(COUNTIF('Competency Event Log'!$U$4:$U$803,$B113&amp;"|"&amp;AO$5)=0,"",SUMIF('Competency Event Log'!$U$4:$U$803,$B113&amp;"|"&amp;AO$5,'Competency Event Log'!$D$4:$D$803)))</f>
        <v/>
      </c>
      <c r="AP113" s="8" t="str">
        <f>IF($B113="","",IF(COUNTIF('Competency Event Log'!$U$4:$U$803,$B113&amp;"|"&amp;AP$5)=0,"",SUMIF('Competency Event Log'!$U$4:$U$803,$B113&amp;"|"&amp;AP$5,'Competency Event Log'!$D$4:$D$803)))</f>
        <v/>
      </c>
      <c r="AQ113" s="8" t="str">
        <f>IF($B113="","",IF(COUNTIF('Competency Event Log'!$U$4:$U$803,$B113&amp;"|"&amp;AQ$5)=0,"",SUMIF('Competency Event Log'!$U$4:$U$803,$B113&amp;"|"&amp;AQ$5,'Competency Event Log'!$D$4:$D$803)))</f>
        <v/>
      </c>
      <c r="AR113" s="8" t="str">
        <f>IF($B113="","",IF(COUNTIF('Competency Event Log'!$U$4:$U$803,$B113&amp;"|"&amp;AR$5)=0,"",SUMIF('Competency Event Log'!$U$4:$U$803,$B113&amp;"|"&amp;AR$5,'Competency Event Log'!$D$4:$D$803)))</f>
        <v/>
      </c>
      <c r="AS113" s="8" t="str">
        <f>IF($B113="","",IF(COUNTIF('Competency Event Log'!$U$4:$U$803,$B113&amp;"|"&amp;AS$5)=0,"",SUMIF('Competency Event Log'!$U$4:$U$803,$B113&amp;"|"&amp;AS$5,'Competency Event Log'!$D$4:$D$803)))</f>
        <v/>
      </c>
      <c r="AT113" s="8" t="str">
        <f>IF($B113="","",IF(COUNTIF('Competency Event Log'!$U$4:$U$803,$B113&amp;"|"&amp;AT$5)=0,"",SUMIF('Competency Event Log'!$U$4:$U$803,$B113&amp;"|"&amp;AT$5,'Competency Event Log'!$D$4:$D$803)))</f>
        <v/>
      </c>
      <c r="AU113" s="8" t="str">
        <f>IF($B113="","",IF(COUNTIF('Competency Event Log'!$U$4:$U$803,$B113&amp;"|"&amp;AU$5)=0,"",SUMIF('Competency Event Log'!$U$4:$U$803,$B113&amp;"|"&amp;AU$5,'Competency Event Log'!$D$4:$D$803)))</f>
        <v/>
      </c>
      <c r="AV113" s="8" t="str">
        <f>IF($B113="","",IF(COUNTIF('Competency Event Log'!$U$4:$U$803,$B113&amp;"|"&amp;AV$5)=0,"",SUMIF('Competency Event Log'!$U$4:$U$803,$B113&amp;"|"&amp;AV$5,'Competency Event Log'!$D$4:$D$803)))</f>
        <v/>
      </c>
      <c r="AW113" s="8" t="str">
        <f>IF($B113="","",IF(COUNTIF('Competency Event Log'!$U$4:$U$803,$B113&amp;"|"&amp;AW$5)=0,"",SUMIF('Competency Event Log'!$U$4:$U$803,$B113&amp;"|"&amp;AW$5,'Competency Event Log'!$D$4:$D$803)))</f>
        <v/>
      </c>
      <c r="AX113" s="8" t="str">
        <f>IF($B113="","",IF(COUNTIF('Competency Event Log'!$U$4:$U$803,$B113&amp;"|"&amp;AX$5)=0,"",SUMIF('Competency Event Log'!$U$4:$U$803,$B113&amp;"|"&amp;AX$5,'Competency Event Log'!$D$4:$D$803)))</f>
        <v/>
      </c>
      <c r="AY113" s="8" t="str">
        <f>IF($B113="","",IF(COUNTIF('Competency Event Log'!$U$4:$U$803,$B113&amp;"|"&amp;AY$5)=0,"",SUMIF('Competency Event Log'!$U$4:$U$803,$B113&amp;"|"&amp;AY$5,'Competency Event Log'!$D$4:$D$803)))</f>
        <v/>
      </c>
      <c r="AZ113" s="8" t="str">
        <f>IF($B113="","",IF(COUNTIF('Competency Event Log'!$U$4:$U$803,$B113&amp;"|"&amp;AZ$5)=0,"",SUMIF('Competency Event Log'!$U$4:$U$803,$B113&amp;"|"&amp;AZ$5,'Competency Event Log'!$D$4:$D$803)))</f>
        <v/>
      </c>
      <c r="BA113" s="8" t="str">
        <f>IF($B113="","",IF(COUNTIF('Competency Event Log'!$U$4:$U$803,$B113&amp;"|"&amp;BA$5)=0,"",SUMIF('Competency Event Log'!$U$4:$U$803,$B113&amp;"|"&amp;BA$5,'Competency Event Log'!$D$4:$D$803)))</f>
        <v/>
      </c>
      <c r="BB113" s="8" t="str">
        <f>IF($B113="","",IF(COUNTIF('Competency Event Log'!$U$4:$U$803,$B113&amp;"|"&amp;BB$5)=0,"",SUMIF('Competency Event Log'!$U$4:$U$803,$B113&amp;"|"&amp;BB$5,'Competency Event Log'!$D$4:$D$803)))</f>
        <v/>
      </c>
      <c r="BC113" s="8" t="str">
        <f>IF($B113="","",IF(COUNTIF('Competency Event Log'!$U$4:$U$803,$B113&amp;"|"&amp;BC$5)=0,"",SUMIF('Competency Event Log'!$U$4:$U$803,$B113&amp;"|"&amp;BC$5,'Competency Event Log'!$D$4:$D$803)))</f>
        <v/>
      </c>
      <c r="BD113" s="8" t="str">
        <f>IF($B113="","",IF(COUNTIF('Competency Event Log'!$U$4:$U$803,$B113&amp;"|"&amp;BD$5)=0,"",SUMIF('Competency Event Log'!$U$4:$U$803,$B113&amp;"|"&amp;BD$5,'Competency Event Log'!$D$4:$D$803)))</f>
        <v/>
      </c>
      <c r="BE113" s="8" t="str">
        <f>IF($B113="","",IF(COUNTIF('Competency Event Log'!$U$4:$U$803,$B113&amp;"|"&amp;BE$5)=0,"",SUMIF('Competency Event Log'!$U$4:$U$803,$B113&amp;"|"&amp;BE$5,'Competency Event Log'!$D$4:$D$803)))</f>
        <v/>
      </c>
      <c r="BF113" s="8" t="str">
        <f>IF($B113="","",IF(COUNTIF('Competency Event Log'!$U$4:$U$803,$B113&amp;"|"&amp;BF$5)=0,"",SUMIF('Competency Event Log'!$U$4:$U$803,$B113&amp;"|"&amp;BF$5,'Competency Event Log'!$D$4:$D$803)))</f>
        <v/>
      </c>
      <c r="BG113" s="8" t="str">
        <f>IF($B113="","",IF(COUNTIF('Competency Event Log'!$U$4:$U$803,$B113&amp;"|"&amp;BG$5)=0,"",SUMIF('Competency Event Log'!$U$4:$U$803,$B113&amp;"|"&amp;BG$5,'Competency Event Log'!$D$4:$D$803)))</f>
        <v/>
      </c>
      <c r="BH113" s="8" t="str">
        <f>IF($B113="","",IF(COUNTIF('Competency Event Log'!$U$4:$U$803,$B113&amp;"|"&amp;BH$5)=0,"",SUMIF('Competency Event Log'!$U$4:$U$803,$B113&amp;"|"&amp;BH$5,'Competency Event Log'!$D$4:$D$803)))</f>
        <v/>
      </c>
      <c r="BI113" s="8" t="str">
        <f>IF($B113="","",IF(COUNTIF('Competency Event Log'!$U$4:$U$803,$B113&amp;"|"&amp;BI$5)=0,"",SUMIF('Competency Event Log'!$U$4:$U$803,$B113&amp;"|"&amp;BI$5,'Competency Event Log'!$D$4:$D$803)))</f>
        <v/>
      </c>
      <c r="BJ113" s="8" t="str">
        <f>IF($B113="","",IF(COUNTIF('Competency Event Log'!$U$4:$U$803,$B113&amp;"|"&amp;BJ$5)=0,"",SUMIF('Competency Event Log'!$U$4:$U$803,$B113&amp;"|"&amp;BJ$5,'Competency Event Log'!$D$4:$D$803)))</f>
        <v/>
      </c>
      <c r="BK113" s="8" t="str">
        <f>IF($B113="","",IF(COUNTIF('Competency Event Log'!$U$4:$U$803,$B113&amp;"|"&amp;BK$5)=0,"",SUMIF('Competency Event Log'!$U$4:$U$803,$B113&amp;"|"&amp;BK$5,'Competency Event Log'!$D$4:$D$803)))</f>
        <v/>
      </c>
      <c r="BL113" s="8" t="str">
        <f>IF($B113="","",IF(COUNTIF('Competency Event Log'!$U$4:$U$803,$B113&amp;"|"&amp;BL$5)=0,"",SUMIF('Competency Event Log'!$U$4:$U$803,$B113&amp;"|"&amp;BL$5,'Competency Event Log'!$D$4:$D$803)))</f>
        <v/>
      </c>
      <c r="BM113" s="8" t="str">
        <f>IF($B113="","",IF(COUNTIF('Competency Event Log'!$U$4:$U$803,$B113&amp;"|"&amp;BM$5)=0,"",SUMIF('Competency Event Log'!$U$4:$U$803,$B113&amp;"|"&amp;BM$5,'Competency Event Log'!$D$4:$D$803)))</f>
        <v/>
      </c>
      <c r="BN113" s="8" t="str">
        <f>IF($B113="","",IF(COUNTIF('Competency Event Log'!$U$4:$U$803,$B113&amp;"|"&amp;BN$5)=0,"",SUMIF('Competency Event Log'!$U$4:$U$803,$B113&amp;"|"&amp;BN$5,'Competency Event Log'!$D$4:$D$803)))</f>
        <v/>
      </c>
      <c r="BO113" s="8" t="str">
        <f>IF($B113="","",IF(COUNTIF('Competency Event Log'!$U$4:$U$803,$B113&amp;"|"&amp;BO$5)=0,"",SUMIF('Competency Event Log'!$U$4:$U$803,$B113&amp;"|"&amp;BO$5,'Competency Event Log'!$D$4:$D$803)))</f>
        <v/>
      </c>
      <c r="BP113" s="8" t="str">
        <f>IF($B113="","",IF(COUNTIF('Competency Event Log'!$U$4:$U$803,$B113&amp;"|"&amp;BP$5)=0,"",SUMIF('Competency Event Log'!$U$4:$U$803,$B113&amp;"|"&amp;BP$5,'Competency Event Log'!$D$4:$D$803)))</f>
        <v/>
      </c>
      <c r="BQ113" s="8" t="str">
        <f>IF($B113="","",IF(COUNTIF('Competency Event Log'!$U$4:$U$803,$B113&amp;"|"&amp;BQ$5)=0,"",SUMIF('Competency Event Log'!$U$4:$U$803,$B113&amp;"|"&amp;BQ$5,'Competency Event Log'!$D$4:$D$803)))</f>
        <v/>
      </c>
      <c r="BR113" s="8" t="str">
        <f>IF($B113="","",IF(COUNTIF('Competency Event Log'!$U$4:$U$803,$B113&amp;"|"&amp;BR$5)=0,"",SUMIF('Competency Event Log'!$U$4:$U$803,$B113&amp;"|"&amp;BR$5,'Competency Event Log'!$D$4:$D$803)))</f>
        <v/>
      </c>
      <c r="BS113" s="8" t="str">
        <f>IF($B113="","",IF(COUNTIF('Competency Event Log'!$U$4:$U$803,$B113&amp;"|"&amp;BS$5)=0,"",SUMIF('Competency Event Log'!$U$4:$U$803,$B113&amp;"|"&amp;BS$5,'Competency Event Log'!$D$4:$D$803)))</f>
        <v/>
      </c>
      <c r="BT113" s="8" t="str">
        <f>IF($B113="","",IF(COUNTIF('Competency Event Log'!$U$4:$U$803,$B113&amp;"|"&amp;BT$5)=0,"",SUMIF('Competency Event Log'!$U$4:$U$803,$B113&amp;"|"&amp;BT$5,'Competency Event Log'!$D$4:$D$803)))</f>
        <v/>
      </c>
      <c r="BU113" s="8" t="str">
        <f>IF($B113="","",IF(COUNTIF('Competency Event Log'!$U$4:$U$803,$B113&amp;"|"&amp;BU$5)=0,"",SUMIF('Competency Event Log'!$U$4:$U$803,$B113&amp;"|"&amp;BU$5,'Competency Event Log'!$D$4:$D$803)))</f>
        <v/>
      </c>
      <c r="BV113" s="8" t="str">
        <f>IF($B113="","",IF(COUNTIF('Competency Event Log'!$U$4:$U$803,$B113&amp;"|"&amp;BV$5)=0,"",SUMIF('Competency Event Log'!$U$4:$U$803,$B113&amp;"|"&amp;BV$5,'Competency Event Log'!$D$4:$D$803)))</f>
        <v/>
      </c>
      <c r="BW113" s="8" t="str">
        <f>IF($B113="","",IF(COUNTIF('Competency Event Log'!$U$4:$U$803,$B113&amp;"|"&amp;BW$5)=0,"",SUMIF('Competency Event Log'!$U$4:$U$803,$B113&amp;"|"&amp;BW$5,'Competency Event Log'!$D$4:$D$803)))</f>
        <v/>
      </c>
      <c r="BX113" s="8" t="str">
        <f>IF($B113="","",IF(COUNTIF('Competency Event Log'!$U$4:$U$803,$B113&amp;"|"&amp;BX$5)=0,"",SUMIF('Competency Event Log'!$U$4:$U$803,$B113&amp;"|"&amp;BX$5,'Competency Event Log'!$D$4:$D$803)))</f>
        <v/>
      </c>
      <c r="BY113" s="8" t="str">
        <f>IF($B113="","",IF(COUNTIF('Competency Event Log'!$U$4:$U$803,$B113&amp;"|"&amp;BY$5)=0,"",SUMIF('Competency Event Log'!$U$4:$U$803,$B113&amp;"|"&amp;BY$5,'Competency Event Log'!$D$4:$D$803)))</f>
        <v/>
      </c>
      <c r="BZ113" s="8" t="str">
        <f>IF($B113="","",IF(COUNTIF('Competency Event Log'!$U$4:$U$803,$B113&amp;"|"&amp;BZ$5)=0,"",SUMIF('Competency Event Log'!$U$4:$U$803,$B113&amp;"|"&amp;BZ$5,'Competency Event Log'!$D$4:$D$803)))</f>
        <v/>
      </c>
      <c r="CA113" s="8" t="str">
        <f>IF($B113="","",IF(COUNTIF('Competency Event Log'!$U$4:$U$803,$B113&amp;"|"&amp;CA$5)=0,"",SUMIF('Competency Event Log'!$U$4:$U$803,$B113&amp;"|"&amp;CA$5,'Competency Event Log'!$D$4:$D$803)))</f>
        <v/>
      </c>
      <c r="CB113" s="8" t="str">
        <f>IF($B113="","",IF(COUNTIF('Competency Event Log'!$U$4:$U$803,$B113&amp;"|"&amp;CB$5)=0,"",SUMIF('Competency Event Log'!$U$4:$U$803,$B113&amp;"|"&amp;CB$5,'Competency Event Log'!$D$4:$D$803)))</f>
        <v/>
      </c>
      <c r="CC113" s="8" t="str">
        <f>IF($B113="","",IF(COUNTIF('Competency Event Log'!$U$4:$U$803,$B113&amp;"|"&amp;CC$5)=0,"",SUMIF('Competency Event Log'!$U$4:$U$803,$B113&amp;"|"&amp;CC$5,'Competency Event Log'!$D$4:$D$803)))</f>
        <v/>
      </c>
      <c r="CD113" s="8" t="str">
        <f>IF($B113="","",IF(COUNTIF('Competency Event Log'!$U$4:$U$803,$B113&amp;"|"&amp;CD$5)=0,"",SUMIF('Competency Event Log'!$U$4:$U$803,$B113&amp;"|"&amp;CD$5,'Competency Event Log'!$D$4:$D$803)))</f>
        <v/>
      </c>
      <c r="CE113" s="8" t="str">
        <f>IF($B113="","",IF(COUNTIF('Competency Event Log'!$U$4:$U$803,$B113&amp;"|"&amp;CE$5)=0,"",SUMIF('Competency Event Log'!$U$4:$U$803,$B113&amp;"|"&amp;CE$5,'Competency Event Log'!$D$4:$D$803)))</f>
        <v/>
      </c>
      <c r="CF113" s="8" t="str">
        <f>IF($B113="","",IF(COUNTIF('Competency Event Log'!$U$4:$U$803,$B113&amp;"|"&amp;CF$5)=0,"",SUMIF('Competency Event Log'!$U$4:$U$803,$B113&amp;"|"&amp;CF$5,'Competency Event Log'!$D$4:$D$803)))</f>
        <v/>
      </c>
      <c r="CG113" s="8" t="str">
        <f>IF($B113="","",IF(COUNTIF('Competency Event Log'!$U$4:$U$803,$B113&amp;"|"&amp;CG$5)=0,"",SUMIF('Competency Event Log'!$U$4:$U$803,$B113&amp;"|"&amp;CG$5,'Competency Event Log'!$D$4:$D$803)))</f>
        <v/>
      </c>
      <c r="CH113" s="8" t="str">
        <f>IF($B113="","",IF(COUNTIF('Competency Event Log'!$U$4:$U$803,$B113&amp;"|"&amp;CH$5)=0,"",SUMIF('Competency Event Log'!$U$4:$U$803,$B113&amp;"|"&amp;CH$5,'Competency Event Log'!$D$4:$D$803)))</f>
        <v/>
      </c>
      <c r="CI113" s="8" t="str">
        <f>IF($B113="","",IF(COUNTIF('Competency Event Log'!$U$4:$U$803,$B113&amp;"|"&amp;CI$5)=0,"",SUMIF('Competency Event Log'!$U$4:$U$803,$B113&amp;"|"&amp;CI$5,'Competency Event Log'!$D$4:$D$803)))</f>
        <v/>
      </c>
      <c r="CJ113" s="8" t="str">
        <f>IF($B113="","",IF(COUNTIF('Competency Event Log'!$U$4:$U$803,$B113&amp;"|"&amp;CJ$5)=0,"",SUMIF('Competency Event Log'!$U$4:$U$803,$B113&amp;"|"&amp;CJ$5,'Competency Event Log'!$D$4:$D$803)))</f>
        <v/>
      </c>
      <c r="CK113" s="8" t="str">
        <f>IF($B113="","",IF(COUNTIF('Competency Event Log'!$U$4:$U$803,$B113&amp;"|"&amp;CK$5)=0,"",SUMIF('Competency Event Log'!$U$4:$U$803,$B113&amp;"|"&amp;CK$5,'Competency Event Log'!$D$4:$D$803)))</f>
        <v/>
      </c>
      <c r="CL113" s="8" t="str">
        <f>IF($B113="","",IF(COUNTIF('Competency Event Log'!$U$4:$U$803,$B113&amp;"|"&amp;CL$5)=0,"",SUMIF('Competency Event Log'!$U$4:$U$803,$B113&amp;"|"&amp;CL$5,'Competency Event Log'!$D$4:$D$803)))</f>
        <v/>
      </c>
      <c r="CM113" s="8" t="str">
        <f>IF($B113="","",IF(COUNTIF('Competency Event Log'!$U$4:$U$803,$B113&amp;"|"&amp;CM$5)=0,"",SUMIF('Competency Event Log'!$U$4:$U$803,$B113&amp;"|"&amp;CM$5,'Competency Event Log'!$D$4:$D$803)))</f>
        <v/>
      </c>
      <c r="CN113" s="8" t="str">
        <f>IF($B113="","",IF(COUNTIF('Competency Event Log'!$U$4:$U$803,$B113&amp;"|"&amp;CN$5)=0,"",SUMIF('Competency Event Log'!$U$4:$U$803,$B113&amp;"|"&amp;CN$5,'Competency Event Log'!$D$4:$D$803)))</f>
        <v/>
      </c>
      <c r="CO113" s="8" t="str">
        <f>IF($B113="","",IF(COUNTIF('Competency Event Log'!$U$4:$U$803,$B113&amp;"|"&amp;CO$5)=0,"",SUMIF('Competency Event Log'!$U$4:$U$803,$B113&amp;"|"&amp;CO$5,'Competency Event Log'!$D$4:$D$803)))</f>
        <v/>
      </c>
      <c r="CP113" s="8" t="str">
        <f>IF($B113="","",IF(COUNTIF('Competency Event Log'!$U$4:$U$803,$B113&amp;"|"&amp;CP$5)=0,"",SUMIF('Competency Event Log'!$U$4:$U$803,$B113&amp;"|"&amp;CP$5,'Competency Event Log'!$D$4:$D$803)))</f>
        <v/>
      </c>
      <c r="CQ113" s="8" t="str">
        <f>IF($B113="","",IF(COUNTIF('Competency Event Log'!$U$4:$U$803,$B113&amp;"|"&amp;CQ$5)=0,"",SUMIF('Competency Event Log'!$U$4:$U$803,$B113&amp;"|"&amp;CQ$5,'Competency Event Log'!$D$4:$D$803)))</f>
        <v/>
      </c>
      <c r="CR113" s="8" t="str">
        <f>IF($B113="","",IF(COUNTIF('Competency Event Log'!$U$4:$U$803,$B113&amp;"|"&amp;CR$5)=0,"",SUMIF('Competency Event Log'!$U$4:$U$803,$B113&amp;"|"&amp;CR$5,'Competency Event Log'!$D$4:$D$803)))</f>
        <v/>
      </c>
      <c r="CS113" s="8" t="str">
        <f>IF($B113="","",IF(COUNTIF('Competency Event Log'!$U$4:$U$803,$B113&amp;"|"&amp;CS$5)=0,"",SUMIF('Competency Event Log'!$U$4:$U$803,$B113&amp;"|"&amp;CS$5,'Competency Event Log'!$D$4:$D$803)))</f>
        <v/>
      </c>
      <c r="CT113" s="8" t="str">
        <f>IF($B113="","",IF(COUNTIF('Competency Event Log'!$U$4:$U$803,$B113&amp;"|"&amp;CT$5)=0,"",SUMIF('Competency Event Log'!$U$4:$U$803,$B113&amp;"|"&amp;CT$5,'Competency Event Log'!$D$4:$D$803)))</f>
        <v/>
      </c>
      <c r="CU113" s="8" t="str">
        <f>IF($B113="","",IF(COUNTIF('Competency Event Log'!$U$4:$U$803,$B113&amp;"|"&amp;CU$5)=0,"",SUMIF('Competency Event Log'!$U$4:$U$803,$B113&amp;"|"&amp;CU$5,'Competency Event Log'!$D$4:$D$803)))</f>
        <v/>
      </c>
      <c r="CV113" s="8" t="str">
        <f>IF($B113="","",IF(COUNTIF('Competency Event Log'!$U$4:$U$803,$B113&amp;"|"&amp;CV$5)=0,"",SUMIF('Competency Event Log'!$U$4:$U$803,$B113&amp;"|"&amp;CV$5,'Competency Event Log'!$D$4:$D$803)))</f>
        <v/>
      </c>
      <c r="CW113" s="8" t="str">
        <f>IF($B113="","",IF(COUNTIF('Competency Event Log'!$U$4:$U$803,$B113&amp;"|"&amp;CW$5)=0,"",SUMIF('Competency Event Log'!$U$4:$U$803,$B113&amp;"|"&amp;CW$5,'Competency Event Log'!$D$4:$D$803)))</f>
        <v/>
      </c>
      <c r="CX113" s="8" t="str">
        <f>IF($B113="","",IF(COUNTIF('Competency Event Log'!$U$4:$U$803,$B113&amp;"|"&amp;CX$5)=0,"",SUMIF('Competency Event Log'!$U$4:$U$803,$B113&amp;"|"&amp;CX$5,'Competency Event Log'!$D$4:$D$803)))</f>
        <v/>
      </c>
      <c r="CY113" s="8" t="str">
        <f>IF($B113="","",IF(COUNTIF('Competency Event Log'!$U$4:$U$803,$B113&amp;"|"&amp;CY$5)=0,"",SUMIF('Competency Event Log'!$U$4:$U$803,$B113&amp;"|"&amp;CY$5,'Competency Event Log'!$D$4:$D$803)))</f>
        <v/>
      </c>
      <c r="CZ113" s="8" t="str">
        <f>IF($B113="","",IF(COUNTIF('Competency Event Log'!$U$4:$U$803,$B113&amp;"|"&amp;CZ$5)=0,"",SUMIF('Competency Event Log'!$U$4:$U$803,$B113&amp;"|"&amp;CZ$5,'Competency Event Log'!$D$4:$D$803)))</f>
        <v/>
      </c>
      <c r="DA113" s="8" t="str">
        <f>IF($B113="","",IF(COUNTIF('Competency Event Log'!$U$4:$U$803,$B113&amp;"|"&amp;DA$5)=0,"",SUMIF('Competency Event Log'!$U$4:$U$803,$B113&amp;"|"&amp;DA$5,'Competency Event Log'!$D$4:$D$803)))</f>
        <v/>
      </c>
      <c r="DB113" s="8" t="str">
        <f>IF($B113="","",IF(COUNTIF('Competency Event Log'!$U$4:$U$803,$B113&amp;"|"&amp;DB$5)=0,"",SUMIF('Competency Event Log'!$U$4:$U$803,$B113&amp;"|"&amp;DB$5,'Competency Event Log'!$D$4:$D$803)))</f>
        <v/>
      </c>
      <c r="DC113" s="8" t="str">
        <f>IF($B113="","",IF(COUNTIF('Competency Event Log'!$U$4:$U$803,$B113&amp;"|"&amp;DC$5)=0,"",SUMIF('Competency Event Log'!$U$4:$U$803,$B113&amp;"|"&amp;DC$5,'Competency Event Log'!$D$4:$D$803)))</f>
        <v/>
      </c>
      <c r="DD113" s="8" t="str">
        <f>IF($B113="","",IF(COUNTIF('Competency Event Log'!$U$4:$U$803,$B113&amp;"|"&amp;DD$5)=0,"",SUMIF('Competency Event Log'!$U$4:$U$803,$B113&amp;"|"&amp;DD$5,'Competency Event Log'!$D$4:$D$803)))</f>
        <v/>
      </c>
      <c r="DE113" s="8" t="str">
        <f>IF($B113="","",IF(COUNTIF('Competency Event Log'!$U$4:$U$803,$B113&amp;"|"&amp;DE$5)=0,"",SUMIF('Competency Event Log'!$U$4:$U$803,$B113&amp;"|"&amp;DE$5,'Competency Event Log'!$D$4:$D$803)))</f>
        <v/>
      </c>
      <c r="DF113" s="8" t="str">
        <f t="shared" si="12"/>
        <v/>
      </c>
      <c r="DG113" s="8" t="str">
        <f t="shared" si="13"/>
        <v/>
      </c>
      <c r="DH113" s="8" t="str">
        <f t="shared" si="14"/>
        <v/>
      </c>
      <c r="DI113" s="11" t="str">
        <f t="shared" si="15"/>
        <v/>
      </c>
    </row>
    <row r="114" spans="1:113">
      <c r="A114" s="7"/>
      <c r="B114" s="7"/>
      <c r="C114" s="8"/>
      <c r="D114" s="9"/>
      <c r="E114" s="10"/>
      <c r="F114" s="8"/>
      <c r="G114" s="8" t="str">
        <f>IF($B114="","",IF(COUNTIF('Competency Event Log'!$U$4:$U$803,$B114&amp;"|"&amp;G$5)=0,"",SUMIF('Competency Event Log'!$U$4:$U$803,$B114&amp;"|"&amp;G$5,'Competency Event Log'!$D$4:$D$803)))</f>
        <v/>
      </c>
      <c r="H114" s="8" t="str">
        <f>IF($B114="","",IF(COUNTIF('Competency Event Log'!$U$4:$U$803,$B114&amp;"|"&amp;H$5)=0,"",SUMIF('Competency Event Log'!$U$4:$U$803,$B114&amp;"|"&amp;H$5,'Competency Event Log'!$D$4:$D$803)))</f>
        <v/>
      </c>
      <c r="I114" s="8" t="str">
        <f>IF($B114="","",IF(COUNTIF('Competency Event Log'!$U$4:$U$803,$B114&amp;"|"&amp;I$5)=0,"",SUMIF('Competency Event Log'!$U$4:$U$803,$B114&amp;"|"&amp;I$5,'Competency Event Log'!$D$4:$D$803)))</f>
        <v/>
      </c>
      <c r="J114" s="8" t="str">
        <f>IF($B114="","",IF(COUNTIF('Competency Event Log'!$U$4:$U$803,$B114&amp;"|"&amp;J$5)=0,"",SUMIF('Competency Event Log'!$U$4:$U$803,$B114&amp;"|"&amp;J$5,'Competency Event Log'!$D$4:$D$803)))</f>
        <v/>
      </c>
      <c r="K114" s="8" t="str">
        <f>IF($B114="","",IF(COUNTIF('Competency Event Log'!$U$4:$U$803,$B114&amp;"|"&amp;K$5)=0,"",SUMIF('Competency Event Log'!$U$4:$U$803,$B114&amp;"|"&amp;K$5,'Competency Event Log'!$D$4:$D$803)))</f>
        <v/>
      </c>
      <c r="L114" s="8" t="str">
        <f>IF($B114="","",IF(COUNTIF('Competency Event Log'!$U$4:$U$803,$B114&amp;"|"&amp;L$5)=0,"",SUMIF('Competency Event Log'!$U$4:$U$803,$B114&amp;"|"&amp;L$5,'Competency Event Log'!$D$4:$D$803)))</f>
        <v/>
      </c>
      <c r="M114" s="8" t="str">
        <f>IF($B114="","",IF(COUNTIF('Competency Event Log'!$U$4:$U$803,$B114&amp;"|"&amp;M$5)=0,"",SUMIF('Competency Event Log'!$U$4:$U$803,$B114&amp;"|"&amp;M$5,'Competency Event Log'!$D$4:$D$803)))</f>
        <v/>
      </c>
      <c r="N114" s="8" t="str">
        <f>IF($B114="","",IF(COUNTIF('Competency Event Log'!$U$4:$U$803,$B114&amp;"|"&amp;N$5)=0,"",SUMIF('Competency Event Log'!$U$4:$U$803,$B114&amp;"|"&amp;N$5,'Competency Event Log'!$D$4:$D$803)))</f>
        <v/>
      </c>
      <c r="O114" s="8" t="str">
        <f>IF($B114="","",IF(COUNTIF('Competency Event Log'!$U$4:$U$803,$B114&amp;"|"&amp;O$5)=0,"",SUMIF('Competency Event Log'!$U$4:$U$803,$B114&amp;"|"&amp;O$5,'Competency Event Log'!$D$4:$D$803)))</f>
        <v/>
      </c>
      <c r="P114" s="8" t="str">
        <f>IF($B114="","",IF(COUNTIF('Competency Event Log'!$U$4:$U$803,$B114&amp;"|"&amp;P$5)=0,"",SUMIF('Competency Event Log'!$U$4:$U$803,$B114&amp;"|"&amp;P$5,'Competency Event Log'!$D$4:$D$803)))</f>
        <v/>
      </c>
      <c r="Q114" s="8" t="str">
        <f>IF($B114="","",IF(COUNTIF('Competency Event Log'!$U$4:$U$803,$B114&amp;"|"&amp;Q$5)=0,"",SUMIF('Competency Event Log'!$U$4:$U$803,$B114&amp;"|"&amp;Q$5,'Competency Event Log'!$D$4:$D$803)))</f>
        <v/>
      </c>
      <c r="R114" s="8" t="str">
        <f>IF($B114="","",IF(COUNTIF('Competency Event Log'!$U$4:$U$803,$B114&amp;"|"&amp;R$5)=0,"",SUMIF('Competency Event Log'!$U$4:$U$803,$B114&amp;"|"&amp;R$5,'Competency Event Log'!$D$4:$D$803)))</f>
        <v/>
      </c>
      <c r="S114" s="8" t="str">
        <f>IF($B114="","",IF(COUNTIF('Competency Event Log'!$U$4:$U$803,$B114&amp;"|"&amp;S$5)=0,"",SUMIF('Competency Event Log'!$U$4:$U$803,$B114&amp;"|"&amp;S$5,'Competency Event Log'!$D$4:$D$803)))</f>
        <v/>
      </c>
      <c r="T114" s="8" t="str">
        <f>IF($B114="","",IF(COUNTIF('Competency Event Log'!$U$4:$U$803,$B114&amp;"|"&amp;T$5)=0,"",SUMIF('Competency Event Log'!$U$4:$U$803,$B114&amp;"|"&amp;T$5,'Competency Event Log'!$D$4:$D$803)))</f>
        <v/>
      </c>
      <c r="U114" s="8" t="str">
        <f>IF($B114="","",IF(COUNTIF('Competency Event Log'!$U$4:$U$803,$B114&amp;"|"&amp;U$5)=0,"",SUMIF('Competency Event Log'!$U$4:$U$803,$B114&amp;"|"&amp;U$5,'Competency Event Log'!$D$4:$D$803)))</f>
        <v/>
      </c>
      <c r="V114" s="8" t="str">
        <f>IF($B114="","",IF(COUNTIF('Competency Event Log'!$U$4:$U$803,$B114&amp;"|"&amp;V$5)=0,"",SUMIF('Competency Event Log'!$U$4:$U$803,$B114&amp;"|"&amp;V$5,'Competency Event Log'!$D$4:$D$803)))</f>
        <v/>
      </c>
      <c r="W114" s="8" t="str">
        <f>IF($B114="","",IF(COUNTIF('Competency Event Log'!$U$4:$U$803,$B114&amp;"|"&amp;W$5)=0,"",SUMIF('Competency Event Log'!$U$4:$U$803,$B114&amp;"|"&amp;W$5,'Competency Event Log'!$D$4:$D$803)))</f>
        <v/>
      </c>
      <c r="X114" s="8" t="str">
        <f>IF($B114="","",IF(COUNTIF('Competency Event Log'!$U$4:$U$803,$B114&amp;"|"&amp;X$5)=0,"",SUMIF('Competency Event Log'!$U$4:$U$803,$B114&amp;"|"&amp;X$5,'Competency Event Log'!$D$4:$D$803)))</f>
        <v/>
      </c>
      <c r="Y114" s="8" t="str">
        <f>IF($B114="","",IF(COUNTIF('Competency Event Log'!$U$4:$U$803,$B114&amp;"|"&amp;Y$5)=0,"",SUMIF('Competency Event Log'!$U$4:$U$803,$B114&amp;"|"&amp;Y$5,'Competency Event Log'!$D$4:$D$803)))</f>
        <v/>
      </c>
      <c r="Z114" s="8" t="str">
        <f>IF($B114="","",IF(COUNTIF('Competency Event Log'!$U$4:$U$803,$B114&amp;"|"&amp;Z$5)=0,"",SUMIF('Competency Event Log'!$U$4:$U$803,$B114&amp;"|"&amp;Z$5,'Competency Event Log'!$D$4:$D$803)))</f>
        <v/>
      </c>
      <c r="AA114" s="8" t="str">
        <f>IF($B114="","",IF(COUNTIF('Competency Event Log'!$U$4:$U$803,$B114&amp;"|"&amp;AA$5)=0,"",SUMIF('Competency Event Log'!$U$4:$U$803,$B114&amp;"|"&amp;AA$5,'Competency Event Log'!$D$4:$D$803)))</f>
        <v/>
      </c>
      <c r="AB114" s="8" t="str">
        <f>IF($B114="","",IF(COUNTIF('Competency Event Log'!$U$4:$U$803,$B114&amp;"|"&amp;AB$5)=0,"",SUMIF('Competency Event Log'!$U$4:$U$803,$B114&amp;"|"&amp;AB$5,'Competency Event Log'!$D$4:$D$803)))</f>
        <v/>
      </c>
      <c r="AC114" s="8" t="str">
        <f>IF($B114="","",IF(COUNTIF('Competency Event Log'!$U$4:$U$803,$B114&amp;"|"&amp;AC$5)=0,"",SUMIF('Competency Event Log'!$U$4:$U$803,$B114&amp;"|"&amp;AC$5,'Competency Event Log'!$D$4:$D$803)))</f>
        <v/>
      </c>
      <c r="AD114" s="8" t="str">
        <f>IF($B114="","",IF(COUNTIF('Competency Event Log'!$U$4:$U$803,$B114&amp;"|"&amp;AD$5)=0,"",SUMIF('Competency Event Log'!$U$4:$U$803,$B114&amp;"|"&amp;AD$5,'Competency Event Log'!$D$4:$D$803)))</f>
        <v/>
      </c>
      <c r="AE114" s="8" t="str">
        <f>IF($B114="","",IF(COUNTIF('Competency Event Log'!$U$4:$U$803,$B114&amp;"|"&amp;AE$5)=0,"",SUMIF('Competency Event Log'!$U$4:$U$803,$B114&amp;"|"&amp;AE$5,'Competency Event Log'!$D$4:$D$803)))</f>
        <v/>
      </c>
      <c r="AF114" s="8" t="str">
        <f>IF($B114="","",IF(COUNTIF('Competency Event Log'!$U$4:$U$803,$B114&amp;"|"&amp;AF$5)=0,"",SUMIF('Competency Event Log'!$U$4:$U$803,$B114&amp;"|"&amp;AF$5,'Competency Event Log'!$D$4:$D$803)))</f>
        <v/>
      </c>
      <c r="AG114" s="8" t="str">
        <f>IF($B114="","",IF(COUNTIF('Competency Event Log'!$U$4:$U$803,$B114&amp;"|"&amp;AG$5)=0,"",SUMIF('Competency Event Log'!$U$4:$U$803,$B114&amp;"|"&amp;AG$5,'Competency Event Log'!$D$4:$D$803)))</f>
        <v/>
      </c>
      <c r="AH114" s="8" t="str">
        <f>IF($B114="","",IF(COUNTIF('Competency Event Log'!$U$4:$U$803,$B114&amp;"|"&amp;AH$5)=0,"",SUMIF('Competency Event Log'!$U$4:$U$803,$B114&amp;"|"&amp;AH$5,'Competency Event Log'!$D$4:$D$803)))</f>
        <v/>
      </c>
      <c r="AI114" s="8" t="str">
        <f>IF($B114="","",IF(COUNTIF('Competency Event Log'!$U$4:$U$803,$B114&amp;"|"&amp;AI$5)=0,"",SUMIF('Competency Event Log'!$U$4:$U$803,$B114&amp;"|"&amp;AI$5,'Competency Event Log'!$D$4:$D$803)))</f>
        <v/>
      </c>
      <c r="AJ114" s="8" t="str">
        <f>IF($B114="","",IF(COUNTIF('Competency Event Log'!$U$4:$U$803,$B114&amp;"|"&amp;AJ$5)=0,"",SUMIF('Competency Event Log'!$U$4:$U$803,$B114&amp;"|"&amp;AJ$5,'Competency Event Log'!$D$4:$D$803)))</f>
        <v/>
      </c>
      <c r="AK114" s="8" t="str">
        <f>IF($B114="","",IF(COUNTIF('Competency Event Log'!$U$4:$U$803,$B114&amp;"|"&amp;AK$5)=0,"",SUMIF('Competency Event Log'!$U$4:$U$803,$B114&amp;"|"&amp;AK$5,'Competency Event Log'!$D$4:$D$803)))</f>
        <v/>
      </c>
      <c r="AL114" s="8" t="str">
        <f>IF($B114="","",IF(COUNTIF('Competency Event Log'!$U$4:$U$803,$B114&amp;"|"&amp;AL$5)=0,"",SUMIF('Competency Event Log'!$U$4:$U$803,$B114&amp;"|"&amp;AL$5,'Competency Event Log'!$D$4:$D$803)))</f>
        <v/>
      </c>
      <c r="AM114" s="8" t="str">
        <f>IF($B114="","",IF(COUNTIF('Competency Event Log'!$U$4:$U$803,$B114&amp;"|"&amp;AM$5)=0,"",SUMIF('Competency Event Log'!$U$4:$U$803,$B114&amp;"|"&amp;AM$5,'Competency Event Log'!$D$4:$D$803)))</f>
        <v/>
      </c>
      <c r="AN114" s="8" t="str">
        <f>IF($B114="","",IF(COUNTIF('Competency Event Log'!$U$4:$U$803,$B114&amp;"|"&amp;AN$5)=0,"",SUMIF('Competency Event Log'!$U$4:$U$803,$B114&amp;"|"&amp;AN$5,'Competency Event Log'!$D$4:$D$803)))</f>
        <v/>
      </c>
      <c r="AO114" s="8" t="str">
        <f>IF($B114="","",IF(COUNTIF('Competency Event Log'!$U$4:$U$803,$B114&amp;"|"&amp;AO$5)=0,"",SUMIF('Competency Event Log'!$U$4:$U$803,$B114&amp;"|"&amp;AO$5,'Competency Event Log'!$D$4:$D$803)))</f>
        <v/>
      </c>
      <c r="AP114" s="8" t="str">
        <f>IF($B114="","",IF(COUNTIF('Competency Event Log'!$U$4:$U$803,$B114&amp;"|"&amp;AP$5)=0,"",SUMIF('Competency Event Log'!$U$4:$U$803,$B114&amp;"|"&amp;AP$5,'Competency Event Log'!$D$4:$D$803)))</f>
        <v/>
      </c>
      <c r="AQ114" s="8" t="str">
        <f>IF($B114="","",IF(COUNTIF('Competency Event Log'!$U$4:$U$803,$B114&amp;"|"&amp;AQ$5)=0,"",SUMIF('Competency Event Log'!$U$4:$U$803,$B114&amp;"|"&amp;AQ$5,'Competency Event Log'!$D$4:$D$803)))</f>
        <v/>
      </c>
      <c r="AR114" s="8" t="str">
        <f>IF($B114="","",IF(COUNTIF('Competency Event Log'!$U$4:$U$803,$B114&amp;"|"&amp;AR$5)=0,"",SUMIF('Competency Event Log'!$U$4:$U$803,$B114&amp;"|"&amp;AR$5,'Competency Event Log'!$D$4:$D$803)))</f>
        <v/>
      </c>
      <c r="AS114" s="8" t="str">
        <f>IF($B114="","",IF(COUNTIF('Competency Event Log'!$U$4:$U$803,$B114&amp;"|"&amp;AS$5)=0,"",SUMIF('Competency Event Log'!$U$4:$U$803,$B114&amp;"|"&amp;AS$5,'Competency Event Log'!$D$4:$D$803)))</f>
        <v/>
      </c>
      <c r="AT114" s="8" t="str">
        <f>IF($B114="","",IF(COUNTIF('Competency Event Log'!$U$4:$U$803,$B114&amp;"|"&amp;AT$5)=0,"",SUMIF('Competency Event Log'!$U$4:$U$803,$B114&amp;"|"&amp;AT$5,'Competency Event Log'!$D$4:$D$803)))</f>
        <v/>
      </c>
      <c r="AU114" s="8" t="str">
        <f>IF($B114="","",IF(COUNTIF('Competency Event Log'!$U$4:$U$803,$B114&amp;"|"&amp;AU$5)=0,"",SUMIF('Competency Event Log'!$U$4:$U$803,$B114&amp;"|"&amp;AU$5,'Competency Event Log'!$D$4:$D$803)))</f>
        <v/>
      </c>
      <c r="AV114" s="8" t="str">
        <f>IF($B114="","",IF(COUNTIF('Competency Event Log'!$U$4:$U$803,$B114&amp;"|"&amp;AV$5)=0,"",SUMIF('Competency Event Log'!$U$4:$U$803,$B114&amp;"|"&amp;AV$5,'Competency Event Log'!$D$4:$D$803)))</f>
        <v/>
      </c>
      <c r="AW114" s="8" t="str">
        <f>IF($B114="","",IF(COUNTIF('Competency Event Log'!$U$4:$U$803,$B114&amp;"|"&amp;AW$5)=0,"",SUMIF('Competency Event Log'!$U$4:$U$803,$B114&amp;"|"&amp;AW$5,'Competency Event Log'!$D$4:$D$803)))</f>
        <v/>
      </c>
      <c r="AX114" s="8" t="str">
        <f>IF($B114="","",IF(COUNTIF('Competency Event Log'!$U$4:$U$803,$B114&amp;"|"&amp;AX$5)=0,"",SUMIF('Competency Event Log'!$U$4:$U$803,$B114&amp;"|"&amp;AX$5,'Competency Event Log'!$D$4:$D$803)))</f>
        <v/>
      </c>
      <c r="AY114" s="8" t="str">
        <f>IF($B114="","",IF(COUNTIF('Competency Event Log'!$U$4:$U$803,$B114&amp;"|"&amp;AY$5)=0,"",SUMIF('Competency Event Log'!$U$4:$U$803,$B114&amp;"|"&amp;AY$5,'Competency Event Log'!$D$4:$D$803)))</f>
        <v/>
      </c>
      <c r="AZ114" s="8" t="str">
        <f>IF($B114="","",IF(COUNTIF('Competency Event Log'!$U$4:$U$803,$B114&amp;"|"&amp;AZ$5)=0,"",SUMIF('Competency Event Log'!$U$4:$U$803,$B114&amp;"|"&amp;AZ$5,'Competency Event Log'!$D$4:$D$803)))</f>
        <v/>
      </c>
      <c r="BA114" s="8" t="str">
        <f>IF($B114="","",IF(COUNTIF('Competency Event Log'!$U$4:$U$803,$B114&amp;"|"&amp;BA$5)=0,"",SUMIF('Competency Event Log'!$U$4:$U$803,$B114&amp;"|"&amp;BA$5,'Competency Event Log'!$D$4:$D$803)))</f>
        <v/>
      </c>
      <c r="BB114" s="8" t="str">
        <f>IF($B114="","",IF(COUNTIF('Competency Event Log'!$U$4:$U$803,$B114&amp;"|"&amp;BB$5)=0,"",SUMIF('Competency Event Log'!$U$4:$U$803,$B114&amp;"|"&amp;BB$5,'Competency Event Log'!$D$4:$D$803)))</f>
        <v/>
      </c>
      <c r="BC114" s="8" t="str">
        <f>IF($B114="","",IF(COUNTIF('Competency Event Log'!$U$4:$U$803,$B114&amp;"|"&amp;BC$5)=0,"",SUMIF('Competency Event Log'!$U$4:$U$803,$B114&amp;"|"&amp;BC$5,'Competency Event Log'!$D$4:$D$803)))</f>
        <v/>
      </c>
      <c r="BD114" s="8" t="str">
        <f>IF($B114="","",IF(COUNTIF('Competency Event Log'!$U$4:$U$803,$B114&amp;"|"&amp;BD$5)=0,"",SUMIF('Competency Event Log'!$U$4:$U$803,$B114&amp;"|"&amp;BD$5,'Competency Event Log'!$D$4:$D$803)))</f>
        <v/>
      </c>
      <c r="BE114" s="8" t="str">
        <f>IF($B114="","",IF(COUNTIF('Competency Event Log'!$U$4:$U$803,$B114&amp;"|"&amp;BE$5)=0,"",SUMIF('Competency Event Log'!$U$4:$U$803,$B114&amp;"|"&amp;BE$5,'Competency Event Log'!$D$4:$D$803)))</f>
        <v/>
      </c>
      <c r="BF114" s="8" t="str">
        <f>IF($B114="","",IF(COUNTIF('Competency Event Log'!$U$4:$U$803,$B114&amp;"|"&amp;BF$5)=0,"",SUMIF('Competency Event Log'!$U$4:$U$803,$B114&amp;"|"&amp;BF$5,'Competency Event Log'!$D$4:$D$803)))</f>
        <v/>
      </c>
      <c r="BG114" s="8" t="str">
        <f>IF($B114="","",IF(COUNTIF('Competency Event Log'!$U$4:$U$803,$B114&amp;"|"&amp;BG$5)=0,"",SUMIF('Competency Event Log'!$U$4:$U$803,$B114&amp;"|"&amp;BG$5,'Competency Event Log'!$D$4:$D$803)))</f>
        <v/>
      </c>
      <c r="BH114" s="8" t="str">
        <f>IF($B114="","",IF(COUNTIF('Competency Event Log'!$U$4:$U$803,$B114&amp;"|"&amp;BH$5)=0,"",SUMIF('Competency Event Log'!$U$4:$U$803,$B114&amp;"|"&amp;BH$5,'Competency Event Log'!$D$4:$D$803)))</f>
        <v/>
      </c>
      <c r="BI114" s="8" t="str">
        <f>IF($B114="","",IF(COUNTIF('Competency Event Log'!$U$4:$U$803,$B114&amp;"|"&amp;BI$5)=0,"",SUMIF('Competency Event Log'!$U$4:$U$803,$B114&amp;"|"&amp;BI$5,'Competency Event Log'!$D$4:$D$803)))</f>
        <v/>
      </c>
      <c r="BJ114" s="8" t="str">
        <f>IF($B114="","",IF(COUNTIF('Competency Event Log'!$U$4:$U$803,$B114&amp;"|"&amp;BJ$5)=0,"",SUMIF('Competency Event Log'!$U$4:$U$803,$B114&amp;"|"&amp;BJ$5,'Competency Event Log'!$D$4:$D$803)))</f>
        <v/>
      </c>
      <c r="BK114" s="8" t="str">
        <f>IF($B114="","",IF(COUNTIF('Competency Event Log'!$U$4:$U$803,$B114&amp;"|"&amp;BK$5)=0,"",SUMIF('Competency Event Log'!$U$4:$U$803,$B114&amp;"|"&amp;BK$5,'Competency Event Log'!$D$4:$D$803)))</f>
        <v/>
      </c>
      <c r="BL114" s="8" t="str">
        <f>IF($B114="","",IF(COUNTIF('Competency Event Log'!$U$4:$U$803,$B114&amp;"|"&amp;BL$5)=0,"",SUMIF('Competency Event Log'!$U$4:$U$803,$B114&amp;"|"&amp;BL$5,'Competency Event Log'!$D$4:$D$803)))</f>
        <v/>
      </c>
      <c r="BM114" s="8" t="str">
        <f>IF($B114="","",IF(COUNTIF('Competency Event Log'!$U$4:$U$803,$B114&amp;"|"&amp;BM$5)=0,"",SUMIF('Competency Event Log'!$U$4:$U$803,$B114&amp;"|"&amp;BM$5,'Competency Event Log'!$D$4:$D$803)))</f>
        <v/>
      </c>
      <c r="BN114" s="8" t="str">
        <f>IF($B114="","",IF(COUNTIF('Competency Event Log'!$U$4:$U$803,$B114&amp;"|"&amp;BN$5)=0,"",SUMIF('Competency Event Log'!$U$4:$U$803,$B114&amp;"|"&amp;BN$5,'Competency Event Log'!$D$4:$D$803)))</f>
        <v/>
      </c>
      <c r="BO114" s="8" t="str">
        <f>IF($B114="","",IF(COUNTIF('Competency Event Log'!$U$4:$U$803,$B114&amp;"|"&amp;BO$5)=0,"",SUMIF('Competency Event Log'!$U$4:$U$803,$B114&amp;"|"&amp;BO$5,'Competency Event Log'!$D$4:$D$803)))</f>
        <v/>
      </c>
      <c r="BP114" s="8" t="str">
        <f>IF($B114="","",IF(COUNTIF('Competency Event Log'!$U$4:$U$803,$B114&amp;"|"&amp;BP$5)=0,"",SUMIF('Competency Event Log'!$U$4:$U$803,$B114&amp;"|"&amp;BP$5,'Competency Event Log'!$D$4:$D$803)))</f>
        <v/>
      </c>
      <c r="BQ114" s="8" t="str">
        <f>IF($B114="","",IF(COUNTIF('Competency Event Log'!$U$4:$U$803,$B114&amp;"|"&amp;BQ$5)=0,"",SUMIF('Competency Event Log'!$U$4:$U$803,$B114&amp;"|"&amp;BQ$5,'Competency Event Log'!$D$4:$D$803)))</f>
        <v/>
      </c>
      <c r="BR114" s="8" t="str">
        <f>IF($B114="","",IF(COUNTIF('Competency Event Log'!$U$4:$U$803,$B114&amp;"|"&amp;BR$5)=0,"",SUMIF('Competency Event Log'!$U$4:$U$803,$B114&amp;"|"&amp;BR$5,'Competency Event Log'!$D$4:$D$803)))</f>
        <v/>
      </c>
      <c r="BS114" s="8" t="str">
        <f>IF($B114="","",IF(COUNTIF('Competency Event Log'!$U$4:$U$803,$B114&amp;"|"&amp;BS$5)=0,"",SUMIF('Competency Event Log'!$U$4:$U$803,$B114&amp;"|"&amp;BS$5,'Competency Event Log'!$D$4:$D$803)))</f>
        <v/>
      </c>
      <c r="BT114" s="8" t="str">
        <f>IF($B114="","",IF(COUNTIF('Competency Event Log'!$U$4:$U$803,$B114&amp;"|"&amp;BT$5)=0,"",SUMIF('Competency Event Log'!$U$4:$U$803,$B114&amp;"|"&amp;BT$5,'Competency Event Log'!$D$4:$D$803)))</f>
        <v/>
      </c>
      <c r="BU114" s="8" t="str">
        <f>IF($B114="","",IF(COUNTIF('Competency Event Log'!$U$4:$U$803,$B114&amp;"|"&amp;BU$5)=0,"",SUMIF('Competency Event Log'!$U$4:$U$803,$B114&amp;"|"&amp;BU$5,'Competency Event Log'!$D$4:$D$803)))</f>
        <v/>
      </c>
      <c r="BV114" s="8" t="str">
        <f>IF($B114="","",IF(COUNTIF('Competency Event Log'!$U$4:$U$803,$B114&amp;"|"&amp;BV$5)=0,"",SUMIF('Competency Event Log'!$U$4:$U$803,$B114&amp;"|"&amp;BV$5,'Competency Event Log'!$D$4:$D$803)))</f>
        <v/>
      </c>
      <c r="BW114" s="8" t="str">
        <f>IF($B114="","",IF(COUNTIF('Competency Event Log'!$U$4:$U$803,$B114&amp;"|"&amp;BW$5)=0,"",SUMIF('Competency Event Log'!$U$4:$U$803,$B114&amp;"|"&amp;BW$5,'Competency Event Log'!$D$4:$D$803)))</f>
        <v/>
      </c>
      <c r="BX114" s="8" t="str">
        <f>IF($B114="","",IF(COUNTIF('Competency Event Log'!$U$4:$U$803,$B114&amp;"|"&amp;BX$5)=0,"",SUMIF('Competency Event Log'!$U$4:$U$803,$B114&amp;"|"&amp;BX$5,'Competency Event Log'!$D$4:$D$803)))</f>
        <v/>
      </c>
      <c r="BY114" s="8" t="str">
        <f>IF($B114="","",IF(COUNTIF('Competency Event Log'!$U$4:$U$803,$B114&amp;"|"&amp;BY$5)=0,"",SUMIF('Competency Event Log'!$U$4:$U$803,$B114&amp;"|"&amp;BY$5,'Competency Event Log'!$D$4:$D$803)))</f>
        <v/>
      </c>
      <c r="BZ114" s="8" t="str">
        <f>IF($B114="","",IF(COUNTIF('Competency Event Log'!$U$4:$U$803,$B114&amp;"|"&amp;BZ$5)=0,"",SUMIF('Competency Event Log'!$U$4:$U$803,$B114&amp;"|"&amp;BZ$5,'Competency Event Log'!$D$4:$D$803)))</f>
        <v/>
      </c>
      <c r="CA114" s="8" t="str">
        <f>IF($B114="","",IF(COUNTIF('Competency Event Log'!$U$4:$U$803,$B114&amp;"|"&amp;CA$5)=0,"",SUMIF('Competency Event Log'!$U$4:$U$803,$B114&amp;"|"&amp;CA$5,'Competency Event Log'!$D$4:$D$803)))</f>
        <v/>
      </c>
      <c r="CB114" s="8" t="str">
        <f>IF($B114="","",IF(COUNTIF('Competency Event Log'!$U$4:$U$803,$B114&amp;"|"&amp;CB$5)=0,"",SUMIF('Competency Event Log'!$U$4:$U$803,$B114&amp;"|"&amp;CB$5,'Competency Event Log'!$D$4:$D$803)))</f>
        <v/>
      </c>
      <c r="CC114" s="8" t="str">
        <f>IF($B114="","",IF(COUNTIF('Competency Event Log'!$U$4:$U$803,$B114&amp;"|"&amp;CC$5)=0,"",SUMIF('Competency Event Log'!$U$4:$U$803,$B114&amp;"|"&amp;CC$5,'Competency Event Log'!$D$4:$D$803)))</f>
        <v/>
      </c>
      <c r="CD114" s="8" t="str">
        <f>IF($B114="","",IF(COUNTIF('Competency Event Log'!$U$4:$U$803,$B114&amp;"|"&amp;CD$5)=0,"",SUMIF('Competency Event Log'!$U$4:$U$803,$B114&amp;"|"&amp;CD$5,'Competency Event Log'!$D$4:$D$803)))</f>
        <v/>
      </c>
      <c r="CE114" s="8" t="str">
        <f>IF($B114="","",IF(COUNTIF('Competency Event Log'!$U$4:$U$803,$B114&amp;"|"&amp;CE$5)=0,"",SUMIF('Competency Event Log'!$U$4:$U$803,$B114&amp;"|"&amp;CE$5,'Competency Event Log'!$D$4:$D$803)))</f>
        <v/>
      </c>
      <c r="CF114" s="8" t="str">
        <f>IF($B114="","",IF(COUNTIF('Competency Event Log'!$U$4:$U$803,$B114&amp;"|"&amp;CF$5)=0,"",SUMIF('Competency Event Log'!$U$4:$U$803,$B114&amp;"|"&amp;CF$5,'Competency Event Log'!$D$4:$D$803)))</f>
        <v/>
      </c>
      <c r="CG114" s="8" t="str">
        <f>IF($B114="","",IF(COUNTIF('Competency Event Log'!$U$4:$U$803,$B114&amp;"|"&amp;CG$5)=0,"",SUMIF('Competency Event Log'!$U$4:$U$803,$B114&amp;"|"&amp;CG$5,'Competency Event Log'!$D$4:$D$803)))</f>
        <v/>
      </c>
      <c r="CH114" s="8" t="str">
        <f>IF($B114="","",IF(COUNTIF('Competency Event Log'!$U$4:$U$803,$B114&amp;"|"&amp;CH$5)=0,"",SUMIF('Competency Event Log'!$U$4:$U$803,$B114&amp;"|"&amp;CH$5,'Competency Event Log'!$D$4:$D$803)))</f>
        <v/>
      </c>
      <c r="CI114" s="8" t="str">
        <f>IF($B114="","",IF(COUNTIF('Competency Event Log'!$U$4:$U$803,$B114&amp;"|"&amp;CI$5)=0,"",SUMIF('Competency Event Log'!$U$4:$U$803,$B114&amp;"|"&amp;CI$5,'Competency Event Log'!$D$4:$D$803)))</f>
        <v/>
      </c>
      <c r="CJ114" s="8" t="str">
        <f>IF($B114="","",IF(COUNTIF('Competency Event Log'!$U$4:$U$803,$B114&amp;"|"&amp;CJ$5)=0,"",SUMIF('Competency Event Log'!$U$4:$U$803,$B114&amp;"|"&amp;CJ$5,'Competency Event Log'!$D$4:$D$803)))</f>
        <v/>
      </c>
      <c r="CK114" s="8" t="str">
        <f>IF($B114="","",IF(COUNTIF('Competency Event Log'!$U$4:$U$803,$B114&amp;"|"&amp;CK$5)=0,"",SUMIF('Competency Event Log'!$U$4:$U$803,$B114&amp;"|"&amp;CK$5,'Competency Event Log'!$D$4:$D$803)))</f>
        <v/>
      </c>
      <c r="CL114" s="8" t="str">
        <f>IF($B114="","",IF(COUNTIF('Competency Event Log'!$U$4:$U$803,$B114&amp;"|"&amp;CL$5)=0,"",SUMIF('Competency Event Log'!$U$4:$U$803,$B114&amp;"|"&amp;CL$5,'Competency Event Log'!$D$4:$D$803)))</f>
        <v/>
      </c>
      <c r="CM114" s="8" t="str">
        <f>IF($B114="","",IF(COUNTIF('Competency Event Log'!$U$4:$U$803,$B114&amp;"|"&amp;CM$5)=0,"",SUMIF('Competency Event Log'!$U$4:$U$803,$B114&amp;"|"&amp;CM$5,'Competency Event Log'!$D$4:$D$803)))</f>
        <v/>
      </c>
      <c r="CN114" s="8" t="str">
        <f>IF($B114="","",IF(COUNTIF('Competency Event Log'!$U$4:$U$803,$B114&amp;"|"&amp;CN$5)=0,"",SUMIF('Competency Event Log'!$U$4:$U$803,$B114&amp;"|"&amp;CN$5,'Competency Event Log'!$D$4:$D$803)))</f>
        <v/>
      </c>
      <c r="CO114" s="8" t="str">
        <f>IF($B114="","",IF(COUNTIF('Competency Event Log'!$U$4:$U$803,$B114&amp;"|"&amp;CO$5)=0,"",SUMIF('Competency Event Log'!$U$4:$U$803,$B114&amp;"|"&amp;CO$5,'Competency Event Log'!$D$4:$D$803)))</f>
        <v/>
      </c>
      <c r="CP114" s="8" t="str">
        <f>IF($B114="","",IF(COUNTIF('Competency Event Log'!$U$4:$U$803,$B114&amp;"|"&amp;CP$5)=0,"",SUMIF('Competency Event Log'!$U$4:$U$803,$B114&amp;"|"&amp;CP$5,'Competency Event Log'!$D$4:$D$803)))</f>
        <v/>
      </c>
      <c r="CQ114" s="8" t="str">
        <f>IF($B114="","",IF(COUNTIF('Competency Event Log'!$U$4:$U$803,$B114&amp;"|"&amp;CQ$5)=0,"",SUMIF('Competency Event Log'!$U$4:$U$803,$B114&amp;"|"&amp;CQ$5,'Competency Event Log'!$D$4:$D$803)))</f>
        <v/>
      </c>
      <c r="CR114" s="8" t="str">
        <f>IF($B114="","",IF(COUNTIF('Competency Event Log'!$U$4:$U$803,$B114&amp;"|"&amp;CR$5)=0,"",SUMIF('Competency Event Log'!$U$4:$U$803,$B114&amp;"|"&amp;CR$5,'Competency Event Log'!$D$4:$D$803)))</f>
        <v/>
      </c>
      <c r="CS114" s="8" t="str">
        <f>IF($B114="","",IF(COUNTIF('Competency Event Log'!$U$4:$U$803,$B114&amp;"|"&amp;CS$5)=0,"",SUMIF('Competency Event Log'!$U$4:$U$803,$B114&amp;"|"&amp;CS$5,'Competency Event Log'!$D$4:$D$803)))</f>
        <v/>
      </c>
      <c r="CT114" s="8" t="str">
        <f>IF($B114="","",IF(COUNTIF('Competency Event Log'!$U$4:$U$803,$B114&amp;"|"&amp;CT$5)=0,"",SUMIF('Competency Event Log'!$U$4:$U$803,$B114&amp;"|"&amp;CT$5,'Competency Event Log'!$D$4:$D$803)))</f>
        <v/>
      </c>
      <c r="CU114" s="8" t="str">
        <f>IF($B114="","",IF(COUNTIF('Competency Event Log'!$U$4:$U$803,$B114&amp;"|"&amp;CU$5)=0,"",SUMIF('Competency Event Log'!$U$4:$U$803,$B114&amp;"|"&amp;CU$5,'Competency Event Log'!$D$4:$D$803)))</f>
        <v/>
      </c>
      <c r="CV114" s="8" t="str">
        <f>IF($B114="","",IF(COUNTIF('Competency Event Log'!$U$4:$U$803,$B114&amp;"|"&amp;CV$5)=0,"",SUMIF('Competency Event Log'!$U$4:$U$803,$B114&amp;"|"&amp;CV$5,'Competency Event Log'!$D$4:$D$803)))</f>
        <v/>
      </c>
      <c r="CW114" s="8" t="str">
        <f>IF($B114="","",IF(COUNTIF('Competency Event Log'!$U$4:$U$803,$B114&amp;"|"&amp;CW$5)=0,"",SUMIF('Competency Event Log'!$U$4:$U$803,$B114&amp;"|"&amp;CW$5,'Competency Event Log'!$D$4:$D$803)))</f>
        <v/>
      </c>
      <c r="CX114" s="8" t="str">
        <f>IF($B114="","",IF(COUNTIF('Competency Event Log'!$U$4:$U$803,$B114&amp;"|"&amp;CX$5)=0,"",SUMIF('Competency Event Log'!$U$4:$U$803,$B114&amp;"|"&amp;CX$5,'Competency Event Log'!$D$4:$D$803)))</f>
        <v/>
      </c>
      <c r="CY114" s="8" t="str">
        <f>IF($B114="","",IF(COUNTIF('Competency Event Log'!$U$4:$U$803,$B114&amp;"|"&amp;CY$5)=0,"",SUMIF('Competency Event Log'!$U$4:$U$803,$B114&amp;"|"&amp;CY$5,'Competency Event Log'!$D$4:$D$803)))</f>
        <v/>
      </c>
      <c r="CZ114" s="8" t="str">
        <f>IF($B114="","",IF(COUNTIF('Competency Event Log'!$U$4:$U$803,$B114&amp;"|"&amp;CZ$5)=0,"",SUMIF('Competency Event Log'!$U$4:$U$803,$B114&amp;"|"&amp;CZ$5,'Competency Event Log'!$D$4:$D$803)))</f>
        <v/>
      </c>
      <c r="DA114" s="8" t="str">
        <f>IF($B114="","",IF(COUNTIF('Competency Event Log'!$U$4:$U$803,$B114&amp;"|"&amp;DA$5)=0,"",SUMIF('Competency Event Log'!$U$4:$U$803,$B114&amp;"|"&amp;DA$5,'Competency Event Log'!$D$4:$D$803)))</f>
        <v/>
      </c>
      <c r="DB114" s="8" t="str">
        <f>IF($B114="","",IF(COUNTIF('Competency Event Log'!$U$4:$U$803,$B114&amp;"|"&amp;DB$5)=0,"",SUMIF('Competency Event Log'!$U$4:$U$803,$B114&amp;"|"&amp;DB$5,'Competency Event Log'!$D$4:$D$803)))</f>
        <v/>
      </c>
      <c r="DC114" s="8" t="str">
        <f>IF($B114="","",IF(COUNTIF('Competency Event Log'!$U$4:$U$803,$B114&amp;"|"&amp;DC$5)=0,"",SUMIF('Competency Event Log'!$U$4:$U$803,$B114&amp;"|"&amp;DC$5,'Competency Event Log'!$D$4:$D$803)))</f>
        <v/>
      </c>
      <c r="DD114" s="8" t="str">
        <f>IF($B114="","",IF(COUNTIF('Competency Event Log'!$U$4:$U$803,$B114&amp;"|"&amp;DD$5)=0,"",SUMIF('Competency Event Log'!$U$4:$U$803,$B114&amp;"|"&amp;DD$5,'Competency Event Log'!$D$4:$D$803)))</f>
        <v/>
      </c>
      <c r="DE114" s="8" t="str">
        <f>IF($B114="","",IF(COUNTIF('Competency Event Log'!$U$4:$U$803,$B114&amp;"|"&amp;DE$5)=0,"",SUMIF('Competency Event Log'!$U$4:$U$803,$B114&amp;"|"&amp;DE$5,'Competency Event Log'!$D$4:$D$803)))</f>
        <v/>
      </c>
      <c r="DF114" s="8" t="str">
        <f t="shared" si="12"/>
        <v/>
      </c>
      <c r="DG114" s="8" t="str">
        <f t="shared" si="13"/>
        <v/>
      </c>
      <c r="DH114" s="8" t="str">
        <f t="shared" si="14"/>
        <v/>
      </c>
      <c r="DI114" s="11" t="str">
        <f t="shared" si="15"/>
        <v/>
      </c>
    </row>
    <row r="115" spans="1:113">
      <c r="A115" s="7"/>
      <c r="B115" s="7"/>
      <c r="C115" s="8"/>
      <c r="D115" s="9"/>
      <c r="E115" s="10"/>
      <c r="F115" s="8"/>
      <c r="G115" s="8" t="str">
        <f>IF($B115="","",IF(COUNTIF('Competency Event Log'!$U$4:$U$803,$B115&amp;"|"&amp;G$5)=0,"",SUMIF('Competency Event Log'!$U$4:$U$803,$B115&amp;"|"&amp;G$5,'Competency Event Log'!$D$4:$D$803)))</f>
        <v/>
      </c>
      <c r="H115" s="8" t="str">
        <f>IF($B115="","",IF(COUNTIF('Competency Event Log'!$U$4:$U$803,$B115&amp;"|"&amp;H$5)=0,"",SUMIF('Competency Event Log'!$U$4:$U$803,$B115&amp;"|"&amp;H$5,'Competency Event Log'!$D$4:$D$803)))</f>
        <v/>
      </c>
      <c r="I115" s="8" t="str">
        <f>IF($B115="","",IF(COUNTIF('Competency Event Log'!$U$4:$U$803,$B115&amp;"|"&amp;I$5)=0,"",SUMIF('Competency Event Log'!$U$4:$U$803,$B115&amp;"|"&amp;I$5,'Competency Event Log'!$D$4:$D$803)))</f>
        <v/>
      </c>
      <c r="J115" s="8" t="str">
        <f>IF($B115="","",IF(COUNTIF('Competency Event Log'!$U$4:$U$803,$B115&amp;"|"&amp;J$5)=0,"",SUMIF('Competency Event Log'!$U$4:$U$803,$B115&amp;"|"&amp;J$5,'Competency Event Log'!$D$4:$D$803)))</f>
        <v/>
      </c>
      <c r="K115" s="8" t="str">
        <f>IF($B115="","",IF(COUNTIF('Competency Event Log'!$U$4:$U$803,$B115&amp;"|"&amp;K$5)=0,"",SUMIF('Competency Event Log'!$U$4:$U$803,$B115&amp;"|"&amp;K$5,'Competency Event Log'!$D$4:$D$803)))</f>
        <v/>
      </c>
      <c r="L115" s="8" t="str">
        <f>IF($B115="","",IF(COUNTIF('Competency Event Log'!$U$4:$U$803,$B115&amp;"|"&amp;L$5)=0,"",SUMIF('Competency Event Log'!$U$4:$U$803,$B115&amp;"|"&amp;L$5,'Competency Event Log'!$D$4:$D$803)))</f>
        <v/>
      </c>
      <c r="M115" s="8" t="str">
        <f>IF($B115="","",IF(COUNTIF('Competency Event Log'!$U$4:$U$803,$B115&amp;"|"&amp;M$5)=0,"",SUMIF('Competency Event Log'!$U$4:$U$803,$B115&amp;"|"&amp;M$5,'Competency Event Log'!$D$4:$D$803)))</f>
        <v/>
      </c>
      <c r="N115" s="8" t="str">
        <f>IF($B115="","",IF(COUNTIF('Competency Event Log'!$U$4:$U$803,$B115&amp;"|"&amp;N$5)=0,"",SUMIF('Competency Event Log'!$U$4:$U$803,$B115&amp;"|"&amp;N$5,'Competency Event Log'!$D$4:$D$803)))</f>
        <v/>
      </c>
      <c r="O115" s="8" t="str">
        <f>IF($B115="","",IF(COUNTIF('Competency Event Log'!$U$4:$U$803,$B115&amp;"|"&amp;O$5)=0,"",SUMIF('Competency Event Log'!$U$4:$U$803,$B115&amp;"|"&amp;O$5,'Competency Event Log'!$D$4:$D$803)))</f>
        <v/>
      </c>
      <c r="P115" s="8" t="str">
        <f>IF($B115="","",IF(COUNTIF('Competency Event Log'!$U$4:$U$803,$B115&amp;"|"&amp;P$5)=0,"",SUMIF('Competency Event Log'!$U$4:$U$803,$B115&amp;"|"&amp;P$5,'Competency Event Log'!$D$4:$D$803)))</f>
        <v/>
      </c>
      <c r="Q115" s="8" t="str">
        <f>IF($B115="","",IF(COUNTIF('Competency Event Log'!$U$4:$U$803,$B115&amp;"|"&amp;Q$5)=0,"",SUMIF('Competency Event Log'!$U$4:$U$803,$B115&amp;"|"&amp;Q$5,'Competency Event Log'!$D$4:$D$803)))</f>
        <v/>
      </c>
      <c r="R115" s="8" t="str">
        <f>IF($B115="","",IF(COUNTIF('Competency Event Log'!$U$4:$U$803,$B115&amp;"|"&amp;R$5)=0,"",SUMIF('Competency Event Log'!$U$4:$U$803,$B115&amp;"|"&amp;R$5,'Competency Event Log'!$D$4:$D$803)))</f>
        <v/>
      </c>
      <c r="S115" s="8" t="str">
        <f>IF($B115="","",IF(COUNTIF('Competency Event Log'!$U$4:$U$803,$B115&amp;"|"&amp;S$5)=0,"",SUMIF('Competency Event Log'!$U$4:$U$803,$B115&amp;"|"&amp;S$5,'Competency Event Log'!$D$4:$D$803)))</f>
        <v/>
      </c>
      <c r="T115" s="8" t="str">
        <f>IF($B115="","",IF(COUNTIF('Competency Event Log'!$U$4:$U$803,$B115&amp;"|"&amp;T$5)=0,"",SUMIF('Competency Event Log'!$U$4:$U$803,$B115&amp;"|"&amp;T$5,'Competency Event Log'!$D$4:$D$803)))</f>
        <v/>
      </c>
      <c r="U115" s="8" t="str">
        <f>IF($B115="","",IF(COUNTIF('Competency Event Log'!$U$4:$U$803,$B115&amp;"|"&amp;U$5)=0,"",SUMIF('Competency Event Log'!$U$4:$U$803,$B115&amp;"|"&amp;U$5,'Competency Event Log'!$D$4:$D$803)))</f>
        <v/>
      </c>
      <c r="V115" s="8" t="str">
        <f>IF($B115="","",IF(COUNTIF('Competency Event Log'!$U$4:$U$803,$B115&amp;"|"&amp;V$5)=0,"",SUMIF('Competency Event Log'!$U$4:$U$803,$B115&amp;"|"&amp;V$5,'Competency Event Log'!$D$4:$D$803)))</f>
        <v/>
      </c>
      <c r="W115" s="8" t="str">
        <f>IF($B115="","",IF(COUNTIF('Competency Event Log'!$U$4:$U$803,$B115&amp;"|"&amp;W$5)=0,"",SUMIF('Competency Event Log'!$U$4:$U$803,$B115&amp;"|"&amp;W$5,'Competency Event Log'!$D$4:$D$803)))</f>
        <v/>
      </c>
      <c r="X115" s="8" t="str">
        <f>IF($B115="","",IF(COUNTIF('Competency Event Log'!$U$4:$U$803,$B115&amp;"|"&amp;X$5)=0,"",SUMIF('Competency Event Log'!$U$4:$U$803,$B115&amp;"|"&amp;X$5,'Competency Event Log'!$D$4:$D$803)))</f>
        <v/>
      </c>
      <c r="Y115" s="8" t="str">
        <f>IF($B115="","",IF(COUNTIF('Competency Event Log'!$U$4:$U$803,$B115&amp;"|"&amp;Y$5)=0,"",SUMIF('Competency Event Log'!$U$4:$U$803,$B115&amp;"|"&amp;Y$5,'Competency Event Log'!$D$4:$D$803)))</f>
        <v/>
      </c>
      <c r="Z115" s="8" t="str">
        <f>IF($B115="","",IF(COUNTIF('Competency Event Log'!$U$4:$U$803,$B115&amp;"|"&amp;Z$5)=0,"",SUMIF('Competency Event Log'!$U$4:$U$803,$B115&amp;"|"&amp;Z$5,'Competency Event Log'!$D$4:$D$803)))</f>
        <v/>
      </c>
      <c r="AA115" s="8" t="str">
        <f>IF($B115="","",IF(COUNTIF('Competency Event Log'!$U$4:$U$803,$B115&amp;"|"&amp;AA$5)=0,"",SUMIF('Competency Event Log'!$U$4:$U$803,$B115&amp;"|"&amp;AA$5,'Competency Event Log'!$D$4:$D$803)))</f>
        <v/>
      </c>
      <c r="AB115" s="8" t="str">
        <f>IF($B115="","",IF(COUNTIF('Competency Event Log'!$U$4:$U$803,$B115&amp;"|"&amp;AB$5)=0,"",SUMIF('Competency Event Log'!$U$4:$U$803,$B115&amp;"|"&amp;AB$5,'Competency Event Log'!$D$4:$D$803)))</f>
        <v/>
      </c>
      <c r="AC115" s="8" t="str">
        <f>IF($B115="","",IF(COUNTIF('Competency Event Log'!$U$4:$U$803,$B115&amp;"|"&amp;AC$5)=0,"",SUMIF('Competency Event Log'!$U$4:$U$803,$B115&amp;"|"&amp;AC$5,'Competency Event Log'!$D$4:$D$803)))</f>
        <v/>
      </c>
      <c r="AD115" s="8" t="str">
        <f>IF($B115="","",IF(COUNTIF('Competency Event Log'!$U$4:$U$803,$B115&amp;"|"&amp;AD$5)=0,"",SUMIF('Competency Event Log'!$U$4:$U$803,$B115&amp;"|"&amp;AD$5,'Competency Event Log'!$D$4:$D$803)))</f>
        <v/>
      </c>
      <c r="AE115" s="8" t="str">
        <f>IF($B115="","",IF(COUNTIF('Competency Event Log'!$U$4:$U$803,$B115&amp;"|"&amp;AE$5)=0,"",SUMIF('Competency Event Log'!$U$4:$U$803,$B115&amp;"|"&amp;AE$5,'Competency Event Log'!$D$4:$D$803)))</f>
        <v/>
      </c>
      <c r="AF115" s="8" t="str">
        <f>IF($B115="","",IF(COUNTIF('Competency Event Log'!$U$4:$U$803,$B115&amp;"|"&amp;AF$5)=0,"",SUMIF('Competency Event Log'!$U$4:$U$803,$B115&amp;"|"&amp;AF$5,'Competency Event Log'!$D$4:$D$803)))</f>
        <v/>
      </c>
      <c r="AG115" s="8" t="str">
        <f>IF($B115="","",IF(COUNTIF('Competency Event Log'!$U$4:$U$803,$B115&amp;"|"&amp;AG$5)=0,"",SUMIF('Competency Event Log'!$U$4:$U$803,$B115&amp;"|"&amp;AG$5,'Competency Event Log'!$D$4:$D$803)))</f>
        <v/>
      </c>
      <c r="AH115" s="8" t="str">
        <f>IF($B115="","",IF(COUNTIF('Competency Event Log'!$U$4:$U$803,$B115&amp;"|"&amp;AH$5)=0,"",SUMIF('Competency Event Log'!$U$4:$U$803,$B115&amp;"|"&amp;AH$5,'Competency Event Log'!$D$4:$D$803)))</f>
        <v/>
      </c>
      <c r="AI115" s="8" t="str">
        <f>IF($B115="","",IF(COUNTIF('Competency Event Log'!$U$4:$U$803,$B115&amp;"|"&amp;AI$5)=0,"",SUMIF('Competency Event Log'!$U$4:$U$803,$B115&amp;"|"&amp;AI$5,'Competency Event Log'!$D$4:$D$803)))</f>
        <v/>
      </c>
      <c r="AJ115" s="8" t="str">
        <f>IF($B115="","",IF(COUNTIF('Competency Event Log'!$U$4:$U$803,$B115&amp;"|"&amp;AJ$5)=0,"",SUMIF('Competency Event Log'!$U$4:$U$803,$B115&amp;"|"&amp;AJ$5,'Competency Event Log'!$D$4:$D$803)))</f>
        <v/>
      </c>
      <c r="AK115" s="8" t="str">
        <f>IF($B115="","",IF(COUNTIF('Competency Event Log'!$U$4:$U$803,$B115&amp;"|"&amp;AK$5)=0,"",SUMIF('Competency Event Log'!$U$4:$U$803,$B115&amp;"|"&amp;AK$5,'Competency Event Log'!$D$4:$D$803)))</f>
        <v/>
      </c>
      <c r="AL115" s="8" t="str">
        <f>IF($B115="","",IF(COUNTIF('Competency Event Log'!$U$4:$U$803,$B115&amp;"|"&amp;AL$5)=0,"",SUMIF('Competency Event Log'!$U$4:$U$803,$B115&amp;"|"&amp;AL$5,'Competency Event Log'!$D$4:$D$803)))</f>
        <v/>
      </c>
      <c r="AM115" s="8" t="str">
        <f>IF($B115="","",IF(COUNTIF('Competency Event Log'!$U$4:$U$803,$B115&amp;"|"&amp;AM$5)=0,"",SUMIF('Competency Event Log'!$U$4:$U$803,$B115&amp;"|"&amp;AM$5,'Competency Event Log'!$D$4:$D$803)))</f>
        <v/>
      </c>
      <c r="AN115" s="8" t="str">
        <f>IF($B115="","",IF(COUNTIF('Competency Event Log'!$U$4:$U$803,$B115&amp;"|"&amp;AN$5)=0,"",SUMIF('Competency Event Log'!$U$4:$U$803,$B115&amp;"|"&amp;AN$5,'Competency Event Log'!$D$4:$D$803)))</f>
        <v/>
      </c>
      <c r="AO115" s="8" t="str">
        <f>IF($B115="","",IF(COUNTIF('Competency Event Log'!$U$4:$U$803,$B115&amp;"|"&amp;AO$5)=0,"",SUMIF('Competency Event Log'!$U$4:$U$803,$B115&amp;"|"&amp;AO$5,'Competency Event Log'!$D$4:$D$803)))</f>
        <v/>
      </c>
      <c r="AP115" s="8" t="str">
        <f>IF($B115="","",IF(COUNTIF('Competency Event Log'!$U$4:$U$803,$B115&amp;"|"&amp;AP$5)=0,"",SUMIF('Competency Event Log'!$U$4:$U$803,$B115&amp;"|"&amp;AP$5,'Competency Event Log'!$D$4:$D$803)))</f>
        <v/>
      </c>
      <c r="AQ115" s="8" t="str">
        <f>IF($B115="","",IF(COUNTIF('Competency Event Log'!$U$4:$U$803,$B115&amp;"|"&amp;AQ$5)=0,"",SUMIF('Competency Event Log'!$U$4:$U$803,$B115&amp;"|"&amp;AQ$5,'Competency Event Log'!$D$4:$D$803)))</f>
        <v/>
      </c>
      <c r="AR115" s="8" t="str">
        <f>IF($B115="","",IF(COUNTIF('Competency Event Log'!$U$4:$U$803,$B115&amp;"|"&amp;AR$5)=0,"",SUMIF('Competency Event Log'!$U$4:$U$803,$B115&amp;"|"&amp;AR$5,'Competency Event Log'!$D$4:$D$803)))</f>
        <v/>
      </c>
      <c r="AS115" s="8" t="str">
        <f>IF($B115="","",IF(COUNTIF('Competency Event Log'!$U$4:$U$803,$B115&amp;"|"&amp;AS$5)=0,"",SUMIF('Competency Event Log'!$U$4:$U$803,$B115&amp;"|"&amp;AS$5,'Competency Event Log'!$D$4:$D$803)))</f>
        <v/>
      </c>
      <c r="AT115" s="8" t="str">
        <f>IF($B115="","",IF(COUNTIF('Competency Event Log'!$U$4:$U$803,$B115&amp;"|"&amp;AT$5)=0,"",SUMIF('Competency Event Log'!$U$4:$U$803,$B115&amp;"|"&amp;AT$5,'Competency Event Log'!$D$4:$D$803)))</f>
        <v/>
      </c>
      <c r="AU115" s="8" t="str">
        <f>IF($B115="","",IF(COUNTIF('Competency Event Log'!$U$4:$U$803,$B115&amp;"|"&amp;AU$5)=0,"",SUMIF('Competency Event Log'!$U$4:$U$803,$B115&amp;"|"&amp;AU$5,'Competency Event Log'!$D$4:$D$803)))</f>
        <v/>
      </c>
      <c r="AV115" s="8" t="str">
        <f>IF($B115="","",IF(COUNTIF('Competency Event Log'!$U$4:$U$803,$B115&amp;"|"&amp;AV$5)=0,"",SUMIF('Competency Event Log'!$U$4:$U$803,$B115&amp;"|"&amp;AV$5,'Competency Event Log'!$D$4:$D$803)))</f>
        <v/>
      </c>
      <c r="AW115" s="8" t="str">
        <f>IF($B115="","",IF(COUNTIF('Competency Event Log'!$U$4:$U$803,$B115&amp;"|"&amp;AW$5)=0,"",SUMIF('Competency Event Log'!$U$4:$U$803,$B115&amp;"|"&amp;AW$5,'Competency Event Log'!$D$4:$D$803)))</f>
        <v/>
      </c>
      <c r="AX115" s="8" t="str">
        <f>IF($B115="","",IF(COUNTIF('Competency Event Log'!$U$4:$U$803,$B115&amp;"|"&amp;AX$5)=0,"",SUMIF('Competency Event Log'!$U$4:$U$803,$B115&amp;"|"&amp;AX$5,'Competency Event Log'!$D$4:$D$803)))</f>
        <v/>
      </c>
      <c r="AY115" s="8" t="str">
        <f>IF($B115="","",IF(COUNTIF('Competency Event Log'!$U$4:$U$803,$B115&amp;"|"&amp;AY$5)=0,"",SUMIF('Competency Event Log'!$U$4:$U$803,$B115&amp;"|"&amp;AY$5,'Competency Event Log'!$D$4:$D$803)))</f>
        <v/>
      </c>
      <c r="AZ115" s="8" t="str">
        <f>IF($B115="","",IF(COUNTIF('Competency Event Log'!$U$4:$U$803,$B115&amp;"|"&amp;AZ$5)=0,"",SUMIF('Competency Event Log'!$U$4:$U$803,$B115&amp;"|"&amp;AZ$5,'Competency Event Log'!$D$4:$D$803)))</f>
        <v/>
      </c>
      <c r="BA115" s="8" t="str">
        <f>IF($B115="","",IF(COUNTIF('Competency Event Log'!$U$4:$U$803,$B115&amp;"|"&amp;BA$5)=0,"",SUMIF('Competency Event Log'!$U$4:$U$803,$B115&amp;"|"&amp;BA$5,'Competency Event Log'!$D$4:$D$803)))</f>
        <v/>
      </c>
      <c r="BB115" s="8" t="str">
        <f>IF($B115="","",IF(COUNTIF('Competency Event Log'!$U$4:$U$803,$B115&amp;"|"&amp;BB$5)=0,"",SUMIF('Competency Event Log'!$U$4:$U$803,$B115&amp;"|"&amp;BB$5,'Competency Event Log'!$D$4:$D$803)))</f>
        <v/>
      </c>
      <c r="BC115" s="8" t="str">
        <f>IF($B115="","",IF(COUNTIF('Competency Event Log'!$U$4:$U$803,$B115&amp;"|"&amp;BC$5)=0,"",SUMIF('Competency Event Log'!$U$4:$U$803,$B115&amp;"|"&amp;BC$5,'Competency Event Log'!$D$4:$D$803)))</f>
        <v/>
      </c>
      <c r="BD115" s="8" t="str">
        <f>IF($B115="","",IF(COUNTIF('Competency Event Log'!$U$4:$U$803,$B115&amp;"|"&amp;BD$5)=0,"",SUMIF('Competency Event Log'!$U$4:$U$803,$B115&amp;"|"&amp;BD$5,'Competency Event Log'!$D$4:$D$803)))</f>
        <v/>
      </c>
      <c r="BE115" s="8" t="str">
        <f>IF($B115="","",IF(COUNTIF('Competency Event Log'!$U$4:$U$803,$B115&amp;"|"&amp;BE$5)=0,"",SUMIF('Competency Event Log'!$U$4:$U$803,$B115&amp;"|"&amp;BE$5,'Competency Event Log'!$D$4:$D$803)))</f>
        <v/>
      </c>
      <c r="BF115" s="8" t="str">
        <f>IF($B115="","",IF(COUNTIF('Competency Event Log'!$U$4:$U$803,$B115&amp;"|"&amp;BF$5)=0,"",SUMIF('Competency Event Log'!$U$4:$U$803,$B115&amp;"|"&amp;BF$5,'Competency Event Log'!$D$4:$D$803)))</f>
        <v/>
      </c>
      <c r="BG115" s="8" t="str">
        <f>IF($B115="","",IF(COUNTIF('Competency Event Log'!$U$4:$U$803,$B115&amp;"|"&amp;BG$5)=0,"",SUMIF('Competency Event Log'!$U$4:$U$803,$B115&amp;"|"&amp;BG$5,'Competency Event Log'!$D$4:$D$803)))</f>
        <v/>
      </c>
      <c r="BH115" s="8" t="str">
        <f>IF($B115="","",IF(COUNTIF('Competency Event Log'!$U$4:$U$803,$B115&amp;"|"&amp;BH$5)=0,"",SUMIF('Competency Event Log'!$U$4:$U$803,$B115&amp;"|"&amp;BH$5,'Competency Event Log'!$D$4:$D$803)))</f>
        <v/>
      </c>
      <c r="BI115" s="8" t="str">
        <f>IF($B115="","",IF(COUNTIF('Competency Event Log'!$U$4:$U$803,$B115&amp;"|"&amp;BI$5)=0,"",SUMIF('Competency Event Log'!$U$4:$U$803,$B115&amp;"|"&amp;BI$5,'Competency Event Log'!$D$4:$D$803)))</f>
        <v/>
      </c>
      <c r="BJ115" s="8" t="str">
        <f>IF($B115="","",IF(COUNTIF('Competency Event Log'!$U$4:$U$803,$B115&amp;"|"&amp;BJ$5)=0,"",SUMIF('Competency Event Log'!$U$4:$U$803,$B115&amp;"|"&amp;BJ$5,'Competency Event Log'!$D$4:$D$803)))</f>
        <v/>
      </c>
      <c r="BK115" s="8" t="str">
        <f>IF($B115="","",IF(COUNTIF('Competency Event Log'!$U$4:$U$803,$B115&amp;"|"&amp;BK$5)=0,"",SUMIF('Competency Event Log'!$U$4:$U$803,$B115&amp;"|"&amp;BK$5,'Competency Event Log'!$D$4:$D$803)))</f>
        <v/>
      </c>
      <c r="BL115" s="8" t="str">
        <f>IF($B115="","",IF(COUNTIF('Competency Event Log'!$U$4:$U$803,$B115&amp;"|"&amp;BL$5)=0,"",SUMIF('Competency Event Log'!$U$4:$U$803,$B115&amp;"|"&amp;BL$5,'Competency Event Log'!$D$4:$D$803)))</f>
        <v/>
      </c>
      <c r="BM115" s="8" t="str">
        <f>IF($B115="","",IF(COUNTIF('Competency Event Log'!$U$4:$U$803,$B115&amp;"|"&amp;BM$5)=0,"",SUMIF('Competency Event Log'!$U$4:$U$803,$B115&amp;"|"&amp;BM$5,'Competency Event Log'!$D$4:$D$803)))</f>
        <v/>
      </c>
      <c r="BN115" s="8" t="str">
        <f>IF($B115="","",IF(COUNTIF('Competency Event Log'!$U$4:$U$803,$B115&amp;"|"&amp;BN$5)=0,"",SUMIF('Competency Event Log'!$U$4:$U$803,$B115&amp;"|"&amp;BN$5,'Competency Event Log'!$D$4:$D$803)))</f>
        <v/>
      </c>
      <c r="BO115" s="8" t="str">
        <f>IF($B115="","",IF(COUNTIF('Competency Event Log'!$U$4:$U$803,$B115&amp;"|"&amp;BO$5)=0,"",SUMIF('Competency Event Log'!$U$4:$U$803,$B115&amp;"|"&amp;BO$5,'Competency Event Log'!$D$4:$D$803)))</f>
        <v/>
      </c>
      <c r="BP115" s="8" t="str">
        <f>IF($B115="","",IF(COUNTIF('Competency Event Log'!$U$4:$U$803,$B115&amp;"|"&amp;BP$5)=0,"",SUMIF('Competency Event Log'!$U$4:$U$803,$B115&amp;"|"&amp;BP$5,'Competency Event Log'!$D$4:$D$803)))</f>
        <v/>
      </c>
      <c r="BQ115" s="8" t="str">
        <f>IF($B115="","",IF(COUNTIF('Competency Event Log'!$U$4:$U$803,$B115&amp;"|"&amp;BQ$5)=0,"",SUMIF('Competency Event Log'!$U$4:$U$803,$B115&amp;"|"&amp;BQ$5,'Competency Event Log'!$D$4:$D$803)))</f>
        <v/>
      </c>
      <c r="BR115" s="8" t="str">
        <f>IF($B115="","",IF(COUNTIF('Competency Event Log'!$U$4:$U$803,$B115&amp;"|"&amp;BR$5)=0,"",SUMIF('Competency Event Log'!$U$4:$U$803,$B115&amp;"|"&amp;BR$5,'Competency Event Log'!$D$4:$D$803)))</f>
        <v/>
      </c>
      <c r="BS115" s="8" t="str">
        <f>IF($B115="","",IF(COUNTIF('Competency Event Log'!$U$4:$U$803,$B115&amp;"|"&amp;BS$5)=0,"",SUMIF('Competency Event Log'!$U$4:$U$803,$B115&amp;"|"&amp;BS$5,'Competency Event Log'!$D$4:$D$803)))</f>
        <v/>
      </c>
      <c r="BT115" s="8" t="str">
        <f>IF($B115="","",IF(COUNTIF('Competency Event Log'!$U$4:$U$803,$B115&amp;"|"&amp;BT$5)=0,"",SUMIF('Competency Event Log'!$U$4:$U$803,$B115&amp;"|"&amp;BT$5,'Competency Event Log'!$D$4:$D$803)))</f>
        <v/>
      </c>
      <c r="BU115" s="8" t="str">
        <f>IF($B115="","",IF(COUNTIF('Competency Event Log'!$U$4:$U$803,$B115&amp;"|"&amp;BU$5)=0,"",SUMIF('Competency Event Log'!$U$4:$U$803,$B115&amp;"|"&amp;BU$5,'Competency Event Log'!$D$4:$D$803)))</f>
        <v/>
      </c>
      <c r="BV115" s="8" t="str">
        <f>IF($B115="","",IF(COUNTIF('Competency Event Log'!$U$4:$U$803,$B115&amp;"|"&amp;BV$5)=0,"",SUMIF('Competency Event Log'!$U$4:$U$803,$B115&amp;"|"&amp;BV$5,'Competency Event Log'!$D$4:$D$803)))</f>
        <v/>
      </c>
      <c r="BW115" s="8" t="str">
        <f>IF($B115="","",IF(COUNTIF('Competency Event Log'!$U$4:$U$803,$B115&amp;"|"&amp;BW$5)=0,"",SUMIF('Competency Event Log'!$U$4:$U$803,$B115&amp;"|"&amp;BW$5,'Competency Event Log'!$D$4:$D$803)))</f>
        <v/>
      </c>
      <c r="BX115" s="8" t="str">
        <f>IF($B115="","",IF(COUNTIF('Competency Event Log'!$U$4:$U$803,$B115&amp;"|"&amp;BX$5)=0,"",SUMIF('Competency Event Log'!$U$4:$U$803,$B115&amp;"|"&amp;BX$5,'Competency Event Log'!$D$4:$D$803)))</f>
        <v/>
      </c>
      <c r="BY115" s="8" t="str">
        <f>IF($B115="","",IF(COUNTIF('Competency Event Log'!$U$4:$U$803,$B115&amp;"|"&amp;BY$5)=0,"",SUMIF('Competency Event Log'!$U$4:$U$803,$B115&amp;"|"&amp;BY$5,'Competency Event Log'!$D$4:$D$803)))</f>
        <v/>
      </c>
      <c r="BZ115" s="8" t="str">
        <f>IF($B115="","",IF(COUNTIF('Competency Event Log'!$U$4:$U$803,$B115&amp;"|"&amp;BZ$5)=0,"",SUMIF('Competency Event Log'!$U$4:$U$803,$B115&amp;"|"&amp;BZ$5,'Competency Event Log'!$D$4:$D$803)))</f>
        <v/>
      </c>
      <c r="CA115" s="8" t="str">
        <f>IF($B115="","",IF(COUNTIF('Competency Event Log'!$U$4:$U$803,$B115&amp;"|"&amp;CA$5)=0,"",SUMIF('Competency Event Log'!$U$4:$U$803,$B115&amp;"|"&amp;CA$5,'Competency Event Log'!$D$4:$D$803)))</f>
        <v/>
      </c>
      <c r="CB115" s="8" t="str">
        <f>IF($B115="","",IF(COUNTIF('Competency Event Log'!$U$4:$U$803,$B115&amp;"|"&amp;CB$5)=0,"",SUMIF('Competency Event Log'!$U$4:$U$803,$B115&amp;"|"&amp;CB$5,'Competency Event Log'!$D$4:$D$803)))</f>
        <v/>
      </c>
      <c r="CC115" s="8" t="str">
        <f>IF($B115="","",IF(COUNTIF('Competency Event Log'!$U$4:$U$803,$B115&amp;"|"&amp;CC$5)=0,"",SUMIF('Competency Event Log'!$U$4:$U$803,$B115&amp;"|"&amp;CC$5,'Competency Event Log'!$D$4:$D$803)))</f>
        <v/>
      </c>
      <c r="CD115" s="8" t="str">
        <f>IF($B115="","",IF(COUNTIF('Competency Event Log'!$U$4:$U$803,$B115&amp;"|"&amp;CD$5)=0,"",SUMIF('Competency Event Log'!$U$4:$U$803,$B115&amp;"|"&amp;CD$5,'Competency Event Log'!$D$4:$D$803)))</f>
        <v/>
      </c>
      <c r="CE115" s="8" t="str">
        <f>IF($B115="","",IF(COUNTIF('Competency Event Log'!$U$4:$U$803,$B115&amp;"|"&amp;CE$5)=0,"",SUMIF('Competency Event Log'!$U$4:$U$803,$B115&amp;"|"&amp;CE$5,'Competency Event Log'!$D$4:$D$803)))</f>
        <v/>
      </c>
      <c r="CF115" s="8" t="str">
        <f>IF($B115="","",IF(COUNTIF('Competency Event Log'!$U$4:$U$803,$B115&amp;"|"&amp;CF$5)=0,"",SUMIF('Competency Event Log'!$U$4:$U$803,$B115&amp;"|"&amp;CF$5,'Competency Event Log'!$D$4:$D$803)))</f>
        <v/>
      </c>
      <c r="CG115" s="8" t="str">
        <f>IF($B115="","",IF(COUNTIF('Competency Event Log'!$U$4:$U$803,$B115&amp;"|"&amp;CG$5)=0,"",SUMIF('Competency Event Log'!$U$4:$U$803,$B115&amp;"|"&amp;CG$5,'Competency Event Log'!$D$4:$D$803)))</f>
        <v/>
      </c>
      <c r="CH115" s="8" t="str">
        <f>IF($B115="","",IF(COUNTIF('Competency Event Log'!$U$4:$U$803,$B115&amp;"|"&amp;CH$5)=0,"",SUMIF('Competency Event Log'!$U$4:$U$803,$B115&amp;"|"&amp;CH$5,'Competency Event Log'!$D$4:$D$803)))</f>
        <v/>
      </c>
      <c r="CI115" s="8" t="str">
        <f>IF($B115="","",IF(COUNTIF('Competency Event Log'!$U$4:$U$803,$B115&amp;"|"&amp;CI$5)=0,"",SUMIF('Competency Event Log'!$U$4:$U$803,$B115&amp;"|"&amp;CI$5,'Competency Event Log'!$D$4:$D$803)))</f>
        <v/>
      </c>
      <c r="CJ115" s="8" t="str">
        <f>IF($B115="","",IF(COUNTIF('Competency Event Log'!$U$4:$U$803,$B115&amp;"|"&amp;CJ$5)=0,"",SUMIF('Competency Event Log'!$U$4:$U$803,$B115&amp;"|"&amp;CJ$5,'Competency Event Log'!$D$4:$D$803)))</f>
        <v/>
      </c>
      <c r="CK115" s="8" t="str">
        <f>IF($B115="","",IF(COUNTIF('Competency Event Log'!$U$4:$U$803,$B115&amp;"|"&amp;CK$5)=0,"",SUMIF('Competency Event Log'!$U$4:$U$803,$B115&amp;"|"&amp;CK$5,'Competency Event Log'!$D$4:$D$803)))</f>
        <v/>
      </c>
      <c r="CL115" s="8" t="str">
        <f>IF($B115="","",IF(COUNTIF('Competency Event Log'!$U$4:$U$803,$B115&amp;"|"&amp;CL$5)=0,"",SUMIF('Competency Event Log'!$U$4:$U$803,$B115&amp;"|"&amp;CL$5,'Competency Event Log'!$D$4:$D$803)))</f>
        <v/>
      </c>
      <c r="CM115" s="8" t="str">
        <f>IF($B115="","",IF(COUNTIF('Competency Event Log'!$U$4:$U$803,$B115&amp;"|"&amp;CM$5)=0,"",SUMIF('Competency Event Log'!$U$4:$U$803,$B115&amp;"|"&amp;CM$5,'Competency Event Log'!$D$4:$D$803)))</f>
        <v/>
      </c>
      <c r="CN115" s="8" t="str">
        <f>IF($B115="","",IF(COUNTIF('Competency Event Log'!$U$4:$U$803,$B115&amp;"|"&amp;CN$5)=0,"",SUMIF('Competency Event Log'!$U$4:$U$803,$B115&amp;"|"&amp;CN$5,'Competency Event Log'!$D$4:$D$803)))</f>
        <v/>
      </c>
      <c r="CO115" s="8" t="str">
        <f>IF($B115="","",IF(COUNTIF('Competency Event Log'!$U$4:$U$803,$B115&amp;"|"&amp;CO$5)=0,"",SUMIF('Competency Event Log'!$U$4:$U$803,$B115&amp;"|"&amp;CO$5,'Competency Event Log'!$D$4:$D$803)))</f>
        <v/>
      </c>
      <c r="CP115" s="8" t="str">
        <f>IF($B115="","",IF(COUNTIF('Competency Event Log'!$U$4:$U$803,$B115&amp;"|"&amp;CP$5)=0,"",SUMIF('Competency Event Log'!$U$4:$U$803,$B115&amp;"|"&amp;CP$5,'Competency Event Log'!$D$4:$D$803)))</f>
        <v/>
      </c>
      <c r="CQ115" s="8" t="str">
        <f>IF($B115="","",IF(COUNTIF('Competency Event Log'!$U$4:$U$803,$B115&amp;"|"&amp;CQ$5)=0,"",SUMIF('Competency Event Log'!$U$4:$U$803,$B115&amp;"|"&amp;CQ$5,'Competency Event Log'!$D$4:$D$803)))</f>
        <v/>
      </c>
      <c r="CR115" s="8" t="str">
        <f>IF($B115="","",IF(COUNTIF('Competency Event Log'!$U$4:$U$803,$B115&amp;"|"&amp;CR$5)=0,"",SUMIF('Competency Event Log'!$U$4:$U$803,$B115&amp;"|"&amp;CR$5,'Competency Event Log'!$D$4:$D$803)))</f>
        <v/>
      </c>
      <c r="CS115" s="8" t="str">
        <f>IF($B115="","",IF(COUNTIF('Competency Event Log'!$U$4:$U$803,$B115&amp;"|"&amp;CS$5)=0,"",SUMIF('Competency Event Log'!$U$4:$U$803,$B115&amp;"|"&amp;CS$5,'Competency Event Log'!$D$4:$D$803)))</f>
        <v/>
      </c>
      <c r="CT115" s="8" t="str">
        <f>IF($B115="","",IF(COUNTIF('Competency Event Log'!$U$4:$U$803,$B115&amp;"|"&amp;CT$5)=0,"",SUMIF('Competency Event Log'!$U$4:$U$803,$B115&amp;"|"&amp;CT$5,'Competency Event Log'!$D$4:$D$803)))</f>
        <v/>
      </c>
      <c r="CU115" s="8" t="str">
        <f>IF($B115="","",IF(COUNTIF('Competency Event Log'!$U$4:$U$803,$B115&amp;"|"&amp;CU$5)=0,"",SUMIF('Competency Event Log'!$U$4:$U$803,$B115&amp;"|"&amp;CU$5,'Competency Event Log'!$D$4:$D$803)))</f>
        <v/>
      </c>
      <c r="CV115" s="8" t="str">
        <f>IF($B115="","",IF(COUNTIF('Competency Event Log'!$U$4:$U$803,$B115&amp;"|"&amp;CV$5)=0,"",SUMIF('Competency Event Log'!$U$4:$U$803,$B115&amp;"|"&amp;CV$5,'Competency Event Log'!$D$4:$D$803)))</f>
        <v/>
      </c>
      <c r="CW115" s="8" t="str">
        <f>IF($B115="","",IF(COUNTIF('Competency Event Log'!$U$4:$U$803,$B115&amp;"|"&amp;CW$5)=0,"",SUMIF('Competency Event Log'!$U$4:$U$803,$B115&amp;"|"&amp;CW$5,'Competency Event Log'!$D$4:$D$803)))</f>
        <v/>
      </c>
      <c r="CX115" s="8" t="str">
        <f>IF($B115="","",IF(COUNTIF('Competency Event Log'!$U$4:$U$803,$B115&amp;"|"&amp;CX$5)=0,"",SUMIF('Competency Event Log'!$U$4:$U$803,$B115&amp;"|"&amp;CX$5,'Competency Event Log'!$D$4:$D$803)))</f>
        <v/>
      </c>
      <c r="CY115" s="8" t="str">
        <f>IF($B115="","",IF(COUNTIF('Competency Event Log'!$U$4:$U$803,$B115&amp;"|"&amp;CY$5)=0,"",SUMIF('Competency Event Log'!$U$4:$U$803,$B115&amp;"|"&amp;CY$5,'Competency Event Log'!$D$4:$D$803)))</f>
        <v/>
      </c>
      <c r="CZ115" s="8" t="str">
        <f>IF($B115="","",IF(COUNTIF('Competency Event Log'!$U$4:$U$803,$B115&amp;"|"&amp;CZ$5)=0,"",SUMIF('Competency Event Log'!$U$4:$U$803,$B115&amp;"|"&amp;CZ$5,'Competency Event Log'!$D$4:$D$803)))</f>
        <v/>
      </c>
      <c r="DA115" s="8" t="str">
        <f>IF($B115="","",IF(COUNTIF('Competency Event Log'!$U$4:$U$803,$B115&amp;"|"&amp;DA$5)=0,"",SUMIF('Competency Event Log'!$U$4:$U$803,$B115&amp;"|"&amp;DA$5,'Competency Event Log'!$D$4:$D$803)))</f>
        <v/>
      </c>
      <c r="DB115" s="8" t="str">
        <f>IF($B115="","",IF(COUNTIF('Competency Event Log'!$U$4:$U$803,$B115&amp;"|"&amp;DB$5)=0,"",SUMIF('Competency Event Log'!$U$4:$U$803,$B115&amp;"|"&amp;DB$5,'Competency Event Log'!$D$4:$D$803)))</f>
        <v/>
      </c>
      <c r="DC115" s="8" t="str">
        <f>IF($B115="","",IF(COUNTIF('Competency Event Log'!$U$4:$U$803,$B115&amp;"|"&amp;DC$5)=0,"",SUMIF('Competency Event Log'!$U$4:$U$803,$B115&amp;"|"&amp;DC$5,'Competency Event Log'!$D$4:$D$803)))</f>
        <v/>
      </c>
      <c r="DD115" s="8" t="str">
        <f>IF($B115="","",IF(COUNTIF('Competency Event Log'!$U$4:$U$803,$B115&amp;"|"&amp;DD$5)=0,"",SUMIF('Competency Event Log'!$U$4:$U$803,$B115&amp;"|"&amp;DD$5,'Competency Event Log'!$D$4:$D$803)))</f>
        <v/>
      </c>
      <c r="DE115" s="8" t="str">
        <f>IF($B115="","",IF(COUNTIF('Competency Event Log'!$U$4:$U$803,$B115&amp;"|"&amp;DE$5)=0,"",SUMIF('Competency Event Log'!$U$4:$U$803,$B115&amp;"|"&amp;DE$5,'Competency Event Log'!$D$4:$D$803)))</f>
        <v/>
      </c>
      <c r="DF115" s="8" t="str">
        <f t="shared" si="12"/>
        <v/>
      </c>
      <c r="DG115" s="8" t="str">
        <f t="shared" si="13"/>
        <v/>
      </c>
      <c r="DH115" s="8" t="str">
        <f t="shared" si="14"/>
        <v/>
      </c>
      <c r="DI115" s="11" t="str">
        <f t="shared" si="15"/>
        <v/>
      </c>
    </row>
    <row r="116" spans="1:113">
      <c r="A116" s="7"/>
      <c r="B116" s="7"/>
      <c r="C116" s="8"/>
      <c r="D116" s="9"/>
      <c r="E116" s="10"/>
      <c r="F116" s="8"/>
      <c r="G116" s="8" t="str">
        <f>IF($B116="","",IF(COUNTIF('Competency Event Log'!$U$4:$U$803,$B116&amp;"|"&amp;G$5)=0,"",SUMIF('Competency Event Log'!$U$4:$U$803,$B116&amp;"|"&amp;G$5,'Competency Event Log'!$D$4:$D$803)))</f>
        <v/>
      </c>
      <c r="H116" s="8" t="str">
        <f>IF($B116="","",IF(COUNTIF('Competency Event Log'!$U$4:$U$803,$B116&amp;"|"&amp;H$5)=0,"",SUMIF('Competency Event Log'!$U$4:$U$803,$B116&amp;"|"&amp;H$5,'Competency Event Log'!$D$4:$D$803)))</f>
        <v/>
      </c>
      <c r="I116" s="8" t="str">
        <f>IF($B116="","",IF(COUNTIF('Competency Event Log'!$U$4:$U$803,$B116&amp;"|"&amp;I$5)=0,"",SUMIF('Competency Event Log'!$U$4:$U$803,$B116&amp;"|"&amp;I$5,'Competency Event Log'!$D$4:$D$803)))</f>
        <v/>
      </c>
      <c r="J116" s="8" t="str">
        <f>IF($B116="","",IF(COUNTIF('Competency Event Log'!$U$4:$U$803,$B116&amp;"|"&amp;J$5)=0,"",SUMIF('Competency Event Log'!$U$4:$U$803,$B116&amp;"|"&amp;J$5,'Competency Event Log'!$D$4:$D$803)))</f>
        <v/>
      </c>
      <c r="K116" s="8" t="str">
        <f>IF($B116="","",IF(COUNTIF('Competency Event Log'!$U$4:$U$803,$B116&amp;"|"&amp;K$5)=0,"",SUMIF('Competency Event Log'!$U$4:$U$803,$B116&amp;"|"&amp;K$5,'Competency Event Log'!$D$4:$D$803)))</f>
        <v/>
      </c>
      <c r="L116" s="8" t="str">
        <f>IF($B116="","",IF(COUNTIF('Competency Event Log'!$U$4:$U$803,$B116&amp;"|"&amp;L$5)=0,"",SUMIF('Competency Event Log'!$U$4:$U$803,$B116&amp;"|"&amp;L$5,'Competency Event Log'!$D$4:$D$803)))</f>
        <v/>
      </c>
      <c r="M116" s="8" t="str">
        <f>IF($B116="","",IF(COUNTIF('Competency Event Log'!$U$4:$U$803,$B116&amp;"|"&amp;M$5)=0,"",SUMIF('Competency Event Log'!$U$4:$U$803,$B116&amp;"|"&amp;M$5,'Competency Event Log'!$D$4:$D$803)))</f>
        <v/>
      </c>
      <c r="N116" s="8" t="str">
        <f>IF($B116="","",IF(COUNTIF('Competency Event Log'!$U$4:$U$803,$B116&amp;"|"&amp;N$5)=0,"",SUMIF('Competency Event Log'!$U$4:$U$803,$B116&amp;"|"&amp;N$5,'Competency Event Log'!$D$4:$D$803)))</f>
        <v/>
      </c>
      <c r="O116" s="8" t="str">
        <f>IF($B116="","",IF(COUNTIF('Competency Event Log'!$U$4:$U$803,$B116&amp;"|"&amp;O$5)=0,"",SUMIF('Competency Event Log'!$U$4:$U$803,$B116&amp;"|"&amp;O$5,'Competency Event Log'!$D$4:$D$803)))</f>
        <v/>
      </c>
      <c r="P116" s="8" t="str">
        <f>IF($B116="","",IF(COUNTIF('Competency Event Log'!$U$4:$U$803,$B116&amp;"|"&amp;P$5)=0,"",SUMIF('Competency Event Log'!$U$4:$U$803,$B116&amp;"|"&amp;P$5,'Competency Event Log'!$D$4:$D$803)))</f>
        <v/>
      </c>
      <c r="Q116" s="8" t="str">
        <f>IF($B116="","",IF(COUNTIF('Competency Event Log'!$U$4:$U$803,$B116&amp;"|"&amp;Q$5)=0,"",SUMIF('Competency Event Log'!$U$4:$U$803,$B116&amp;"|"&amp;Q$5,'Competency Event Log'!$D$4:$D$803)))</f>
        <v/>
      </c>
      <c r="R116" s="8" t="str">
        <f>IF($B116="","",IF(COUNTIF('Competency Event Log'!$U$4:$U$803,$B116&amp;"|"&amp;R$5)=0,"",SUMIF('Competency Event Log'!$U$4:$U$803,$B116&amp;"|"&amp;R$5,'Competency Event Log'!$D$4:$D$803)))</f>
        <v/>
      </c>
      <c r="S116" s="8" t="str">
        <f>IF($B116="","",IF(COUNTIF('Competency Event Log'!$U$4:$U$803,$B116&amp;"|"&amp;S$5)=0,"",SUMIF('Competency Event Log'!$U$4:$U$803,$B116&amp;"|"&amp;S$5,'Competency Event Log'!$D$4:$D$803)))</f>
        <v/>
      </c>
      <c r="T116" s="8" t="str">
        <f>IF($B116="","",IF(COUNTIF('Competency Event Log'!$U$4:$U$803,$B116&amp;"|"&amp;T$5)=0,"",SUMIF('Competency Event Log'!$U$4:$U$803,$B116&amp;"|"&amp;T$5,'Competency Event Log'!$D$4:$D$803)))</f>
        <v/>
      </c>
      <c r="U116" s="8" t="str">
        <f>IF($B116="","",IF(COUNTIF('Competency Event Log'!$U$4:$U$803,$B116&amp;"|"&amp;U$5)=0,"",SUMIF('Competency Event Log'!$U$4:$U$803,$B116&amp;"|"&amp;U$5,'Competency Event Log'!$D$4:$D$803)))</f>
        <v/>
      </c>
      <c r="V116" s="8" t="str">
        <f>IF($B116="","",IF(COUNTIF('Competency Event Log'!$U$4:$U$803,$B116&amp;"|"&amp;V$5)=0,"",SUMIF('Competency Event Log'!$U$4:$U$803,$B116&amp;"|"&amp;V$5,'Competency Event Log'!$D$4:$D$803)))</f>
        <v/>
      </c>
      <c r="W116" s="8" t="str">
        <f>IF($B116="","",IF(COUNTIF('Competency Event Log'!$U$4:$U$803,$B116&amp;"|"&amp;W$5)=0,"",SUMIF('Competency Event Log'!$U$4:$U$803,$B116&amp;"|"&amp;W$5,'Competency Event Log'!$D$4:$D$803)))</f>
        <v/>
      </c>
      <c r="X116" s="8" t="str">
        <f>IF($B116="","",IF(COUNTIF('Competency Event Log'!$U$4:$U$803,$B116&amp;"|"&amp;X$5)=0,"",SUMIF('Competency Event Log'!$U$4:$U$803,$B116&amp;"|"&amp;X$5,'Competency Event Log'!$D$4:$D$803)))</f>
        <v/>
      </c>
      <c r="Y116" s="8" t="str">
        <f>IF($B116="","",IF(COUNTIF('Competency Event Log'!$U$4:$U$803,$B116&amp;"|"&amp;Y$5)=0,"",SUMIF('Competency Event Log'!$U$4:$U$803,$B116&amp;"|"&amp;Y$5,'Competency Event Log'!$D$4:$D$803)))</f>
        <v/>
      </c>
      <c r="Z116" s="8" t="str">
        <f>IF($B116="","",IF(COUNTIF('Competency Event Log'!$U$4:$U$803,$B116&amp;"|"&amp;Z$5)=0,"",SUMIF('Competency Event Log'!$U$4:$U$803,$B116&amp;"|"&amp;Z$5,'Competency Event Log'!$D$4:$D$803)))</f>
        <v/>
      </c>
      <c r="AA116" s="8" t="str">
        <f>IF($B116="","",IF(COUNTIF('Competency Event Log'!$U$4:$U$803,$B116&amp;"|"&amp;AA$5)=0,"",SUMIF('Competency Event Log'!$U$4:$U$803,$B116&amp;"|"&amp;AA$5,'Competency Event Log'!$D$4:$D$803)))</f>
        <v/>
      </c>
      <c r="AB116" s="8" t="str">
        <f>IF($B116="","",IF(COUNTIF('Competency Event Log'!$U$4:$U$803,$B116&amp;"|"&amp;AB$5)=0,"",SUMIF('Competency Event Log'!$U$4:$U$803,$B116&amp;"|"&amp;AB$5,'Competency Event Log'!$D$4:$D$803)))</f>
        <v/>
      </c>
      <c r="AC116" s="8" t="str">
        <f>IF($B116="","",IF(COUNTIF('Competency Event Log'!$U$4:$U$803,$B116&amp;"|"&amp;AC$5)=0,"",SUMIF('Competency Event Log'!$U$4:$U$803,$B116&amp;"|"&amp;AC$5,'Competency Event Log'!$D$4:$D$803)))</f>
        <v/>
      </c>
      <c r="AD116" s="8" t="str">
        <f>IF($B116="","",IF(COUNTIF('Competency Event Log'!$U$4:$U$803,$B116&amp;"|"&amp;AD$5)=0,"",SUMIF('Competency Event Log'!$U$4:$U$803,$B116&amp;"|"&amp;AD$5,'Competency Event Log'!$D$4:$D$803)))</f>
        <v/>
      </c>
      <c r="AE116" s="8" t="str">
        <f>IF($B116="","",IF(COUNTIF('Competency Event Log'!$U$4:$U$803,$B116&amp;"|"&amp;AE$5)=0,"",SUMIF('Competency Event Log'!$U$4:$U$803,$B116&amp;"|"&amp;AE$5,'Competency Event Log'!$D$4:$D$803)))</f>
        <v/>
      </c>
      <c r="AF116" s="8" t="str">
        <f>IF($B116="","",IF(COUNTIF('Competency Event Log'!$U$4:$U$803,$B116&amp;"|"&amp;AF$5)=0,"",SUMIF('Competency Event Log'!$U$4:$U$803,$B116&amp;"|"&amp;AF$5,'Competency Event Log'!$D$4:$D$803)))</f>
        <v/>
      </c>
      <c r="AG116" s="8" t="str">
        <f>IF($B116="","",IF(COUNTIF('Competency Event Log'!$U$4:$U$803,$B116&amp;"|"&amp;AG$5)=0,"",SUMIF('Competency Event Log'!$U$4:$U$803,$B116&amp;"|"&amp;AG$5,'Competency Event Log'!$D$4:$D$803)))</f>
        <v/>
      </c>
      <c r="AH116" s="8" t="str">
        <f>IF($B116="","",IF(COUNTIF('Competency Event Log'!$U$4:$U$803,$B116&amp;"|"&amp;AH$5)=0,"",SUMIF('Competency Event Log'!$U$4:$U$803,$B116&amp;"|"&amp;AH$5,'Competency Event Log'!$D$4:$D$803)))</f>
        <v/>
      </c>
      <c r="AI116" s="8" t="str">
        <f>IF($B116="","",IF(COUNTIF('Competency Event Log'!$U$4:$U$803,$B116&amp;"|"&amp;AI$5)=0,"",SUMIF('Competency Event Log'!$U$4:$U$803,$B116&amp;"|"&amp;AI$5,'Competency Event Log'!$D$4:$D$803)))</f>
        <v/>
      </c>
      <c r="AJ116" s="8" t="str">
        <f>IF($B116="","",IF(COUNTIF('Competency Event Log'!$U$4:$U$803,$B116&amp;"|"&amp;AJ$5)=0,"",SUMIF('Competency Event Log'!$U$4:$U$803,$B116&amp;"|"&amp;AJ$5,'Competency Event Log'!$D$4:$D$803)))</f>
        <v/>
      </c>
      <c r="AK116" s="8" t="str">
        <f>IF($B116="","",IF(COUNTIF('Competency Event Log'!$U$4:$U$803,$B116&amp;"|"&amp;AK$5)=0,"",SUMIF('Competency Event Log'!$U$4:$U$803,$B116&amp;"|"&amp;AK$5,'Competency Event Log'!$D$4:$D$803)))</f>
        <v/>
      </c>
      <c r="AL116" s="8" t="str">
        <f>IF($B116="","",IF(COUNTIF('Competency Event Log'!$U$4:$U$803,$B116&amp;"|"&amp;AL$5)=0,"",SUMIF('Competency Event Log'!$U$4:$U$803,$B116&amp;"|"&amp;AL$5,'Competency Event Log'!$D$4:$D$803)))</f>
        <v/>
      </c>
      <c r="AM116" s="8" t="str">
        <f>IF($B116="","",IF(COUNTIF('Competency Event Log'!$U$4:$U$803,$B116&amp;"|"&amp;AM$5)=0,"",SUMIF('Competency Event Log'!$U$4:$U$803,$B116&amp;"|"&amp;AM$5,'Competency Event Log'!$D$4:$D$803)))</f>
        <v/>
      </c>
      <c r="AN116" s="8" t="str">
        <f>IF($B116="","",IF(COUNTIF('Competency Event Log'!$U$4:$U$803,$B116&amp;"|"&amp;AN$5)=0,"",SUMIF('Competency Event Log'!$U$4:$U$803,$B116&amp;"|"&amp;AN$5,'Competency Event Log'!$D$4:$D$803)))</f>
        <v/>
      </c>
      <c r="AO116" s="8" t="str">
        <f>IF($B116="","",IF(COUNTIF('Competency Event Log'!$U$4:$U$803,$B116&amp;"|"&amp;AO$5)=0,"",SUMIF('Competency Event Log'!$U$4:$U$803,$B116&amp;"|"&amp;AO$5,'Competency Event Log'!$D$4:$D$803)))</f>
        <v/>
      </c>
      <c r="AP116" s="8" t="str">
        <f>IF($B116="","",IF(COUNTIF('Competency Event Log'!$U$4:$U$803,$B116&amp;"|"&amp;AP$5)=0,"",SUMIF('Competency Event Log'!$U$4:$U$803,$B116&amp;"|"&amp;AP$5,'Competency Event Log'!$D$4:$D$803)))</f>
        <v/>
      </c>
      <c r="AQ116" s="8" t="str">
        <f>IF($B116="","",IF(COUNTIF('Competency Event Log'!$U$4:$U$803,$B116&amp;"|"&amp;AQ$5)=0,"",SUMIF('Competency Event Log'!$U$4:$U$803,$B116&amp;"|"&amp;AQ$5,'Competency Event Log'!$D$4:$D$803)))</f>
        <v/>
      </c>
      <c r="AR116" s="8" t="str">
        <f>IF($B116="","",IF(COUNTIF('Competency Event Log'!$U$4:$U$803,$B116&amp;"|"&amp;AR$5)=0,"",SUMIF('Competency Event Log'!$U$4:$U$803,$B116&amp;"|"&amp;AR$5,'Competency Event Log'!$D$4:$D$803)))</f>
        <v/>
      </c>
      <c r="AS116" s="8" t="str">
        <f>IF($B116="","",IF(COUNTIF('Competency Event Log'!$U$4:$U$803,$B116&amp;"|"&amp;AS$5)=0,"",SUMIF('Competency Event Log'!$U$4:$U$803,$B116&amp;"|"&amp;AS$5,'Competency Event Log'!$D$4:$D$803)))</f>
        <v/>
      </c>
      <c r="AT116" s="8" t="str">
        <f>IF($B116="","",IF(COUNTIF('Competency Event Log'!$U$4:$U$803,$B116&amp;"|"&amp;AT$5)=0,"",SUMIF('Competency Event Log'!$U$4:$U$803,$B116&amp;"|"&amp;AT$5,'Competency Event Log'!$D$4:$D$803)))</f>
        <v/>
      </c>
      <c r="AU116" s="8" t="str">
        <f>IF($B116="","",IF(COUNTIF('Competency Event Log'!$U$4:$U$803,$B116&amp;"|"&amp;AU$5)=0,"",SUMIF('Competency Event Log'!$U$4:$U$803,$B116&amp;"|"&amp;AU$5,'Competency Event Log'!$D$4:$D$803)))</f>
        <v/>
      </c>
      <c r="AV116" s="8" t="str">
        <f>IF($B116="","",IF(COUNTIF('Competency Event Log'!$U$4:$U$803,$B116&amp;"|"&amp;AV$5)=0,"",SUMIF('Competency Event Log'!$U$4:$U$803,$B116&amp;"|"&amp;AV$5,'Competency Event Log'!$D$4:$D$803)))</f>
        <v/>
      </c>
      <c r="AW116" s="8" t="str">
        <f>IF($B116="","",IF(COUNTIF('Competency Event Log'!$U$4:$U$803,$B116&amp;"|"&amp;AW$5)=0,"",SUMIF('Competency Event Log'!$U$4:$U$803,$B116&amp;"|"&amp;AW$5,'Competency Event Log'!$D$4:$D$803)))</f>
        <v/>
      </c>
      <c r="AX116" s="8" t="str">
        <f>IF($B116="","",IF(COUNTIF('Competency Event Log'!$U$4:$U$803,$B116&amp;"|"&amp;AX$5)=0,"",SUMIF('Competency Event Log'!$U$4:$U$803,$B116&amp;"|"&amp;AX$5,'Competency Event Log'!$D$4:$D$803)))</f>
        <v/>
      </c>
      <c r="AY116" s="8" t="str">
        <f>IF($B116="","",IF(COUNTIF('Competency Event Log'!$U$4:$U$803,$B116&amp;"|"&amp;AY$5)=0,"",SUMIF('Competency Event Log'!$U$4:$U$803,$B116&amp;"|"&amp;AY$5,'Competency Event Log'!$D$4:$D$803)))</f>
        <v/>
      </c>
      <c r="AZ116" s="8" t="str">
        <f>IF($B116="","",IF(COUNTIF('Competency Event Log'!$U$4:$U$803,$B116&amp;"|"&amp;AZ$5)=0,"",SUMIF('Competency Event Log'!$U$4:$U$803,$B116&amp;"|"&amp;AZ$5,'Competency Event Log'!$D$4:$D$803)))</f>
        <v/>
      </c>
      <c r="BA116" s="8" t="str">
        <f>IF($B116="","",IF(COUNTIF('Competency Event Log'!$U$4:$U$803,$B116&amp;"|"&amp;BA$5)=0,"",SUMIF('Competency Event Log'!$U$4:$U$803,$B116&amp;"|"&amp;BA$5,'Competency Event Log'!$D$4:$D$803)))</f>
        <v/>
      </c>
      <c r="BB116" s="8" t="str">
        <f>IF($B116="","",IF(COUNTIF('Competency Event Log'!$U$4:$U$803,$B116&amp;"|"&amp;BB$5)=0,"",SUMIF('Competency Event Log'!$U$4:$U$803,$B116&amp;"|"&amp;BB$5,'Competency Event Log'!$D$4:$D$803)))</f>
        <v/>
      </c>
      <c r="BC116" s="8" t="str">
        <f>IF($B116="","",IF(COUNTIF('Competency Event Log'!$U$4:$U$803,$B116&amp;"|"&amp;BC$5)=0,"",SUMIF('Competency Event Log'!$U$4:$U$803,$B116&amp;"|"&amp;BC$5,'Competency Event Log'!$D$4:$D$803)))</f>
        <v/>
      </c>
      <c r="BD116" s="8" t="str">
        <f>IF($B116="","",IF(COUNTIF('Competency Event Log'!$U$4:$U$803,$B116&amp;"|"&amp;BD$5)=0,"",SUMIF('Competency Event Log'!$U$4:$U$803,$B116&amp;"|"&amp;BD$5,'Competency Event Log'!$D$4:$D$803)))</f>
        <v/>
      </c>
      <c r="BE116" s="8" t="str">
        <f>IF($B116="","",IF(COUNTIF('Competency Event Log'!$U$4:$U$803,$B116&amp;"|"&amp;BE$5)=0,"",SUMIF('Competency Event Log'!$U$4:$U$803,$B116&amp;"|"&amp;BE$5,'Competency Event Log'!$D$4:$D$803)))</f>
        <v/>
      </c>
      <c r="BF116" s="8" t="str">
        <f>IF($B116="","",IF(COUNTIF('Competency Event Log'!$U$4:$U$803,$B116&amp;"|"&amp;BF$5)=0,"",SUMIF('Competency Event Log'!$U$4:$U$803,$B116&amp;"|"&amp;BF$5,'Competency Event Log'!$D$4:$D$803)))</f>
        <v/>
      </c>
      <c r="BG116" s="8" t="str">
        <f>IF($B116="","",IF(COUNTIF('Competency Event Log'!$U$4:$U$803,$B116&amp;"|"&amp;BG$5)=0,"",SUMIF('Competency Event Log'!$U$4:$U$803,$B116&amp;"|"&amp;BG$5,'Competency Event Log'!$D$4:$D$803)))</f>
        <v/>
      </c>
      <c r="BH116" s="8" t="str">
        <f>IF($B116="","",IF(COUNTIF('Competency Event Log'!$U$4:$U$803,$B116&amp;"|"&amp;BH$5)=0,"",SUMIF('Competency Event Log'!$U$4:$U$803,$B116&amp;"|"&amp;BH$5,'Competency Event Log'!$D$4:$D$803)))</f>
        <v/>
      </c>
      <c r="BI116" s="8" t="str">
        <f>IF($B116="","",IF(COUNTIF('Competency Event Log'!$U$4:$U$803,$B116&amp;"|"&amp;BI$5)=0,"",SUMIF('Competency Event Log'!$U$4:$U$803,$B116&amp;"|"&amp;BI$5,'Competency Event Log'!$D$4:$D$803)))</f>
        <v/>
      </c>
      <c r="BJ116" s="8" t="str">
        <f>IF($B116="","",IF(COUNTIF('Competency Event Log'!$U$4:$U$803,$B116&amp;"|"&amp;BJ$5)=0,"",SUMIF('Competency Event Log'!$U$4:$U$803,$B116&amp;"|"&amp;BJ$5,'Competency Event Log'!$D$4:$D$803)))</f>
        <v/>
      </c>
      <c r="BK116" s="8" t="str">
        <f>IF($B116="","",IF(COUNTIF('Competency Event Log'!$U$4:$U$803,$B116&amp;"|"&amp;BK$5)=0,"",SUMIF('Competency Event Log'!$U$4:$U$803,$B116&amp;"|"&amp;BK$5,'Competency Event Log'!$D$4:$D$803)))</f>
        <v/>
      </c>
      <c r="BL116" s="8" t="str">
        <f>IF($B116="","",IF(COUNTIF('Competency Event Log'!$U$4:$U$803,$B116&amp;"|"&amp;BL$5)=0,"",SUMIF('Competency Event Log'!$U$4:$U$803,$B116&amp;"|"&amp;BL$5,'Competency Event Log'!$D$4:$D$803)))</f>
        <v/>
      </c>
      <c r="BM116" s="8" t="str">
        <f>IF($B116="","",IF(COUNTIF('Competency Event Log'!$U$4:$U$803,$B116&amp;"|"&amp;BM$5)=0,"",SUMIF('Competency Event Log'!$U$4:$U$803,$B116&amp;"|"&amp;BM$5,'Competency Event Log'!$D$4:$D$803)))</f>
        <v/>
      </c>
      <c r="BN116" s="8" t="str">
        <f>IF($B116="","",IF(COUNTIF('Competency Event Log'!$U$4:$U$803,$B116&amp;"|"&amp;BN$5)=0,"",SUMIF('Competency Event Log'!$U$4:$U$803,$B116&amp;"|"&amp;BN$5,'Competency Event Log'!$D$4:$D$803)))</f>
        <v/>
      </c>
      <c r="BO116" s="8" t="str">
        <f>IF($B116="","",IF(COUNTIF('Competency Event Log'!$U$4:$U$803,$B116&amp;"|"&amp;BO$5)=0,"",SUMIF('Competency Event Log'!$U$4:$U$803,$B116&amp;"|"&amp;BO$5,'Competency Event Log'!$D$4:$D$803)))</f>
        <v/>
      </c>
      <c r="BP116" s="8" t="str">
        <f>IF($B116="","",IF(COUNTIF('Competency Event Log'!$U$4:$U$803,$B116&amp;"|"&amp;BP$5)=0,"",SUMIF('Competency Event Log'!$U$4:$U$803,$B116&amp;"|"&amp;BP$5,'Competency Event Log'!$D$4:$D$803)))</f>
        <v/>
      </c>
      <c r="BQ116" s="8" t="str">
        <f>IF($B116="","",IF(COUNTIF('Competency Event Log'!$U$4:$U$803,$B116&amp;"|"&amp;BQ$5)=0,"",SUMIF('Competency Event Log'!$U$4:$U$803,$B116&amp;"|"&amp;BQ$5,'Competency Event Log'!$D$4:$D$803)))</f>
        <v/>
      </c>
      <c r="BR116" s="8" t="str">
        <f>IF($B116="","",IF(COUNTIF('Competency Event Log'!$U$4:$U$803,$B116&amp;"|"&amp;BR$5)=0,"",SUMIF('Competency Event Log'!$U$4:$U$803,$B116&amp;"|"&amp;BR$5,'Competency Event Log'!$D$4:$D$803)))</f>
        <v/>
      </c>
      <c r="BS116" s="8" t="str">
        <f>IF($B116="","",IF(COUNTIF('Competency Event Log'!$U$4:$U$803,$B116&amp;"|"&amp;BS$5)=0,"",SUMIF('Competency Event Log'!$U$4:$U$803,$B116&amp;"|"&amp;BS$5,'Competency Event Log'!$D$4:$D$803)))</f>
        <v/>
      </c>
      <c r="BT116" s="8" t="str">
        <f>IF($B116="","",IF(COUNTIF('Competency Event Log'!$U$4:$U$803,$B116&amp;"|"&amp;BT$5)=0,"",SUMIF('Competency Event Log'!$U$4:$U$803,$B116&amp;"|"&amp;BT$5,'Competency Event Log'!$D$4:$D$803)))</f>
        <v/>
      </c>
      <c r="BU116" s="8" t="str">
        <f>IF($B116="","",IF(COUNTIF('Competency Event Log'!$U$4:$U$803,$B116&amp;"|"&amp;BU$5)=0,"",SUMIF('Competency Event Log'!$U$4:$U$803,$B116&amp;"|"&amp;BU$5,'Competency Event Log'!$D$4:$D$803)))</f>
        <v/>
      </c>
      <c r="BV116" s="8" t="str">
        <f>IF($B116="","",IF(COUNTIF('Competency Event Log'!$U$4:$U$803,$B116&amp;"|"&amp;BV$5)=0,"",SUMIF('Competency Event Log'!$U$4:$U$803,$B116&amp;"|"&amp;BV$5,'Competency Event Log'!$D$4:$D$803)))</f>
        <v/>
      </c>
      <c r="BW116" s="8" t="str">
        <f>IF($B116="","",IF(COUNTIF('Competency Event Log'!$U$4:$U$803,$B116&amp;"|"&amp;BW$5)=0,"",SUMIF('Competency Event Log'!$U$4:$U$803,$B116&amp;"|"&amp;BW$5,'Competency Event Log'!$D$4:$D$803)))</f>
        <v/>
      </c>
      <c r="BX116" s="8" t="str">
        <f>IF($B116="","",IF(COUNTIF('Competency Event Log'!$U$4:$U$803,$B116&amp;"|"&amp;BX$5)=0,"",SUMIF('Competency Event Log'!$U$4:$U$803,$B116&amp;"|"&amp;BX$5,'Competency Event Log'!$D$4:$D$803)))</f>
        <v/>
      </c>
      <c r="BY116" s="8" t="str">
        <f>IF($B116="","",IF(COUNTIF('Competency Event Log'!$U$4:$U$803,$B116&amp;"|"&amp;BY$5)=0,"",SUMIF('Competency Event Log'!$U$4:$U$803,$B116&amp;"|"&amp;BY$5,'Competency Event Log'!$D$4:$D$803)))</f>
        <v/>
      </c>
      <c r="BZ116" s="8" t="str">
        <f>IF($B116="","",IF(COUNTIF('Competency Event Log'!$U$4:$U$803,$B116&amp;"|"&amp;BZ$5)=0,"",SUMIF('Competency Event Log'!$U$4:$U$803,$B116&amp;"|"&amp;BZ$5,'Competency Event Log'!$D$4:$D$803)))</f>
        <v/>
      </c>
      <c r="CA116" s="8" t="str">
        <f>IF($B116="","",IF(COUNTIF('Competency Event Log'!$U$4:$U$803,$B116&amp;"|"&amp;CA$5)=0,"",SUMIF('Competency Event Log'!$U$4:$U$803,$B116&amp;"|"&amp;CA$5,'Competency Event Log'!$D$4:$D$803)))</f>
        <v/>
      </c>
      <c r="CB116" s="8" t="str">
        <f>IF($B116="","",IF(COUNTIF('Competency Event Log'!$U$4:$U$803,$B116&amp;"|"&amp;CB$5)=0,"",SUMIF('Competency Event Log'!$U$4:$U$803,$B116&amp;"|"&amp;CB$5,'Competency Event Log'!$D$4:$D$803)))</f>
        <v/>
      </c>
      <c r="CC116" s="8" t="str">
        <f>IF($B116="","",IF(COUNTIF('Competency Event Log'!$U$4:$U$803,$B116&amp;"|"&amp;CC$5)=0,"",SUMIF('Competency Event Log'!$U$4:$U$803,$B116&amp;"|"&amp;CC$5,'Competency Event Log'!$D$4:$D$803)))</f>
        <v/>
      </c>
      <c r="CD116" s="8" t="str">
        <f>IF($B116="","",IF(COUNTIF('Competency Event Log'!$U$4:$U$803,$B116&amp;"|"&amp;CD$5)=0,"",SUMIF('Competency Event Log'!$U$4:$U$803,$B116&amp;"|"&amp;CD$5,'Competency Event Log'!$D$4:$D$803)))</f>
        <v/>
      </c>
      <c r="CE116" s="8" t="str">
        <f>IF($B116="","",IF(COUNTIF('Competency Event Log'!$U$4:$U$803,$B116&amp;"|"&amp;CE$5)=0,"",SUMIF('Competency Event Log'!$U$4:$U$803,$B116&amp;"|"&amp;CE$5,'Competency Event Log'!$D$4:$D$803)))</f>
        <v/>
      </c>
      <c r="CF116" s="8" t="str">
        <f>IF($B116="","",IF(COUNTIF('Competency Event Log'!$U$4:$U$803,$B116&amp;"|"&amp;CF$5)=0,"",SUMIF('Competency Event Log'!$U$4:$U$803,$B116&amp;"|"&amp;CF$5,'Competency Event Log'!$D$4:$D$803)))</f>
        <v/>
      </c>
      <c r="CG116" s="8" t="str">
        <f>IF($B116="","",IF(COUNTIF('Competency Event Log'!$U$4:$U$803,$B116&amp;"|"&amp;CG$5)=0,"",SUMIF('Competency Event Log'!$U$4:$U$803,$B116&amp;"|"&amp;CG$5,'Competency Event Log'!$D$4:$D$803)))</f>
        <v/>
      </c>
      <c r="CH116" s="8" t="str">
        <f>IF($B116="","",IF(COUNTIF('Competency Event Log'!$U$4:$U$803,$B116&amp;"|"&amp;CH$5)=0,"",SUMIF('Competency Event Log'!$U$4:$U$803,$B116&amp;"|"&amp;CH$5,'Competency Event Log'!$D$4:$D$803)))</f>
        <v/>
      </c>
      <c r="CI116" s="8" t="str">
        <f>IF($B116="","",IF(COUNTIF('Competency Event Log'!$U$4:$U$803,$B116&amp;"|"&amp;CI$5)=0,"",SUMIF('Competency Event Log'!$U$4:$U$803,$B116&amp;"|"&amp;CI$5,'Competency Event Log'!$D$4:$D$803)))</f>
        <v/>
      </c>
      <c r="CJ116" s="8" t="str">
        <f>IF($B116="","",IF(COUNTIF('Competency Event Log'!$U$4:$U$803,$B116&amp;"|"&amp;CJ$5)=0,"",SUMIF('Competency Event Log'!$U$4:$U$803,$B116&amp;"|"&amp;CJ$5,'Competency Event Log'!$D$4:$D$803)))</f>
        <v/>
      </c>
      <c r="CK116" s="8" t="str">
        <f>IF($B116="","",IF(COUNTIF('Competency Event Log'!$U$4:$U$803,$B116&amp;"|"&amp;CK$5)=0,"",SUMIF('Competency Event Log'!$U$4:$U$803,$B116&amp;"|"&amp;CK$5,'Competency Event Log'!$D$4:$D$803)))</f>
        <v/>
      </c>
      <c r="CL116" s="8" t="str">
        <f>IF($B116="","",IF(COUNTIF('Competency Event Log'!$U$4:$U$803,$B116&amp;"|"&amp;CL$5)=0,"",SUMIF('Competency Event Log'!$U$4:$U$803,$B116&amp;"|"&amp;CL$5,'Competency Event Log'!$D$4:$D$803)))</f>
        <v/>
      </c>
      <c r="CM116" s="8" t="str">
        <f>IF($B116="","",IF(COUNTIF('Competency Event Log'!$U$4:$U$803,$B116&amp;"|"&amp;CM$5)=0,"",SUMIF('Competency Event Log'!$U$4:$U$803,$B116&amp;"|"&amp;CM$5,'Competency Event Log'!$D$4:$D$803)))</f>
        <v/>
      </c>
      <c r="CN116" s="8" t="str">
        <f>IF($B116="","",IF(COUNTIF('Competency Event Log'!$U$4:$U$803,$B116&amp;"|"&amp;CN$5)=0,"",SUMIF('Competency Event Log'!$U$4:$U$803,$B116&amp;"|"&amp;CN$5,'Competency Event Log'!$D$4:$D$803)))</f>
        <v/>
      </c>
      <c r="CO116" s="8" t="str">
        <f>IF($B116="","",IF(COUNTIF('Competency Event Log'!$U$4:$U$803,$B116&amp;"|"&amp;CO$5)=0,"",SUMIF('Competency Event Log'!$U$4:$U$803,$B116&amp;"|"&amp;CO$5,'Competency Event Log'!$D$4:$D$803)))</f>
        <v/>
      </c>
      <c r="CP116" s="8" t="str">
        <f>IF($B116="","",IF(COUNTIF('Competency Event Log'!$U$4:$U$803,$B116&amp;"|"&amp;CP$5)=0,"",SUMIF('Competency Event Log'!$U$4:$U$803,$B116&amp;"|"&amp;CP$5,'Competency Event Log'!$D$4:$D$803)))</f>
        <v/>
      </c>
      <c r="CQ116" s="8" t="str">
        <f>IF($B116="","",IF(COUNTIF('Competency Event Log'!$U$4:$U$803,$B116&amp;"|"&amp;CQ$5)=0,"",SUMIF('Competency Event Log'!$U$4:$U$803,$B116&amp;"|"&amp;CQ$5,'Competency Event Log'!$D$4:$D$803)))</f>
        <v/>
      </c>
      <c r="CR116" s="8" t="str">
        <f>IF($B116="","",IF(COUNTIF('Competency Event Log'!$U$4:$U$803,$B116&amp;"|"&amp;CR$5)=0,"",SUMIF('Competency Event Log'!$U$4:$U$803,$B116&amp;"|"&amp;CR$5,'Competency Event Log'!$D$4:$D$803)))</f>
        <v/>
      </c>
      <c r="CS116" s="8" t="str">
        <f>IF($B116="","",IF(COUNTIF('Competency Event Log'!$U$4:$U$803,$B116&amp;"|"&amp;CS$5)=0,"",SUMIF('Competency Event Log'!$U$4:$U$803,$B116&amp;"|"&amp;CS$5,'Competency Event Log'!$D$4:$D$803)))</f>
        <v/>
      </c>
      <c r="CT116" s="8" t="str">
        <f>IF($B116="","",IF(COUNTIF('Competency Event Log'!$U$4:$U$803,$B116&amp;"|"&amp;CT$5)=0,"",SUMIF('Competency Event Log'!$U$4:$U$803,$B116&amp;"|"&amp;CT$5,'Competency Event Log'!$D$4:$D$803)))</f>
        <v/>
      </c>
      <c r="CU116" s="8" t="str">
        <f>IF($B116="","",IF(COUNTIF('Competency Event Log'!$U$4:$U$803,$B116&amp;"|"&amp;CU$5)=0,"",SUMIF('Competency Event Log'!$U$4:$U$803,$B116&amp;"|"&amp;CU$5,'Competency Event Log'!$D$4:$D$803)))</f>
        <v/>
      </c>
      <c r="CV116" s="8" t="str">
        <f>IF($B116="","",IF(COUNTIF('Competency Event Log'!$U$4:$U$803,$B116&amp;"|"&amp;CV$5)=0,"",SUMIF('Competency Event Log'!$U$4:$U$803,$B116&amp;"|"&amp;CV$5,'Competency Event Log'!$D$4:$D$803)))</f>
        <v/>
      </c>
      <c r="CW116" s="8" t="str">
        <f>IF($B116="","",IF(COUNTIF('Competency Event Log'!$U$4:$U$803,$B116&amp;"|"&amp;CW$5)=0,"",SUMIF('Competency Event Log'!$U$4:$U$803,$B116&amp;"|"&amp;CW$5,'Competency Event Log'!$D$4:$D$803)))</f>
        <v/>
      </c>
      <c r="CX116" s="8" t="str">
        <f>IF($B116="","",IF(COUNTIF('Competency Event Log'!$U$4:$U$803,$B116&amp;"|"&amp;CX$5)=0,"",SUMIF('Competency Event Log'!$U$4:$U$803,$B116&amp;"|"&amp;CX$5,'Competency Event Log'!$D$4:$D$803)))</f>
        <v/>
      </c>
      <c r="CY116" s="8" t="str">
        <f>IF($B116="","",IF(COUNTIF('Competency Event Log'!$U$4:$U$803,$B116&amp;"|"&amp;CY$5)=0,"",SUMIF('Competency Event Log'!$U$4:$U$803,$B116&amp;"|"&amp;CY$5,'Competency Event Log'!$D$4:$D$803)))</f>
        <v/>
      </c>
      <c r="CZ116" s="8" t="str">
        <f>IF($B116="","",IF(COUNTIF('Competency Event Log'!$U$4:$U$803,$B116&amp;"|"&amp;CZ$5)=0,"",SUMIF('Competency Event Log'!$U$4:$U$803,$B116&amp;"|"&amp;CZ$5,'Competency Event Log'!$D$4:$D$803)))</f>
        <v/>
      </c>
      <c r="DA116" s="8" t="str">
        <f>IF($B116="","",IF(COUNTIF('Competency Event Log'!$U$4:$U$803,$B116&amp;"|"&amp;DA$5)=0,"",SUMIF('Competency Event Log'!$U$4:$U$803,$B116&amp;"|"&amp;DA$5,'Competency Event Log'!$D$4:$D$803)))</f>
        <v/>
      </c>
      <c r="DB116" s="8" t="str">
        <f>IF($B116="","",IF(COUNTIF('Competency Event Log'!$U$4:$U$803,$B116&amp;"|"&amp;DB$5)=0,"",SUMIF('Competency Event Log'!$U$4:$U$803,$B116&amp;"|"&amp;DB$5,'Competency Event Log'!$D$4:$D$803)))</f>
        <v/>
      </c>
      <c r="DC116" s="8" t="str">
        <f>IF($B116="","",IF(COUNTIF('Competency Event Log'!$U$4:$U$803,$B116&amp;"|"&amp;DC$5)=0,"",SUMIF('Competency Event Log'!$U$4:$U$803,$B116&amp;"|"&amp;DC$5,'Competency Event Log'!$D$4:$D$803)))</f>
        <v/>
      </c>
      <c r="DD116" s="8" t="str">
        <f>IF($B116="","",IF(COUNTIF('Competency Event Log'!$U$4:$U$803,$B116&amp;"|"&amp;DD$5)=0,"",SUMIF('Competency Event Log'!$U$4:$U$803,$B116&amp;"|"&amp;DD$5,'Competency Event Log'!$D$4:$D$803)))</f>
        <v/>
      </c>
      <c r="DE116" s="8" t="str">
        <f>IF($B116="","",IF(COUNTIF('Competency Event Log'!$U$4:$U$803,$B116&amp;"|"&amp;DE$5)=0,"",SUMIF('Competency Event Log'!$U$4:$U$803,$B116&amp;"|"&amp;DE$5,'Competency Event Log'!$D$4:$D$803)))</f>
        <v/>
      </c>
      <c r="DF116" s="8" t="str">
        <f t="shared" si="12"/>
        <v/>
      </c>
      <c r="DG116" s="8" t="str">
        <f t="shared" si="13"/>
        <v/>
      </c>
      <c r="DH116" s="8" t="str">
        <f t="shared" si="14"/>
        <v/>
      </c>
      <c r="DI116" s="11" t="str">
        <f t="shared" si="15"/>
        <v/>
      </c>
    </row>
    <row r="117" spans="1:113">
      <c r="A117" s="7"/>
      <c r="B117" s="7"/>
      <c r="C117" s="8"/>
      <c r="D117" s="9"/>
      <c r="E117" s="10"/>
      <c r="F117" s="8"/>
      <c r="G117" s="8" t="str">
        <f>IF($B117="","",IF(COUNTIF('Competency Event Log'!$U$4:$U$803,$B117&amp;"|"&amp;G$5)=0,"",SUMIF('Competency Event Log'!$U$4:$U$803,$B117&amp;"|"&amp;G$5,'Competency Event Log'!$D$4:$D$803)))</f>
        <v/>
      </c>
      <c r="H117" s="8" t="str">
        <f>IF($B117="","",IF(COUNTIF('Competency Event Log'!$U$4:$U$803,$B117&amp;"|"&amp;H$5)=0,"",SUMIF('Competency Event Log'!$U$4:$U$803,$B117&amp;"|"&amp;H$5,'Competency Event Log'!$D$4:$D$803)))</f>
        <v/>
      </c>
      <c r="I117" s="8" t="str">
        <f>IF($B117="","",IF(COUNTIF('Competency Event Log'!$U$4:$U$803,$B117&amp;"|"&amp;I$5)=0,"",SUMIF('Competency Event Log'!$U$4:$U$803,$B117&amp;"|"&amp;I$5,'Competency Event Log'!$D$4:$D$803)))</f>
        <v/>
      </c>
      <c r="J117" s="8" t="str">
        <f>IF($B117="","",IF(COUNTIF('Competency Event Log'!$U$4:$U$803,$B117&amp;"|"&amp;J$5)=0,"",SUMIF('Competency Event Log'!$U$4:$U$803,$B117&amp;"|"&amp;J$5,'Competency Event Log'!$D$4:$D$803)))</f>
        <v/>
      </c>
      <c r="K117" s="8" t="str">
        <f>IF($B117="","",IF(COUNTIF('Competency Event Log'!$U$4:$U$803,$B117&amp;"|"&amp;K$5)=0,"",SUMIF('Competency Event Log'!$U$4:$U$803,$B117&amp;"|"&amp;K$5,'Competency Event Log'!$D$4:$D$803)))</f>
        <v/>
      </c>
      <c r="L117" s="8" t="str">
        <f>IF($B117="","",IF(COUNTIF('Competency Event Log'!$U$4:$U$803,$B117&amp;"|"&amp;L$5)=0,"",SUMIF('Competency Event Log'!$U$4:$U$803,$B117&amp;"|"&amp;L$5,'Competency Event Log'!$D$4:$D$803)))</f>
        <v/>
      </c>
      <c r="M117" s="8" t="str">
        <f>IF($B117="","",IF(COUNTIF('Competency Event Log'!$U$4:$U$803,$B117&amp;"|"&amp;M$5)=0,"",SUMIF('Competency Event Log'!$U$4:$U$803,$B117&amp;"|"&amp;M$5,'Competency Event Log'!$D$4:$D$803)))</f>
        <v/>
      </c>
      <c r="N117" s="8" t="str">
        <f>IF($B117="","",IF(COUNTIF('Competency Event Log'!$U$4:$U$803,$B117&amp;"|"&amp;N$5)=0,"",SUMIF('Competency Event Log'!$U$4:$U$803,$B117&amp;"|"&amp;N$5,'Competency Event Log'!$D$4:$D$803)))</f>
        <v/>
      </c>
      <c r="O117" s="8" t="str">
        <f>IF($B117="","",IF(COUNTIF('Competency Event Log'!$U$4:$U$803,$B117&amp;"|"&amp;O$5)=0,"",SUMIF('Competency Event Log'!$U$4:$U$803,$B117&amp;"|"&amp;O$5,'Competency Event Log'!$D$4:$D$803)))</f>
        <v/>
      </c>
      <c r="P117" s="8" t="str">
        <f>IF($B117="","",IF(COUNTIF('Competency Event Log'!$U$4:$U$803,$B117&amp;"|"&amp;P$5)=0,"",SUMIF('Competency Event Log'!$U$4:$U$803,$B117&amp;"|"&amp;P$5,'Competency Event Log'!$D$4:$D$803)))</f>
        <v/>
      </c>
      <c r="Q117" s="8" t="str">
        <f>IF($B117="","",IF(COUNTIF('Competency Event Log'!$U$4:$U$803,$B117&amp;"|"&amp;Q$5)=0,"",SUMIF('Competency Event Log'!$U$4:$U$803,$B117&amp;"|"&amp;Q$5,'Competency Event Log'!$D$4:$D$803)))</f>
        <v/>
      </c>
      <c r="R117" s="8" t="str">
        <f>IF($B117="","",IF(COUNTIF('Competency Event Log'!$U$4:$U$803,$B117&amp;"|"&amp;R$5)=0,"",SUMIF('Competency Event Log'!$U$4:$U$803,$B117&amp;"|"&amp;R$5,'Competency Event Log'!$D$4:$D$803)))</f>
        <v/>
      </c>
      <c r="S117" s="8" t="str">
        <f>IF($B117="","",IF(COUNTIF('Competency Event Log'!$U$4:$U$803,$B117&amp;"|"&amp;S$5)=0,"",SUMIF('Competency Event Log'!$U$4:$U$803,$B117&amp;"|"&amp;S$5,'Competency Event Log'!$D$4:$D$803)))</f>
        <v/>
      </c>
      <c r="T117" s="8" t="str">
        <f>IF($B117="","",IF(COUNTIF('Competency Event Log'!$U$4:$U$803,$B117&amp;"|"&amp;T$5)=0,"",SUMIF('Competency Event Log'!$U$4:$U$803,$B117&amp;"|"&amp;T$5,'Competency Event Log'!$D$4:$D$803)))</f>
        <v/>
      </c>
      <c r="U117" s="8" t="str">
        <f>IF($B117="","",IF(COUNTIF('Competency Event Log'!$U$4:$U$803,$B117&amp;"|"&amp;U$5)=0,"",SUMIF('Competency Event Log'!$U$4:$U$803,$B117&amp;"|"&amp;U$5,'Competency Event Log'!$D$4:$D$803)))</f>
        <v/>
      </c>
      <c r="V117" s="8" t="str">
        <f>IF($B117="","",IF(COUNTIF('Competency Event Log'!$U$4:$U$803,$B117&amp;"|"&amp;V$5)=0,"",SUMIF('Competency Event Log'!$U$4:$U$803,$B117&amp;"|"&amp;V$5,'Competency Event Log'!$D$4:$D$803)))</f>
        <v/>
      </c>
      <c r="W117" s="8" t="str">
        <f>IF($B117="","",IF(COUNTIF('Competency Event Log'!$U$4:$U$803,$B117&amp;"|"&amp;W$5)=0,"",SUMIF('Competency Event Log'!$U$4:$U$803,$B117&amp;"|"&amp;W$5,'Competency Event Log'!$D$4:$D$803)))</f>
        <v/>
      </c>
      <c r="X117" s="8" t="str">
        <f>IF($B117="","",IF(COUNTIF('Competency Event Log'!$U$4:$U$803,$B117&amp;"|"&amp;X$5)=0,"",SUMIF('Competency Event Log'!$U$4:$U$803,$B117&amp;"|"&amp;X$5,'Competency Event Log'!$D$4:$D$803)))</f>
        <v/>
      </c>
      <c r="Y117" s="8" t="str">
        <f>IF($B117="","",IF(COUNTIF('Competency Event Log'!$U$4:$U$803,$B117&amp;"|"&amp;Y$5)=0,"",SUMIF('Competency Event Log'!$U$4:$U$803,$B117&amp;"|"&amp;Y$5,'Competency Event Log'!$D$4:$D$803)))</f>
        <v/>
      </c>
      <c r="Z117" s="8" t="str">
        <f>IF($B117="","",IF(COUNTIF('Competency Event Log'!$U$4:$U$803,$B117&amp;"|"&amp;Z$5)=0,"",SUMIF('Competency Event Log'!$U$4:$U$803,$B117&amp;"|"&amp;Z$5,'Competency Event Log'!$D$4:$D$803)))</f>
        <v/>
      </c>
      <c r="AA117" s="8" t="str">
        <f>IF($B117="","",IF(COUNTIF('Competency Event Log'!$U$4:$U$803,$B117&amp;"|"&amp;AA$5)=0,"",SUMIF('Competency Event Log'!$U$4:$U$803,$B117&amp;"|"&amp;AA$5,'Competency Event Log'!$D$4:$D$803)))</f>
        <v/>
      </c>
      <c r="AB117" s="8" t="str">
        <f>IF($B117="","",IF(COUNTIF('Competency Event Log'!$U$4:$U$803,$B117&amp;"|"&amp;AB$5)=0,"",SUMIF('Competency Event Log'!$U$4:$U$803,$B117&amp;"|"&amp;AB$5,'Competency Event Log'!$D$4:$D$803)))</f>
        <v/>
      </c>
      <c r="AC117" s="8" t="str">
        <f>IF($B117="","",IF(COUNTIF('Competency Event Log'!$U$4:$U$803,$B117&amp;"|"&amp;AC$5)=0,"",SUMIF('Competency Event Log'!$U$4:$U$803,$B117&amp;"|"&amp;AC$5,'Competency Event Log'!$D$4:$D$803)))</f>
        <v/>
      </c>
      <c r="AD117" s="8" t="str">
        <f>IF($B117="","",IF(COUNTIF('Competency Event Log'!$U$4:$U$803,$B117&amp;"|"&amp;AD$5)=0,"",SUMIF('Competency Event Log'!$U$4:$U$803,$B117&amp;"|"&amp;AD$5,'Competency Event Log'!$D$4:$D$803)))</f>
        <v/>
      </c>
      <c r="AE117" s="8" t="str">
        <f>IF($B117="","",IF(COUNTIF('Competency Event Log'!$U$4:$U$803,$B117&amp;"|"&amp;AE$5)=0,"",SUMIF('Competency Event Log'!$U$4:$U$803,$B117&amp;"|"&amp;AE$5,'Competency Event Log'!$D$4:$D$803)))</f>
        <v/>
      </c>
      <c r="AF117" s="8" t="str">
        <f>IF($B117="","",IF(COUNTIF('Competency Event Log'!$U$4:$U$803,$B117&amp;"|"&amp;AF$5)=0,"",SUMIF('Competency Event Log'!$U$4:$U$803,$B117&amp;"|"&amp;AF$5,'Competency Event Log'!$D$4:$D$803)))</f>
        <v/>
      </c>
      <c r="AG117" s="8" t="str">
        <f>IF($B117="","",IF(COUNTIF('Competency Event Log'!$U$4:$U$803,$B117&amp;"|"&amp;AG$5)=0,"",SUMIF('Competency Event Log'!$U$4:$U$803,$B117&amp;"|"&amp;AG$5,'Competency Event Log'!$D$4:$D$803)))</f>
        <v/>
      </c>
      <c r="AH117" s="8" t="str">
        <f>IF($B117="","",IF(COUNTIF('Competency Event Log'!$U$4:$U$803,$B117&amp;"|"&amp;AH$5)=0,"",SUMIF('Competency Event Log'!$U$4:$U$803,$B117&amp;"|"&amp;AH$5,'Competency Event Log'!$D$4:$D$803)))</f>
        <v/>
      </c>
      <c r="AI117" s="8" t="str">
        <f>IF($B117="","",IF(COUNTIF('Competency Event Log'!$U$4:$U$803,$B117&amp;"|"&amp;AI$5)=0,"",SUMIF('Competency Event Log'!$U$4:$U$803,$B117&amp;"|"&amp;AI$5,'Competency Event Log'!$D$4:$D$803)))</f>
        <v/>
      </c>
      <c r="AJ117" s="8" t="str">
        <f>IF($B117="","",IF(COUNTIF('Competency Event Log'!$U$4:$U$803,$B117&amp;"|"&amp;AJ$5)=0,"",SUMIF('Competency Event Log'!$U$4:$U$803,$B117&amp;"|"&amp;AJ$5,'Competency Event Log'!$D$4:$D$803)))</f>
        <v/>
      </c>
      <c r="AK117" s="8" t="str">
        <f>IF($B117="","",IF(COUNTIF('Competency Event Log'!$U$4:$U$803,$B117&amp;"|"&amp;AK$5)=0,"",SUMIF('Competency Event Log'!$U$4:$U$803,$B117&amp;"|"&amp;AK$5,'Competency Event Log'!$D$4:$D$803)))</f>
        <v/>
      </c>
      <c r="AL117" s="8" t="str">
        <f>IF($B117="","",IF(COUNTIF('Competency Event Log'!$U$4:$U$803,$B117&amp;"|"&amp;AL$5)=0,"",SUMIF('Competency Event Log'!$U$4:$U$803,$B117&amp;"|"&amp;AL$5,'Competency Event Log'!$D$4:$D$803)))</f>
        <v/>
      </c>
      <c r="AM117" s="8" t="str">
        <f>IF($B117="","",IF(COUNTIF('Competency Event Log'!$U$4:$U$803,$B117&amp;"|"&amp;AM$5)=0,"",SUMIF('Competency Event Log'!$U$4:$U$803,$B117&amp;"|"&amp;AM$5,'Competency Event Log'!$D$4:$D$803)))</f>
        <v/>
      </c>
      <c r="AN117" s="8" t="str">
        <f>IF($B117="","",IF(COUNTIF('Competency Event Log'!$U$4:$U$803,$B117&amp;"|"&amp;AN$5)=0,"",SUMIF('Competency Event Log'!$U$4:$U$803,$B117&amp;"|"&amp;AN$5,'Competency Event Log'!$D$4:$D$803)))</f>
        <v/>
      </c>
      <c r="AO117" s="8" t="str">
        <f>IF($B117="","",IF(COUNTIF('Competency Event Log'!$U$4:$U$803,$B117&amp;"|"&amp;AO$5)=0,"",SUMIF('Competency Event Log'!$U$4:$U$803,$B117&amp;"|"&amp;AO$5,'Competency Event Log'!$D$4:$D$803)))</f>
        <v/>
      </c>
      <c r="AP117" s="8" t="str">
        <f>IF($B117="","",IF(COUNTIF('Competency Event Log'!$U$4:$U$803,$B117&amp;"|"&amp;AP$5)=0,"",SUMIF('Competency Event Log'!$U$4:$U$803,$B117&amp;"|"&amp;AP$5,'Competency Event Log'!$D$4:$D$803)))</f>
        <v/>
      </c>
      <c r="AQ117" s="8" t="str">
        <f>IF($B117="","",IF(COUNTIF('Competency Event Log'!$U$4:$U$803,$B117&amp;"|"&amp;AQ$5)=0,"",SUMIF('Competency Event Log'!$U$4:$U$803,$B117&amp;"|"&amp;AQ$5,'Competency Event Log'!$D$4:$D$803)))</f>
        <v/>
      </c>
      <c r="AR117" s="8" t="str">
        <f>IF($B117="","",IF(COUNTIF('Competency Event Log'!$U$4:$U$803,$B117&amp;"|"&amp;AR$5)=0,"",SUMIF('Competency Event Log'!$U$4:$U$803,$B117&amp;"|"&amp;AR$5,'Competency Event Log'!$D$4:$D$803)))</f>
        <v/>
      </c>
      <c r="AS117" s="8" t="str">
        <f>IF($B117="","",IF(COUNTIF('Competency Event Log'!$U$4:$U$803,$B117&amp;"|"&amp;AS$5)=0,"",SUMIF('Competency Event Log'!$U$4:$U$803,$B117&amp;"|"&amp;AS$5,'Competency Event Log'!$D$4:$D$803)))</f>
        <v/>
      </c>
      <c r="AT117" s="8" t="str">
        <f>IF($B117="","",IF(COUNTIF('Competency Event Log'!$U$4:$U$803,$B117&amp;"|"&amp;AT$5)=0,"",SUMIF('Competency Event Log'!$U$4:$U$803,$B117&amp;"|"&amp;AT$5,'Competency Event Log'!$D$4:$D$803)))</f>
        <v/>
      </c>
      <c r="AU117" s="8" t="str">
        <f>IF($B117="","",IF(COUNTIF('Competency Event Log'!$U$4:$U$803,$B117&amp;"|"&amp;AU$5)=0,"",SUMIF('Competency Event Log'!$U$4:$U$803,$B117&amp;"|"&amp;AU$5,'Competency Event Log'!$D$4:$D$803)))</f>
        <v/>
      </c>
      <c r="AV117" s="8" t="str">
        <f>IF($B117="","",IF(COUNTIF('Competency Event Log'!$U$4:$U$803,$B117&amp;"|"&amp;AV$5)=0,"",SUMIF('Competency Event Log'!$U$4:$U$803,$B117&amp;"|"&amp;AV$5,'Competency Event Log'!$D$4:$D$803)))</f>
        <v/>
      </c>
      <c r="AW117" s="8" t="str">
        <f>IF($B117="","",IF(COUNTIF('Competency Event Log'!$U$4:$U$803,$B117&amp;"|"&amp;AW$5)=0,"",SUMIF('Competency Event Log'!$U$4:$U$803,$B117&amp;"|"&amp;AW$5,'Competency Event Log'!$D$4:$D$803)))</f>
        <v/>
      </c>
      <c r="AX117" s="8" t="str">
        <f>IF($B117="","",IF(COUNTIF('Competency Event Log'!$U$4:$U$803,$B117&amp;"|"&amp;AX$5)=0,"",SUMIF('Competency Event Log'!$U$4:$U$803,$B117&amp;"|"&amp;AX$5,'Competency Event Log'!$D$4:$D$803)))</f>
        <v/>
      </c>
      <c r="AY117" s="8" t="str">
        <f>IF($B117="","",IF(COUNTIF('Competency Event Log'!$U$4:$U$803,$B117&amp;"|"&amp;AY$5)=0,"",SUMIF('Competency Event Log'!$U$4:$U$803,$B117&amp;"|"&amp;AY$5,'Competency Event Log'!$D$4:$D$803)))</f>
        <v/>
      </c>
      <c r="AZ117" s="8" t="str">
        <f>IF($B117="","",IF(COUNTIF('Competency Event Log'!$U$4:$U$803,$B117&amp;"|"&amp;AZ$5)=0,"",SUMIF('Competency Event Log'!$U$4:$U$803,$B117&amp;"|"&amp;AZ$5,'Competency Event Log'!$D$4:$D$803)))</f>
        <v/>
      </c>
      <c r="BA117" s="8" t="str">
        <f>IF($B117="","",IF(COUNTIF('Competency Event Log'!$U$4:$U$803,$B117&amp;"|"&amp;BA$5)=0,"",SUMIF('Competency Event Log'!$U$4:$U$803,$B117&amp;"|"&amp;BA$5,'Competency Event Log'!$D$4:$D$803)))</f>
        <v/>
      </c>
      <c r="BB117" s="8" t="str">
        <f>IF($B117="","",IF(COUNTIF('Competency Event Log'!$U$4:$U$803,$B117&amp;"|"&amp;BB$5)=0,"",SUMIF('Competency Event Log'!$U$4:$U$803,$B117&amp;"|"&amp;BB$5,'Competency Event Log'!$D$4:$D$803)))</f>
        <v/>
      </c>
      <c r="BC117" s="8" t="str">
        <f>IF($B117="","",IF(COUNTIF('Competency Event Log'!$U$4:$U$803,$B117&amp;"|"&amp;BC$5)=0,"",SUMIF('Competency Event Log'!$U$4:$U$803,$B117&amp;"|"&amp;BC$5,'Competency Event Log'!$D$4:$D$803)))</f>
        <v/>
      </c>
      <c r="BD117" s="8" t="str">
        <f>IF($B117="","",IF(COUNTIF('Competency Event Log'!$U$4:$U$803,$B117&amp;"|"&amp;BD$5)=0,"",SUMIF('Competency Event Log'!$U$4:$U$803,$B117&amp;"|"&amp;BD$5,'Competency Event Log'!$D$4:$D$803)))</f>
        <v/>
      </c>
      <c r="BE117" s="8" t="str">
        <f>IF($B117="","",IF(COUNTIF('Competency Event Log'!$U$4:$U$803,$B117&amp;"|"&amp;BE$5)=0,"",SUMIF('Competency Event Log'!$U$4:$U$803,$B117&amp;"|"&amp;BE$5,'Competency Event Log'!$D$4:$D$803)))</f>
        <v/>
      </c>
      <c r="BF117" s="8" t="str">
        <f>IF($B117="","",IF(COUNTIF('Competency Event Log'!$U$4:$U$803,$B117&amp;"|"&amp;BF$5)=0,"",SUMIF('Competency Event Log'!$U$4:$U$803,$B117&amp;"|"&amp;BF$5,'Competency Event Log'!$D$4:$D$803)))</f>
        <v/>
      </c>
      <c r="BG117" s="8" t="str">
        <f>IF($B117="","",IF(COUNTIF('Competency Event Log'!$U$4:$U$803,$B117&amp;"|"&amp;BG$5)=0,"",SUMIF('Competency Event Log'!$U$4:$U$803,$B117&amp;"|"&amp;BG$5,'Competency Event Log'!$D$4:$D$803)))</f>
        <v/>
      </c>
      <c r="BH117" s="8" t="str">
        <f>IF($B117="","",IF(COUNTIF('Competency Event Log'!$U$4:$U$803,$B117&amp;"|"&amp;BH$5)=0,"",SUMIF('Competency Event Log'!$U$4:$U$803,$B117&amp;"|"&amp;BH$5,'Competency Event Log'!$D$4:$D$803)))</f>
        <v/>
      </c>
      <c r="BI117" s="8" t="str">
        <f>IF($B117="","",IF(COUNTIF('Competency Event Log'!$U$4:$U$803,$B117&amp;"|"&amp;BI$5)=0,"",SUMIF('Competency Event Log'!$U$4:$U$803,$B117&amp;"|"&amp;BI$5,'Competency Event Log'!$D$4:$D$803)))</f>
        <v/>
      </c>
      <c r="BJ117" s="8" t="str">
        <f>IF($B117="","",IF(COUNTIF('Competency Event Log'!$U$4:$U$803,$B117&amp;"|"&amp;BJ$5)=0,"",SUMIF('Competency Event Log'!$U$4:$U$803,$B117&amp;"|"&amp;BJ$5,'Competency Event Log'!$D$4:$D$803)))</f>
        <v/>
      </c>
      <c r="BK117" s="8" t="str">
        <f>IF($B117="","",IF(COUNTIF('Competency Event Log'!$U$4:$U$803,$B117&amp;"|"&amp;BK$5)=0,"",SUMIF('Competency Event Log'!$U$4:$U$803,$B117&amp;"|"&amp;BK$5,'Competency Event Log'!$D$4:$D$803)))</f>
        <v/>
      </c>
      <c r="BL117" s="8" t="str">
        <f>IF($B117="","",IF(COUNTIF('Competency Event Log'!$U$4:$U$803,$B117&amp;"|"&amp;BL$5)=0,"",SUMIF('Competency Event Log'!$U$4:$U$803,$B117&amp;"|"&amp;BL$5,'Competency Event Log'!$D$4:$D$803)))</f>
        <v/>
      </c>
      <c r="BM117" s="8" t="str">
        <f>IF($B117="","",IF(COUNTIF('Competency Event Log'!$U$4:$U$803,$B117&amp;"|"&amp;BM$5)=0,"",SUMIF('Competency Event Log'!$U$4:$U$803,$B117&amp;"|"&amp;BM$5,'Competency Event Log'!$D$4:$D$803)))</f>
        <v/>
      </c>
      <c r="BN117" s="8" t="str">
        <f>IF($B117="","",IF(COUNTIF('Competency Event Log'!$U$4:$U$803,$B117&amp;"|"&amp;BN$5)=0,"",SUMIF('Competency Event Log'!$U$4:$U$803,$B117&amp;"|"&amp;BN$5,'Competency Event Log'!$D$4:$D$803)))</f>
        <v/>
      </c>
      <c r="BO117" s="8" t="str">
        <f>IF($B117="","",IF(COUNTIF('Competency Event Log'!$U$4:$U$803,$B117&amp;"|"&amp;BO$5)=0,"",SUMIF('Competency Event Log'!$U$4:$U$803,$B117&amp;"|"&amp;BO$5,'Competency Event Log'!$D$4:$D$803)))</f>
        <v/>
      </c>
      <c r="BP117" s="8" t="str">
        <f>IF($B117="","",IF(COUNTIF('Competency Event Log'!$U$4:$U$803,$B117&amp;"|"&amp;BP$5)=0,"",SUMIF('Competency Event Log'!$U$4:$U$803,$B117&amp;"|"&amp;BP$5,'Competency Event Log'!$D$4:$D$803)))</f>
        <v/>
      </c>
      <c r="BQ117" s="8" t="str">
        <f>IF($B117="","",IF(COUNTIF('Competency Event Log'!$U$4:$U$803,$B117&amp;"|"&amp;BQ$5)=0,"",SUMIF('Competency Event Log'!$U$4:$U$803,$B117&amp;"|"&amp;BQ$5,'Competency Event Log'!$D$4:$D$803)))</f>
        <v/>
      </c>
      <c r="BR117" s="8" t="str">
        <f>IF($B117="","",IF(COUNTIF('Competency Event Log'!$U$4:$U$803,$B117&amp;"|"&amp;BR$5)=0,"",SUMIF('Competency Event Log'!$U$4:$U$803,$B117&amp;"|"&amp;BR$5,'Competency Event Log'!$D$4:$D$803)))</f>
        <v/>
      </c>
      <c r="BS117" s="8" t="str">
        <f>IF($B117="","",IF(COUNTIF('Competency Event Log'!$U$4:$U$803,$B117&amp;"|"&amp;BS$5)=0,"",SUMIF('Competency Event Log'!$U$4:$U$803,$B117&amp;"|"&amp;BS$5,'Competency Event Log'!$D$4:$D$803)))</f>
        <v/>
      </c>
      <c r="BT117" s="8" t="str">
        <f>IF($B117="","",IF(COUNTIF('Competency Event Log'!$U$4:$U$803,$B117&amp;"|"&amp;BT$5)=0,"",SUMIF('Competency Event Log'!$U$4:$U$803,$B117&amp;"|"&amp;BT$5,'Competency Event Log'!$D$4:$D$803)))</f>
        <v/>
      </c>
      <c r="BU117" s="8" t="str">
        <f>IF($B117="","",IF(COUNTIF('Competency Event Log'!$U$4:$U$803,$B117&amp;"|"&amp;BU$5)=0,"",SUMIF('Competency Event Log'!$U$4:$U$803,$B117&amp;"|"&amp;BU$5,'Competency Event Log'!$D$4:$D$803)))</f>
        <v/>
      </c>
      <c r="BV117" s="8" t="str">
        <f>IF($B117="","",IF(COUNTIF('Competency Event Log'!$U$4:$U$803,$B117&amp;"|"&amp;BV$5)=0,"",SUMIF('Competency Event Log'!$U$4:$U$803,$B117&amp;"|"&amp;BV$5,'Competency Event Log'!$D$4:$D$803)))</f>
        <v/>
      </c>
      <c r="BW117" s="8" t="str">
        <f>IF($B117="","",IF(COUNTIF('Competency Event Log'!$U$4:$U$803,$B117&amp;"|"&amp;BW$5)=0,"",SUMIF('Competency Event Log'!$U$4:$U$803,$B117&amp;"|"&amp;BW$5,'Competency Event Log'!$D$4:$D$803)))</f>
        <v/>
      </c>
      <c r="BX117" s="8" t="str">
        <f>IF($B117="","",IF(COUNTIF('Competency Event Log'!$U$4:$U$803,$B117&amp;"|"&amp;BX$5)=0,"",SUMIF('Competency Event Log'!$U$4:$U$803,$B117&amp;"|"&amp;BX$5,'Competency Event Log'!$D$4:$D$803)))</f>
        <v/>
      </c>
      <c r="BY117" s="8" t="str">
        <f>IF($B117="","",IF(COUNTIF('Competency Event Log'!$U$4:$U$803,$B117&amp;"|"&amp;BY$5)=0,"",SUMIF('Competency Event Log'!$U$4:$U$803,$B117&amp;"|"&amp;BY$5,'Competency Event Log'!$D$4:$D$803)))</f>
        <v/>
      </c>
      <c r="BZ117" s="8" t="str">
        <f>IF($B117="","",IF(COUNTIF('Competency Event Log'!$U$4:$U$803,$B117&amp;"|"&amp;BZ$5)=0,"",SUMIF('Competency Event Log'!$U$4:$U$803,$B117&amp;"|"&amp;BZ$5,'Competency Event Log'!$D$4:$D$803)))</f>
        <v/>
      </c>
      <c r="CA117" s="8" t="str">
        <f>IF($B117="","",IF(COUNTIF('Competency Event Log'!$U$4:$U$803,$B117&amp;"|"&amp;CA$5)=0,"",SUMIF('Competency Event Log'!$U$4:$U$803,$B117&amp;"|"&amp;CA$5,'Competency Event Log'!$D$4:$D$803)))</f>
        <v/>
      </c>
      <c r="CB117" s="8" t="str">
        <f>IF($B117="","",IF(COUNTIF('Competency Event Log'!$U$4:$U$803,$B117&amp;"|"&amp;CB$5)=0,"",SUMIF('Competency Event Log'!$U$4:$U$803,$B117&amp;"|"&amp;CB$5,'Competency Event Log'!$D$4:$D$803)))</f>
        <v/>
      </c>
      <c r="CC117" s="8" t="str">
        <f>IF($B117="","",IF(COUNTIF('Competency Event Log'!$U$4:$U$803,$B117&amp;"|"&amp;CC$5)=0,"",SUMIF('Competency Event Log'!$U$4:$U$803,$B117&amp;"|"&amp;CC$5,'Competency Event Log'!$D$4:$D$803)))</f>
        <v/>
      </c>
      <c r="CD117" s="8" t="str">
        <f>IF($B117="","",IF(COUNTIF('Competency Event Log'!$U$4:$U$803,$B117&amp;"|"&amp;CD$5)=0,"",SUMIF('Competency Event Log'!$U$4:$U$803,$B117&amp;"|"&amp;CD$5,'Competency Event Log'!$D$4:$D$803)))</f>
        <v/>
      </c>
      <c r="CE117" s="8" t="str">
        <f>IF($B117="","",IF(COUNTIF('Competency Event Log'!$U$4:$U$803,$B117&amp;"|"&amp;CE$5)=0,"",SUMIF('Competency Event Log'!$U$4:$U$803,$B117&amp;"|"&amp;CE$5,'Competency Event Log'!$D$4:$D$803)))</f>
        <v/>
      </c>
      <c r="CF117" s="8" t="str">
        <f>IF($B117="","",IF(COUNTIF('Competency Event Log'!$U$4:$U$803,$B117&amp;"|"&amp;CF$5)=0,"",SUMIF('Competency Event Log'!$U$4:$U$803,$B117&amp;"|"&amp;CF$5,'Competency Event Log'!$D$4:$D$803)))</f>
        <v/>
      </c>
      <c r="CG117" s="8" t="str">
        <f>IF($B117="","",IF(COUNTIF('Competency Event Log'!$U$4:$U$803,$B117&amp;"|"&amp;CG$5)=0,"",SUMIF('Competency Event Log'!$U$4:$U$803,$B117&amp;"|"&amp;CG$5,'Competency Event Log'!$D$4:$D$803)))</f>
        <v/>
      </c>
      <c r="CH117" s="8" t="str">
        <f>IF($B117="","",IF(COUNTIF('Competency Event Log'!$U$4:$U$803,$B117&amp;"|"&amp;CH$5)=0,"",SUMIF('Competency Event Log'!$U$4:$U$803,$B117&amp;"|"&amp;CH$5,'Competency Event Log'!$D$4:$D$803)))</f>
        <v/>
      </c>
      <c r="CI117" s="8" t="str">
        <f>IF($B117="","",IF(COUNTIF('Competency Event Log'!$U$4:$U$803,$B117&amp;"|"&amp;CI$5)=0,"",SUMIF('Competency Event Log'!$U$4:$U$803,$B117&amp;"|"&amp;CI$5,'Competency Event Log'!$D$4:$D$803)))</f>
        <v/>
      </c>
      <c r="CJ117" s="8" t="str">
        <f>IF($B117="","",IF(COUNTIF('Competency Event Log'!$U$4:$U$803,$B117&amp;"|"&amp;CJ$5)=0,"",SUMIF('Competency Event Log'!$U$4:$U$803,$B117&amp;"|"&amp;CJ$5,'Competency Event Log'!$D$4:$D$803)))</f>
        <v/>
      </c>
      <c r="CK117" s="8" t="str">
        <f>IF($B117="","",IF(COUNTIF('Competency Event Log'!$U$4:$U$803,$B117&amp;"|"&amp;CK$5)=0,"",SUMIF('Competency Event Log'!$U$4:$U$803,$B117&amp;"|"&amp;CK$5,'Competency Event Log'!$D$4:$D$803)))</f>
        <v/>
      </c>
      <c r="CL117" s="8" t="str">
        <f>IF($B117="","",IF(COUNTIF('Competency Event Log'!$U$4:$U$803,$B117&amp;"|"&amp;CL$5)=0,"",SUMIF('Competency Event Log'!$U$4:$U$803,$B117&amp;"|"&amp;CL$5,'Competency Event Log'!$D$4:$D$803)))</f>
        <v/>
      </c>
      <c r="CM117" s="8" t="str">
        <f>IF($B117="","",IF(COUNTIF('Competency Event Log'!$U$4:$U$803,$B117&amp;"|"&amp;CM$5)=0,"",SUMIF('Competency Event Log'!$U$4:$U$803,$B117&amp;"|"&amp;CM$5,'Competency Event Log'!$D$4:$D$803)))</f>
        <v/>
      </c>
      <c r="CN117" s="8" t="str">
        <f>IF($B117="","",IF(COUNTIF('Competency Event Log'!$U$4:$U$803,$B117&amp;"|"&amp;CN$5)=0,"",SUMIF('Competency Event Log'!$U$4:$U$803,$B117&amp;"|"&amp;CN$5,'Competency Event Log'!$D$4:$D$803)))</f>
        <v/>
      </c>
      <c r="CO117" s="8" t="str">
        <f>IF($B117="","",IF(COUNTIF('Competency Event Log'!$U$4:$U$803,$B117&amp;"|"&amp;CO$5)=0,"",SUMIF('Competency Event Log'!$U$4:$U$803,$B117&amp;"|"&amp;CO$5,'Competency Event Log'!$D$4:$D$803)))</f>
        <v/>
      </c>
      <c r="CP117" s="8" t="str">
        <f>IF($B117="","",IF(COUNTIF('Competency Event Log'!$U$4:$U$803,$B117&amp;"|"&amp;CP$5)=0,"",SUMIF('Competency Event Log'!$U$4:$U$803,$B117&amp;"|"&amp;CP$5,'Competency Event Log'!$D$4:$D$803)))</f>
        <v/>
      </c>
      <c r="CQ117" s="8" t="str">
        <f>IF($B117="","",IF(COUNTIF('Competency Event Log'!$U$4:$U$803,$B117&amp;"|"&amp;CQ$5)=0,"",SUMIF('Competency Event Log'!$U$4:$U$803,$B117&amp;"|"&amp;CQ$5,'Competency Event Log'!$D$4:$D$803)))</f>
        <v/>
      </c>
      <c r="CR117" s="8" t="str">
        <f>IF($B117="","",IF(COUNTIF('Competency Event Log'!$U$4:$U$803,$B117&amp;"|"&amp;CR$5)=0,"",SUMIF('Competency Event Log'!$U$4:$U$803,$B117&amp;"|"&amp;CR$5,'Competency Event Log'!$D$4:$D$803)))</f>
        <v/>
      </c>
      <c r="CS117" s="8" t="str">
        <f>IF($B117="","",IF(COUNTIF('Competency Event Log'!$U$4:$U$803,$B117&amp;"|"&amp;CS$5)=0,"",SUMIF('Competency Event Log'!$U$4:$U$803,$B117&amp;"|"&amp;CS$5,'Competency Event Log'!$D$4:$D$803)))</f>
        <v/>
      </c>
      <c r="CT117" s="8" t="str">
        <f>IF($B117="","",IF(COUNTIF('Competency Event Log'!$U$4:$U$803,$B117&amp;"|"&amp;CT$5)=0,"",SUMIF('Competency Event Log'!$U$4:$U$803,$B117&amp;"|"&amp;CT$5,'Competency Event Log'!$D$4:$D$803)))</f>
        <v/>
      </c>
      <c r="CU117" s="8" t="str">
        <f>IF($B117="","",IF(COUNTIF('Competency Event Log'!$U$4:$U$803,$B117&amp;"|"&amp;CU$5)=0,"",SUMIF('Competency Event Log'!$U$4:$U$803,$B117&amp;"|"&amp;CU$5,'Competency Event Log'!$D$4:$D$803)))</f>
        <v/>
      </c>
      <c r="CV117" s="8" t="str">
        <f>IF($B117="","",IF(COUNTIF('Competency Event Log'!$U$4:$U$803,$B117&amp;"|"&amp;CV$5)=0,"",SUMIF('Competency Event Log'!$U$4:$U$803,$B117&amp;"|"&amp;CV$5,'Competency Event Log'!$D$4:$D$803)))</f>
        <v/>
      </c>
      <c r="CW117" s="8" t="str">
        <f>IF($B117="","",IF(COUNTIF('Competency Event Log'!$U$4:$U$803,$B117&amp;"|"&amp;CW$5)=0,"",SUMIF('Competency Event Log'!$U$4:$U$803,$B117&amp;"|"&amp;CW$5,'Competency Event Log'!$D$4:$D$803)))</f>
        <v/>
      </c>
      <c r="CX117" s="8" t="str">
        <f>IF($B117="","",IF(COUNTIF('Competency Event Log'!$U$4:$U$803,$B117&amp;"|"&amp;CX$5)=0,"",SUMIF('Competency Event Log'!$U$4:$U$803,$B117&amp;"|"&amp;CX$5,'Competency Event Log'!$D$4:$D$803)))</f>
        <v/>
      </c>
      <c r="CY117" s="8" t="str">
        <f>IF($B117="","",IF(COUNTIF('Competency Event Log'!$U$4:$U$803,$B117&amp;"|"&amp;CY$5)=0,"",SUMIF('Competency Event Log'!$U$4:$U$803,$B117&amp;"|"&amp;CY$5,'Competency Event Log'!$D$4:$D$803)))</f>
        <v/>
      </c>
      <c r="CZ117" s="8" t="str">
        <f>IF($B117="","",IF(COUNTIF('Competency Event Log'!$U$4:$U$803,$B117&amp;"|"&amp;CZ$5)=0,"",SUMIF('Competency Event Log'!$U$4:$U$803,$B117&amp;"|"&amp;CZ$5,'Competency Event Log'!$D$4:$D$803)))</f>
        <v/>
      </c>
      <c r="DA117" s="8" t="str">
        <f>IF($B117="","",IF(COUNTIF('Competency Event Log'!$U$4:$U$803,$B117&amp;"|"&amp;DA$5)=0,"",SUMIF('Competency Event Log'!$U$4:$U$803,$B117&amp;"|"&amp;DA$5,'Competency Event Log'!$D$4:$D$803)))</f>
        <v/>
      </c>
      <c r="DB117" s="8" t="str">
        <f>IF($B117="","",IF(COUNTIF('Competency Event Log'!$U$4:$U$803,$B117&amp;"|"&amp;DB$5)=0,"",SUMIF('Competency Event Log'!$U$4:$U$803,$B117&amp;"|"&amp;DB$5,'Competency Event Log'!$D$4:$D$803)))</f>
        <v/>
      </c>
      <c r="DC117" s="8" t="str">
        <f>IF($B117="","",IF(COUNTIF('Competency Event Log'!$U$4:$U$803,$B117&amp;"|"&amp;DC$5)=0,"",SUMIF('Competency Event Log'!$U$4:$U$803,$B117&amp;"|"&amp;DC$5,'Competency Event Log'!$D$4:$D$803)))</f>
        <v/>
      </c>
      <c r="DD117" s="8" t="str">
        <f>IF($B117="","",IF(COUNTIF('Competency Event Log'!$U$4:$U$803,$B117&amp;"|"&amp;DD$5)=0,"",SUMIF('Competency Event Log'!$U$4:$U$803,$B117&amp;"|"&amp;DD$5,'Competency Event Log'!$D$4:$D$803)))</f>
        <v/>
      </c>
      <c r="DE117" s="8" t="str">
        <f>IF($B117="","",IF(COUNTIF('Competency Event Log'!$U$4:$U$803,$B117&amp;"|"&amp;DE$5)=0,"",SUMIF('Competency Event Log'!$U$4:$U$803,$B117&amp;"|"&amp;DE$5,'Competency Event Log'!$D$4:$D$803)))</f>
        <v/>
      </c>
      <c r="DF117" s="8" t="str">
        <f t="shared" si="12"/>
        <v/>
      </c>
      <c r="DG117" s="8" t="str">
        <f t="shared" si="13"/>
        <v/>
      </c>
      <c r="DH117" s="8" t="str">
        <f t="shared" si="14"/>
        <v/>
      </c>
      <c r="DI117" s="11" t="str">
        <f t="shared" si="15"/>
        <v/>
      </c>
    </row>
    <row r="118" spans="1:113">
      <c r="A118" s="7"/>
      <c r="B118" s="7"/>
      <c r="C118" s="8"/>
      <c r="D118" s="9"/>
      <c r="E118" s="10"/>
      <c r="F118" s="8"/>
      <c r="G118" s="8" t="str">
        <f>IF($B118="","",IF(COUNTIF('Competency Event Log'!$U$4:$U$803,$B118&amp;"|"&amp;G$5)=0,"",SUMIF('Competency Event Log'!$U$4:$U$803,$B118&amp;"|"&amp;G$5,'Competency Event Log'!$D$4:$D$803)))</f>
        <v/>
      </c>
      <c r="H118" s="8" t="str">
        <f>IF($B118="","",IF(COUNTIF('Competency Event Log'!$U$4:$U$803,$B118&amp;"|"&amp;H$5)=0,"",SUMIF('Competency Event Log'!$U$4:$U$803,$B118&amp;"|"&amp;H$5,'Competency Event Log'!$D$4:$D$803)))</f>
        <v/>
      </c>
      <c r="I118" s="8" t="str">
        <f>IF($B118="","",IF(COUNTIF('Competency Event Log'!$U$4:$U$803,$B118&amp;"|"&amp;I$5)=0,"",SUMIF('Competency Event Log'!$U$4:$U$803,$B118&amp;"|"&amp;I$5,'Competency Event Log'!$D$4:$D$803)))</f>
        <v/>
      </c>
      <c r="J118" s="8" t="str">
        <f>IF($B118="","",IF(COUNTIF('Competency Event Log'!$U$4:$U$803,$B118&amp;"|"&amp;J$5)=0,"",SUMIF('Competency Event Log'!$U$4:$U$803,$B118&amp;"|"&amp;J$5,'Competency Event Log'!$D$4:$D$803)))</f>
        <v/>
      </c>
      <c r="K118" s="8" t="str">
        <f>IF($B118="","",IF(COUNTIF('Competency Event Log'!$U$4:$U$803,$B118&amp;"|"&amp;K$5)=0,"",SUMIF('Competency Event Log'!$U$4:$U$803,$B118&amp;"|"&amp;K$5,'Competency Event Log'!$D$4:$D$803)))</f>
        <v/>
      </c>
      <c r="L118" s="8" t="str">
        <f>IF($B118="","",IF(COUNTIF('Competency Event Log'!$U$4:$U$803,$B118&amp;"|"&amp;L$5)=0,"",SUMIF('Competency Event Log'!$U$4:$U$803,$B118&amp;"|"&amp;L$5,'Competency Event Log'!$D$4:$D$803)))</f>
        <v/>
      </c>
      <c r="M118" s="8" t="str">
        <f>IF($B118="","",IF(COUNTIF('Competency Event Log'!$U$4:$U$803,$B118&amp;"|"&amp;M$5)=0,"",SUMIF('Competency Event Log'!$U$4:$U$803,$B118&amp;"|"&amp;M$5,'Competency Event Log'!$D$4:$D$803)))</f>
        <v/>
      </c>
      <c r="N118" s="8" t="str">
        <f>IF($B118="","",IF(COUNTIF('Competency Event Log'!$U$4:$U$803,$B118&amp;"|"&amp;N$5)=0,"",SUMIF('Competency Event Log'!$U$4:$U$803,$B118&amp;"|"&amp;N$5,'Competency Event Log'!$D$4:$D$803)))</f>
        <v/>
      </c>
      <c r="O118" s="8" t="str">
        <f>IF($B118="","",IF(COUNTIF('Competency Event Log'!$U$4:$U$803,$B118&amp;"|"&amp;O$5)=0,"",SUMIF('Competency Event Log'!$U$4:$U$803,$B118&amp;"|"&amp;O$5,'Competency Event Log'!$D$4:$D$803)))</f>
        <v/>
      </c>
      <c r="P118" s="8" t="str">
        <f>IF($B118="","",IF(COUNTIF('Competency Event Log'!$U$4:$U$803,$B118&amp;"|"&amp;P$5)=0,"",SUMIF('Competency Event Log'!$U$4:$U$803,$B118&amp;"|"&amp;P$5,'Competency Event Log'!$D$4:$D$803)))</f>
        <v/>
      </c>
      <c r="Q118" s="8" t="str">
        <f>IF($B118="","",IF(COUNTIF('Competency Event Log'!$U$4:$U$803,$B118&amp;"|"&amp;Q$5)=0,"",SUMIF('Competency Event Log'!$U$4:$U$803,$B118&amp;"|"&amp;Q$5,'Competency Event Log'!$D$4:$D$803)))</f>
        <v/>
      </c>
      <c r="R118" s="8" t="str">
        <f>IF($B118="","",IF(COUNTIF('Competency Event Log'!$U$4:$U$803,$B118&amp;"|"&amp;R$5)=0,"",SUMIF('Competency Event Log'!$U$4:$U$803,$B118&amp;"|"&amp;R$5,'Competency Event Log'!$D$4:$D$803)))</f>
        <v/>
      </c>
      <c r="S118" s="8" t="str">
        <f>IF($B118="","",IF(COUNTIF('Competency Event Log'!$U$4:$U$803,$B118&amp;"|"&amp;S$5)=0,"",SUMIF('Competency Event Log'!$U$4:$U$803,$B118&amp;"|"&amp;S$5,'Competency Event Log'!$D$4:$D$803)))</f>
        <v/>
      </c>
      <c r="T118" s="8" t="str">
        <f>IF($B118="","",IF(COUNTIF('Competency Event Log'!$U$4:$U$803,$B118&amp;"|"&amp;T$5)=0,"",SUMIF('Competency Event Log'!$U$4:$U$803,$B118&amp;"|"&amp;T$5,'Competency Event Log'!$D$4:$D$803)))</f>
        <v/>
      </c>
      <c r="U118" s="8" t="str">
        <f>IF($B118="","",IF(COUNTIF('Competency Event Log'!$U$4:$U$803,$B118&amp;"|"&amp;U$5)=0,"",SUMIF('Competency Event Log'!$U$4:$U$803,$B118&amp;"|"&amp;U$5,'Competency Event Log'!$D$4:$D$803)))</f>
        <v/>
      </c>
      <c r="V118" s="8" t="str">
        <f>IF($B118="","",IF(COUNTIF('Competency Event Log'!$U$4:$U$803,$B118&amp;"|"&amp;V$5)=0,"",SUMIF('Competency Event Log'!$U$4:$U$803,$B118&amp;"|"&amp;V$5,'Competency Event Log'!$D$4:$D$803)))</f>
        <v/>
      </c>
      <c r="W118" s="8" t="str">
        <f>IF($B118="","",IF(COUNTIF('Competency Event Log'!$U$4:$U$803,$B118&amp;"|"&amp;W$5)=0,"",SUMIF('Competency Event Log'!$U$4:$U$803,$B118&amp;"|"&amp;W$5,'Competency Event Log'!$D$4:$D$803)))</f>
        <v/>
      </c>
      <c r="X118" s="8" t="str">
        <f>IF($B118="","",IF(COUNTIF('Competency Event Log'!$U$4:$U$803,$B118&amp;"|"&amp;X$5)=0,"",SUMIF('Competency Event Log'!$U$4:$U$803,$B118&amp;"|"&amp;X$5,'Competency Event Log'!$D$4:$D$803)))</f>
        <v/>
      </c>
      <c r="Y118" s="8" t="str">
        <f>IF($B118="","",IF(COUNTIF('Competency Event Log'!$U$4:$U$803,$B118&amp;"|"&amp;Y$5)=0,"",SUMIF('Competency Event Log'!$U$4:$U$803,$B118&amp;"|"&amp;Y$5,'Competency Event Log'!$D$4:$D$803)))</f>
        <v/>
      </c>
      <c r="Z118" s="8" t="str">
        <f>IF($B118="","",IF(COUNTIF('Competency Event Log'!$U$4:$U$803,$B118&amp;"|"&amp;Z$5)=0,"",SUMIF('Competency Event Log'!$U$4:$U$803,$B118&amp;"|"&amp;Z$5,'Competency Event Log'!$D$4:$D$803)))</f>
        <v/>
      </c>
      <c r="AA118" s="8" t="str">
        <f>IF($B118="","",IF(COUNTIF('Competency Event Log'!$U$4:$U$803,$B118&amp;"|"&amp;AA$5)=0,"",SUMIF('Competency Event Log'!$U$4:$U$803,$B118&amp;"|"&amp;AA$5,'Competency Event Log'!$D$4:$D$803)))</f>
        <v/>
      </c>
      <c r="AB118" s="8" t="str">
        <f>IF($B118="","",IF(COUNTIF('Competency Event Log'!$U$4:$U$803,$B118&amp;"|"&amp;AB$5)=0,"",SUMIF('Competency Event Log'!$U$4:$U$803,$B118&amp;"|"&amp;AB$5,'Competency Event Log'!$D$4:$D$803)))</f>
        <v/>
      </c>
      <c r="AC118" s="8" t="str">
        <f>IF($B118="","",IF(COUNTIF('Competency Event Log'!$U$4:$U$803,$B118&amp;"|"&amp;AC$5)=0,"",SUMIF('Competency Event Log'!$U$4:$U$803,$B118&amp;"|"&amp;AC$5,'Competency Event Log'!$D$4:$D$803)))</f>
        <v/>
      </c>
      <c r="AD118" s="8" t="str">
        <f>IF($B118="","",IF(COUNTIF('Competency Event Log'!$U$4:$U$803,$B118&amp;"|"&amp;AD$5)=0,"",SUMIF('Competency Event Log'!$U$4:$U$803,$B118&amp;"|"&amp;AD$5,'Competency Event Log'!$D$4:$D$803)))</f>
        <v/>
      </c>
      <c r="AE118" s="8" t="str">
        <f>IF($B118="","",IF(COUNTIF('Competency Event Log'!$U$4:$U$803,$B118&amp;"|"&amp;AE$5)=0,"",SUMIF('Competency Event Log'!$U$4:$U$803,$B118&amp;"|"&amp;AE$5,'Competency Event Log'!$D$4:$D$803)))</f>
        <v/>
      </c>
      <c r="AF118" s="8" t="str">
        <f>IF($B118="","",IF(COUNTIF('Competency Event Log'!$U$4:$U$803,$B118&amp;"|"&amp;AF$5)=0,"",SUMIF('Competency Event Log'!$U$4:$U$803,$B118&amp;"|"&amp;AF$5,'Competency Event Log'!$D$4:$D$803)))</f>
        <v/>
      </c>
      <c r="AG118" s="8" t="str">
        <f>IF($B118="","",IF(COUNTIF('Competency Event Log'!$U$4:$U$803,$B118&amp;"|"&amp;AG$5)=0,"",SUMIF('Competency Event Log'!$U$4:$U$803,$B118&amp;"|"&amp;AG$5,'Competency Event Log'!$D$4:$D$803)))</f>
        <v/>
      </c>
      <c r="AH118" s="8" t="str">
        <f>IF($B118="","",IF(COUNTIF('Competency Event Log'!$U$4:$U$803,$B118&amp;"|"&amp;AH$5)=0,"",SUMIF('Competency Event Log'!$U$4:$U$803,$B118&amp;"|"&amp;AH$5,'Competency Event Log'!$D$4:$D$803)))</f>
        <v/>
      </c>
      <c r="AI118" s="8" t="str">
        <f>IF($B118="","",IF(COUNTIF('Competency Event Log'!$U$4:$U$803,$B118&amp;"|"&amp;AI$5)=0,"",SUMIF('Competency Event Log'!$U$4:$U$803,$B118&amp;"|"&amp;AI$5,'Competency Event Log'!$D$4:$D$803)))</f>
        <v/>
      </c>
      <c r="AJ118" s="8" t="str">
        <f>IF($B118="","",IF(COUNTIF('Competency Event Log'!$U$4:$U$803,$B118&amp;"|"&amp;AJ$5)=0,"",SUMIF('Competency Event Log'!$U$4:$U$803,$B118&amp;"|"&amp;AJ$5,'Competency Event Log'!$D$4:$D$803)))</f>
        <v/>
      </c>
      <c r="AK118" s="8" t="str">
        <f>IF($B118="","",IF(COUNTIF('Competency Event Log'!$U$4:$U$803,$B118&amp;"|"&amp;AK$5)=0,"",SUMIF('Competency Event Log'!$U$4:$U$803,$B118&amp;"|"&amp;AK$5,'Competency Event Log'!$D$4:$D$803)))</f>
        <v/>
      </c>
      <c r="AL118" s="8" t="str">
        <f>IF($B118="","",IF(COUNTIF('Competency Event Log'!$U$4:$U$803,$B118&amp;"|"&amp;AL$5)=0,"",SUMIF('Competency Event Log'!$U$4:$U$803,$B118&amp;"|"&amp;AL$5,'Competency Event Log'!$D$4:$D$803)))</f>
        <v/>
      </c>
      <c r="AM118" s="8" t="str">
        <f>IF($B118="","",IF(COUNTIF('Competency Event Log'!$U$4:$U$803,$B118&amp;"|"&amp;AM$5)=0,"",SUMIF('Competency Event Log'!$U$4:$U$803,$B118&amp;"|"&amp;AM$5,'Competency Event Log'!$D$4:$D$803)))</f>
        <v/>
      </c>
      <c r="AN118" s="8" t="str">
        <f>IF($B118="","",IF(COUNTIF('Competency Event Log'!$U$4:$U$803,$B118&amp;"|"&amp;AN$5)=0,"",SUMIF('Competency Event Log'!$U$4:$U$803,$B118&amp;"|"&amp;AN$5,'Competency Event Log'!$D$4:$D$803)))</f>
        <v/>
      </c>
      <c r="AO118" s="8" t="str">
        <f>IF($B118="","",IF(COUNTIF('Competency Event Log'!$U$4:$U$803,$B118&amp;"|"&amp;AO$5)=0,"",SUMIF('Competency Event Log'!$U$4:$U$803,$B118&amp;"|"&amp;AO$5,'Competency Event Log'!$D$4:$D$803)))</f>
        <v/>
      </c>
      <c r="AP118" s="8" t="str">
        <f>IF($B118="","",IF(COUNTIF('Competency Event Log'!$U$4:$U$803,$B118&amp;"|"&amp;AP$5)=0,"",SUMIF('Competency Event Log'!$U$4:$U$803,$B118&amp;"|"&amp;AP$5,'Competency Event Log'!$D$4:$D$803)))</f>
        <v/>
      </c>
      <c r="AQ118" s="8" t="str">
        <f>IF($B118="","",IF(COUNTIF('Competency Event Log'!$U$4:$U$803,$B118&amp;"|"&amp;AQ$5)=0,"",SUMIF('Competency Event Log'!$U$4:$U$803,$B118&amp;"|"&amp;AQ$5,'Competency Event Log'!$D$4:$D$803)))</f>
        <v/>
      </c>
      <c r="AR118" s="8" t="str">
        <f>IF($B118="","",IF(COUNTIF('Competency Event Log'!$U$4:$U$803,$B118&amp;"|"&amp;AR$5)=0,"",SUMIF('Competency Event Log'!$U$4:$U$803,$B118&amp;"|"&amp;AR$5,'Competency Event Log'!$D$4:$D$803)))</f>
        <v/>
      </c>
      <c r="AS118" s="8" t="str">
        <f>IF($B118="","",IF(COUNTIF('Competency Event Log'!$U$4:$U$803,$B118&amp;"|"&amp;AS$5)=0,"",SUMIF('Competency Event Log'!$U$4:$U$803,$B118&amp;"|"&amp;AS$5,'Competency Event Log'!$D$4:$D$803)))</f>
        <v/>
      </c>
      <c r="AT118" s="8" t="str">
        <f>IF($B118="","",IF(COUNTIF('Competency Event Log'!$U$4:$U$803,$B118&amp;"|"&amp;AT$5)=0,"",SUMIF('Competency Event Log'!$U$4:$U$803,$B118&amp;"|"&amp;AT$5,'Competency Event Log'!$D$4:$D$803)))</f>
        <v/>
      </c>
      <c r="AU118" s="8" t="str">
        <f>IF($B118="","",IF(COUNTIF('Competency Event Log'!$U$4:$U$803,$B118&amp;"|"&amp;AU$5)=0,"",SUMIF('Competency Event Log'!$U$4:$U$803,$B118&amp;"|"&amp;AU$5,'Competency Event Log'!$D$4:$D$803)))</f>
        <v/>
      </c>
      <c r="AV118" s="8" t="str">
        <f>IF($B118="","",IF(COUNTIF('Competency Event Log'!$U$4:$U$803,$B118&amp;"|"&amp;AV$5)=0,"",SUMIF('Competency Event Log'!$U$4:$U$803,$B118&amp;"|"&amp;AV$5,'Competency Event Log'!$D$4:$D$803)))</f>
        <v/>
      </c>
      <c r="AW118" s="8" t="str">
        <f>IF($B118="","",IF(COUNTIF('Competency Event Log'!$U$4:$U$803,$B118&amp;"|"&amp;AW$5)=0,"",SUMIF('Competency Event Log'!$U$4:$U$803,$B118&amp;"|"&amp;AW$5,'Competency Event Log'!$D$4:$D$803)))</f>
        <v/>
      </c>
      <c r="AX118" s="8" t="str">
        <f>IF($B118="","",IF(COUNTIF('Competency Event Log'!$U$4:$U$803,$B118&amp;"|"&amp;AX$5)=0,"",SUMIF('Competency Event Log'!$U$4:$U$803,$B118&amp;"|"&amp;AX$5,'Competency Event Log'!$D$4:$D$803)))</f>
        <v/>
      </c>
      <c r="AY118" s="8" t="str">
        <f>IF($B118="","",IF(COUNTIF('Competency Event Log'!$U$4:$U$803,$B118&amp;"|"&amp;AY$5)=0,"",SUMIF('Competency Event Log'!$U$4:$U$803,$B118&amp;"|"&amp;AY$5,'Competency Event Log'!$D$4:$D$803)))</f>
        <v/>
      </c>
      <c r="AZ118" s="8" t="str">
        <f>IF($B118="","",IF(COUNTIF('Competency Event Log'!$U$4:$U$803,$B118&amp;"|"&amp;AZ$5)=0,"",SUMIF('Competency Event Log'!$U$4:$U$803,$B118&amp;"|"&amp;AZ$5,'Competency Event Log'!$D$4:$D$803)))</f>
        <v/>
      </c>
      <c r="BA118" s="8" t="str">
        <f>IF($B118="","",IF(COUNTIF('Competency Event Log'!$U$4:$U$803,$B118&amp;"|"&amp;BA$5)=0,"",SUMIF('Competency Event Log'!$U$4:$U$803,$B118&amp;"|"&amp;BA$5,'Competency Event Log'!$D$4:$D$803)))</f>
        <v/>
      </c>
      <c r="BB118" s="8" t="str">
        <f>IF($B118="","",IF(COUNTIF('Competency Event Log'!$U$4:$U$803,$B118&amp;"|"&amp;BB$5)=0,"",SUMIF('Competency Event Log'!$U$4:$U$803,$B118&amp;"|"&amp;BB$5,'Competency Event Log'!$D$4:$D$803)))</f>
        <v/>
      </c>
      <c r="BC118" s="8" t="str">
        <f>IF($B118="","",IF(COUNTIF('Competency Event Log'!$U$4:$U$803,$B118&amp;"|"&amp;BC$5)=0,"",SUMIF('Competency Event Log'!$U$4:$U$803,$B118&amp;"|"&amp;BC$5,'Competency Event Log'!$D$4:$D$803)))</f>
        <v/>
      </c>
      <c r="BD118" s="8" t="str">
        <f>IF($B118="","",IF(COUNTIF('Competency Event Log'!$U$4:$U$803,$B118&amp;"|"&amp;BD$5)=0,"",SUMIF('Competency Event Log'!$U$4:$U$803,$B118&amp;"|"&amp;BD$5,'Competency Event Log'!$D$4:$D$803)))</f>
        <v/>
      </c>
      <c r="BE118" s="8" t="str">
        <f>IF($B118="","",IF(COUNTIF('Competency Event Log'!$U$4:$U$803,$B118&amp;"|"&amp;BE$5)=0,"",SUMIF('Competency Event Log'!$U$4:$U$803,$B118&amp;"|"&amp;BE$5,'Competency Event Log'!$D$4:$D$803)))</f>
        <v/>
      </c>
      <c r="BF118" s="8" t="str">
        <f>IF($B118="","",IF(COUNTIF('Competency Event Log'!$U$4:$U$803,$B118&amp;"|"&amp;BF$5)=0,"",SUMIF('Competency Event Log'!$U$4:$U$803,$B118&amp;"|"&amp;BF$5,'Competency Event Log'!$D$4:$D$803)))</f>
        <v/>
      </c>
      <c r="BG118" s="8" t="str">
        <f>IF($B118="","",IF(COUNTIF('Competency Event Log'!$U$4:$U$803,$B118&amp;"|"&amp;BG$5)=0,"",SUMIF('Competency Event Log'!$U$4:$U$803,$B118&amp;"|"&amp;BG$5,'Competency Event Log'!$D$4:$D$803)))</f>
        <v/>
      </c>
      <c r="BH118" s="8" t="str">
        <f>IF($B118="","",IF(COUNTIF('Competency Event Log'!$U$4:$U$803,$B118&amp;"|"&amp;BH$5)=0,"",SUMIF('Competency Event Log'!$U$4:$U$803,$B118&amp;"|"&amp;BH$5,'Competency Event Log'!$D$4:$D$803)))</f>
        <v/>
      </c>
      <c r="BI118" s="8" t="str">
        <f>IF($B118="","",IF(COUNTIF('Competency Event Log'!$U$4:$U$803,$B118&amp;"|"&amp;BI$5)=0,"",SUMIF('Competency Event Log'!$U$4:$U$803,$B118&amp;"|"&amp;BI$5,'Competency Event Log'!$D$4:$D$803)))</f>
        <v/>
      </c>
      <c r="BJ118" s="8" t="str">
        <f>IF($B118="","",IF(COUNTIF('Competency Event Log'!$U$4:$U$803,$B118&amp;"|"&amp;BJ$5)=0,"",SUMIF('Competency Event Log'!$U$4:$U$803,$B118&amp;"|"&amp;BJ$5,'Competency Event Log'!$D$4:$D$803)))</f>
        <v/>
      </c>
      <c r="BK118" s="8" t="str">
        <f>IF($B118="","",IF(COUNTIF('Competency Event Log'!$U$4:$U$803,$B118&amp;"|"&amp;BK$5)=0,"",SUMIF('Competency Event Log'!$U$4:$U$803,$B118&amp;"|"&amp;BK$5,'Competency Event Log'!$D$4:$D$803)))</f>
        <v/>
      </c>
      <c r="BL118" s="8" t="str">
        <f>IF($B118="","",IF(COUNTIF('Competency Event Log'!$U$4:$U$803,$B118&amp;"|"&amp;BL$5)=0,"",SUMIF('Competency Event Log'!$U$4:$U$803,$B118&amp;"|"&amp;BL$5,'Competency Event Log'!$D$4:$D$803)))</f>
        <v/>
      </c>
      <c r="BM118" s="8" t="str">
        <f>IF($B118="","",IF(COUNTIF('Competency Event Log'!$U$4:$U$803,$B118&amp;"|"&amp;BM$5)=0,"",SUMIF('Competency Event Log'!$U$4:$U$803,$B118&amp;"|"&amp;BM$5,'Competency Event Log'!$D$4:$D$803)))</f>
        <v/>
      </c>
      <c r="BN118" s="8" t="str">
        <f>IF($B118="","",IF(COUNTIF('Competency Event Log'!$U$4:$U$803,$B118&amp;"|"&amp;BN$5)=0,"",SUMIF('Competency Event Log'!$U$4:$U$803,$B118&amp;"|"&amp;BN$5,'Competency Event Log'!$D$4:$D$803)))</f>
        <v/>
      </c>
      <c r="BO118" s="8" t="str">
        <f>IF($B118="","",IF(COUNTIF('Competency Event Log'!$U$4:$U$803,$B118&amp;"|"&amp;BO$5)=0,"",SUMIF('Competency Event Log'!$U$4:$U$803,$B118&amp;"|"&amp;BO$5,'Competency Event Log'!$D$4:$D$803)))</f>
        <v/>
      </c>
      <c r="BP118" s="8" t="str">
        <f>IF($B118="","",IF(COUNTIF('Competency Event Log'!$U$4:$U$803,$B118&amp;"|"&amp;BP$5)=0,"",SUMIF('Competency Event Log'!$U$4:$U$803,$B118&amp;"|"&amp;BP$5,'Competency Event Log'!$D$4:$D$803)))</f>
        <v/>
      </c>
      <c r="BQ118" s="8" t="str">
        <f>IF($B118="","",IF(COUNTIF('Competency Event Log'!$U$4:$U$803,$B118&amp;"|"&amp;BQ$5)=0,"",SUMIF('Competency Event Log'!$U$4:$U$803,$B118&amp;"|"&amp;BQ$5,'Competency Event Log'!$D$4:$D$803)))</f>
        <v/>
      </c>
      <c r="BR118" s="8" t="str">
        <f>IF($B118="","",IF(COUNTIF('Competency Event Log'!$U$4:$U$803,$B118&amp;"|"&amp;BR$5)=0,"",SUMIF('Competency Event Log'!$U$4:$U$803,$B118&amp;"|"&amp;BR$5,'Competency Event Log'!$D$4:$D$803)))</f>
        <v/>
      </c>
      <c r="BS118" s="8" t="str">
        <f>IF($B118="","",IF(COUNTIF('Competency Event Log'!$U$4:$U$803,$B118&amp;"|"&amp;BS$5)=0,"",SUMIF('Competency Event Log'!$U$4:$U$803,$B118&amp;"|"&amp;BS$5,'Competency Event Log'!$D$4:$D$803)))</f>
        <v/>
      </c>
      <c r="BT118" s="8" t="str">
        <f>IF($B118="","",IF(COUNTIF('Competency Event Log'!$U$4:$U$803,$B118&amp;"|"&amp;BT$5)=0,"",SUMIF('Competency Event Log'!$U$4:$U$803,$B118&amp;"|"&amp;BT$5,'Competency Event Log'!$D$4:$D$803)))</f>
        <v/>
      </c>
      <c r="BU118" s="8" t="str">
        <f>IF($B118="","",IF(COUNTIF('Competency Event Log'!$U$4:$U$803,$B118&amp;"|"&amp;BU$5)=0,"",SUMIF('Competency Event Log'!$U$4:$U$803,$B118&amp;"|"&amp;BU$5,'Competency Event Log'!$D$4:$D$803)))</f>
        <v/>
      </c>
      <c r="BV118" s="8" t="str">
        <f>IF($B118="","",IF(COUNTIF('Competency Event Log'!$U$4:$U$803,$B118&amp;"|"&amp;BV$5)=0,"",SUMIF('Competency Event Log'!$U$4:$U$803,$B118&amp;"|"&amp;BV$5,'Competency Event Log'!$D$4:$D$803)))</f>
        <v/>
      </c>
      <c r="BW118" s="8" t="str">
        <f>IF($B118="","",IF(COUNTIF('Competency Event Log'!$U$4:$U$803,$B118&amp;"|"&amp;BW$5)=0,"",SUMIF('Competency Event Log'!$U$4:$U$803,$B118&amp;"|"&amp;BW$5,'Competency Event Log'!$D$4:$D$803)))</f>
        <v/>
      </c>
      <c r="BX118" s="8" t="str">
        <f>IF($B118="","",IF(COUNTIF('Competency Event Log'!$U$4:$U$803,$B118&amp;"|"&amp;BX$5)=0,"",SUMIF('Competency Event Log'!$U$4:$U$803,$B118&amp;"|"&amp;BX$5,'Competency Event Log'!$D$4:$D$803)))</f>
        <v/>
      </c>
      <c r="BY118" s="8" t="str">
        <f>IF($B118="","",IF(COUNTIF('Competency Event Log'!$U$4:$U$803,$B118&amp;"|"&amp;BY$5)=0,"",SUMIF('Competency Event Log'!$U$4:$U$803,$B118&amp;"|"&amp;BY$5,'Competency Event Log'!$D$4:$D$803)))</f>
        <v/>
      </c>
      <c r="BZ118" s="8" t="str">
        <f>IF($B118="","",IF(COUNTIF('Competency Event Log'!$U$4:$U$803,$B118&amp;"|"&amp;BZ$5)=0,"",SUMIF('Competency Event Log'!$U$4:$U$803,$B118&amp;"|"&amp;BZ$5,'Competency Event Log'!$D$4:$D$803)))</f>
        <v/>
      </c>
      <c r="CA118" s="8" t="str">
        <f>IF($B118="","",IF(COUNTIF('Competency Event Log'!$U$4:$U$803,$B118&amp;"|"&amp;CA$5)=0,"",SUMIF('Competency Event Log'!$U$4:$U$803,$B118&amp;"|"&amp;CA$5,'Competency Event Log'!$D$4:$D$803)))</f>
        <v/>
      </c>
      <c r="CB118" s="8" t="str">
        <f>IF($B118="","",IF(COUNTIF('Competency Event Log'!$U$4:$U$803,$B118&amp;"|"&amp;CB$5)=0,"",SUMIF('Competency Event Log'!$U$4:$U$803,$B118&amp;"|"&amp;CB$5,'Competency Event Log'!$D$4:$D$803)))</f>
        <v/>
      </c>
      <c r="CC118" s="8" t="str">
        <f>IF($B118="","",IF(COUNTIF('Competency Event Log'!$U$4:$U$803,$B118&amp;"|"&amp;CC$5)=0,"",SUMIF('Competency Event Log'!$U$4:$U$803,$B118&amp;"|"&amp;CC$5,'Competency Event Log'!$D$4:$D$803)))</f>
        <v/>
      </c>
      <c r="CD118" s="8" t="str">
        <f>IF($B118="","",IF(COUNTIF('Competency Event Log'!$U$4:$U$803,$B118&amp;"|"&amp;CD$5)=0,"",SUMIF('Competency Event Log'!$U$4:$U$803,$B118&amp;"|"&amp;CD$5,'Competency Event Log'!$D$4:$D$803)))</f>
        <v/>
      </c>
      <c r="CE118" s="8" t="str">
        <f>IF($B118="","",IF(COUNTIF('Competency Event Log'!$U$4:$U$803,$B118&amp;"|"&amp;CE$5)=0,"",SUMIF('Competency Event Log'!$U$4:$U$803,$B118&amp;"|"&amp;CE$5,'Competency Event Log'!$D$4:$D$803)))</f>
        <v/>
      </c>
      <c r="CF118" s="8" t="str">
        <f>IF($B118="","",IF(COUNTIF('Competency Event Log'!$U$4:$U$803,$B118&amp;"|"&amp;CF$5)=0,"",SUMIF('Competency Event Log'!$U$4:$U$803,$B118&amp;"|"&amp;CF$5,'Competency Event Log'!$D$4:$D$803)))</f>
        <v/>
      </c>
      <c r="CG118" s="8" t="str">
        <f>IF($B118="","",IF(COUNTIF('Competency Event Log'!$U$4:$U$803,$B118&amp;"|"&amp;CG$5)=0,"",SUMIF('Competency Event Log'!$U$4:$U$803,$B118&amp;"|"&amp;CG$5,'Competency Event Log'!$D$4:$D$803)))</f>
        <v/>
      </c>
      <c r="CH118" s="8" t="str">
        <f>IF($B118="","",IF(COUNTIF('Competency Event Log'!$U$4:$U$803,$B118&amp;"|"&amp;CH$5)=0,"",SUMIF('Competency Event Log'!$U$4:$U$803,$B118&amp;"|"&amp;CH$5,'Competency Event Log'!$D$4:$D$803)))</f>
        <v/>
      </c>
      <c r="CI118" s="8" t="str">
        <f>IF($B118="","",IF(COUNTIF('Competency Event Log'!$U$4:$U$803,$B118&amp;"|"&amp;CI$5)=0,"",SUMIF('Competency Event Log'!$U$4:$U$803,$B118&amp;"|"&amp;CI$5,'Competency Event Log'!$D$4:$D$803)))</f>
        <v/>
      </c>
      <c r="CJ118" s="8" t="str">
        <f>IF($B118="","",IF(COUNTIF('Competency Event Log'!$U$4:$U$803,$B118&amp;"|"&amp;CJ$5)=0,"",SUMIF('Competency Event Log'!$U$4:$U$803,$B118&amp;"|"&amp;CJ$5,'Competency Event Log'!$D$4:$D$803)))</f>
        <v/>
      </c>
      <c r="CK118" s="8" t="str">
        <f>IF($B118="","",IF(COUNTIF('Competency Event Log'!$U$4:$U$803,$B118&amp;"|"&amp;CK$5)=0,"",SUMIF('Competency Event Log'!$U$4:$U$803,$B118&amp;"|"&amp;CK$5,'Competency Event Log'!$D$4:$D$803)))</f>
        <v/>
      </c>
      <c r="CL118" s="8" t="str">
        <f>IF($B118="","",IF(COUNTIF('Competency Event Log'!$U$4:$U$803,$B118&amp;"|"&amp;CL$5)=0,"",SUMIF('Competency Event Log'!$U$4:$U$803,$B118&amp;"|"&amp;CL$5,'Competency Event Log'!$D$4:$D$803)))</f>
        <v/>
      </c>
      <c r="CM118" s="8" t="str">
        <f>IF($B118="","",IF(COUNTIF('Competency Event Log'!$U$4:$U$803,$B118&amp;"|"&amp;CM$5)=0,"",SUMIF('Competency Event Log'!$U$4:$U$803,$B118&amp;"|"&amp;CM$5,'Competency Event Log'!$D$4:$D$803)))</f>
        <v/>
      </c>
      <c r="CN118" s="8" t="str">
        <f>IF($B118="","",IF(COUNTIF('Competency Event Log'!$U$4:$U$803,$B118&amp;"|"&amp;CN$5)=0,"",SUMIF('Competency Event Log'!$U$4:$U$803,$B118&amp;"|"&amp;CN$5,'Competency Event Log'!$D$4:$D$803)))</f>
        <v/>
      </c>
      <c r="CO118" s="8" t="str">
        <f>IF($B118="","",IF(COUNTIF('Competency Event Log'!$U$4:$U$803,$B118&amp;"|"&amp;CO$5)=0,"",SUMIF('Competency Event Log'!$U$4:$U$803,$B118&amp;"|"&amp;CO$5,'Competency Event Log'!$D$4:$D$803)))</f>
        <v/>
      </c>
      <c r="CP118" s="8" t="str">
        <f>IF($B118="","",IF(COUNTIF('Competency Event Log'!$U$4:$U$803,$B118&amp;"|"&amp;CP$5)=0,"",SUMIF('Competency Event Log'!$U$4:$U$803,$B118&amp;"|"&amp;CP$5,'Competency Event Log'!$D$4:$D$803)))</f>
        <v/>
      </c>
      <c r="CQ118" s="8" t="str">
        <f>IF($B118="","",IF(COUNTIF('Competency Event Log'!$U$4:$U$803,$B118&amp;"|"&amp;CQ$5)=0,"",SUMIF('Competency Event Log'!$U$4:$U$803,$B118&amp;"|"&amp;CQ$5,'Competency Event Log'!$D$4:$D$803)))</f>
        <v/>
      </c>
      <c r="CR118" s="8" t="str">
        <f>IF($B118="","",IF(COUNTIF('Competency Event Log'!$U$4:$U$803,$B118&amp;"|"&amp;CR$5)=0,"",SUMIF('Competency Event Log'!$U$4:$U$803,$B118&amp;"|"&amp;CR$5,'Competency Event Log'!$D$4:$D$803)))</f>
        <v/>
      </c>
      <c r="CS118" s="8" t="str">
        <f>IF($B118="","",IF(COUNTIF('Competency Event Log'!$U$4:$U$803,$B118&amp;"|"&amp;CS$5)=0,"",SUMIF('Competency Event Log'!$U$4:$U$803,$B118&amp;"|"&amp;CS$5,'Competency Event Log'!$D$4:$D$803)))</f>
        <v/>
      </c>
      <c r="CT118" s="8" t="str">
        <f>IF($B118="","",IF(COUNTIF('Competency Event Log'!$U$4:$U$803,$B118&amp;"|"&amp;CT$5)=0,"",SUMIF('Competency Event Log'!$U$4:$U$803,$B118&amp;"|"&amp;CT$5,'Competency Event Log'!$D$4:$D$803)))</f>
        <v/>
      </c>
      <c r="CU118" s="8" t="str">
        <f>IF($B118="","",IF(COUNTIF('Competency Event Log'!$U$4:$U$803,$B118&amp;"|"&amp;CU$5)=0,"",SUMIF('Competency Event Log'!$U$4:$U$803,$B118&amp;"|"&amp;CU$5,'Competency Event Log'!$D$4:$D$803)))</f>
        <v/>
      </c>
      <c r="CV118" s="8" t="str">
        <f>IF($B118="","",IF(COUNTIF('Competency Event Log'!$U$4:$U$803,$B118&amp;"|"&amp;CV$5)=0,"",SUMIF('Competency Event Log'!$U$4:$U$803,$B118&amp;"|"&amp;CV$5,'Competency Event Log'!$D$4:$D$803)))</f>
        <v/>
      </c>
      <c r="CW118" s="8" t="str">
        <f>IF($B118="","",IF(COUNTIF('Competency Event Log'!$U$4:$U$803,$B118&amp;"|"&amp;CW$5)=0,"",SUMIF('Competency Event Log'!$U$4:$U$803,$B118&amp;"|"&amp;CW$5,'Competency Event Log'!$D$4:$D$803)))</f>
        <v/>
      </c>
      <c r="CX118" s="8" t="str">
        <f>IF($B118="","",IF(COUNTIF('Competency Event Log'!$U$4:$U$803,$B118&amp;"|"&amp;CX$5)=0,"",SUMIF('Competency Event Log'!$U$4:$U$803,$B118&amp;"|"&amp;CX$5,'Competency Event Log'!$D$4:$D$803)))</f>
        <v/>
      </c>
      <c r="CY118" s="8" t="str">
        <f>IF($B118="","",IF(COUNTIF('Competency Event Log'!$U$4:$U$803,$B118&amp;"|"&amp;CY$5)=0,"",SUMIF('Competency Event Log'!$U$4:$U$803,$B118&amp;"|"&amp;CY$5,'Competency Event Log'!$D$4:$D$803)))</f>
        <v/>
      </c>
      <c r="CZ118" s="8" t="str">
        <f>IF($B118="","",IF(COUNTIF('Competency Event Log'!$U$4:$U$803,$B118&amp;"|"&amp;CZ$5)=0,"",SUMIF('Competency Event Log'!$U$4:$U$803,$B118&amp;"|"&amp;CZ$5,'Competency Event Log'!$D$4:$D$803)))</f>
        <v/>
      </c>
      <c r="DA118" s="8" t="str">
        <f>IF($B118="","",IF(COUNTIF('Competency Event Log'!$U$4:$U$803,$B118&amp;"|"&amp;DA$5)=0,"",SUMIF('Competency Event Log'!$U$4:$U$803,$B118&amp;"|"&amp;DA$5,'Competency Event Log'!$D$4:$D$803)))</f>
        <v/>
      </c>
      <c r="DB118" s="8" t="str">
        <f>IF($B118="","",IF(COUNTIF('Competency Event Log'!$U$4:$U$803,$B118&amp;"|"&amp;DB$5)=0,"",SUMIF('Competency Event Log'!$U$4:$U$803,$B118&amp;"|"&amp;DB$5,'Competency Event Log'!$D$4:$D$803)))</f>
        <v/>
      </c>
      <c r="DC118" s="8" t="str">
        <f>IF($B118="","",IF(COUNTIF('Competency Event Log'!$U$4:$U$803,$B118&amp;"|"&amp;DC$5)=0,"",SUMIF('Competency Event Log'!$U$4:$U$803,$B118&amp;"|"&amp;DC$5,'Competency Event Log'!$D$4:$D$803)))</f>
        <v/>
      </c>
      <c r="DD118" s="8" t="str">
        <f>IF($B118="","",IF(COUNTIF('Competency Event Log'!$U$4:$U$803,$B118&amp;"|"&amp;DD$5)=0,"",SUMIF('Competency Event Log'!$U$4:$U$803,$B118&amp;"|"&amp;DD$5,'Competency Event Log'!$D$4:$D$803)))</f>
        <v/>
      </c>
      <c r="DE118" s="8" t="str">
        <f>IF($B118="","",IF(COUNTIF('Competency Event Log'!$U$4:$U$803,$B118&amp;"|"&amp;DE$5)=0,"",SUMIF('Competency Event Log'!$U$4:$U$803,$B118&amp;"|"&amp;DE$5,'Competency Event Log'!$D$4:$D$803)))</f>
        <v/>
      </c>
      <c r="DF118" s="8" t="str">
        <f t="shared" si="12"/>
        <v/>
      </c>
      <c r="DG118" s="8" t="str">
        <f t="shared" si="13"/>
        <v/>
      </c>
      <c r="DH118" s="8" t="str">
        <f t="shared" si="14"/>
        <v/>
      </c>
      <c r="DI118" s="11" t="str">
        <f t="shared" si="15"/>
        <v/>
      </c>
    </row>
    <row r="119" spans="1:113">
      <c r="A119" s="7"/>
      <c r="B119" s="7"/>
      <c r="C119" s="8"/>
      <c r="D119" s="9"/>
      <c r="E119" s="10"/>
      <c r="F119" s="8"/>
      <c r="G119" s="8" t="str">
        <f>IF($B119="","",IF(COUNTIF('Competency Event Log'!$U$4:$U$803,$B119&amp;"|"&amp;G$5)=0,"",SUMIF('Competency Event Log'!$U$4:$U$803,$B119&amp;"|"&amp;G$5,'Competency Event Log'!$D$4:$D$803)))</f>
        <v/>
      </c>
      <c r="H119" s="8" t="str">
        <f>IF($B119="","",IF(COUNTIF('Competency Event Log'!$U$4:$U$803,$B119&amp;"|"&amp;H$5)=0,"",SUMIF('Competency Event Log'!$U$4:$U$803,$B119&amp;"|"&amp;H$5,'Competency Event Log'!$D$4:$D$803)))</f>
        <v/>
      </c>
      <c r="I119" s="8" t="str">
        <f>IF($B119="","",IF(COUNTIF('Competency Event Log'!$U$4:$U$803,$B119&amp;"|"&amp;I$5)=0,"",SUMIF('Competency Event Log'!$U$4:$U$803,$B119&amp;"|"&amp;I$5,'Competency Event Log'!$D$4:$D$803)))</f>
        <v/>
      </c>
      <c r="J119" s="8" t="str">
        <f>IF($B119="","",IF(COUNTIF('Competency Event Log'!$U$4:$U$803,$B119&amp;"|"&amp;J$5)=0,"",SUMIF('Competency Event Log'!$U$4:$U$803,$B119&amp;"|"&amp;J$5,'Competency Event Log'!$D$4:$D$803)))</f>
        <v/>
      </c>
      <c r="K119" s="8" t="str">
        <f>IF($B119="","",IF(COUNTIF('Competency Event Log'!$U$4:$U$803,$B119&amp;"|"&amp;K$5)=0,"",SUMIF('Competency Event Log'!$U$4:$U$803,$B119&amp;"|"&amp;K$5,'Competency Event Log'!$D$4:$D$803)))</f>
        <v/>
      </c>
      <c r="L119" s="8" t="str">
        <f>IF($B119="","",IF(COUNTIF('Competency Event Log'!$U$4:$U$803,$B119&amp;"|"&amp;L$5)=0,"",SUMIF('Competency Event Log'!$U$4:$U$803,$B119&amp;"|"&amp;L$5,'Competency Event Log'!$D$4:$D$803)))</f>
        <v/>
      </c>
      <c r="M119" s="8" t="str">
        <f>IF($B119="","",IF(COUNTIF('Competency Event Log'!$U$4:$U$803,$B119&amp;"|"&amp;M$5)=0,"",SUMIF('Competency Event Log'!$U$4:$U$803,$B119&amp;"|"&amp;M$5,'Competency Event Log'!$D$4:$D$803)))</f>
        <v/>
      </c>
      <c r="N119" s="8" t="str">
        <f>IF($B119="","",IF(COUNTIF('Competency Event Log'!$U$4:$U$803,$B119&amp;"|"&amp;N$5)=0,"",SUMIF('Competency Event Log'!$U$4:$U$803,$B119&amp;"|"&amp;N$5,'Competency Event Log'!$D$4:$D$803)))</f>
        <v/>
      </c>
      <c r="O119" s="8" t="str">
        <f>IF($B119="","",IF(COUNTIF('Competency Event Log'!$U$4:$U$803,$B119&amp;"|"&amp;O$5)=0,"",SUMIF('Competency Event Log'!$U$4:$U$803,$B119&amp;"|"&amp;O$5,'Competency Event Log'!$D$4:$D$803)))</f>
        <v/>
      </c>
      <c r="P119" s="8" t="str">
        <f>IF($B119="","",IF(COUNTIF('Competency Event Log'!$U$4:$U$803,$B119&amp;"|"&amp;P$5)=0,"",SUMIF('Competency Event Log'!$U$4:$U$803,$B119&amp;"|"&amp;P$5,'Competency Event Log'!$D$4:$D$803)))</f>
        <v/>
      </c>
      <c r="Q119" s="8" t="str">
        <f>IF($B119="","",IF(COUNTIF('Competency Event Log'!$U$4:$U$803,$B119&amp;"|"&amp;Q$5)=0,"",SUMIF('Competency Event Log'!$U$4:$U$803,$B119&amp;"|"&amp;Q$5,'Competency Event Log'!$D$4:$D$803)))</f>
        <v/>
      </c>
      <c r="R119" s="8" t="str">
        <f>IF($B119="","",IF(COUNTIF('Competency Event Log'!$U$4:$U$803,$B119&amp;"|"&amp;R$5)=0,"",SUMIF('Competency Event Log'!$U$4:$U$803,$B119&amp;"|"&amp;R$5,'Competency Event Log'!$D$4:$D$803)))</f>
        <v/>
      </c>
      <c r="S119" s="8" t="str">
        <f>IF($B119="","",IF(COUNTIF('Competency Event Log'!$U$4:$U$803,$B119&amp;"|"&amp;S$5)=0,"",SUMIF('Competency Event Log'!$U$4:$U$803,$B119&amp;"|"&amp;S$5,'Competency Event Log'!$D$4:$D$803)))</f>
        <v/>
      </c>
      <c r="T119" s="8" t="str">
        <f>IF($B119="","",IF(COUNTIF('Competency Event Log'!$U$4:$U$803,$B119&amp;"|"&amp;T$5)=0,"",SUMIF('Competency Event Log'!$U$4:$U$803,$B119&amp;"|"&amp;T$5,'Competency Event Log'!$D$4:$D$803)))</f>
        <v/>
      </c>
      <c r="U119" s="8" t="str">
        <f>IF($B119="","",IF(COUNTIF('Competency Event Log'!$U$4:$U$803,$B119&amp;"|"&amp;U$5)=0,"",SUMIF('Competency Event Log'!$U$4:$U$803,$B119&amp;"|"&amp;U$5,'Competency Event Log'!$D$4:$D$803)))</f>
        <v/>
      </c>
      <c r="V119" s="8" t="str">
        <f>IF($B119="","",IF(COUNTIF('Competency Event Log'!$U$4:$U$803,$B119&amp;"|"&amp;V$5)=0,"",SUMIF('Competency Event Log'!$U$4:$U$803,$B119&amp;"|"&amp;V$5,'Competency Event Log'!$D$4:$D$803)))</f>
        <v/>
      </c>
      <c r="W119" s="8" t="str">
        <f>IF($B119="","",IF(COUNTIF('Competency Event Log'!$U$4:$U$803,$B119&amp;"|"&amp;W$5)=0,"",SUMIF('Competency Event Log'!$U$4:$U$803,$B119&amp;"|"&amp;W$5,'Competency Event Log'!$D$4:$D$803)))</f>
        <v/>
      </c>
      <c r="X119" s="8" t="str">
        <f>IF($B119="","",IF(COUNTIF('Competency Event Log'!$U$4:$U$803,$B119&amp;"|"&amp;X$5)=0,"",SUMIF('Competency Event Log'!$U$4:$U$803,$B119&amp;"|"&amp;X$5,'Competency Event Log'!$D$4:$D$803)))</f>
        <v/>
      </c>
      <c r="Y119" s="8" t="str">
        <f>IF($B119="","",IF(COUNTIF('Competency Event Log'!$U$4:$U$803,$B119&amp;"|"&amp;Y$5)=0,"",SUMIF('Competency Event Log'!$U$4:$U$803,$B119&amp;"|"&amp;Y$5,'Competency Event Log'!$D$4:$D$803)))</f>
        <v/>
      </c>
      <c r="Z119" s="8" t="str">
        <f>IF($B119="","",IF(COUNTIF('Competency Event Log'!$U$4:$U$803,$B119&amp;"|"&amp;Z$5)=0,"",SUMIF('Competency Event Log'!$U$4:$U$803,$B119&amp;"|"&amp;Z$5,'Competency Event Log'!$D$4:$D$803)))</f>
        <v/>
      </c>
      <c r="AA119" s="8" t="str">
        <f>IF($B119="","",IF(COUNTIF('Competency Event Log'!$U$4:$U$803,$B119&amp;"|"&amp;AA$5)=0,"",SUMIF('Competency Event Log'!$U$4:$U$803,$B119&amp;"|"&amp;AA$5,'Competency Event Log'!$D$4:$D$803)))</f>
        <v/>
      </c>
      <c r="AB119" s="8" t="str">
        <f>IF($B119="","",IF(COUNTIF('Competency Event Log'!$U$4:$U$803,$B119&amp;"|"&amp;AB$5)=0,"",SUMIF('Competency Event Log'!$U$4:$U$803,$B119&amp;"|"&amp;AB$5,'Competency Event Log'!$D$4:$D$803)))</f>
        <v/>
      </c>
      <c r="AC119" s="8" t="str">
        <f>IF($B119="","",IF(COUNTIF('Competency Event Log'!$U$4:$U$803,$B119&amp;"|"&amp;AC$5)=0,"",SUMIF('Competency Event Log'!$U$4:$U$803,$B119&amp;"|"&amp;AC$5,'Competency Event Log'!$D$4:$D$803)))</f>
        <v/>
      </c>
      <c r="AD119" s="8" t="str">
        <f>IF($B119="","",IF(COUNTIF('Competency Event Log'!$U$4:$U$803,$B119&amp;"|"&amp;AD$5)=0,"",SUMIF('Competency Event Log'!$U$4:$U$803,$B119&amp;"|"&amp;AD$5,'Competency Event Log'!$D$4:$D$803)))</f>
        <v/>
      </c>
      <c r="AE119" s="8" t="str">
        <f>IF($B119="","",IF(COUNTIF('Competency Event Log'!$U$4:$U$803,$B119&amp;"|"&amp;AE$5)=0,"",SUMIF('Competency Event Log'!$U$4:$U$803,$B119&amp;"|"&amp;AE$5,'Competency Event Log'!$D$4:$D$803)))</f>
        <v/>
      </c>
      <c r="AF119" s="8" t="str">
        <f>IF($B119="","",IF(COUNTIF('Competency Event Log'!$U$4:$U$803,$B119&amp;"|"&amp;AF$5)=0,"",SUMIF('Competency Event Log'!$U$4:$U$803,$B119&amp;"|"&amp;AF$5,'Competency Event Log'!$D$4:$D$803)))</f>
        <v/>
      </c>
      <c r="AG119" s="8" t="str">
        <f>IF($B119="","",IF(COUNTIF('Competency Event Log'!$U$4:$U$803,$B119&amp;"|"&amp;AG$5)=0,"",SUMIF('Competency Event Log'!$U$4:$U$803,$B119&amp;"|"&amp;AG$5,'Competency Event Log'!$D$4:$D$803)))</f>
        <v/>
      </c>
      <c r="AH119" s="8" t="str">
        <f>IF($B119="","",IF(COUNTIF('Competency Event Log'!$U$4:$U$803,$B119&amp;"|"&amp;AH$5)=0,"",SUMIF('Competency Event Log'!$U$4:$U$803,$B119&amp;"|"&amp;AH$5,'Competency Event Log'!$D$4:$D$803)))</f>
        <v/>
      </c>
      <c r="AI119" s="8" t="str">
        <f>IF($B119="","",IF(COUNTIF('Competency Event Log'!$U$4:$U$803,$B119&amp;"|"&amp;AI$5)=0,"",SUMIF('Competency Event Log'!$U$4:$U$803,$B119&amp;"|"&amp;AI$5,'Competency Event Log'!$D$4:$D$803)))</f>
        <v/>
      </c>
      <c r="AJ119" s="8" t="str">
        <f>IF($B119="","",IF(COUNTIF('Competency Event Log'!$U$4:$U$803,$B119&amp;"|"&amp;AJ$5)=0,"",SUMIF('Competency Event Log'!$U$4:$U$803,$B119&amp;"|"&amp;AJ$5,'Competency Event Log'!$D$4:$D$803)))</f>
        <v/>
      </c>
      <c r="AK119" s="8" t="str">
        <f>IF($B119="","",IF(COUNTIF('Competency Event Log'!$U$4:$U$803,$B119&amp;"|"&amp;AK$5)=0,"",SUMIF('Competency Event Log'!$U$4:$U$803,$B119&amp;"|"&amp;AK$5,'Competency Event Log'!$D$4:$D$803)))</f>
        <v/>
      </c>
      <c r="AL119" s="8" t="str">
        <f>IF($B119="","",IF(COUNTIF('Competency Event Log'!$U$4:$U$803,$B119&amp;"|"&amp;AL$5)=0,"",SUMIF('Competency Event Log'!$U$4:$U$803,$B119&amp;"|"&amp;AL$5,'Competency Event Log'!$D$4:$D$803)))</f>
        <v/>
      </c>
      <c r="AM119" s="8" t="str">
        <f>IF($B119="","",IF(COUNTIF('Competency Event Log'!$U$4:$U$803,$B119&amp;"|"&amp;AM$5)=0,"",SUMIF('Competency Event Log'!$U$4:$U$803,$B119&amp;"|"&amp;AM$5,'Competency Event Log'!$D$4:$D$803)))</f>
        <v/>
      </c>
      <c r="AN119" s="8" t="str">
        <f>IF($B119="","",IF(COUNTIF('Competency Event Log'!$U$4:$U$803,$B119&amp;"|"&amp;AN$5)=0,"",SUMIF('Competency Event Log'!$U$4:$U$803,$B119&amp;"|"&amp;AN$5,'Competency Event Log'!$D$4:$D$803)))</f>
        <v/>
      </c>
      <c r="AO119" s="8" t="str">
        <f>IF($B119="","",IF(COUNTIF('Competency Event Log'!$U$4:$U$803,$B119&amp;"|"&amp;AO$5)=0,"",SUMIF('Competency Event Log'!$U$4:$U$803,$B119&amp;"|"&amp;AO$5,'Competency Event Log'!$D$4:$D$803)))</f>
        <v/>
      </c>
      <c r="AP119" s="8" t="str">
        <f>IF($B119="","",IF(COUNTIF('Competency Event Log'!$U$4:$U$803,$B119&amp;"|"&amp;AP$5)=0,"",SUMIF('Competency Event Log'!$U$4:$U$803,$B119&amp;"|"&amp;AP$5,'Competency Event Log'!$D$4:$D$803)))</f>
        <v/>
      </c>
      <c r="AQ119" s="8" t="str">
        <f>IF($B119="","",IF(COUNTIF('Competency Event Log'!$U$4:$U$803,$B119&amp;"|"&amp;AQ$5)=0,"",SUMIF('Competency Event Log'!$U$4:$U$803,$B119&amp;"|"&amp;AQ$5,'Competency Event Log'!$D$4:$D$803)))</f>
        <v/>
      </c>
      <c r="AR119" s="8" t="str">
        <f>IF($B119="","",IF(COUNTIF('Competency Event Log'!$U$4:$U$803,$B119&amp;"|"&amp;AR$5)=0,"",SUMIF('Competency Event Log'!$U$4:$U$803,$B119&amp;"|"&amp;AR$5,'Competency Event Log'!$D$4:$D$803)))</f>
        <v/>
      </c>
      <c r="AS119" s="8" t="str">
        <f>IF($B119="","",IF(COUNTIF('Competency Event Log'!$U$4:$U$803,$B119&amp;"|"&amp;AS$5)=0,"",SUMIF('Competency Event Log'!$U$4:$U$803,$B119&amp;"|"&amp;AS$5,'Competency Event Log'!$D$4:$D$803)))</f>
        <v/>
      </c>
      <c r="AT119" s="8" t="str">
        <f>IF($B119="","",IF(COUNTIF('Competency Event Log'!$U$4:$U$803,$B119&amp;"|"&amp;AT$5)=0,"",SUMIF('Competency Event Log'!$U$4:$U$803,$B119&amp;"|"&amp;AT$5,'Competency Event Log'!$D$4:$D$803)))</f>
        <v/>
      </c>
      <c r="AU119" s="8" t="str">
        <f>IF($B119="","",IF(COUNTIF('Competency Event Log'!$U$4:$U$803,$B119&amp;"|"&amp;AU$5)=0,"",SUMIF('Competency Event Log'!$U$4:$U$803,$B119&amp;"|"&amp;AU$5,'Competency Event Log'!$D$4:$D$803)))</f>
        <v/>
      </c>
      <c r="AV119" s="8" t="str">
        <f>IF($B119="","",IF(COUNTIF('Competency Event Log'!$U$4:$U$803,$B119&amp;"|"&amp;AV$5)=0,"",SUMIF('Competency Event Log'!$U$4:$U$803,$B119&amp;"|"&amp;AV$5,'Competency Event Log'!$D$4:$D$803)))</f>
        <v/>
      </c>
      <c r="AW119" s="8" t="str">
        <f>IF($B119="","",IF(COUNTIF('Competency Event Log'!$U$4:$U$803,$B119&amp;"|"&amp;AW$5)=0,"",SUMIF('Competency Event Log'!$U$4:$U$803,$B119&amp;"|"&amp;AW$5,'Competency Event Log'!$D$4:$D$803)))</f>
        <v/>
      </c>
      <c r="AX119" s="8" t="str">
        <f>IF($B119="","",IF(COUNTIF('Competency Event Log'!$U$4:$U$803,$B119&amp;"|"&amp;AX$5)=0,"",SUMIF('Competency Event Log'!$U$4:$U$803,$B119&amp;"|"&amp;AX$5,'Competency Event Log'!$D$4:$D$803)))</f>
        <v/>
      </c>
      <c r="AY119" s="8" t="str">
        <f>IF($B119="","",IF(COUNTIF('Competency Event Log'!$U$4:$U$803,$B119&amp;"|"&amp;AY$5)=0,"",SUMIF('Competency Event Log'!$U$4:$U$803,$B119&amp;"|"&amp;AY$5,'Competency Event Log'!$D$4:$D$803)))</f>
        <v/>
      </c>
      <c r="AZ119" s="8" t="str">
        <f>IF($B119="","",IF(COUNTIF('Competency Event Log'!$U$4:$U$803,$B119&amp;"|"&amp;AZ$5)=0,"",SUMIF('Competency Event Log'!$U$4:$U$803,$B119&amp;"|"&amp;AZ$5,'Competency Event Log'!$D$4:$D$803)))</f>
        <v/>
      </c>
      <c r="BA119" s="8" t="str">
        <f>IF($B119="","",IF(COUNTIF('Competency Event Log'!$U$4:$U$803,$B119&amp;"|"&amp;BA$5)=0,"",SUMIF('Competency Event Log'!$U$4:$U$803,$B119&amp;"|"&amp;BA$5,'Competency Event Log'!$D$4:$D$803)))</f>
        <v/>
      </c>
      <c r="BB119" s="8" t="str">
        <f>IF($B119="","",IF(COUNTIF('Competency Event Log'!$U$4:$U$803,$B119&amp;"|"&amp;BB$5)=0,"",SUMIF('Competency Event Log'!$U$4:$U$803,$B119&amp;"|"&amp;BB$5,'Competency Event Log'!$D$4:$D$803)))</f>
        <v/>
      </c>
      <c r="BC119" s="8" t="str">
        <f>IF($B119="","",IF(COUNTIF('Competency Event Log'!$U$4:$U$803,$B119&amp;"|"&amp;BC$5)=0,"",SUMIF('Competency Event Log'!$U$4:$U$803,$B119&amp;"|"&amp;BC$5,'Competency Event Log'!$D$4:$D$803)))</f>
        <v/>
      </c>
      <c r="BD119" s="8" t="str">
        <f>IF($B119="","",IF(COUNTIF('Competency Event Log'!$U$4:$U$803,$B119&amp;"|"&amp;BD$5)=0,"",SUMIF('Competency Event Log'!$U$4:$U$803,$B119&amp;"|"&amp;BD$5,'Competency Event Log'!$D$4:$D$803)))</f>
        <v/>
      </c>
      <c r="BE119" s="8" t="str">
        <f>IF($B119="","",IF(COUNTIF('Competency Event Log'!$U$4:$U$803,$B119&amp;"|"&amp;BE$5)=0,"",SUMIF('Competency Event Log'!$U$4:$U$803,$B119&amp;"|"&amp;BE$5,'Competency Event Log'!$D$4:$D$803)))</f>
        <v/>
      </c>
      <c r="BF119" s="8" t="str">
        <f>IF($B119="","",IF(COUNTIF('Competency Event Log'!$U$4:$U$803,$B119&amp;"|"&amp;BF$5)=0,"",SUMIF('Competency Event Log'!$U$4:$U$803,$B119&amp;"|"&amp;BF$5,'Competency Event Log'!$D$4:$D$803)))</f>
        <v/>
      </c>
      <c r="BG119" s="8" t="str">
        <f>IF($B119="","",IF(COUNTIF('Competency Event Log'!$U$4:$U$803,$B119&amp;"|"&amp;BG$5)=0,"",SUMIF('Competency Event Log'!$U$4:$U$803,$B119&amp;"|"&amp;BG$5,'Competency Event Log'!$D$4:$D$803)))</f>
        <v/>
      </c>
      <c r="BH119" s="8" t="str">
        <f>IF($B119="","",IF(COUNTIF('Competency Event Log'!$U$4:$U$803,$B119&amp;"|"&amp;BH$5)=0,"",SUMIF('Competency Event Log'!$U$4:$U$803,$B119&amp;"|"&amp;BH$5,'Competency Event Log'!$D$4:$D$803)))</f>
        <v/>
      </c>
      <c r="BI119" s="8" t="str">
        <f>IF($B119="","",IF(COUNTIF('Competency Event Log'!$U$4:$U$803,$B119&amp;"|"&amp;BI$5)=0,"",SUMIF('Competency Event Log'!$U$4:$U$803,$B119&amp;"|"&amp;BI$5,'Competency Event Log'!$D$4:$D$803)))</f>
        <v/>
      </c>
      <c r="BJ119" s="8" t="str">
        <f>IF($B119="","",IF(COUNTIF('Competency Event Log'!$U$4:$U$803,$B119&amp;"|"&amp;BJ$5)=0,"",SUMIF('Competency Event Log'!$U$4:$U$803,$B119&amp;"|"&amp;BJ$5,'Competency Event Log'!$D$4:$D$803)))</f>
        <v/>
      </c>
      <c r="BK119" s="8" t="str">
        <f>IF($B119="","",IF(COUNTIF('Competency Event Log'!$U$4:$U$803,$B119&amp;"|"&amp;BK$5)=0,"",SUMIF('Competency Event Log'!$U$4:$U$803,$B119&amp;"|"&amp;BK$5,'Competency Event Log'!$D$4:$D$803)))</f>
        <v/>
      </c>
      <c r="BL119" s="8" t="str">
        <f>IF($B119="","",IF(COUNTIF('Competency Event Log'!$U$4:$U$803,$B119&amp;"|"&amp;BL$5)=0,"",SUMIF('Competency Event Log'!$U$4:$U$803,$B119&amp;"|"&amp;BL$5,'Competency Event Log'!$D$4:$D$803)))</f>
        <v/>
      </c>
      <c r="BM119" s="8" t="str">
        <f>IF($B119="","",IF(COUNTIF('Competency Event Log'!$U$4:$U$803,$B119&amp;"|"&amp;BM$5)=0,"",SUMIF('Competency Event Log'!$U$4:$U$803,$B119&amp;"|"&amp;BM$5,'Competency Event Log'!$D$4:$D$803)))</f>
        <v/>
      </c>
      <c r="BN119" s="8" t="str">
        <f>IF($B119="","",IF(COUNTIF('Competency Event Log'!$U$4:$U$803,$B119&amp;"|"&amp;BN$5)=0,"",SUMIF('Competency Event Log'!$U$4:$U$803,$B119&amp;"|"&amp;BN$5,'Competency Event Log'!$D$4:$D$803)))</f>
        <v/>
      </c>
      <c r="BO119" s="8" t="str">
        <f>IF($B119="","",IF(COUNTIF('Competency Event Log'!$U$4:$U$803,$B119&amp;"|"&amp;BO$5)=0,"",SUMIF('Competency Event Log'!$U$4:$U$803,$B119&amp;"|"&amp;BO$5,'Competency Event Log'!$D$4:$D$803)))</f>
        <v/>
      </c>
      <c r="BP119" s="8" t="str">
        <f>IF($B119="","",IF(COUNTIF('Competency Event Log'!$U$4:$U$803,$B119&amp;"|"&amp;BP$5)=0,"",SUMIF('Competency Event Log'!$U$4:$U$803,$B119&amp;"|"&amp;BP$5,'Competency Event Log'!$D$4:$D$803)))</f>
        <v/>
      </c>
      <c r="BQ119" s="8" t="str">
        <f>IF($B119="","",IF(COUNTIF('Competency Event Log'!$U$4:$U$803,$B119&amp;"|"&amp;BQ$5)=0,"",SUMIF('Competency Event Log'!$U$4:$U$803,$B119&amp;"|"&amp;BQ$5,'Competency Event Log'!$D$4:$D$803)))</f>
        <v/>
      </c>
      <c r="BR119" s="8" t="str">
        <f>IF($B119="","",IF(COUNTIF('Competency Event Log'!$U$4:$U$803,$B119&amp;"|"&amp;BR$5)=0,"",SUMIF('Competency Event Log'!$U$4:$U$803,$B119&amp;"|"&amp;BR$5,'Competency Event Log'!$D$4:$D$803)))</f>
        <v/>
      </c>
      <c r="BS119" s="8" t="str">
        <f>IF($B119="","",IF(COUNTIF('Competency Event Log'!$U$4:$U$803,$B119&amp;"|"&amp;BS$5)=0,"",SUMIF('Competency Event Log'!$U$4:$U$803,$B119&amp;"|"&amp;BS$5,'Competency Event Log'!$D$4:$D$803)))</f>
        <v/>
      </c>
      <c r="BT119" s="8" t="str">
        <f>IF($B119="","",IF(COUNTIF('Competency Event Log'!$U$4:$U$803,$B119&amp;"|"&amp;BT$5)=0,"",SUMIF('Competency Event Log'!$U$4:$U$803,$B119&amp;"|"&amp;BT$5,'Competency Event Log'!$D$4:$D$803)))</f>
        <v/>
      </c>
      <c r="BU119" s="8" t="str">
        <f>IF($B119="","",IF(COUNTIF('Competency Event Log'!$U$4:$U$803,$B119&amp;"|"&amp;BU$5)=0,"",SUMIF('Competency Event Log'!$U$4:$U$803,$B119&amp;"|"&amp;BU$5,'Competency Event Log'!$D$4:$D$803)))</f>
        <v/>
      </c>
      <c r="BV119" s="8" t="str">
        <f>IF($B119="","",IF(COUNTIF('Competency Event Log'!$U$4:$U$803,$B119&amp;"|"&amp;BV$5)=0,"",SUMIF('Competency Event Log'!$U$4:$U$803,$B119&amp;"|"&amp;BV$5,'Competency Event Log'!$D$4:$D$803)))</f>
        <v/>
      </c>
      <c r="BW119" s="8" t="str">
        <f>IF($B119="","",IF(COUNTIF('Competency Event Log'!$U$4:$U$803,$B119&amp;"|"&amp;BW$5)=0,"",SUMIF('Competency Event Log'!$U$4:$U$803,$B119&amp;"|"&amp;BW$5,'Competency Event Log'!$D$4:$D$803)))</f>
        <v/>
      </c>
      <c r="BX119" s="8" t="str">
        <f>IF($B119="","",IF(COUNTIF('Competency Event Log'!$U$4:$U$803,$B119&amp;"|"&amp;BX$5)=0,"",SUMIF('Competency Event Log'!$U$4:$U$803,$B119&amp;"|"&amp;BX$5,'Competency Event Log'!$D$4:$D$803)))</f>
        <v/>
      </c>
      <c r="BY119" s="8" t="str">
        <f>IF($B119="","",IF(COUNTIF('Competency Event Log'!$U$4:$U$803,$B119&amp;"|"&amp;BY$5)=0,"",SUMIF('Competency Event Log'!$U$4:$U$803,$B119&amp;"|"&amp;BY$5,'Competency Event Log'!$D$4:$D$803)))</f>
        <v/>
      </c>
      <c r="BZ119" s="8" t="str">
        <f>IF($B119="","",IF(COUNTIF('Competency Event Log'!$U$4:$U$803,$B119&amp;"|"&amp;BZ$5)=0,"",SUMIF('Competency Event Log'!$U$4:$U$803,$B119&amp;"|"&amp;BZ$5,'Competency Event Log'!$D$4:$D$803)))</f>
        <v/>
      </c>
      <c r="CA119" s="8" t="str">
        <f>IF($B119="","",IF(COUNTIF('Competency Event Log'!$U$4:$U$803,$B119&amp;"|"&amp;CA$5)=0,"",SUMIF('Competency Event Log'!$U$4:$U$803,$B119&amp;"|"&amp;CA$5,'Competency Event Log'!$D$4:$D$803)))</f>
        <v/>
      </c>
      <c r="CB119" s="8" t="str">
        <f>IF($B119="","",IF(COUNTIF('Competency Event Log'!$U$4:$U$803,$B119&amp;"|"&amp;CB$5)=0,"",SUMIF('Competency Event Log'!$U$4:$U$803,$B119&amp;"|"&amp;CB$5,'Competency Event Log'!$D$4:$D$803)))</f>
        <v/>
      </c>
      <c r="CC119" s="8" t="str">
        <f>IF($B119="","",IF(COUNTIF('Competency Event Log'!$U$4:$U$803,$B119&amp;"|"&amp;CC$5)=0,"",SUMIF('Competency Event Log'!$U$4:$U$803,$B119&amp;"|"&amp;CC$5,'Competency Event Log'!$D$4:$D$803)))</f>
        <v/>
      </c>
      <c r="CD119" s="8" t="str">
        <f>IF($B119="","",IF(COUNTIF('Competency Event Log'!$U$4:$U$803,$B119&amp;"|"&amp;CD$5)=0,"",SUMIF('Competency Event Log'!$U$4:$U$803,$B119&amp;"|"&amp;CD$5,'Competency Event Log'!$D$4:$D$803)))</f>
        <v/>
      </c>
      <c r="CE119" s="8" t="str">
        <f>IF($B119="","",IF(COUNTIF('Competency Event Log'!$U$4:$U$803,$B119&amp;"|"&amp;CE$5)=0,"",SUMIF('Competency Event Log'!$U$4:$U$803,$B119&amp;"|"&amp;CE$5,'Competency Event Log'!$D$4:$D$803)))</f>
        <v/>
      </c>
      <c r="CF119" s="8" t="str">
        <f>IF($B119="","",IF(COUNTIF('Competency Event Log'!$U$4:$U$803,$B119&amp;"|"&amp;CF$5)=0,"",SUMIF('Competency Event Log'!$U$4:$U$803,$B119&amp;"|"&amp;CF$5,'Competency Event Log'!$D$4:$D$803)))</f>
        <v/>
      </c>
      <c r="CG119" s="8" t="str">
        <f>IF($B119="","",IF(COUNTIF('Competency Event Log'!$U$4:$U$803,$B119&amp;"|"&amp;CG$5)=0,"",SUMIF('Competency Event Log'!$U$4:$U$803,$B119&amp;"|"&amp;CG$5,'Competency Event Log'!$D$4:$D$803)))</f>
        <v/>
      </c>
      <c r="CH119" s="8" t="str">
        <f>IF($B119="","",IF(COUNTIF('Competency Event Log'!$U$4:$U$803,$B119&amp;"|"&amp;CH$5)=0,"",SUMIF('Competency Event Log'!$U$4:$U$803,$B119&amp;"|"&amp;CH$5,'Competency Event Log'!$D$4:$D$803)))</f>
        <v/>
      </c>
      <c r="CI119" s="8" t="str">
        <f>IF($B119="","",IF(COUNTIF('Competency Event Log'!$U$4:$U$803,$B119&amp;"|"&amp;CI$5)=0,"",SUMIF('Competency Event Log'!$U$4:$U$803,$B119&amp;"|"&amp;CI$5,'Competency Event Log'!$D$4:$D$803)))</f>
        <v/>
      </c>
      <c r="CJ119" s="8" t="str">
        <f>IF($B119="","",IF(COUNTIF('Competency Event Log'!$U$4:$U$803,$B119&amp;"|"&amp;CJ$5)=0,"",SUMIF('Competency Event Log'!$U$4:$U$803,$B119&amp;"|"&amp;CJ$5,'Competency Event Log'!$D$4:$D$803)))</f>
        <v/>
      </c>
      <c r="CK119" s="8" t="str">
        <f>IF($B119="","",IF(COUNTIF('Competency Event Log'!$U$4:$U$803,$B119&amp;"|"&amp;CK$5)=0,"",SUMIF('Competency Event Log'!$U$4:$U$803,$B119&amp;"|"&amp;CK$5,'Competency Event Log'!$D$4:$D$803)))</f>
        <v/>
      </c>
      <c r="CL119" s="8" t="str">
        <f>IF($B119="","",IF(COUNTIF('Competency Event Log'!$U$4:$U$803,$B119&amp;"|"&amp;CL$5)=0,"",SUMIF('Competency Event Log'!$U$4:$U$803,$B119&amp;"|"&amp;CL$5,'Competency Event Log'!$D$4:$D$803)))</f>
        <v/>
      </c>
      <c r="CM119" s="8" t="str">
        <f>IF($B119="","",IF(COUNTIF('Competency Event Log'!$U$4:$U$803,$B119&amp;"|"&amp;CM$5)=0,"",SUMIF('Competency Event Log'!$U$4:$U$803,$B119&amp;"|"&amp;CM$5,'Competency Event Log'!$D$4:$D$803)))</f>
        <v/>
      </c>
      <c r="CN119" s="8" t="str">
        <f>IF($B119="","",IF(COUNTIF('Competency Event Log'!$U$4:$U$803,$B119&amp;"|"&amp;CN$5)=0,"",SUMIF('Competency Event Log'!$U$4:$U$803,$B119&amp;"|"&amp;CN$5,'Competency Event Log'!$D$4:$D$803)))</f>
        <v/>
      </c>
      <c r="CO119" s="8" t="str">
        <f>IF($B119="","",IF(COUNTIF('Competency Event Log'!$U$4:$U$803,$B119&amp;"|"&amp;CO$5)=0,"",SUMIF('Competency Event Log'!$U$4:$U$803,$B119&amp;"|"&amp;CO$5,'Competency Event Log'!$D$4:$D$803)))</f>
        <v/>
      </c>
      <c r="CP119" s="8" t="str">
        <f>IF($B119="","",IF(COUNTIF('Competency Event Log'!$U$4:$U$803,$B119&amp;"|"&amp;CP$5)=0,"",SUMIF('Competency Event Log'!$U$4:$U$803,$B119&amp;"|"&amp;CP$5,'Competency Event Log'!$D$4:$D$803)))</f>
        <v/>
      </c>
      <c r="CQ119" s="8" t="str">
        <f>IF($B119="","",IF(COUNTIF('Competency Event Log'!$U$4:$U$803,$B119&amp;"|"&amp;CQ$5)=0,"",SUMIF('Competency Event Log'!$U$4:$U$803,$B119&amp;"|"&amp;CQ$5,'Competency Event Log'!$D$4:$D$803)))</f>
        <v/>
      </c>
      <c r="CR119" s="8" t="str">
        <f>IF($B119="","",IF(COUNTIF('Competency Event Log'!$U$4:$U$803,$B119&amp;"|"&amp;CR$5)=0,"",SUMIF('Competency Event Log'!$U$4:$U$803,$B119&amp;"|"&amp;CR$5,'Competency Event Log'!$D$4:$D$803)))</f>
        <v/>
      </c>
      <c r="CS119" s="8" t="str">
        <f>IF($B119="","",IF(COUNTIF('Competency Event Log'!$U$4:$U$803,$B119&amp;"|"&amp;CS$5)=0,"",SUMIF('Competency Event Log'!$U$4:$U$803,$B119&amp;"|"&amp;CS$5,'Competency Event Log'!$D$4:$D$803)))</f>
        <v/>
      </c>
      <c r="CT119" s="8" t="str">
        <f>IF($B119="","",IF(COUNTIF('Competency Event Log'!$U$4:$U$803,$B119&amp;"|"&amp;CT$5)=0,"",SUMIF('Competency Event Log'!$U$4:$U$803,$B119&amp;"|"&amp;CT$5,'Competency Event Log'!$D$4:$D$803)))</f>
        <v/>
      </c>
      <c r="CU119" s="8" t="str">
        <f>IF($B119="","",IF(COUNTIF('Competency Event Log'!$U$4:$U$803,$B119&amp;"|"&amp;CU$5)=0,"",SUMIF('Competency Event Log'!$U$4:$U$803,$B119&amp;"|"&amp;CU$5,'Competency Event Log'!$D$4:$D$803)))</f>
        <v/>
      </c>
      <c r="CV119" s="8" t="str">
        <f>IF($B119="","",IF(COUNTIF('Competency Event Log'!$U$4:$U$803,$B119&amp;"|"&amp;CV$5)=0,"",SUMIF('Competency Event Log'!$U$4:$U$803,$B119&amp;"|"&amp;CV$5,'Competency Event Log'!$D$4:$D$803)))</f>
        <v/>
      </c>
      <c r="CW119" s="8" t="str">
        <f>IF($B119="","",IF(COUNTIF('Competency Event Log'!$U$4:$U$803,$B119&amp;"|"&amp;CW$5)=0,"",SUMIF('Competency Event Log'!$U$4:$U$803,$B119&amp;"|"&amp;CW$5,'Competency Event Log'!$D$4:$D$803)))</f>
        <v/>
      </c>
      <c r="CX119" s="8" t="str">
        <f>IF($B119="","",IF(COUNTIF('Competency Event Log'!$U$4:$U$803,$B119&amp;"|"&amp;CX$5)=0,"",SUMIF('Competency Event Log'!$U$4:$U$803,$B119&amp;"|"&amp;CX$5,'Competency Event Log'!$D$4:$D$803)))</f>
        <v/>
      </c>
      <c r="CY119" s="8" t="str">
        <f>IF($B119="","",IF(COUNTIF('Competency Event Log'!$U$4:$U$803,$B119&amp;"|"&amp;CY$5)=0,"",SUMIF('Competency Event Log'!$U$4:$U$803,$B119&amp;"|"&amp;CY$5,'Competency Event Log'!$D$4:$D$803)))</f>
        <v/>
      </c>
      <c r="CZ119" s="8" t="str">
        <f>IF($B119="","",IF(COUNTIF('Competency Event Log'!$U$4:$U$803,$B119&amp;"|"&amp;CZ$5)=0,"",SUMIF('Competency Event Log'!$U$4:$U$803,$B119&amp;"|"&amp;CZ$5,'Competency Event Log'!$D$4:$D$803)))</f>
        <v/>
      </c>
      <c r="DA119" s="8" t="str">
        <f>IF($B119="","",IF(COUNTIF('Competency Event Log'!$U$4:$U$803,$B119&amp;"|"&amp;DA$5)=0,"",SUMIF('Competency Event Log'!$U$4:$U$803,$B119&amp;"|"&amp;DA$5,'Competency Event Log'!$D$4:$D$803)))</f>
        <v/>
      </c>
      <c r="DB119" s="8" t="str">
        <f>IF($B119="","",IF(COUNTIF('Competency Event Log'!$U$4:$U$803,$B119&amp;"|"&amp;DB$5)=0,"",SUMIF('Competency Event Log'!$U$4:$U$803,$B119&amp;"|"&amp;DB$5,'Competency Event Log'!$D$4:$D$803)))</f>
        <v/>
      </c>
      <c r="DC119" s="8" t="str">
        <f>IF($B119="","",IF(COUNTIF('Competency Event Log'!$U$4:$U$803,$B119&amp;"|"&amp;DC$5)=0,"",SUMIF('Competency Event Log'!$U$4:$U$803,$B119&amp;"|"&amp;DC$5,'Competency Event Log'!$D$4:$D$803)))</f>
        <v/>
      </c>
      <c r="DD119" s="8" t="str">
        <f>IF($B119="","",IF(COUNTIF('Competency Event Log'!$U$4:$U$803,$B119&amp;"|"&amp;DD$5)=0,"",SUMIF('Competency Event Log'!$U$4:$U$803,$B119&amp;"|"&amp;DD$5,'Competency Event Log'!$D$4:$D$803)))</f>
        <v/>
      </c>
      <c r="DE119" s="8" t="str">
        <f>IF($B119="","",IF(COUNTIF('Competency Event Log'!$U$4:$U$803,$B119&amp;"|"&amp;DE$5)=0,"",SUMIF('Competency Event Log'!$U$4:$U$803,$B119&amp;"|"&amp;DE$5,'Competency Event Log'!$D$4:$D$803)))</f>
        <v/>
      </c>
      <c r="DF119" s="8" t="str">
        <f t="shared" si="12"/>
        <v/>
      </c>
      <c r="DG119" s="8" t="str">
        <f t="shared" si="13"/>
        <v/>
      </c>
      <c r="DH119" s="8" t="str">
        <f t="shared" si="14"/>
        <v/>
      </c>
      <c r="DI119" s="11" t="str">
        <f t="shared" si="15"/>
        <v/>
      </c>
    </row>
    <row r="120" spans="1:113">
      <c r="A120" s="7"/>
      <c r="B120" s="7"/>
      <c r="C120" s="8"/>
      <c r="D120" s="9"/>
      <c r="E120" s="10"/>
      <c r="F120" s="8"/>
      <c r="G120" s="8" t="str">
        <f>IF($B120="","",IF(COUNTIF('Competency Event Log'!$U$4:$U$803,$B120&amp;"|"&amp;G$5)=0,"",SUMIF('Competency Event Log'!$U$4:$U$803,$B120&amp;"|"&amp;G$5,'Competency Event Log'!$D$4:$D$803)))</f>
        <v/>
      </c>
      <c r="H120" s="8" t="str">
        <f>IF($B120="","",IF(COUNTIF('Competency Event Log'!$U$4:$U$803,$B120&amp;"|"&amp;H$5)=0,"",SUMIF('Competency Event Log'!$U$4:$U$803,$B120&amp;"|"&amp;H$5,'Competency Event Log'!$D$4:$D$803)))</f>
        <v/>
      </c>
      <c r="I120" s="8" t="str">
        <f>IF($B120="","",IF(COUNTIF('Competency Event Log'!$U$4:$U$803,$B120&amp;"|"&amp;I$5)=0,"",SUMIF('Competency Event Log'!$U$4:$U$803,$B120&amp;"|"&amp;I$5,'Competency Event Log'!$D$4:$D$803)))</f>
        <v/>
      </c>
      <c r="J120" s="8" t="str">
        <f>IF($B120="","",IF(COUNTIF('Competency Event Log'!$U$4:$U$803,$B120&amp;"|"&amp;J$5)=0,"",SUMIF('Competency Event Log'!$U$4:$U$803,$B120&amp;"|"&amp;J$5,'Competency Event Log'!$D$4:$D$803)))</f>
        <v/>
      </c>
      <c r="K120" s="8" t="str">
        <f>IF($B120="","",IF(COUNTIF('Competency Event Log'!$U$4:$U$803,$B120&amp;"|"&amp;K$5)=0,"",SUMIF('Competency Event Log'!$U$4:$U$803,$B120&amp;"|"&amp;K$5,'Competency Event Log'!$D$4:$D$803)))</f>
        <v/>
      </c>
      <c r="L120" s="8" t="str">
        <f>IF($B120="","",IF(COUNTIF('Competency Event Log'!$U$4:$U$803,$B120&amp;"|"&amp;L$5)=0,"",SUMIF('Competency Event Log'!$U$4:$U$803,$B120&amp;"|"&amp;L$5,'Competency Event Log'!$D$4:$D$803)))</f>
        <v/>
      </c>
      <c r="M120" s="8" t="str">
        <f>IF($B120="","",IF(COUNTIF('Competency Event Log'!$U$4:$U$803,$B120&amp;"|"&amp;M$5)=0,"",SUMIF('Competency Event Log'!$U$4:$U$803,$B120&amp;"|"&amp;M$5,'Competency Event Log'!$D$4:$D$803)))</f>
        <v/>
      </c>
      <c r="N120" s="8" t="str">
        <f>IF($B120="","",IF(COUNTIF('Competency Event Log'!$U$4:$U$803,$B120&amp;"|"&amp;N$5)=0,"",SUMIF('Competency Event Log'!$U$4:$U$803,$B120&amp;"|"&amp;N$5,'Competency Event Log'!$D$4:$D$803)))</f>
        <v/>
      </c>
      <c r="O120" s="8" t="str">
        <f>IF($B120="","",IF(COUNTIF('Competency Event Log'!$U$4:$U$803,$B120&amp;"|"&amp;O$5)=0,"",SUMIF('Competency Event Log'!$U$4:$U$803,$B120&amp;"|"&amp;O$5,'Competency Event Log'!$D$4:$D$803)))</f>
        <v/>
      </c>
      <c r="P120" s="8" t="str">
        <f>IF($B120="","",IF(COUNTIF('Competency Event Log'!$U$4:$U$803,$B120&amp;"|"&amp;P$5)=0,"",SUMIF('Competency Event Log'!$U$4:$U$803,$B120&amp;"|"&amp;P$5,'Competency Event Log'!$D$4:$D$803)))</f>
        <v/>
      </c>
      <c r="Q120" s="8" t="str">
        <f>IF($B120="","",IF(COUNTIF('Competency Event Log'!$U$4:$U$803,$B120&amp;"|"&amp;Q$5)=0,"",SUMIF('Competency Event Log'!$U$4:$U$803,$B120&amp;"|"&amp;Q$5,'Competency Event Log'!$D$4:$D$803)))</f>
        <v/>
      </c>
      <c r="R120" s="8" t="str">
        <f>IF($B120="","",IF(COUNTIF('Competency Event Log'!$U$4:$U$803,$B120&amp;"|"&amp;R$5)=0,"",SUMIF('Competency Event Log'!$U$4:$U$803,$B120&amp;"|"&amp;R$5,'Competency Event Log'!$D$4:$D$803)))</f>
        <v/>
      </c>
      <c r="S120" s="8" t="str">
        <f>IF($B120="","",IF(COUNTIF('Competency Event Log'!$U$4:$U$803,$B120&amp;"|"&amp;S$5)=0,"",SUMIF('Competency Event Log'!$U$4:$U$803,$B120&amp;"|"&amp;S$5,'Competency Event Log'!$D$4:$D$803)))</f>
        <v/>
      </c>
      <c r="T120" s="8" t="str">
        <f>IF($B120="","",IF(COUNTIF('Competency Event Log'!$U$4:$U$803,$B120&amp;"|"&amp;T$5)=0,"",SUMIF('Competency Event Log'!$U$4:$U$803,$B120&amp;"|"&amp;T$5,'Competency Event Log'!$D$4:$D$803)))</f>
        <v/>
      </c>
      <c r="U120" s="8" t="str">
        <f>IF($B120="","",IF(COUNTIF('Competency Event Log'!$U$4:$U$803,$B120&amp;"|"&amp;U$5)=0,"",SUMIF('Competency Event Log'!$U$4:$U$803,$B120&amp;"|"&amp;U$5,'Competency Event Log'!$D$4:$D$803)))</f>
        <v/>
      </c>
      <c r="V120" s="8" t="str">
        <f>IF($B120="","",IF(COUNTIF('Competency Event Log'!$U$4:$U$803,$B120&amp;"|"&amp;V$5)=0,"",SUMIF('Competency Event Log'!$U$4:$U$803,$B120&amp;"|"&amp;V$5,'Competency Event Log'!$D$4:$D$803)))</f>
        <v/>
      </c>
      <c r="W120" s="8" t="str">
        <f>IF($B120="","",IF(COUNTIF('Competency Event Log'!$U$4:$U$803,$B120&amp;"|"&amp;W$5)=0,"",SUMIF('Competency Event Log'!$U$4:$U$803,$B120&amp;"|"&amp;W$5,'Competency Event Log'!$D$4:$D$803)))</f>
        <v/>
      </c>
      <c r="X120" s="8" t="str">
        <f>IF($B120="","",IF(COUNTIF('Competency Event Log'!$U$4:$U$803,$B120&amp;"|"&amp;X$5)=0,"",SUMIF('Competency Event Log'!$U$4:$U$803,$B120&amp;"|"&amp;X$5,'Competency Event Log'!$D$4:$D$803)))</f>
        <v/>
      </c>
      <c r="Y120" s="8" t="str">
        <f>IF($B120="","",IF(COUNTIF('Competency Event Log'!$U$4:$U$803,$B120&amp;"|"&amp;Y$5)=0,"",SUMIF('Competency Event Log'!$U$4:$U$803,$B120&amp;"|"&amp;Y$5,'Competency Event Log'!$D$4:$D$803)))</f>
        <v/>
      </c>
      <c r="Z120" s="8" t="str">
        <f>IF($B120="","",IF(COUNTIF('Competency Event Log'!$U$4:$U$803,$B120&amp;"|"&amp;Z$5)=0,"",SUMIF('Competency Event Log'!$U$4:$U$803,$B120&amp;"|"&amp;Z$5,'Competency Event Log'!$D$4:$D$803)))</f>
        <v/>
      </c>
      <c r="AA120" s="8" t="str">
        <f>IF($B120="","",IF(COUNTIF('Competency Event Log'!$U$4:$U$803,$B120&amp;"|"&amp;AA$5)=0,"",SUMIF('Competency Event Log'!$U$4:$U$803,$B120&amp;"|"&amp;AA$5,'Competency Event Log'!$D$4:$D$803)))</f>
        <v/>
      </c>
      <c r="AB120" s="8" t="str">
        <f>IF($B120="","",IF(COUNTIF('Competency Event Log'!$U$4:$U$803,$B120&amp;"|"&amp;AB$5)=0,"",SUMIF('Competency Event Log'!$U$4:$U$803,$B120&amp;"|"&amp;AB$5,'Competency Event Log'!$D$4:$D$803)))</f>
        <v/>
      </c>
      <c r="AC120" s="8" t="str">
        <f>IF($B120="","",IF(COUNTIF('Competency Event Log'!$U$4:$U$803,$B120&amp;"|"&amp;AC$5)=0,"",SUMIF('Competency Event Log'!$U$4:$U$803,$B120&amp;"|"&amp;AC$5,'Competency Event Log'!$D$4:$D$803)))</f>
        <v/>
      </c>
      <c r="AD120" s="8" t="str">
        <f>IF($B120="","",IF(COUNTIF('Competency Event Log'!$U$4:$U$803,$B120&amp;"|"&amp;AD$5)=0,"",SUMIF('Competency Event Log'!$U$4:$U$803,$B120&amp;"|"&amp;AD$5,'Competency Event Log'!$D$4:$D$803)))</f>
        <v/>
      </c>
      <c r="AE120" s="8" t="str">
        <f>IF($B120="","",IF(COUNTIF('Competency Event Log'!$U$4:$U$803,$B120&amp;"|"&amp;AE$5)=0,"",SUMIF('Competency Event Log'!$U$4:$U$803,$B120&amp;"|"&amp;AE$5,'Competency Event Log'!$D$4:$D$803)))</f>
        <v/>
      </c>
      <c r="AF120" s="8" t="str">
        <f>IF($B120="","",IF(COUNTIF('Competency Event Log'!$U$4:$U$803,$B120&amp;"|"&amp;AF$5)=0,"",SUMIF('Competency Event Log'!$U$4:$U$803,$B120&amp;"|"&amp;AF$5,'Competency Event Log'!$D$4:$D$803)))</f>
        <v/>
      </c>
      <c r="AG120" s="8" t="str">
        <f>IF($B120="","",IF(COUNTIF('Competency Event Log'!$U$4:$U$803,$B120&amp;"|"&amp;AG$5)=0,"",SUMIF('Competency Event Log'!$U$4:$U$803,$B120&amp;"|"&amp;AG$5,'Competency Event Log'!$D$4:$D$803)))</f>
        <v/>
      </c>
      <c r="AH120" s="8" t="str">
        <f>IF($B120="","",IF(COUNTIF('Competency Event Log'!$U$4:$U$803,$B120&amp;"|"&amp;AH$5)=0,"",SUMIF('Competency Event Log'!$U$4:$U$803,$B120&amp;"|"&amp;AH$5,'Competency Event Log'!$D$4:$D$803)))</f>
        <v/>
      </c>
      <c r="AI120" s="8" t="str">
        <f>IF($B120="","",IF(COUNTIF('Competency Event Log'!$U$4:$U$803,$B120&amp;"|"&amp;AI$5)=0,"",SUMIF('Competency Event Log'!$U$4:$U$803,$B120&amp;"|"&amp;AI$5,'Competency Event Log'!$D$4:$D$803)))</f>
        <v/>
      </c>
      <c r="AJ120" s="8" t="str">
        <f>IF($B120="","",IF(COUNTIF('Competency Event Log'!$U$4:$U$803,$B120&amp;"|"&amp;AJ$5)=0,"",SUMIF('Competency Event Log'!$U$4:$U$803,$B120&amp;"|"&amp;AJ$5,'Competency Event Log'!$D$4:$D$803)))</f>
        <v/>
      </c>
      <c r="AK120" s="8" t="str">
        <f>IF($B120="","",IF(COUNTIF('Competency Event Log'!$U$4:$U$803,$B120&amp;"|"&amp;AK$5)=0,"",SUMIF('Competency Event Log'!$U$4:$U$803,$B120&amp;"|"&amp;AK$5,'Competency Event Log'!$D$4:$D$803)))</f>
        <v/>
      </c>
      <c r="AL120" s="8" t="str">
        <f>IF($B120="","",IF(COUNTIF('Competency Event Log'!$U$4:$U$803,$B120&amp;"|"&amp;AL$5)=0,"",SUMIF('Competency Event Log'!$U$4:$U$803,$B120&amp;"|"&amp;AL$5,'Competency Event Log'!$D$4:$D$803)))</f>
        <v/>
      </c>
      <c r="AM120" s="8" t="str">
        <f>IF($B120="","",IF(COUNTIF('Competency Event Log'!$U$4:$U$803,$B120&amp;"|"&amp;AM$5)=0,"",SUMIF('Competency Event Log'!$U$4:$U$803,$B120&amp;"|"&amp;AM$5,'Competency Event Log'!$D$4:$D$803)))</f>
        <v/>
      </c>
      <c r="AN120" s="8" t="str">
        <f>IF($B120="","",IF(COUNTIF('Competency Event Log'!$U$4:$U$803,$B120&amp;"|"&amp;AN$5)=0,"",SUMIF('Competency Event Log'!$U$4:$U$803,$B120&amp;"|"&amp;AN$5,'Competency Event Log'!$D$4:$D$803)))</f>
        <v/>
      </c>
      <c r="AO120" s="8" t="str">
        <f>IF($B120="","",IF(COUNTIF('Competency Event Log'!$U$4:$U$803,$B120&amp;"|"&amp;AO$5)=0,"",SUMIF('Competency Event Log'!$U$4:$U$803,$B120&amp;"|"&amp;AO$5,'Competency Event Log'!$D$4:$D$803)))</f>
        <v/>
      </c>
      <c r="AP120" s="8" t="str">
        <f>IF($B120="","",IF(COUNTIF('Competency Event Log'!$U$4:$U$803,$B120&amp;"|"&amp;AP$5)=0,"",SUMIF('Competency Event Log'!$U$4:$U$803,$B120&amp;"|"&amp;AP$5,'Competency Event Log'!$D$4:$D$803)))</f>
        <v/>
      </c>
      <c r="AQ120" s="8" t="str">
        <f>IF($B120="","",IF(COUNTIF('Competency Event Log'!$U$4:$U$803,$B120&amp;"|"&amp;AQ$5)=0,"",SUMIF('Competency Event Log'!$U$4:$U$803,$B120&amp;"|"&amp;AQ$5,'Competency Event Log'!$D$4:$D$803)))</f>
        <v/>
      </c>
      <c r="AR120" s="8" t="str">
        <f>IF($B120="","",IF(COUNTIF('Competency Event Log'!$U$4:$U$803,$B120&amp;"|"&amp;AR$5)=0,"",SUMIF('Competency Event Log'!$U$4:$U$803,$B120&amp;"|"&amp;AR$5,'Competency Event Log'!$D$4:$D$803)))</f>
        <v/>
      </c>
      <c r="AS120" s="8" t="str">
        <f>IF($B120="","",IF(COUNTIF('Competency Event Log'!$U$4:$U$803,$B120&amp;"|"&amp;AS$5)=0,"",SUMIF('Competency Event Log'!$U$4:$U$803,$B120&amp;"|"&amp;AS$5,'Competency Event Log'!$D$4:$D$803)))</f>
        <v/>
      </c>
      <c r="AT120" s="8" t="str">
        <f>IF($B120="","",IF(COUNTIF('Competency Event Log'!$U$4:$U$803,$B120&amp;"|"&amp;AT$5)=0,"",SUMIF('Competency Event Log'!$U$4:$U$803,$B120&amp;"|"&amp;AT$5,'Competency Event Log'!$D$4:$D$803)))</f>
        <v/>
      </c>
      <c r="AU120" s="8" t="str">
        <f>IF($B120="","",IF(COUNTIF('Competency Event Log'!$U$4:$U$803,$B120&amp;"|"&amp;AU$5)=0,"",SUMIF('Competency Event Log'!$U$4:$U$803,$B120&amp;"|"&amp;AU$5,'Competency Event Log'!$D$4:$D$803)))</f>
        <v/>
      </c>
      <c r="AV120" s="8" t="str">
        <f>IF($B120="","",IF(COUNTIF('Competency Event Log'!$U$4:$U$803,$B120&amp;"|"&amp;AV$5)=0,"",SUMIF('Competency Event Log'!$U$4:$U$803,$B120&amp;"|"&amp;AV$5,'Competency Event Log'!$D$4:$D$803)))</f>
        <v/>
      </c>
      <c r="AW120" s="8" t="str">
        <f>IF($B120="","",IF(COUNTIF('Competency Event Log'!$U$4:$U$803,$B120&amp;"|"&amp;AW$5)=0,"",SUMIF('Competency Event Log'!$U$4:$U$803,$B120&amp;"|"&amp;AW$5,'Competency Event Log'!$D$4:$D$803)))</f>
        <v/>
      </c>
      <c r="AX120" s="8" t="str">
        <f>IF($B120="","",IF(COUNTIF('Competency Event Log'!$U$4:$U$803,$B120&amp;"|"&amp;AX$5)=0,"",SUMIF('Competency Event Log'!$U$4:$U$803,$B120&amp;"|"&amp;AX$5,'Competency Event Log'!$D$4:$D$803)))</f>
        <v/>
      </c>
      <c r="AY120" s="8" t="str">
        <f>IF($B120="","",IF(COUNTIF('Competency Event Log'!$U$4:$U$803,$B120&amp;"|"&amp;AY$5)=0,"",SUMIF('Competency Event Log'!$U$4:$U$803,$B120&amp;"|"&amp;AY$5,'Competency Event Log'!$D$4:$D$803)))</f>
        <v/>
      </c>
      <c r="AZ120" s="8" t="str">
        <f>IF($B120="","",IF(COUNTIF('Competency Event Log'!$U$4:$U$803,$B120&amp;"|"&amp;AZ$5)=0,"",SUMIF('Competency Event Log'!$U$4:$U$803,$B120&amp;"|"&amp;AZ$5,'Competency Event Log'!$D$4:$D$803)))</f>
        <v/>
      </c>
      <c r="BA120" s="8" t="str">
        <f>IF($B120="","",IF(COUNTIF('Competency Event Log'!$U$4:$U$803,$B120&amp;"|"&amp;BA$5)=0,"",SUMIF('Competency Event Log'!$U$4:$U$803,$B120&amp;"|"&amp;BA$5,'Competency Event Log'!$D$4:$D$803)))</f>
        <v/>
      </c>
      <c r="BB120" s="8" t="str">
        <f>IF($B120="","",IF(COUNTIF('Competency Event Log'!$U$4:$U$803,$B120&amp;"|"&amp;BB$5)=0,"",SUMIF('Competency Event Log'!$U$4:$U$803,$B120&amp;"|"&amp;BB$5,'Competency Event Log'!$D$4:$D$803)))</f>
        <v/>
      </c>
      <c r="BC120" s="8" t="str">
        <f>IF($B120="","",IF(COUNTIF('Competency Event Log'!$U$4:$U$803,$B120&amp;"|"&amp;BC$5)=0,"",SUMIF('Competency Event Log'!$U$4:$U$803,$B120&amp;"|"&amp;BC$5,'Competency Event Log'!$D$4:$D$803)))</f>
        <v/>
      </c>
      <c r="BD120" s="8" t="str">
        <f>IF($B120="","",IF(COUNTIF('Competency Event Log'!$U$4:$U$803,$B120&amp;"|"&amp;BD$5)=0,"",SUMIF('Competency Event Log'!$U$4:$U$803,$B120&amp;"|"&amp;BD$5,'Competency Event Log'!$D$4:$D$803)))</f>
        <v/>
      </c>
      <c r="BE120" s="8" t="str">
        <f>IF($B120="","",IF(COUNTIF('Competency Event Log'!$U$4:$U$803,$B120&amp;"|"&amp;BE$5)=0,"",SUMIF('Competency Event Log'!$U$4:$U$803,$B120&amp;"|"&amp;BE$5,'Competency Event Log'!$D$4:$D$803)))</f>
        <v/>
      </c>
      <c r="BF120" s="8" t="str">
        <f>IF($B120="","",IF(COUNTIF('Competency Event Log'!$U$4:$U$803,$B120&amp;"|"&amp;BF$5)=0,"",SUMIF('Competency Event Log'!$U$4:$U$803,$B120&amp;"|"&amp;BF$5,'Competency Event Log'!$D$4:$D$803)))</f>
        <v/>
      </c>
      <c r="BG120" s="8" t="str">
        <f>IF($B120="","",IF(COUNTIF('Competency Event Log'!$U$4:$U$803,$B120&amp;"|"&amp;BG$5)=0,"",SUMIF('Competency Event Log'!$U$4:$U$803,$B120&amp;"|"&amp;BG$5,'Competency Event Log'!$D$4:$D$803)))</f>
        <v/>
      </c>
      <c r="BH120" s="8" t="str">
        <f>IF($B120="","",IF(COUNTIF('Competency Event Log'!$U$4:$U$803,$B120&amp;"|"&amp;BH$5)=0,"",SUMIF('Competency Event Log'!$U$4:$U$803,$B120&amp;"|"&amp;BH$5,'Competency Event Log'!$D$4:$D$803)))</f>
        <v/>
      </c>
      <c r="BI120" s="8" t="str">
        <f>IF($B120="","",IF(COUNTIF('Competency Event Log'!$U$4:$U$803,$B120&amp;"|"&amp;BI$5)=0,"",SUMIF('Competency Event Log'!$U$4:$U$803,$B120&amp;"|"&amp;BI$5,'Competency Event Log'!$D$4:$D$803)))</f>
        <v/>
      </c>
      <c r="BJ120" s="8" t="str">
        <f>IF($B120="","",IF(COUNTIF('Competency Event Log'!$U$4:$U$803,$B120&amp;"|"&amp;BJ$5)=0,"",SUMIF('Competency Event Log'!$U$4:$U$803,$B120&amp;"|"&amp;BJ$5,'Competency Event Log'!$D$4:$D$803)))</f>
        <v/>
      </c>
      <c r="BK120" s="8" t="str">
        <f>IF($B120="","",IF(COUNTIF('Competency Event Log'!$U$4:$U$803,$B120&amp;"|"&amp;BK$5)=0,"",SUMIF('Competency Event Log'!$U$4:$U$803,$B120&amp;"|"&amp;BK$5,'Competency Event Log'!$D$4:$D$803)))</f>
        <v/>
      </c>
      <c r="BL120" s="8" t="str">
        <f>IF($B120="","",IF(COUNTIF('Competency Event Log'!$U$4:$U$803,$B120&amp;"|"&amp;BL$5)=0,"",SUMIF('Competency Event Log'!$U$4:$U$803,$B120&amp;"|"&amp;BL$5,'Competency Event Log'!$D$4:$D$803)))</f>
        <v/>
      </c>
      <c r="BM120" s="8" t="str">
        <f>IF($B120="","",IF(COUNTIF('Competency Event Log'!$U$4:$U$803,$B120&amp;"|"&amp;BM$5)=0,"",SUMIF('Competency Event Log'!$U$4:$U$803,$B120&amp;"|"&amp;BM$5,'Competency Event Log'!$D$4:$D$803)))</f>
        <v/>
      </c>
      <c r="BN120" s="8" t="str">
        <f>IF($B120="","",IF(COUNTIF('Competency Event Log'!$U$4:$U$803,$B120&amp;"|"&amp;BN$5)=0,"",SUMIF('Competency Event Log'!$U$4:$U$803,$B120&amp;"|"&amp;BN$5,'Competency Event Log'!$D$4:$D$803)))</f>
        <v/>
      </c>
      <c r="BO120" s="8" t="str">
        <f>IF($B120="","",IF(COUNTIF('Competency Event Log'!$U$4:$U$803,$B120&amp;"|"&amp;BO$5)=0,"",SUMIF('Competency Event Log'!$U$4:$U$803,$B120&amp;"|"&amp;BO$5,'Competency Event Log'!$D$4:$D$803)))</f>
        <v/>
      </c>
      <c r="BP120" s="8" t="str">
        <f>IF($B120="","",IF(COUNTIF('Competency Event Log'!$U$4:$U$803,$B120&amp;"|"&amp;BP$5)=0,"",SUMIF('Competency Event Log'!$U$4:$U$803,$B120&amp;"|"&amp;BP$5,'Competency Event Log'!$D$4:$D$803)))</f>
        <v/>
      </c>
      <c r="BQ120" s="8" t="str">
        <f>IF($B120="","",IF(COUNTIF('Competency Event Log'!$U$4:$U$803,$B120&amp;"|"&amp;BQ$5)=0,"",SUMIF('Competency Event Log'!$U$4:$U$803,$B120&amp;"|"&amp;BQ$5,'Competency Event Log'!$D$4:$D$803)))</f>
        <v/>
      </c>
      <c r="BR120" s="8" t="str">
        <f>IF($B120="","",IF(COUNTIF('Competency Event Log'!$U$4:$U$803,$B120&amp;"|"&amp;BR$5)=0,"",SUMIF('Competency Event Log'!$U$4:$U$803,$B120&amp;"|"&amp;BR$5,'Competency Event Log'!$D$4:$D$803)))</f>
        <v/>
      </c>
      <c r="BS120" s="8" t="str">
        <f>IF($B120="","",IF(COUNTIF('Competency Event Log'!$U$4:$U$803,$B120&amp;"|"&amp;BS$5)=0,"",SUMIF('Competency Event Log'!$U$4:$U$803,$B120&amp;"|"&amp;BS$5,'Competency Event Log'!$D$4:$D$803)))</f>
        <v/>
      </c>
      <c r="BT120" s="8" t="str">
        <f>IF($B120="","",IF(COUNTIF('Competency Event Log'!$U$4:$U$803,$B120&amp;"|"&amp;BT$5)=0,"",SUMIF('Competency Event Log'!$U$4:$U$803,$B120&amp;"|"&amp;BT$5,'Competency Event Log'!$D$4:$D$803)))</f>
        <v/>
      </c>
      <c r="BU120" s="8" t="str">
        <f>IF($B120="","",IF(COUNTIF('Competency Event Log'!$U$4:$U$803,$B120&amp;"|"&amp;BU$5)=0,"",SUMIF('Competency Event Log'!$U$4:$U$803,$B120&amp;"|"&amp;BU$5,'Competency Event Log'!$D$4:$D$803)))</f>
        <v/>
      </c>
      <c r="BV120" s="8" t="str">
        <f>IF($B120="","",IF(COUNTIF('Competency Event Log'!$U$4:$U$803,$B120&amp;"|"&amp;BV$5)=0,"",SUMIF('Competency Event Log'!$U$4:$U$803,$B120&amp;"|"&amp;BV$5,'Competency Event Log'!$D$4:$D$803)))</f>
        <v/>
      </c>
      <c r="BW120" s="8" t="str">
        <f>IF($B120="","",IF(COUNTIF('Competency Event Log'!$U$4:$U$803,$B120&amp;"|"&amp;BW$5)=0,"",SUMIF('Competency Event Log'!$U$4:$U$803,$B120&amp;"|"&amp;BW$5,'Competency Event Log'!$D$4:$D$803)))</f>
        <v/>
      </c>
      <c r="BX120" s="8" t="str">
        <f>IF($B120="","",IF(COUNTIF('Competency Event Log'!$U$4:$U$803,$B120&amp;"|"&amp;BX$5)=0,"",SUMIF('Competency Event Log'!$U$4:$U$803,$B120&amp;"|"&amp;BX$5,'Competency Event Log'!$D$4:$D$803)))</f>
        <v/>
      </c>
      <c r="BY120" s="8" t="str">
        <f>IF($B120="","",IF(COUNTIF('Competency Event Log'!$U$4:$U$803,$B120&amp;"|"&amp;BY$5)=0,"",SUMIF('Competency Event Log'!$U$4:$U$803,$B120&amp;"|"&amp;BY$5,'Competency Event Log'!$D$4:$D$803)))</f>
        <v/>
      </c>
      <c r="BZ120" s="8" t="str">
        <f>IF($B120="","",IF(COUNTIF('Competency Event Log'!$U$4:$U$803,$B120&amp;"|"&amp;BZ$5)=0,"",SUMIF('Competency Event Log'!$U$4:$U$803,$B120&amp;"|"&amp;BZ$5,'Competency Event Log'!$D$4:$D$803)))</f>
        <v/>
      </c>
      <c r="CA120" s="8" t="str">
        <f>IF($B120="","",IF(COUNTIF('Competency Event Log'!$U$4:$U$803,$B120&amp;"|"&amp;CA$5)=0,"",SUMIF('Competency Event Log'!$U$4:$U$803,$B120&amp;"|"&amp;CA$5,'Competency Event Log'!$D$4:$D$803)))</f>
        <v/>
      </c>
      <c r="CB120" s="8" t="str">
        <f>IF($B120="","",IF(COUNTIF('Competency Event Log'!$U$4:$U$803,$B120&amp;"|"&amp;CB$5)=0,"",SUMIF('Competency Event Log'!$U$4:$U$803,$B120&amp;"|"&amp;CB$5,'Competency Event Log'!$D$4:$D$803)))</f>
        <v/>
      </c>
      <c r="CC120" s="8" t="str">
        <f>IF($B120="","",IF(COUNTIF('Competency Event Log'!$U$4:$U$803,$B120&amp;"|"&amp;CC$5)=0,"",SUMIF('Competency Event Log'!$U$4:$U$803,$B120&amp;"|"&amp;CC$5,'Competency Event Log'!$D$4:$D$803)))</f>
        <v/>
      </c>
      <c r="CD120" s="8" t="str">
        <f>IF($B120="","",IF(COUNTIF('Competency Event Log'!$U$4:$U$803,$B120&amp;"|"&amp;CD$5)=0,"",SUMIF('Competency Event Log'!$U$4:$U$803,$B120&amp;"|"&amp;CD$5,'Competency Event Log'!$D$4:$D$803)))</f>
        <v/>
      </c>
      <c r="CE120" s="8" t="str">
        <f>IF($B120="","",IF(COUNTIF('Competency Event Log'!$U$4:$U$803,$B120&amp;"|"&amp;CE$5)=0,"",SUMIF('Competency Event Log'!$U$4:$U$803,$B120&amp;"|"&amp;CE$5,'Competency Event Log'!$D$4:$D$803)))</f>
        <v/>
      </c>
      <c r="CF120" s="8" t="str">
        <f>IF($B120="","",IF(COUNTIF('Competency Event Log'!$U$4:$U$803,$B120&amp;"|"&amp;CF$5)=0,"",SUMIF('Competency Event Log'!$U$4:$U$803,$B120&amp;"|"&amp;CF$5,'Competency Event Log'!$D$4:$D$803)))</f>
        <v/>
      </c>
      <c r="CG120" s="8" t="str">
        <f>IF($B120="","",IF(COUNTIF('Competency Event Log'!$U$4:$U$803,$B120&amp;"|"&amp;CG$5)=0,"",SUMIF('Competency Event Log'!$U$4:$U$803,$B120&amp;"|"&amp;CG$5,'Competency Event Log'!$D$4:$D$803)))</f>
        <v/>
      </c>
      <c r="CH120" s="8" t="str">
        <f>IF($B120="","",IF(COUNTIF('Competency Event Log'!$U$4:$U$803,$B120&amp;"|"&amp;CH$5)=0,"",SUMIF('Competency Event Log'!$U$4:$U$803,$B120&amp;"|"&amp;CH$5,'Competency Event Log'!$D$4:$D$803)))</f>
        <v/>
      </c>
      <c r="CI120" s="8" t="str">
        <f>IF($B120="","",IF(COUNTIF('Competency Event Log'!$U$4:$U$803,$B120&amp;"|"&amp;CI$5)=0,"",SUMIF('Competency Event Log'!$U$4:$U$803,$B120&amp;"|"&amp;CI$5,'Competency Event Log'!$D$4:$D$803)))</f>
        <v/>
      </c>
      <c r="CJ120" s="8" t="str">
        <f>IF($B120="","",IF(COUNTIF('Competency Event Log'!$U$4:$U$803,$B120&amp;"|"&amp;CJ$5)=0,"",SUMIF('Competency Event Log'!$U$4:$U$803,$B120&amp;"|"&amp;CJ$5,'Competency Event Log'!$D$4:$D$803)))</f>
        <v/>
      </c>
      <c r="CK120" s="8" t="str">
        <f>IF($B120="","",IF(COUNTIF('Competency Event Log'!$U$4:$U$803,$B120&amp;"|"&amp;CK$5)=0,"",SUMIF('Competency Event Log'!$U$4:$U$803,$B120&amp;"|"&amp;CK$5,'Competency Event Log'!$D$4:$D$803)))</f>
        <v/>
      </c>
      <c r="CL120" s="8" t="str">
        <f>IF($B120="","",IF(COUNTIF('Competency Event Log'!$U$4:$U$803,$B120&amp;"|"&amp;CL$5)=0,"",SUMIF('Competency Event Log'!$U$4:$U$803,$B120&amp;"|"&amp;CL$5,'Competency Event Log'!$D$4:$D$803)))</f>
        <v/>
      </c>
      <c r="CM120" s="8" t="str">
        <f>IF($B120="","",IF(COUNTIF('Competency Event Log'!$U$4:$U$803,$B120&amp;"|"&amp;CM$5)=0,"",SUMIF('Competency Event Log'!$U$4:$U$803,$B120&amp;"|"&amp;CM$5,'Competency Event Log'!$D$4:$D$803)))</f>
        <v/>
      </c>
      <c r="CN120" s="8" t="str">
        <f>IF($B120="","",IF(COUNTIF('Competency Event Log'!$U$4:$U$803,$B120&amp;"|"&amp;CN$5)=0,"",SUMIF('Competency Event Log'!$U$4:$U$803,$B120&amp;"|"&amp;CN$5,'Competency Event Log'!$D$4:$D$803)))</f>
        <v/>
      </c>
      <c r="CO120" s="8" t="str">
        <f>IF($B120="","",IF(COUNTIF('Competency Event Log'!$U$4:$U$803,$B120&amp;"|"&amp;CO$5)=0,"",SUMIF('Competency Event Log'!$U$4:$U$803,$B120&amp;"|"&amp;CO$5,'Competency Event Log'!$D$4:$D$803)))</f>
        <v/>
      </c>
      <c r="CP120" s="8" t="str">
        <f>IF($B120="","",IF(COUNTIF('Competency Event Log'!$U$4:$U$803,$B120&amp;"|"&amp;CP$5)=0,"",SUMIF('Competency Event Log'!$U$4:$U$803,$B120&amp;"|"&amp;CP$5,'Competency Event Log'!$D$4:$D$803)))</f>
        <v/>
      </c>
      <c r="CQ120" s="8" t="str">
        <f>IF($B120="","",IF(COUNTIF('Competency Event Log'!$U$4:$U$803,$B120&amp;"|"&amp;CQ$5)=0,"",SUMIF('Competency Event Log'!$U$4:$U$803,$B120&amp;"|"&amp;CQ$5,'Competency Event Log'!$D$4:$D$803)))</f>
        <v/>
      </c>
      <c r="CR120" s="8" t="str">
        <f>IF($B120="","",IF(COUNTIF('Competency Event Log'!$U$4:$U$803,$B120&amp;"|"&amp;CR$5)=0,"",SUMIF('Competency Event Log'!$U$4:$U$803,$B120&amp;"|"&amp;CR$5,'Competency Event Log'!$D$4:$D$803)))</f>
        <v/>
      </c>
      <c r="CS120" s="8" t="str">
        <f>IF($B120="","",IF(COUNTIF('Competency Event Log'!$U$4:$U$803,$B120&amp;"|"&amp;CS$5)=0,"",SUMIF('Competency Event Log'!$U$4:$U$803,$B120&amp;"|"&amp;CS$5,'Competency Event Log'!$D$4:$D$803)))</f>
        <v/>
      </c>
      <c r="CT120" s="8" t="str">
        <f>IF($B120="","",IF(COUNTIF('Competency Event Log'!$U$4:$U$803,$B120&amp;"|"&amp;CT$5)=0,"",SUMIF('Competency Event Log'!$U$4:$U$803,$B120&amp;"|"&amp;CT$5,'Competency Event Log'!$D$4:$D$803)))</f>
        <v/>
      </c>
      <c r="CU120" s="8" t="str">
        <f>IF($B120="","",IF(COUNTIF('Competency Event Log'!$U$4:$U$803,$B120&amp;"|"&amp;CU$5)=0,"",SUMIF('Competency Event Log'!$U$4:$U$803,$B120&amp;"|"&amp;CU$5,'Competency Event Log'!$D$4:$D$803)))</f>
        <v/>
      </c>
      <c r="CV120" s="8" t="str">
        <f>IF($B120="","",IF(COUNTIF('Competency Event Log'!$U$4:$U$803,$B120&amp;"|"&amp;CV$5)=0,"",SUMIF('Competency Event Log'!$U$4:$U$803,$B120&amp;"|"&amp;CV$5,'Competency Event Log'!$D$4:$D$803)))</f>
        <v/>
      </c>
      <c r="CW120" s="8" t="str">
        <f>IF($B120="","",IF(COUNTIF('Competency Event Log'!$U$4:$U$803,$B120&amp;"|"&amp;CW$5)=0,"",SUMIF('Competency Event Log'!$U$4:$U$803,$B120&amp;"|"&amp;CW$5,'Competency Event Log'!$D$4:$D$803)))</f>
        <v/>
      </c>
      <c r="CX120" s="8" t="str">
        <f>IF($B120="","",IF(COUNTIF('Competency Event Log'!$U$4:$U$803,$B120&amp;"|"&amp;CX$5)=0,"",SUMIF('Competency Event Log'!$U$4:$U$803,$B120&amp;"|"&amp;CX$5,'Competency Event Log'!$D$4:$D$803)))</f>
        <v/>
      </c>
      <c r="CY120" s="8" t="str">
        <f>IF($B120="","",IF(COUNTIF('Competency Event Log'!$U$4:$U$803,$B120&amp;"|"&amp;CY$5)=0,"",SUMIF('Competency Event Log'!$U$4:$U$803,$B120&amp;"|"&amp;CY$5,'Competency Event Log'!$D$4:$D$803)))</f>
        <v/>
      </c>
      <c r="CZ120" s="8" t="str">
        <f>IF($B120="","",IF(COUNTIF('Competency Event Log'!$U$4:$U$803,$B120&amp;"|"&amp;CZ$5)=0,"",SUMIF('Competency Event Log'!$U$4:$U$803,$B120&amp;"|"&amp;CZ$5,'Competency Event Log'!$D$4:$D$803)))</f>
        <v/>
      </c>
      <c r="DA120" s="8" t="str">
        <f>IF($B120="","",IF(COUNTIF('Competency Event Log'!$U$4:$U$803,$B120&amp;"|"&amp;DA$5)=0,"",SUMIF('Competency Event Log'!$U$4:$U$803,$B120&amp;"|"&amp;DA$5,'Competency Event Log'!$D$4:$D$803)))</f>
        <v/>
      </c>
      <c r="DB120" s="8" t="str">
        <f>IF($B120="","",IF(COUNTIF('Competency Event Log'!$U$4:$U$803,$B120&amp;"|"&amp;DB$5)=0,"",SUMIF('Competency Event Log'!$U$4:$U$803,$B120&amp;"|"&amp;DB$5,'Competency Event Log'!$D$4:$D$803)))</f>
        <v/>
      </c>
      <c r="DC120" s="8" t="str">
        <f>IF($B120="","",IF(COUNTIF('Competency Event Log'!$U$4:$U$803,$B120&amp;"|"&amp;DC$5)=0,"",SUMIF('Competency Event Log'!$U$4:$U$803,$B120&amp;"|"&amp;DC$5,'Competency Event Log'!$D$4:$D$803)))</f>
        <v/>
      </c>
      <c r="DD120" s="8" t="str">
        <f>IF($B120="","",IF(COUNTIF('Competency Event Log'!$U$4:$U$803,$B120&amp;"|"&amp;DD$5)=0,"",SUMIF('Competency Event Log'!$U$4:$U$803,$B120&amp;"|"&amp;DD$5,'Competency Event Log'!$D$4:$D$803)))</f>
        <v/>
      </c>
      <c r="DE120" s="8" t="str">
        <f>IF($B120="","",IF(COUNTIF('Competency Event Log'!$U$4:$U$803,$B120&amp;"|"&amp;DE$5)=0,"",SUMIF('Competency Event Log'!$U$4:$U$803,$B120&amp;"|"&amp;DE$5,'Competency Event Log'!$D$4:$D$803)))</f>
        <v/>
      </c>
      <c r="DF120" s="8" t="str">
        <f t="shared" si="12"/>
        <v/>
      </c>
      <c r="DG120" s="8" t="str">
        <f t="shared" si="13"/>
        <v/>
      </c>
      <c r="DH120" s="8" t="str">
        <f t="shared" si="14"/>
        <v/>
      </c>
      <c r="DI120" s="11" t="str">
        <f t="shared" si="15"/>
        <v/>
      </c>
    </row>
    <row r="121" spans="1:113">
      <c r="A121" s="7"/>
      <c r="B121" s="7"/>
      <c r="C121" s="8"/>
      <c r="D121" s="9"/>
      <c r="E121" s="10"/>
      <c r="F121" s="8"/>
      <c r="G121" s="8" t="str">
        <f>IF($B121="","",IF(COUNTIF('Competency Event Log'!$U$4:$U$803,$B121&amp;"|"&amp;G$5)=0,"",SUMIF('Competency Event Log'!$U$4:$U$803,$B121&amp;"|"&amp;G$5,'Competency Event Log'!$D$4:$D$803)))</f>
        <v/>
      </c>
      <c r="H121" s="8" t="str">
        <f>IF($B121="","",IF(COUNTIF('Competency Event Log'!$U$4:$U$803,$B121&amp;"|"&amp;H$5)=0,"",SUMIF('Competency Event Log'!$U$4:$U$803,$B121&amp;"|"&amp;H$5,'Competency Event Log'!$D$4:$D$803)))</f>
        <v/>
      </c>
      <c r="I121" s="8" t="str">
        <f>IF($B121="","",IF(COUNTIF('Competency Event Log'!$U$4:$U$803,$B121&amp;"|"&amp;I$5)=0,"",SUMIF('Competency Event Log'!$U$4:$U$803,$B121&amp;"|"&amp;I$5,'Competency Event Log'!$D$4:$D$803)))</f>
        <v/>
      </c>
      <c r="J121" s="8" t="str">
        <f>IF($B121="","",IF(COUNTIF('Competency Event Log'!$U$4:$U$803,$B121&amp;"|"&amp;J$5)=0,"",SUMIF('Competency Event Log'!$U$4:$U$803,$B121&amp;"|"&amp;J$5,'Competency Event Log'!$D$4:$D$803)))</f>
        <v/>
      </c>
      <c r="K121" s="8" t="str">
        <f>IF($B121="","",IF(COUNTIF('Competency Event Log'!$U$4:$U$803,$B121&amp;"|"&amp;K$5)=0,"",SUMIF('Competency Event Log'!$U$4:$U$803,$B121&amp;"|"&amp;K$5,'Competency Event Log'!$D$4:$D$803)))</f>
        <v/>
      </c>
      <c r="L121" s="8" t="str">
        <f>IF($B121="","",IF(COUNTIF('Competency Event Log'!$U$4:$U$803,$B121&amp;"|"&amp;L$5)=0,"",SUMIF('Competency Event Log'!$U$4:$U$803,$B121&amp;"|"&amp;L$5,'Competency Event Log'!$D$4:$D$803)))</f>
        <v/>
      </c>
      <c r="M121" s="8" t="str">
        <f>IF($B121="","",IF(COUNTIF('Competency Event Log'!$U$4:$U$803,$B121&amp;"|"&amp;M$5)=0,"",SUMIF('Competency Event Log'!$U$4:$U$803,$B121&amp;"|"&amp;M$5,'Competency Event Log'!$D$4:$D$803)))</f>
        <v/>
      </c>
      <c r="N121" s="8" t="str">
        <f>IF($B121="","",IF(COUNTIF('Competency Event Log'!$U$4:$U$803,$B121&amp;"|"&amp;N$5)=0,"",SUMIF('Competency Event Log'!$U$4:$U$803,$B121&amp;"|"&amp;N$5,'Competency Event Log'!$D$4:$D$803)))</f>
        <v/>
      </c>
      <c r="O121" s="8" t="str">
        <f>IF($B121="","",IF(COUNTIF('Competency Event Log'!$U$4:$U$803,$B121&amp;"|"&amp;O$5)=0,"",SUMIF('Competency Event Log'!$U$4:$U$803,$B121&amp;"|"&amp;O$5,'Competency Event Log'!$D$4:$D$803)))</f>
        <v/>
      </c>
      <c r="P121" s="8" t="str">
        <f>IF($B121="","",IF(COUNTIF('Competency Event Log'!$U$4:$U$803,$B121&amp;"|"&amp;P$5)=0,"",SUMIF('Competency Event Log'!$U$4:$U$803,$B121&amp;"|"&amp;P$5,'Competency Event Log'!$D$4:$D$803)))</f>
        <v/>
      </c>
      <c r="Q121" s="8" t="str">
        <f>IF($B121="","",IF(COUNTIF('Competency Event Log'!$U$4:$U$803,$B121&amp;"|"&amp;Q$5)=0,"",SUMIF('Competency Event Log'!$U$4:$U$803,$B121&amp;"|"&amp;Q$5,'Competency Event Log'!$D$4:$D$803)))</f>
        <v/>
      </c>
      <c r="R121" s="8" t="str">
        <f>IF($B121="","",IF(COUNTIF('Competency Event Log'!$U$4:$U$803,$B121&amp;"|"&amp;R$5)=0,"",SUMIF('Competency Event Log'!$U$4:$U$803,$B121&amp;"|"&amp;R$5,'Competency Event Log'!$D$4:$D$803)))</f>
        <v/>
      </c>
      <c r="S121" s="8" t="str">
        <f>IF($B121="","",IF(COUNTIF('Competency Event Log'!$U$4:$U$803,$B121&amp;"|"&amp;S$5)=0,"",SUMIF('Competency Event Log'!$U$4:$U$803,$B121&amp;"|"&amp;S$5,'Competency Event Log'!$D$4:$D$803)))</f>
        <v/>
      </c>
      <c r="T121" s="8" t="str">
        <f>IF($B121="","",IF(COUNTIF('Competency Event Log'!$U$4:$U$803,$B121&amp;"|"&amp;T$5)=0,"",SUMIF('Competency Event Log'!$U$4:$U$803,$B121&amp;"|"&amp;T$5,'Competency Event Log'!$D$4:$D$803)))</f>
        <v/>
      </c>
      <c r="U121" s="8" t="str">
        <f>IF($B121="","",IF(COUNTIF('Competency Event Log'!$U$4:$U$803,$B121&amp;"|"&amp;U$5)=0,"",SUMIF('Competency Event Log'!$U$4:$U$803,$B121&amp;"|"&amp;U$5,'Competency Event Log'!$D$4:$D$803)))</f>
        <v/>
      </c>
      <c r="V121" s="8" t="str">
        <f>IF($B121="","",IF(COUNTIF('Competency Event Log'!$U$4:$U$803,$B121&amp;"|"&amp;V$5)=0,"",SUMIF('Competency Event Log'!$U$4:$U$803,$B121&amp;"|"&amp;V$5,'Competency Event Log'!$D$4:$D$803)))</f>
        <v/>
      </c>
      <c r="W121" s="8" t="str">
        <f>IF($B121="","",IF(COUNTIF('Competency Event Log'!$U$4:$U$803,$B121&amp;"|"&amp;W$5)=0,"",SUMIF('Competency Event Log'!$U$4:$U$803,$B121&amp;"|"&amp;W$5,'Competency Event Log'!$D$4:$D$803)))</f>
        <v/>
      </c>
      <c r="X121" s="8" t="str">
        <f>IF($B121="","",IF(COUNTIF('Competency Event Log'!$U$4:$U$803,$B121&amp;"|"&amp;X$5)=0,"",SUMIF('Competency Event Log'!$U$4:$U$803,$B121&amp;"|"&amp;X$5,'Competency Event Log'!$D$4:$D$803)))</f>
        <v/>
      </c>
      <c r="Y121" s="8" t="str">
        <f>IF($B121="","",IF(COUNTIF('Competency Event Log'!$U$4:$U$803,$B121&amp;"|"&amp;Y$5)=0,"",SUMIF('Competency Event Log'!$U$4:$U$803,$B121&amp;"|"&amp;Y$5,'Competency Event Log'!$D$4:$D$803)))</f>
        <v/>
      </c>
      <c r="Z121" s="8" t="str">
        <f>IF($B121="","",IF(COUNTIF('Competency Event Log'!$U$4:$U$803,$B121&amp;"|"&amp;Z$5)=0,"",SUMIF('Competency Event Log'!$U$4:$U$803,$B121&amp;"|"&amp;Z$5,'Competency Event Log'!$D$4:$D$803)))</f>
        <v/>
      </c>
      <c r="AA121" s="8" t="str">
        <f>IF($B121="","",IF(COUNTIF('Competency Event Log'!$U$4:$U$803,$B121&amp;"|"&amp;AA$5)=0,"",SUMIF('Competency Event Log'!$U$4:$U$803,$B121&amp;"|"&amp;AA$5,'Competency Event Log'!$D$4:$D$803)))</f>
        <v/>
      </c>
      <c r="AB121" s="8" t="str">
        <f>IF($B121="","",IF(COUNTIF('Competency Event Log'!$U$4:$U$803,$B121&amp;"|"&amp;AB$5)=0,"",SUMIF('Competency Event Log'!$U$4:$U$803,$B121&amp;"|"&amp;AB$5,'Competency Event Log'!$D$4:$D$803)))</f>
        <v/>
      </c>
      <c r="AC121" s="8" t="str">
        <f>IF($B121="","",IF(COUNTIF('Competency Event Log'!$U$4:$U$803,$B121&amp;"|"&amp;AC$5)=0,"",SUMIF('Competency Event Log'!$U$4:$U$803,$B121&amp;"|"&amp;AC$5,'Competency Event Log'!$D$4:$D$803)))</f>
        <v/>
      </c>
      <c r="AD121" s="8" t="str">
        <f>IF($B121="","",IF(COUNTIF('Competency Event Log'!$U$4:$U$803,$B121&amp;"|"&amp;AD$5)=0,"",SUMIF('Competency Event Log'!$U$4:$U$803,$B121&amp;"|"&amp;AD$5,'Competency Event Log'!$D$4:$D$803)))</f>
        <v/>
      </c>
      <c r="AE121" s="8" t="str">
        <f>IF($B121="","",IF(COUNTIF('Competency Event Log'!$U$4:$U$803,$B121&amp;"|"&amp;AE$5)=0,"",SUMIF('Competency Event Log'!$U$4:$U$803,$B121&amp;"|"&amp;AE$5,'Competency Event Log'!$D$4:$D$803)))</f>
        <v/>
      </c>
      <c r="AF121" s="8" t="str">
        <f>IF($B121="","",IF(COUNTIF('Competency Event Log'!$U$4:$U$803,$B121&amp;"|"&amp;AF$5)=0,"",SUMIF('Competency Event Log'!$U$4:$U$803,$B121&amp;"|"&amp;AF$5,'Competency Event Log'!$D$4:$D$803)))</f>
        <v/>
      </c>
      <c r="AG121" s="8" t="str">
        <f>IF($B121="","",IF(COUNTIF('Competency Event Log'!$U$4:$U$803,$B121&amp;"|"&amp;AG$5)=0,"",SUMIF('Competency Event Log'!$U$4:$U$803,$B121&amp;"|"&amp;AG$5,'Competency Event Log'!$D$4:$D$803)))</f>
        <v/>
      </c>
      <c r="AH121" s="8" t="str">
        <f>IF($B121="","",IF(COUNTIF('Competency Event Log'!$U$4:$U$803,$B121&amp;"|"&amp;AH$5)=0,"",SUMIF('Competency Event Log'!$U$4:$U$803,$B121&amp;"|"&amp;AH$5,'Competency Event Log'!$D$4:$D$803)))</f>
        <v/>
      </c>
      <c r="AI121" s="8" t="str">
        <f>IF($B121="","",IF(COUNTIF('Competency Event Log'!$U$4:$U$803,$B121&amp;"|"&amp;AI$5)=0,"",SUMIF('Competency Event Log'!$U$4:$U$803,$B121&amp;"|"&amp;AI$5,'Competency Event Log'!$D$4:$D$803)))</f>
        <v/>
      </c>
      <c r="AJ121" s="8" t="str">
        <f>IF($B121="","",IF(COUNTIF('Competency Event Log'!$U$4:$U$803,$B121&amp;"|"&amp;AJ$5)=0,"",SUMIF('Competency Event Log'!$U$4:$U$803,$B121&amp;"|"&amp;AJ$5,'Competency Event Log'!$D$4:$D$803)))</f>
        <v/>
      </c>
      <c r="AK121" s="8" t="str">
        <f>IF($B121="","",IF(COUNTIF('Competency Event Log'!$U$4:$U$803,$B121&amp;"|"&amp;AK$5)=0,"",SUMIF('Competency Event Log'!$U$4:$U$803,$B121&amp;"|"&amp;AK$5,'Competency Event Log'!$D$4:$D$803)))</f>
        <v/>
      </c>
      <c r="AL121" s="8" t="str">
        <f>IF($B121="","",IF(COUNTIF('Competency Event Log'!$U$4:$U$803,$B121&amp;"|"&amp;AL$5)=0,"",SUMIF('Competency Event Log'!$U$4:$U$803,$B121&amp;"|"&amp;AL$5,'Competency Event Log'!$D$4:$D$803)))</f>
        <v/>
      </c>
      <c r="AM121" s="8" t="str">
        <f>IF($B121="","",IF(COUNTIF('Competency Event Log'!$U$4:$U$803,$B121&amp;"|"&amp;AM$5)=0,"",SUMIF('Competency Event Log'!$U$4:$U$803,$B121&amp;"|"&amp;AM$5,'Competency Event Log'!$D$4:$D$803)))</f>
        <v/>
      </c>
      <c r="AN121" s="8" t="str">
        <f>IF($B121="","",IF(COUNTIF('Competency Event Log'!$U$4:$U$803,$B121&amp;"|"&amp;AN$5)=0,"",SUMIF('Competency Event Log'!$U$4:$U$803,$B121&amp;"|"&amp;AN$5,'Competency Event Log'!$D$4:$D$803)))</f>
        <v/>
      </c>
      <c r="AO121" s="8" t="str">
        <f>IF($B121="","",IF(COUNTIF('Competency Event Log'!$U$4:$U$803,$B121&amp;"|"&amp;AO$5)=0,"",SUMIF('Competency Event Log'!$U$4:$U$803,$B121&amp;"|"&amp;AO$5,'Competency Event Log'!$D$4:$D$803)))</f>
        <v/>
      </c>
      <c r="AP121" s="8" t="str">
        <f>IF($B121="","",IF(COUNTIF('Competency Event Log'!$U$4:$U$803,$B121&amp;"|"&amp;AP$5)=0,"",SUMIF('Competency Event Log'!$U$4:$U$803,$B121&amp;"|"&amp;AP$5,'Competency Event Log'!$D$4:$D$803)))</f>
        <v/>
      </c>
      <c r="AQ121" s="8" t="str">
        <f>IF($B121="","",IF(COUNTIF('Competency Event Log'!$U$4:$U$803,$B121&amp;"|"&amp;AQ$5)=0,"",SUMIF('Competency Event Log'!$U$4:$U$803,$B121&amp;"|"&amp;AQ$5,'Competency Event Log'!$D$4:$D$803)))</f>
        <v/>
      </c>
      <c r="AR121" s="8" t="str">
        <f>IF($B121="","",IF(COUNTIF('Competency Event Log'!$U$4:$U$803,$B121&amp;"|"&amp;AR$5)=0,"",SUMIF('Competency Event Log'!$U$4:$U$803,$B121&amp;"|"&amp;AR$5,'Competency Event Log'!$D$4:$D$803)))</f>
        <v/>
      </c>
      <c r="AS121" s="8" t="str">
        <f>IF($B121="","",IF(COUNTIF('Competency Event Log'!$U$4:$U$803,$B121&amp;"|"&amp;AS$5)=0,"",SUMIF('Competency Event Log'!$U$4:$U$803,$B121&amp;"|"&amp;AS$5,'Competency Event Log'!$D$4:$D$803)))</f>
        <v/>
      </c>
      <c r="AT121" s="8" t="str">
        <f>IF($B121="","",IF(COUNTIF('Competency Event Log'!$U$4:$U$803,$B121&amp;"|"&amp;AT$5)=0,"",SUMIF('Competency Event Log'!$U$4:$U$803,$B121&amp;"|"&amp;AT$5,'Competency Event Log'!$D$4:$D$803)))</f>
        <v/>
      </c>
      <c r="AU121" s="8" t="str">
        <f>IF($B121="","",IF(COUNTIF('Competency Event Log'!$U$4:$U$803,$B121&amp;"|"&amp;AU$5)=0,"",SUMIF('Competency Event Log'!$U$4:$U$803,$B121&amp;"|"&amp;AU$5,'Competency Event Log'!$D$4:$D$803)))</f>
        <v/>
      </c>
      <c r="AV121" s="8" t="str">
        <f>IF($B121="","",IF(COUNTIF('Competency Event Log'!$U$4:$U$803,$B121&amp;"|"&amp;AV$5)=0,"",SUMIF('Competency Event Log'!$U$4:$U$803,$B121&amp;"|"&amp;AV$5,'Competency Event Log'!$D$4:$D$803)))</f>
        <v/>
      </c>
      <c r="AW121" s="8" t="str">
        <f>IF($B121="","",IF(COUNTIF('Competency Event Log'!$U$4:$U$803,$B121&amp;"|"&amp;AW$5)=0,"",SUMIF('Competency Event Log'!$U$4:$U$803,$B121&amp;"|"&amp;AW$5,'Competency Event Log'!$D$4:$D$803)))</f>
        <v/>
      </c>
      <c r="AX121" s="8" t="str">
        <f>IF($B121="","",IF(COUNTIF('Competency Event Log'!$U$4:$U$803,$B121&amp;"|"&amp;AX$5)=0,"",SUMIF('Competency Event Log'!$U$4:$U$803,$B121&amp;"|"&amp;AX$5,'Competency Event Log'!$D$4:$D$803)))</f>
        <v/>
      </c>
      <c r="AY121" s="8" t="str">
        <f>IF($B121="","",IF(COUNTIF('Competency Event Log'!$U$4:$U$803,$B121&amp;"|"&amp;AY$5)=0,"",SUMIF('Competency Event Log'!$U$4:$U$803,$B121&amp;"|"&amp;AY$5,'Competency Event Log'!$D$4:$D$803)))</f>
        <v/>
      </c>
      <c r="AZ121" s="8" t="str">
        <f>IF($B121="","",IF(COUNTIF('Competency Event Log'!$U$4:$U$803,$B121&amp;"|"&amp;AZ$5)=0,"",SUMIF('Competency Event Log'!$U$4:$U$803,$B121&amp;"|"&amp;AZ$5,'Competency Event Log'!$D$4:$D$803)))</f>
        <v/>
      </c>
      <c r="BA121" s="8" t="str">
        <f>IF($B121="","",IF(COUNTIF('Competency Event Log'!$U$4:$U$803,$B121&amp;"|"&amp;BA$5)=0,"",SUMIF('Competency Event Log'!$U$4:$U$803,$B121&amp;"|"&amp;BA$5,'Competency Event Log'!$D$4:$D$803)))</f>
        <v/>
      </c>
      <c r="BB121" s="8" t="str">
        <f>IF($B121="","",IF(COUNTIF('Competency Event Log'!$U$4:$U$803,$B121&amp;"|"&amp;BB$5)=0,"",SUMIF('Competency Event Log'!$U$4:$U$803,$B121&amp;"|"&amp;BB$5,'Competency Event Log'!$D$4:$D$803)))</f>
        <v/>
      </c>
      <c r="BC121" s="8" t="str">
        <f>IF($B121="","",IF(COUNTIF('Competency Event Log'!$U$4:$U$803,$B121&amp;"|"&amp;BC$5)=0,"",SUMIF('Competency Event Log'!$U$4:$U$803,$B121&amp;"|"&amp;BC$5,'Competency Event Log'!$D$4:$D$803)))</f>
        <v/>
      </c>
      <c r="BD121" s="8" t="str">
        <f>IF($B121="","",IF(COUNTIF('Competency Event Log'!$U$4:$U$803,$B121&amp;"|"&amp;BD$5)=0,"",SUMIF('Competency Event Log'!$U$4:$U$803,$B121&amp;"|"&amp;BD$5,'Competency Event Log'!$D$4:$D$803)))</f>
        <v/>
      </c>
      <c r="BE121" s="8" t="str">
        <f>IF($B121="","",IF(COUNTIF('Competency Event Log'!$U$4:$U$803,$B121&amp;"|"&amp;BE$5)=0,"",SUMIF('Competency Event Log'!$U$4:$U$803,$B121&amp;"|"&amp;BE$5,'Competency Event Log'!$D$4:$D$803)))</f>
        <v/>
      </c>
      <c r="BF121" s="8" t="str">
        <f>IF($B121="","",IF(COUNTIF('Competency Event Log'!$U$4:$U$803,$B121&amp;"|"&amp;BF$5)=0,"",SUMIF('Competency Event Log'!$U$4:$U$803,$B121&amp;"|"&amp;BF$5,'Competency Event Log'!$D$4:$D$803)))</f>
        <v/>
      </c>
      <c r="BG121" s="8" t="str">
        <f>IF($B121="","",IF(COUNTIF('Competency Event Log'!$U$4:$U$803,$B121&amp;"|"&amp;BG$5)=0,"",SUMIF('Competency Event Log'!$U$4:$U$803,$B121&amp;"|"&amp;BG$5,'Competency Event Log'!$D$4:$D$803)))</f>
        <v/>
      </c>
      <c r="BH121" s="8" t="str">
        <f>IF($B121="","",IF(COUNTIF('Competency Event Log'!$U$4:$U$803,$B121&amp;"|"&amp;BH$5)=0,"",SUMIF('Competency Event Log'!$U$4:$U$803,$B121&amp;"|"&amp;BH$5,'Competency Event Log'!$D$4:$D$803)))</f>
        <v/>
      </c>
      <c r="BI121" s="8" t="str">
        <f>IF($B121="","",IF(COUNTIF('Competency Event Log'!$U$4:$U$803,$B121&amp;"|"&amp;BI$5)=0,"",SUMIF('Competency Event Log'!$U$4:$U$803,$B121&amp;"|"&amp;BI$5,'Competency Event Log'!$D$4:$D$803)))</f>
        <v/>
      </c>
      <c r="BJ121" s="8" t="str">
        <f>IF($B121="","",IF(COUNTIF('Competency Event Log'!$U$4:$U$803,$B121&amp;"|"&amp;BJ$5)=0,"",SUMIF('Competency Event Log'!$U$4:$U$803,$B121&amp;"|"&amp;BJ$5,'Competency Event Log'!$D$4:$D$803)))</f>
        <v/>
      </c>
      <c r="BK121" s="8" t="str">
        <f>IF($B121="","",IF(COUNTIF('Competency Event Log'!$U$4:$U$803,$B121&amp;"|"&amp;BK$5)=0,"",SUMIF('Competency Event Log'!$U$4:$U$803,$B121&amp;"|"&amp;BK$5,'Competency Event Log'!$D$4:$D$803)))</f>
        <v/>
      </c>
      <c r="BL121" s="8" t="str">
        <f>IF($B121="","",IF(COUNTIF('Competency Event Log'!$U$4:$U$803,$B121&amp;"|"&amp;BL$5)=0,"",SUMIF('Competency Event Log'!$U$4:$U$803,$B121&amp;"|"&amp;BL$5,'Competency Event Log'!$D$4:$D$803)))</f>
        <v/>
      </c>
      <c r="BM121" s="8" t="str">
        <f>IF($B121="","",IF(COUNTIF('Competency Event Log'!$U$4:$U$803,$B121&amp;"|"&amp;BM$5)=0,"",SUMIF('Competency Event Log'!$U$4:$U$803,$B121&amp;"|"&amp;BM$5,'Competency Event Log'!$D$4:$D$803)))</f>
        <v/>
      </c>
      <c r="BN121" s="8" t="str">
        <f>IF($B121="","",IF(COUNTIF('Competency Event Log'!$U$4:$U$803,$B121&amp;"|"&amp;BN$5)=0,"",SUMIF('Competency Event Log'!$U$4:$U$803,$B121&amp;"|"&amp;BN$5,'Competency Event Log'!$D$4:$D$803)))</f>
        <v/>
      </c>
      <c r="BO121" s="8" t="str">
        <f>IF($B121="","",IF(COUNTIF('Competency Event Log'!$U$4:$U$803,$B121&amp;"|"&amp;BO$5)=0,"",SUMIF('Competency Event Log'!$U$4:$U$803,$B121&amp;"|"&amp;BO$5,'Competency Event Log'!$D$4:$D$803)))</f>
        <v/>
      </c>
      <c r="BP121" s="8" t="str">
        <f>IF($B121="","",IF(COUNTIF('Competency Event Log'!$U$4:$U$803,$B121&amp;"|"&amp;BP$5)=0,"",SUMIF('Competency Event Log'!$U$4:$U$803,$B121&amp;"|"&amp;BP$5,'Competency Event Log'!$D$4:$D$803)))</f>
        <v/>
      </c>
      <c r="BQ121" s="8" t="str">
        <f>IF($B121="","",IF(COUNTIF('Competency Event Log'!$U$4:$U$803,$B121&amp;"|"&amp;BQ$5)=0,"",SUMIF('Competency Event Log'!$U$4:$U$803,$B121&amp;"|"&amp;BQ$5,'Competency Event Log'!$D$4:$D$803)))</f>
        <v/>
      </c>
      <c r="BR121" s="8" t="str">
        <f>IF($B121="","",IF(COUNTIF('Competency Event Log'!$U$4:$U$803,$B121&amp;"|"&amp;BR$5)=0,"",SUMIF('Competency Event Log'!$U$4:$U$803,$B121&amp;"|"&amp;BR$5,'Competency Event Log'!$D$4:$D$803)))</f>
        <v/>
      </c>
      <c r="BS121" s="8" t="str">
        <f>IF($B121="","",IF(COUNTIF('Competency Event Log'!$U$4:$U$803,$B121&amp;"|"&amp;BS$5)=0,"",SUMIF('Competency Event Log'!$U$4:$U$803,$B121&amp;"|"&amp;BS$5,'Competency Event Log'!$D$4:$D$803)))</f>
        <v/>
      </c>
      <c r="BT121" s="8" t="str">
        <f>IF($B121="","",IF(COUNTIF('Competency Event Log'!$U$4:$U$803,$B121&amp;"|"&amp;BT$5)=0,"",SUMIF('Competency Event Log'!$U$4:$U$803,$B121&amp;"|"&amp;BT$5,'Competency Event Log'!$D$4:$D$803)))</f>
        <v/>
      </c>
      <c r="BU121" s="8" t="str">
        <f>IF($B121="","",IF(COUNTIF('Competency Event Log'!$U$4:$U$803,$B121&amp;"|"&amp;BU$5)=0,"",SUMIF('Competency Event Log'!$U$4:$U$803,$B121&amp;"|"&amp;BU$5,'Competency Event Log'!$D$4:$D$803)))</f>
        <v/>
      </c>
      <c r="BV121" s="8" t="str">
        <f>IF($B121="","",IF(COUNTIF('Competency Event Log'!$U$4:$U$803,$B121&amp;"|"&amp;BV$5)=0,"",SUMIF('Competency Event Log'!$U$4:$U$803,$B121&amp;"|"&amp;BV$5,'Competency Event Log'!$D$4:$D$803)))</f>
        <v/>
      </c>
      <c r="BW121" s="8" t="str">
        <f>IF($B121="","",IF(COUNTIF('Competency Event Log'!$U$4:$U$803,$B121&amp;"|"&amp;BW$5)=0,"",SUMIF('Competency Event Log'!$U$4:$U$803,$B121&amp;"|"&amp;BW$5,'Competency Event Log'!$D$4:$D$803)))</f>
        <v/>
      </c>
      <c r="BX121" s="8" t="str">
        <f>IF($B121="","",IF(COUNTIF('Competency Event Log'!$U$4:$U$803,$B121&amp;"|"&amp;BX$5)=0,"",SUMIF('Competency Event Log'!$U$4:$U$803,$B121&amp;"|"&amp;BX$5,'Competency Event Log'!$D$4:$D$803)))</f>
        <v/>
      </c>
      <c r="BY121" s="8" t="str">
        <f>IF($B121="","",IF(COUNTIF('Competency Event Log'!$U$4:$U$803,$B121&amp;"|"&amp;BY$5)=0,"",SUMIF('Competency Event Log'!$U$4:$U$803,$B121&amp;"|"&amp;BY$5,'Competency Event Log'!$D$4:$D$803)))</f>
        <v/>
      </c>
      <c r="BZ121" s="8" t="str">
        <f>IF($B121="","",IF(COUNTIF('Competency Event Log'!$U$4:$U$803,$B121&amp;"|"&amp;BZ$5)=0,"",SUMIF('Competency Event Log'!$U$4:$U$803,$B121&amp;"|"&amp;BZ$5,'Competency Event Log'!$D$4:$D$803)))</f>
        <v/>
      </c>
      <c r="CA121" s="8" t="str">
        <f>IF($B121="","",IF(COUNTIF('Competency Event Log'!$U$4:$U$803,$B121&amp;"|"&amp;CA$5)=0,"",SUMIF('Competency Event Log'!$U$4:$U$803,$B121&amp;"|"&amp;CA$5,'Competency Event Log'!$D$4:$D$803)))</f>
        <v/>
      </c>
      <c r="CB121" s="8" t="str">
        <f>IF($B121="","",IF(COUNTIF('Competency Event Log'!$U$4:$U$803,$B121&amp;"|"&amp;CB$5)=0,"",SUMIF('Competency Event Log'!$U$4:$U$803,$B121&amp;"|"&amp;CB$5,'Competency Event Log'!$D$4:$D$803)))</f>
        <v/>
      </c>
      <c r="CC121" s="8" t="str">
        <f>IF($B121="","",IF(COUNTIF('Competency Event Log'!$U$4:$U$803,$B121&amp;"|"&amp;CC$5)=0,"",SUMIF('Competency Event Log'!$U$4:$U$803,$B121&amp;"|"&amp;CC$5,'Competency Event Log'!$D$4:$D$803)))</f>
        <v/>
      </c>
      <c r="CD121" s="8" t="str">
        <f>IF($B121="","",IF(COUNTIF('Competency Event Log'!$U$4:$U$803,$B121&amp;"|"&amp;CD$5)=0,"",SUMIF('Competency Event Log'!$U$4:$U$803,$B121&amp;"|"&amp;CD$5,'Competency Event Log'!$D$4:$D$803)))</f>
        <v/>
      </c>
      <c r="CE121" s="8" t="str">
        <f>IF($B121="","",IF(COUNTIF('Competency Event Log'!$U$4:$U$803,$B121&amp;"|"&amp;CE$5)=0,"",SUMIF('Competency Event Log'!$U$4:$U$803,$B121&amp;"|"&amp;CE$5,'Competency Event Log'!$D$4:$D$803)))</f>
        <v/>
      </c>
      <c r="CF121" s="8" t="str">
        <f>IF($B121="","",IF(COUNTIF('Competency Event Log'!$U$4:$U$803,$B121&amp;"|"&amp;CF$5)=0,"",SUMIF('Competency Event Log'!$U$4:$U$803,$B121&amp;"|"&amp;CF$5,'Competency Event Log'!$D$4:$D$803)))</f>
        <v/>
      </c>
      <c r="CG121" s="8" t="str">
        <f>IF($B121="","",IF(COUNTIF('Competency Event Log'!$U$4:$U$803,$B121&amp;"|"&amp;CG$5)=0,"",SUMIF('Competency Event Log'!$U$4:$U$803,$B121&amp;"|"&amp;CG$5,'Competency Event Log'!$D$4:$D$803)))</f>
        <v/>
      </c>
      <c r="CH121" s="8" t="str">
        <f>IF($B121="","",IF(COUNTIF('Competency Event Log'!$U$4:$U$803,$B121&amp;"|"&amp;CH$5)=0,"",SUMIF('Competency Event Log'!$U$4:$U$803,$B121&amp;"|"&amp;CH$5,'Competency Event Log'!$D$4:$D$803)))</f>
        <v/>
      </c>
      <c r="CI121" s="8" t="str">
        <f>IF($B121="","",IF(COUNTIF('Competency Event Log'!$U$4:$U$803,$B121&amp;"|"&amp;CI$5)=0,"",SUMIF('Competency Event Log'!$U$4:$U$803,$B121&amp;"|"&amp;CI$5,'Competency Event Log'!$D$4:$D$803)))</f>
        <v/>
      </c>
      <c r="CJ121" s="8" t="str">
        <f>IF($B121="","",IF(COUNTIF('Competency Event Log'!$U$4:$U$803,$B121&amp;"|"&amp;CJ$5)=0,"",SUMIF('Competency Event Log'!$U$4:$U$803,$B121&amp;"|"&amp;CJ$5,'Competency Event Log'!$D$4:$D$803)))</f>
        <v/>
      </c>
      <c r="CK121" s="8" t="str">
        <f>IF($B121="","",IF(COUNTIF('Competency Event Log'!$U$4:$U$803,$B121&amp;"|"&amp;CK$5)=0,"",SUMIF('Competency Event Log'!$U$4:$U$803,$B121&amp;"|"&amp;CK$5,'Competency Event Log'!$D$4:$D$803)))</f>
        <v/>
      </c>
      <c r="CL121" s="8" t="str">
        <f>IF($B121="","",IF(COUNTIF('Competency Event Log'!$U$4:$U$803,$B121&amp;"|"&amp;CL$5)=0,"",SUMIF('Competency Event Log'!$U$4:$U$803,$B121&amp;"|"&amp;CL$5,'Competency Event Log'!$D$4:$D$803)))</f>
        <v/>
      </c>
      <c r="CM121" s="8" t="str">
        <f>IF($B121="","",IF(COUNTIF('Competency Event Log'!$U$4:$U$803,$B121&amp;"|"&amp;CM$5)=0,"",SUMIF('Competency Event Log'!$U$4:$U$803,$B121&amp;"|"&amp;CM$5,'Competency Event Log'!$D$4:$D$803)))</f>
        <v/>
      </c>
      <c r="CN121" s="8" t="str">
        <f>IF($B121="","",IF(COUNTIF('Competency Event Log'!$U$4:$U$803,$B121&amp;"|"&amp;CN$5)=0,"",SUMIF('Competency Event Log'!$U$4:$U$803,$B121&amp;"|"&amp;CN$5,'Competency Event Log'!$D$4:$D$803)))</f>
        <v/>
      </c>
      <c r="CO121" s="8" t="str">
        <f>IF($B121="","",IF(COUNTIF('Competency Event Log'!$U$4:$U$803,$B121&amp;"|"&amp;CO$5)=0,"",SUMIF('Competency Event Log'!$U$4:$U$803,$B121&amp;"|"&amp;CO$5,'Competency Event Log'!$D$4:$D$803)))</f>
        <v/>
      </c>
      <c r="CP121" s="8" t="str">
        <f>IF($B121="","",IF(COUNTIF('Competency Event Log'!$U$4:$U$803,$B121&amp;"|"&amp;CP$5)=0,"",SUMIF('Competency Event Log'!$U$4:$U$803,$B121&amp;"|"&amp;CP$5,'Competency Event Log'!$D$4:$D$803)))</f>
        <v/>
      </c>
      <c r="CQ121" s="8" t="str">
        <f>IF($B121="","",IF(COUNTIF('Competency Event Log'!$U$4:$U$803,$B121&amp;"|"&amp;CQ$5)=0,"",SUMIF('Competency Event Log'!$U$4:$U$803,$B121&amp;"|"&amp;CQ$5,'Competency Event Log'!$D$4:$D$803)))</f>
        <v/>
      </c>
      <c r="CR121" s="8" t="str">
        <f>IF($B121="","",IF(COUNTIF('Competency Event Log'!$U$4:$U$803,$B121&amp;"|"&amp;CR$5)=0,"",SUMIF('Competency Event Log'!$U$4:$U$803,$B121&amp;"|"&amp;CR$5,'Competency Event Log'!$D$4:$D$803)))</f>
        <v/>
      </c>
      <c r="CS121" s="8" t="str">
        <f>IF($B121="","",IF(COUNTIF('Competency Event Log'!$U$4:$U$803,$B121&amp;"|"&amp;CS$5)=0,"",SUMIF('Competency Event Log'!$U$4:$U$803,$B121&amp;"|"&amp;CS$5,'Competency Event Log'!$D$4:$D$803)))</f>
        <v/>
      </c>
      <c r="CT121" s="8" t="str">
        <f>IF($B121="","",IF(COUNTIF('Competency Event Log'!$U$4:$U$803,$B121&amp;"|"&amp;CT$5)=0,"",SUMIF('Competency Event Log'!$U$4:$U$803,$B121&amp;"|"&amp;CT$5,'Competency Event Log'!$D$4:$D$803)))</f>
        <v/>
      </c>
      <c r="CU121" s="8" t="str">
        <f>IF($B121="","",IF(COUNTIF('Competency Event Log'!$U$4:$U$803,$B121&amp;"|"&amp;CU$5)=0,"",SUMIF('Competency Event Log'!$U$4:$U$803,$B121&amp;"|"&amp;CU$5,'Competency Event Log'!$D$4:$D$803)))</f>
        <v/>
      </c>
      <c r="CV121" s="8" t="str">
        <f>IF($B121="","",IF(COUNTIF('Competency Event Log'!$U$4:$U$803,$B121&amp;"|"&amp;CV$5)=0,"",SUMIF('Competency Event Log'!$U$4:$U$803,$B121&amp;"|"&amp;CV$5,'Competency Event Log'!$D$4:$D$803)))</f>
        <v/>
      </c>
      <c r="CW121" s="8" t="str">
        <f>IF($B121="","",IF(COUNTIF('Competency Event Log'!$U$4:$U$803,$B121&amp;"|"&amp;CW$5)=0,"",SUMIF('Competency Event Log'!$U$4:$U$803,$B121&amp;"|"&amp;CW$5,'Competency Event Log'!$D$4:$D$803)))</f>
        <v/>
      </c>
      <c r="CX121" s="8" t="str">
        <f>IF($B121="","",IF(COUNTIF('Competency Event Log'!$U$4:$U$803,$B121&amp;"|"&amp;CX$5)=0,"",SUMIF('Competency Event Log'!$U$4:$U$803,$B121&amp;"|"&amp;CX$5,'Competency Event Log'!$D$4:$D$803)))</f>
        <v/>
      </c>
      <c r="CY121" s="8" t="str">
        <f>IF($B121="","",IF(COUNTIF('Competency Event Log'!$U$4:$U$803,$B121&amp;"|"&amp;CY$5)=0,"",SUMIF('Competency Event Log'!$U$4:$U$803,$B121&amp;"|"&amp;CY$5,'Competency Event Log'!$D$4:$D$803)))</f>
        <v/>
      </c>
      <c r="CZ121" s="8" t="str">
        <f>IF($B121="","",IF(COUNTIF('Competency Event Log'!$U$4:$U$803,$B121&amp;"|"&amp;CZ$5)=0,"",SUMIF('Competency Event Log'!$U$4:$U$803,$B121&amp;"|"&amp;CZ$5,'Competency Event Log'!$D$4:$D$803)))</f>
        <v/>
      </c>
      <c r="DA121" s="8" t="str">
        <f>IF($B121="","",IF(COUNTIF('Competency Event Log'!$U$4:$U$803,$B121&amp;"|"&amp;DA$5)=0,"",SUMIF('Competency Event Log'!$U$4:$U$803,$B121&amp;"|"&amp;DA$5,'Competency Event Log'!$D$4:$D$803)))</f>
        <v/>
      </c>
      <c r="DB121" s="8" t="str">
        <f>IF($B121="","",IF(COUNTIF('Competency Event Log'!$U$4:$U$803,$B121&amp;"|"&amp;DB$5)=0,"",SUMIF('Competency Event Log'!$U$4:$U$803,$B121&amp;"|"&amp;DB$5,'Competency Event Log'!$D$4:$D$803)))</f>
        <v/>
      </c>
      <c r="DC121" s="8" t="str">
        <f>IF($B121="","",IF(COUNTIF('Competency Event Log'!$U$4:$U$803,$B121&amp;"|"&amp;DC$5)=0,"",SUMIF('Competency Event Log'!$U$4:$U$803,$B121&amp;"|"&amp;DC$5,'Competency Event Log'!$D$4:$D$803)))</f>
        <v/>
      </c>
      <c r="DD121" s="8" t="str">
        <f>IF($B121="","",IF(COUNTIF('Competency Event Log'!$U$4:$U$803,$B121&amp;"|"&amp;DD$5)=0,"",SUMIF('Competency Event Log'!$U$4:$U$803,$B121&amp;"|"&amp;DD$5,'Competency Event Log'!$D$4:$D$803)))</f>
        <v/>
      </c>
      <c r="DE121" s="8" t="str">
        <f>IF($B121="","",IF(COUNTIF('Competency Event Log'!$U$4:$U$803,$B121&amp;"|"&amp;DE$5)=0,"",SUMIF('Competency Event Log'!$U$4:$U$803,$B121&amp;"|"&amp;DE$5,'Competency Event Log'!$D$4:$D$803)))</f>
        <v/>
      </c>
      <c r="DF121" s="8" t="str">
        <f t="shared" si="12"/>
        <v/>
      </c>
      <c r="DG121" s="8" t="str">
        <f t="shared" si="13"/>
        <v/>
      </c>
      <c r="DH121" s="8" t="str">
        <f t="shared" si="14"/>
        <v/>
      </c>
      <c r="DI121" s="11" t="str">
        <f t="shared" si="15"/>
        <v/>
      </c>
    </row>
    <row r="122" spans="1:113">
      <c r="A122" s="7"/>
      <c r="B122" s="7"/>
      <c r="C122" s="8"/>
      <c r="D122" s="9"/>
      <c r="E122" s="10"/>
      <c r="F122" s="8"/>
      <c r="G122" s="8" t="str">
        <f>IF($B122="","",IF(COUNTIF('Competency Event Log'!$U$4:$U$803,$B122&amp;"|"&amp;G$5)=0,"",SUMIF('Competency Event Log'!$U$4:$U$803,$B122&amp;"|"&amp;G$5,'Competency Event Log'!$D$4:$D$803)))</f>
        <v/>
      </c>
      <c r="H122" s="8" t="str">
        <f>IF($B122="","",IF(COUNTIF('Competency Event Log'!$U$4:$U$803,$B122&amp;"|"&amp;H$5)=0,"",SUMIF('Competency Event Log'!$U$4:$U$803,$B122&amp;"|"&amp;H$5,'Competency Event Log'!$D$4:$D$803)))</f>
        <v/>
      </c>
      <c r="I122" s="8" t="str">
        <f>IF($B122="","",IF(COUNTIF('Competency Event Log'!$U$4:$U$803,$B122&amp;"|"&amp;I$5)=0,"",SUMIF('Competency Event Log'!$U$4:$U$803,$B122&amp;"|"&amp;I$5,'Competency Event Log'!$D$4:$D$803)))</f>
        <v/>
      </c>
      <c r="J122" s="8" t="str">
        <f>IF($B122="","",IF(COUNTIF('Competency Event Log'!$U$4:$U$803,$B122&amp;"|"&amp;J$5)=0,"",SUMIF('Competency Event Log'!$U$4:$U$803,$B122&amp;"|"&amp;J$5,'Competency Event Log'!$D$4:$D$803)))</f>
        <v/>
      </c>
      <c r="K122" s="8" t="str">
        <f>IF($B122="","",IF(COUNTIF('Competency Event Log'!$U$4:$U$803,$B122&amp;"|"&amp;K$5)=0,"",SUMIF('Competency Event Log'!$U$4:$U$803,$B122&amp;"|"&amp;K$5,'Competency Event Log'!$D$4:$D$803)))</f>
        <v/>
      </c>
      <c r="L122" s="8" t="str">
        <f>IF($B122="","",IF(COUNTIF('Competency Event Log'!$U$4:$U$803,$B122&amp;"|"&amp;L$5)=0,"",SUMIF('Competency Event Log'!$U$4:$U$803,$B122&amp;"|"&amp;L$5,'Competency Event Log'!$D$4:$D$803)))</f>
        <v/>
      </c>
      <c r="M122" s="8" t="str">
        <f>IF($B122="","",IF(COUNTIF('Competency Event Log'!$U$4:$U$803,$B122&amp;"|"&amp;M$5)=0,"",SUMIF('Competency Event Log'!$U$4:$U$803,$B122&amp;"|"&amp;M$5,'Competency Event Log'!$D$4:$D$803)))</f>
        <v/>
      </c>
      <c r="N122" s="8" t="str">
        <f>IF($B122="","",IF(COUNTIF('Competency Event Log'!$U$4:$U$803,$B122&amp;"|"&amp;N$5)=0,"",SUMIF('Competency Event Log'!$U$4:$U$803,$B122&amp;"|"&amp;N$5,'Competency Event Log'!$D$4:$D$803)))</f>
        <v/>
      </c>
      <c r="O122" s="8" t="str">
        <f>IF($B122="","",IF(COUNTIF('Competency Event Log'!$U$4:$U$803,$B122&amp;"|"&amp;O$5)=0,"",SUMIF('Competency Event Log'!$U$4:$U$803,$B122&amp;"|"&amp;O$5,'Competency Event Log'!$D$4:$D$803)))</f>
        <v/>
      </c>
      <c r="P122" s="8" t="str">
        <f>IF($B122="","",IF(COUNTIF('Competency Event Log'!$U$4:$U$803,$B122&amp;"|"&amp;P$5)=0,"",SUMIF('Competency Event Log'!$U$4:$U$803,$B122&amp;"|"&amp;P$5,'Competency Event Log'!$D$4:$D$803)))</f>
        <v/>
      </c>
      <c r="Q122" s="8" t="str">
        <f>IF($B122="","",IF(COUNTIF('Competency Event Log'!$U$4:$U$803,$B122&amp;"|"&amp;Q$5)=0,"",SUMIF('Competency Event Log'!$U$4:$U$803,$B122&amp;"|"&amp;Q$5,'Competency Event Log'!$D$4:$D$803)))</f>
        <v/>
      </c>
      <c r="R122" s="8" t="str">
        <f>IF($B122="","",IF(COUNTIF('Competency Event Log'!$U$4:$U$803,$B122&amp;"|"&amp;R$5)=0,"",SUMIF('Competency Event Log'!$U$4:$U$803,$B122&amp;"|"&amp;R$5,'Competency Event Log'!$D$4:$D$803)))</f>
        <v/>
      </c>
      <c r="S122" s="8" t="str">
        <f>IF($B122="","",IF(COUNTIF('Competency Event Log'!$U$4:$U$803,$B122&amp;"|"&amp;S$5)=0,"",SUMIF('Competency Event Log'!$U$4:$U$803,$B122&amp;"|"&amp;S$5,'Competency Event Log'!$D$4:$D$803)))</f>
        <v/>
      </c>
      <c r="T122" s="8" t="str">
        <f>IF($B122="","",IF(COUNTIF('Competency Event Log'!$U$4:$U$803,$B122&amp;"|"&amp;T$5)=0,"",SUMIF('Competency Event Log'!$U$4:$U$803,$B122&amp;"|"&amp;T$5,'Competency Event Log'!$D$4:$D$803)))</f>
        <v/>
      </c>
      <c r="U122" s="8" t="str">
        <f>IF($B122="","",IF(COUNTIF('Competency Event Log'!$U$4:$U$803,$B122&amp;"|"&amp;U$5)=0,"",SUMIF('Competency Event Log'!$U$4:$U$803,$B122&amp;"|"&amp;U$5,'Competency Event Log'!$D$4:$D$803)))</f>
        <v/>
      </c>
      <c r="V122" s="8" t="str">
        <f>IF($B122="","",IF(COUNTIF('Competency Event Log'!$U$4:$U$803,$B122&amp;"|"&amp;V$5)=0,"",SUMIF('Competency Event Log'!$U$4:$U$803,$B122&amp;"|"&amp;V$5,'Competency Event Log'!$D$4:$D$803)))</f>
        <v/>
      </c>
      <c r="W122" s="8" t="str">
        <f>IF($B122="","",IF(COUNTIF('Competency Event Log'!$U$4:$U$803,$B122&amp;"|"&amp;W$5)=0,"",SUMIF('Competency Event Log'!$U$4:$U$803,$B122&amp;"|"&amp;W$5,'Competency Event Log'!$D$4:$D$803)))</f>
        <v/>
      </c>
      <c r="X122" s="8" t="str">
        <f>IF($B122="","",IF(COUNTIF('Competency Event Log'!$U$4:$U$803,$B122&amp;"|"&amp;X$5)=0,"",SUMIF('Competency Event Log'!$U$4:$U$803,$B122&amp;"|"&amp;X$5,'Competency Event Log'!$D$4:$D$803)))</f>
        <v/>
      </c>
      <c r="Y122" s="8" t="str">
        <f>IF($B122="","",IF(COUNTIF('Competency Event Log'!$U$4:$U$803,$B122&amp;"|"&amp;Y$5)=0,"",SUMIF('Competency Event Log'!$U$4:$U$803,$B122&amp;"|"&amp;Y$5,'Competency Event Log'!$D$4:$D$803)))</f>
        <v/>
      </c>
      <c r="Z122" s="8" t="str">
        <f>IF($B122="","",IF(COUNTIF('Competency Event Log'!$U$4:$U$803,$B122&amp;"|"&amp;Z$5)=0,"",SUMIF('Competency Event Log'!$U$4:$U$803,$B122&amp;"|"&amp;Z$5,'Competency Event Log'!$D$4:$D$803)))</f>
        <v/>
      </c>
      <c r="AA122" s="8" t="str">
        <f>IF($B122="","",IF(COUNTIF('Competency Event Log'!$U$4:$U$803,$B122&amp;"|"&amp;AA$5)=0,"",SUMIF('Competency Event Log'!$U$4:$U$803,$B122&amp;"|"&amp;AA$5,'Competency Event Log'!$D$4:$D$803)))</f>
        <v/>
      </c>
      <c r="AB122" s="8" t="str">
        <f>IF($B122="","",IF(COUNTIF('Competency Event Log'!$U$4:$U$803,$B122&amp;"|"&amp;AB$5)=0,"",SUMIF('Competency Event Log'!$U$4:$U$803,$B122&amp;"|"&amp;AB$5,'Competency Event Log'!$D$4:$D$803)))</f>
        <v/>
      </c>
      <c r="AC122" s="8" t="str">
        <f>IF($B122="","",IF(COUNTIF('Competency Event Log'!$U$4:$U$803,$B122&amp;"|"&amp;AC$5)=0,"",SUMIF('Competency Event Log'!$U$4:$U$803,$B122&amp;"|"&amp;AC$5,'Competency Event Log'!$D$4:$D$803)))</f>
        <v/>
      </c>
      <c r="AD122" s="8" t="str">
        <f>IF($B122="","",IF(COUNTIF('Competency Event Log'!$U$4:$U$803,$B122&amp;"|"&amp;AD$5)=0,"",SUMIF('Competency Event Log'!$U$4:$U$803,$B122&amp;"|"&amp;AD$5,'Competency Event Log'!$D$4:$D$803)))</f>
        <v/>
      </c>
      <c r="AE122" s="8" t="str">
        <f>IF($B122="","",IF(COUNTIF('Competency Event Log'!$U$4:$U$803,$B122&amp;"|"&amp;AE$5)=0,"",SUMIF('Competency Event Log'!$U$4:$U$803,$B122&amp;"|"&amp;AE$5,'Competency Event Log'!$D$4:$D$803)))</f>
        <v/>
      </c>
      <c r="AF122" s="8" t="str">
        <f>IF($B122="","",IF(COUNTIF('Competency Event Log'!$U$4:$U$803,$B122&amp;"|"&amp;AF$5)=0,"",SUMIF('Competency Event Log'!$U$4:$U$803,$B122&amp;"|"&amp;AF$5,'Competency Event Log'!$D$4:$D$803)))</f>
        <v/>
      </c>
      <c r="AG122" s="8" t="str">
        <f>IF($B122="","",IF(COUNTIF('Competency Event Log'!$U$4:$U$803,$B122&amp;"|"&amp;AG$5)=0,"",SUMIF('Competency Event Log'!$U$4:$U$803,$B122&amp;"|"&amp;AG$5,'Competency Event Log'!$D$4:$D$803)))</f>
        <v/>
      </c>
      <c r="AH122" s="8" t="str">
        <f>IF($B122="","",IF(COUNTIF('Competency Event Log'!$U$4:$U$803,$B122&amp;"|"&amp;AH$5)=0,"",SUMIF('Competency Event Log'!$U$4:$U$803,$B122&amp;"|"&amp;AH$5,'Competency Event Log'!$D$4:$D$803)))</f>
        <v/>
      </c>
      <c r="AI122" s="8" t="str">
        <f>IF($B122="","",IF(COUNTIF('Competency Event Log'!$U$4:$U$803,$B122&amp;"|"&amp;AI$5)=0,"",SUMIF('Competency Event Log'!$U$4:$U$803,$B122&amp;"|"&amp;AI$5,'Competency Event Log'!$D$4:$D$803)))</f>
        <v/>
      </c>
      <c r="AJ122" s="8" t="str">
        <f>IF($B122="","",IF(COUNTIF('Competency Event Log'!$U$4:$U$803,$B122&amp;"|"&amp;AJ$5)=0,"",SUMIF('Competency Event Log'!$U$4:$U$803,$B122&amp;"|"&amp;AJ$5,'Competency Event Log'!$D$4:$D$803)))</f>
        <v/>
      </c>
      <c r="AK122" s="8" t="str">
        <f>IF($B122="","",IF(COUNTIF('Competency Event Log'!$U$4:$U$803,$B122&amp;"|"&amp;AK$5)=0,"",SUMIF('Competency Event Log'!$U$4:$U$803,$B122&amp;"|"&amp;AK$5,'Competency Event Log'!$D$4:$D$803)))</f>
        <v/>
      </c>
      <c r="AL122" s="8" t="str">
        <f>IF($B122="","",IF(COUNTIF('Competency Event Log'!$U$4:$U$803,$B122&amp;"|"&amp;AL$5)=0,"",SUMIF('Competency Event Log'!$U$4:$U$803,$B122&amp;"|"&amp;AL$5,'Competency Event Log'!$D$4:$D$803)))</f>
        <v/>
      </c>
      <c r="AM122" s="8" t="str">
        <f>IF($B122="","",IF(COUNTIF('Competency Event Log'!$U$4:$U$803,$B122&amp;"|"&amp;AM$5)=0,"",SUMIF('Competency Event Log'!$U$4:$U$803,$B122&amp;"|"&amp;AM$5,'Competency Event Log'!$D$4:$D$803)))</f>
        <v/>
      </c>
      <c r="AN122" s="8" t="str">
        <f>IF($B122="","",IF(COUNTIF('Competency Event Log'!$U$4:$U$803,$B122&amp;"|"&amp;AN$5)=0,"",SUMIF('Competency Event Log'!$U$4:$U$803,$B122&amp;"|"&amp;AN$5,'Competency Event Log'!$D$4:$D$803)))</f>
        <v/>
      </c>
      <c r="AO122" s="8" t="str">
        <f>IF($B122="","",IF(COUNTIF('Competency Event Log'!$U$4:$U$803,$B122&amp;"|"&amp;AO$5)=0,"",SUMIF('Competency Event Log'!$U$4:$U$803,$B122&amp;"|"&amp;AO$5,'Competency Event Log'!$D$4:$D$803)))</f>
        <v/>
      </c>
      <c r="AP122" s="8" t="str">
        <f>IF($B122="","",IF(COUNTIF('Competency Event Log'!$U$4:$U$803,$B122&amp;"|"&amp;AP$5)=0,"",SUMIF('Competency Event Log'!$U$4:$U$803,$B122&amp;"|"&amp;AP$5,'Competency Event Log'!$D$4:$D$803)))</f>
        <v/>
      </c>
      <c r="AQ122" s="8" t="str">
        <f>IF($B122="","",IF(COUNTIF('Competency Event Log'!$U$4:$U$803,$B122&amp;"|"&amp;AQ$5)=0,"",SUMIF('Competency Event Log'!$U$4:$U$803,$B122&amp;"|"&amp;AQ$5,'Competency Event Log'!$D$4:$D$803)))</f>
        <v/>
      </c>
      <c r="AR122" s="8" t="str">
        <f>IF($B122="","",IF(COUNTIF('Competency Event Log'!$U$4:$U$803,$B122&amp;"|"&amp;AR$5)=0,"",SUMIF('Competency Event Log'!$U$4:$U$803,$B122&amp;"|"&amp;AR$5,'Competency Event Log'!$D$4:$D$803)))</f>
        <v/>
      </c>
      <c r="AS122" s="8" t="str">
        <f>IF($B122="","",IF(COUNTIF('Competency Event Log'!$U$4:$U$803,$B122&amp;"|"&amp;AS$5)=0,"",SUMIF('Competency Event Log'!$U$4:$U$803,$B122&amp;"|"&amp;AS$5,'Competency Event Log'!$D$4:$D$803)))</f>
        <v/>
      </c>
      <c r="AT122" s="8" t="str">
        <f>IF($B122="","",IF(COUNTIF('Competency Event Log'!$U$4:$U$803,$B122&amp;"|"&amp;AT$5)=0,"",SUMIF('Competency Event Log'!$U$4:$U$803,$B122&amp;"|"&amp;AT$5,'Competency Event Log'!$D$4:$D$803)))</f>
        <v/>
      </c>
      <c r="AU122" s="8" t="str">
        <f>IF($B122="","",IF(COUNTIF('Competency Event Log'!$U$4:$U$803,$B122&amp;"|"&amp;AU$5)=0,"",SUMIF('Competency Event Log'!$U$4:$U$803,$B122&amp;"|"&amp;AU$5,'Competency Event Log'!$D$4:$D$803)))</f>
        <v/>
      </c>
      <c r="AV122" s="8" t="str">
        <f>IF($B122="","",IF(COUNTIF('Competency Event Log'!$U$4:$U$803,$B122&amp;"|"&amp;AV$5)=0,"",SUMIF('Competency Event Log'!$U$4:$U$803,$B122&amp;"|"&amp;AV$5,'Competency Event Log'!$D$4:$D$803)))</f>
        <v/>
      </c>
      <c r="AW122" s="8" t="str">
        <f>IF($B122="","",IF(COUNTIF('Competency Event Log'!$U$4:$U$803,$B122&amp;"|"&amp;AW$5)=0,"",SUMIF('Competency Event Log'!$U$4:$U$803,$B122&amp;"|"&amp;AW$5,'Competency Event Log'!$D$4:$D$803)))</f>
        <v/>
      </c>
      <c r="AX122" s="8" t="str">
        <f>IF($B122="","",IF(COUNTIF('Competency Event Log'!$U$4:$U$803,$B122&amp;"|"&amp;AX$5)=0,"",SUMIF('Competency Event Log'!$U$4:$U$803,$B122&amp;"|"&amp;AX$5,'Competency Event Log'!$D$4:$D$803)))</f>
        <v/>
      </c>
      <c r="AY122" s="8" t="str">
        <f>IF($B122="","",IF(COUNTIF('Competency Event Log'!$U$4:$U$803,$B122&amp;"|"&amp;AY$5)=0,"",SUMIF('Competency Event Log'!$U$4:$U$803,$B122&amp;"|"&amp;AY$5,'Competency Event Log'!$D$4:$D$803)))</f>
        <v/>
      </c>
      <c r="AZ122" s="8" t="str">
        <f>IF($B122="","",IF(COUNTIF('Competency Event Log'!$U$4:$U$803,$B122&amp;"|"&amp;AZ$5)=0,"",SUMIF('Competency Event Log'!$U$4:$U$803,$B122&amp;"|"&amp;AZ$5,'Competency Event Log'!$D$4:$D$803)))</f>
        <v/>
      </c>
      <c r="BA122" s="8" t="str">
        <f>IF($B122="","",IF(COUNTIF('Competency Event Log'!$U$4:$U$803,$B122&amp;"|"&amp;BA$5)=0,"",SUMIF('Competency Event Log'!$U$4:$U$803,$B122&amp;"|"&amp;BA$5,'Competency Event Log'!$D$4:$D$803)))</f>
        <v/>
      </c>
      <c r="BB122" s="8" t="str">
        <f>IF($B122="","",IF(COUNTIF('Competency Event Log'!$U$4:$U$803,$B122&amp;"|"&amp;BB$5)=0,"",SUMIF('Competency Event Log'!$U$4:$U$803,$B122&amp;"|"&amp;BB$5,'Competency Event Log'!$D$4:$D$803)))</f>
        <v/>
      </c>
      <c r="BC122" s="8" t="str">
        <f>IF($B122="","",IF(COUNTIF('Competency Event Log'!$U$4:$U$803,$B122&amp;"|"&amp;BC$5)=0,"",SUMIF('Competency Event Log'!$U$4:$U$803,$B122&amp;"|"&amp;BC$5,'Competency Event Log'!$D$4:$D$803)))</f>
        <v/>
      </c>
      <c r="BD122" s="8" t="str">
        <f>IF($B122="","",IF(COUNTIF('Competency Event Log'!$U$4:$U$803,$B122&amp;"|"&amp;BD$5)=0,"",SUMIF('Competency Event Log'!$U$4:$U$803,$B122&amp;"|"&amp;BD$5,'Competency Event Log'!$D$4:$D$803)))</f>
        <v/>
      </c>
      <c r="BE122" s="8" t="str">
        <f>IF($B122="","",IF(COUNTIF('Competency Event Log'!$U$4:$U$803,$B122&amp;"|"&amp;BE$5)=0,"",SUMIF('Competency Event Log'!$U$4:$U$803,$B122&amp;"|"&amp;BE$5,'Competency Event Log'!$D$4:$D$803)))</f>
        <v/>
      </c>
      <c r="BF122" s="8" t="str">
        <f>IF($B122="","",IF(COUNTIF('Competency Event Log'!$U$4:$U$803,$B122&amp;"|"&amp;BF$5)=0,"",SUMIF('Competency Event Log'!$U$4:$U$803,$B122&amp;"|"&amp;BF$5,'Competency Event Log'!$D$4:$D$803)))</f>
        <v/>
      </c>
      <c r="BG122" s="8" t="str">
        <f>IF($B122="","",IF(COUNTIF('Competency Event Log'!$U$4:$U$803,$B122&amp;"|"&amp;BG$5)=0,"",SUMIF('Competency Event Log'!$U$4:$U$803,$B122&amp;"|"&amp;BG$5,'Competency Event Log'!$D$4:$D$803)))</f>
        <v/>
      </c>
      <c r="BH122" s="8" t="str">
        <f>IF($B122="","",IF(COUNTIF('Competency Event Log'!$U$4:$U$803,$B122&amp;"|"&amp;BH$5)=0,"",SUMIF('Competency Event Log'!$U$4:$U$803,$B122&amp;"|"&amp;BH$5,'Competency Event Log'!$D$4:$D$803)))</f>
        <v/>
      </c>
      <c r="BI122" s="8" t="str">
        <f>IF($B122="","",IF(COUNTIF('Competency Event Log'!$U$4:$U$803,$B122&amp;"|"&amp;BI$5)=0,"",SUMIF('Competency Event Log'!$U$4:$U$803,$B122&amp;"|"&amp;BI$5,'Competency Event Log'!$D$4:$D$803)))</f>
        <v/>
      </c>
      <c r="BJ122" s="8" t="str">
        <f>IF($B122="","",IF(COUNTIF('Competency Event Log'!$U$4:$U$803,$B122&amp;"|"&amp;BJ$5)=0,"",SUMIF('Competency Event Log'!$U$4:$U$803,$B122&amp;"|"&amp;BJ$5,'Competency Event Log'!$D$4:$D$803)))</f>
        <v/>
      </c>
      <c r="BK122" s="8" t="str">
        <f>IF($B122="","",IF(COUNTIF('Competency Event Log'!$U$4:$U$803,$B122&amp;"|"&amp;BK$5)=0,"",SUMIF('Competency Event Log'!$U$4:$U$803,$B122&amp;"|"&amp;BK$5,'Competency Event Log'!$D$4:$D$803)))</f>
        <v/>
      </c>
      <c r="BL122" s="8" t="str">
        <f>IF($B122="","",IF(COUNTIF('Competency Event Log'!$U$4:$U$803,$B122&amp;"|"&amp;BL$5)=0,"",SUMIF('Competency Event Log'!$U$4:$U$803,$B122&amp;"|"&amp;BL$5,'Competency Event Log'!$D$4:$D$803)))</f>
        <v/>
      </c>
      <c r="BM122" s="8" t="str">
        <f>IF($B122="","",IF(COUNTIF('Competency Event Log'!$U$4:$U$803,$B122&amp;"|"&amp;BM$5)=0,"",SUMIF('Competency Event Log'!$U$4:$U$803,$B122&amp;"|"&amp;BM$5,'Competency Event Log'!$D$4:$D$803)))</f>
        <v/>
      </c>
      <c r="BN122" s="8" t="str">
        <f>IF($B122="","",IF(COUNTIF('Competency Event Log'!$U$4:$U$803,$B122&amp;"|"&amp;BN$5)=0,"",SUMIF('Competency Event Log'!$U$4:$U$803,$B122&amp;"|"&amp;BN$5,'Competency Event Log'!$D$4:$D$803)))</f>
        <v/>
      </c>
      <c r="BO122" s="8" t="str">
        <f>IF($B122="","",IF(COUNTIF('Competency Event Log'!$U$4:$U$803,$B122&amp;"|"&amp;BO$5)=0,"",SUMIF('Competency Event Log'!$U$4:$U$803,$B122&amp;"|"&amp;BO$5,'Competency Event Log'!$D$4:$D$803)))</f>
        <v/>
      </c>
      <c r="BP122" s="8" t="str">
        <f>IF($B122="","",IF(COUNTIF('Competency Event Log'!$U$4:$U$803,$B122&amp;"|"&amp;BP$5)=0,"",SUMIF('Competency Event Log'!$U$4:$U$803,$B122&amp;"|"&amp;BP$5,'Competency Event Log'!$D$4:$D$803)))</f>
        <v/>
      </c>
      <c r="BQ122" s="8" t="str">
        <f>IF($B122="","",IF(COUNTIF('Competency Event Log'!$U$4:$U$803,$B122&amp;"|"&amp;BQ$5)=0,"",SUMIF('Competency Event Log'!$U$4:$U$803,$B122&amp;"|"&amp;BQ$5,'Competency Event Log'!$D$4:$D$803)))</f>
        <v/>
      </c>
      <c r="BR122" s="8" t="str">
        <f>IF($B122="","",IF(COUNTIF('Competency Event Log'!$U$4:$U$803,$B122&amp;"|"&amp;BR$5)=0,"",SUMIF('Competency Event Log'!$U$4:$U$803,$B122&amp;"|"&amp;BR$5,'Competency Event Log'!$D$4:$D$803)))</f>
        <v/>
      </c>
      <c r="BS122" s="8" t="str">
        <f>IF($B122="","",IF(COUNTIF('Competency Event Log'!$U$4:$U$803,$B122&amp;"|"&amp;BS$5)=0,"",SUMIF('Competency Event Log'!$U$4:$U$803,$B122&amp;"|"&amp;BS$5,'Competency Event Log'!$D$4:$D$803)))</f>
        <v/>
      </c>
      <c r="BT122" s="8" t="str">
        <f>IF($B122="","",IF(COUNTIF('Competency Event Log'!$U$4:$U$803,$B122&amp;"|"&amp;BT$5)=0,"",SUMIF('Competency Event Log'!$U$4:$U$803,$B122&amp;"|"&amp;BT$5,'Competency Event Log'!$D$4:$D$803)))</f>
        <v/>
      </c>
      <c r="BU122" s="8" t="str">
        <f>IF($B122="","",IF(COUNTIF('Competency Event Log'!$U$4:$U$803,$B122&amp;"|"&amp;BU$5)=0,"",SUMIF('Competency Event Log'!$U$4:$U$803,$B122&amp;"|"&amp;BU$5,'Competency Event Log'!$D$4:$D$803)))</f>
        <v/>
      </c>
      <c r="BV122" s="8" t="str">
        <f>IF($B122="","",IF(COUNTIF('Competency Event Log'!$U$4:$U$803,$B122&amp;"|"&amp;BV$5)=0,"",SUMIF('Competency Event Log'!$U$4:$U$803,$B122&amp;"|"&amp;BV$5,'Competency Event Log'!$D$4:$D$803)))</f>
        <v/>
      </c>
      <c r="BW122" s="8" t="str">
        <f>IF($B122="","",IF(COUNTIF('Competency Event Log'!$U$4:$U$803,$B122&amp;"|"&amp;BW$5)=0,"",SUMIF('Competency Event Log'!$U$4:$U$803,$B122&amp;"|"&amp;BW$5,'Competency Event Log'!$D$4:$D$803)))</f>
        <v/>
      </c>
      <c r="BX122" s="8" t="str">
        <f>IF($B122="","",IF(COUNTIF('Competency Event Log'!$U$4:$U$803,$B122&amp;"|"&amp;BX$5)=0,"",SUMIF('Competency Event Log'!$U$4:$U$803,$B122&amp;"|"&amp;BX$5,'Competency Event Log'!$D$4:$D$803)))</f>
        <v/>
      </c>
      <c r="BY122" s="8" t="str">
        <f>IF($B122="","",IF(COUNTIF('Competency Event Log'!$U$4:$U$803,$B122&amp;"|"&amp;BY$5)=0,"",SUMIF('Competency Event Log'!$U$4:$U$803,$B122&amp;"|"&amp;BY$5,'Competency Event Log'!$D$4:$D$803)))</f>
        <v/>
      </c>
      <c r="BZ122" s="8" t="str">
        <f>IF($B122="","",IF(COUNTIF('Competency Event Log'!$U$4:$U$803,$B122&amp;"|"&amp;BZ$5)=0,"",SUMIF('Competency Event Log'!$U$4:$U$803,$B122&amp;"|"&amp;BZ$5,'Competency Event Log'!$D$4:$D$803)))</f>
        <v/>
      </c>
      <c r="CA122" s="8" t="str">
        <f>IF($B122="","",IF(COUNTIF('Competency Event Log'!$U$4:$U$803,$B122&amp;"|"&amp;CA$5)=0,"",SUMIF('Competency Event Log'!$U$4:$U$803,$B122&amp;"|"&amp;CA$5,'Competency Event Log'!$D$4:$D$803)))</f>
        <v/>
      </c>
      <c r="CB122" s="8" t="str">
        <f>IF($B122="","",IF(COUNTIF('Competency Event Log'!$U$4:$U$803,$B122&amp;"|"&amp;CB$5)=0,"",SUMIF('Competency Event Log'!$U$4:$U$803,$B122&amp;"|"&amp;CB$5,'Competency Event Log'!$D$4:$D$803)))</f>
        <v/>
      </c>
      <c r="CC122" s="8" t="str">
        <f>IF($B122="","",IF(COUNTIF('Competency Event Log'!$U$4:$U$803,$B122&amp;"|"&amp;CC$5)=0,"",SUMIF('Competency Event Log'!$U$4:$U$803,$B122&amp;"|"&amp;CC$5,'Competency Event Log'!$D$4:$D$803)))</f>
        <v/>
      </c>
      <c r="CD122" s="8" t="str">
        <f>IF($B122="","",IF(COUNTIF('Competency Event Log'!$U$4:$U$803,$B122&amp;"|"&amp;CD$5)=0,"",SUMIF('Competency Event Log'!$U$4:$U$803,$B122&amp;"|"&amp;CD$5,'Competency Event Log'!$D$4:$D$803)))</f>
        <v/>
      </c>
      <c r="CE122" s="8" t="str">
        <f>IF($B122="","",IF(COUNTIF('Competency Event Log'!$U$4:$U$803,$B122&amp;"|"&amp;CE$5)=0,"",SUMIF('Competency Event Log'!$U$4:$U$803,$B122&amp;"|"&amp;CE$5,'Competency Event Log'!$D$4:$D$803)))</f>
        <v/>
      </c>
      <c r="CF122" s="8" t="str">
        <f>IF($B122="","",IF(COUNTIF('Competency Event Log'!$U$4:$U$803,$B122&amp;"|"&amp;CF$5)=0,"",SUMIF('Competency Event Log'!$U$4:$U$803,$B122&amp;"|"&amp;CF$5,'Competency Event Log'!$D$4:$D$803)))</f>
        <v/>
      </c>
      <c r="CG122" s="8" t="str">
        <f>IF($B122="","",IF(COUNTIF('Competency Event Log'!$U$4:$U$803,$B122&amp;"|"&amp;CG$5)=0,"",SUMIF('Competency Event Log'!$U$4:$U$803,$B122&amp;"|"&amp;CG$5,'Competency Event Log'!$D$4:$D$803)))</f>
        <v/>
      </c>
      <c r="CH122" s="8" t="str">
        <f>IF($B122="","",IF(COUNTIF('Competency Event Log'!$U$4:$U$803,$B122&amp;"|"&amp;CH$5)=0,"",SUMIF('Competency Event Log'!$U$4:$U$803,$B122&amp;"|"&amp;CH$5,'Competency Event Log'!$D$4:$D$803)))</f>
        <v/>
      </c>
      <c r="CI122" s="8" t="str">
        <f>IF($B122="","",IF(COUNTIF('Competency Event Log'!$U$4:$U$803,$B122&amp;"|"&amp;CI$5)=0,"",SUMIF('Competency Event Log'!$U$4:$U$803,$B122&amp;"|"&amp;CI$5,'Competency Event Log'!$D$4:$D$803)))</f>
        <v/>
      </c>
      <c r="CJ122" s="8" t="str">
        <f>IF($B122="","",IF(COUNTIF('Competency Event Log'!$U$4:$U$803,$B122&amp;"|"&amp;CJ$5)=0,"",SUMIF('Competency Event Log'!$U$4:$U$803,$B122&amp;"|"&amp;CJ$5,'Competency Event Log'!$D$4:$D$803)))</f>
        <v/>
      </c>
      <c r="CK122" s="8" t="str">
        <f>IF($B122="","",IF(COUNTIF('Competency Event Log'!$U$4:$U$803,$B122&amp;"|"&amp;CK$5)=0,"",SUMIF('Competency Event Log'!$U$4:$U$803,$B122&amp;"|"&amp;CK$5,'Competency Event Log'!$D$4:$D$803)))</f>
        <v/>
      </c>
      <c r="CL122" s="8" t="str">
        <f>IF($B122="","",IF(COUNTIF('Competency Event Log'!$U$4:$U$803,$B122&amp;"|"&amp;CL$5)=0,"",SUMIF('Competency Event Log'!$U$4:$U$803,$B122&amp;"|"&amp;CL$5,'Competency Event Log'!$D$4:$D$803)))</f>
        <v/>
      </c>
      <c r="CM122" s="8" t="str">
        <f>IF($B122="","",IF(COUNTIF('Competency Event Log'!$U$4:$U$803,$B122&amp;"|"&amp;CM$5)=0,"",SUMIF('Competency Event Log'!$U$4:$U$803,$B122&amp;"|"&amp;CM$5,'Competency Event Log'!$D$4:$D$803)))</f>
        <v/>
      </c>
      <c r="CN122" s="8" t="str">
        <f>IF($B122="","",IF(COUNTIF('Competency Event Log'!$U$4:$U$803,$B122&amp;"|"&amp;CN$5)=0,"",SUMIF('Competency Event Log'!$U$4:$U$803,$B122&amp;"|"&amp;CN$5,'Competency Event Log'!$D$4:$D$803)))</f>
        <v/>
      </c>
      <c r="CO122" s="8" t="str">
        <f>IF($B122="","",IF(COUNTIF('Competency Event Log'!$U$4:$U$803,$B122&amp;"|"&amp;CO$5)=0,"",SUMIF('Competency Event Log'!$U$4:$U$803,$B122&amp;"|"&amp;CO$5,'Competency Event Log'!$D$4:$D$803)))</f>
        <v/>
      </c>
      <c r="CP122" s="8" t="str">
        <f>IF($B122="","",IF(COUNTIF('Competency Event Log'!$U$4:$U$803,$B122&amp;"|"&amp;CP$5)=0,"",SUMIF('Competency Event Log'!$U$4:$U$803,$B122&amp;"|"&amp;CP$5,'Competency Event Log'!$D$4:$D$803)))</f>
        <v/>
      </c>
      <c r="CQ122" s="8" t="str">
        <f>IF($B122="","",IF(COUNTIF('Competency Event Log'!$U$4:$U$803,$B122&amp;"|"&amp;CQ$5)=0,"",SUMIF('Competency Event Log'!$U$4:$U$803,$B122&amp;"|"&amp;CQ$5,'Competency Event Log'!$D$4:$D$803)))</f>
        <v/>
      </c>
      <c r="CR122" s="8" t="str">
        <f>IF($B122="","",IF(COUNTIF('Competency Event Log'!$U$4:$U$803,$B122&amp;"|"&amp;CR$5)=0,"",SUMIF('Competency Event Log'!$U$4:$U$803,$B122&amp;"|"&amp;CR$5,'Competency Event Log'!$D$4:$D$803)))</f>
        <v/>
      </c>
      <c r="CS122" s="8" t="str">
        <f>IF($B122="","",IF(COUNTIF('Competency Event Log'!$U$4:$U$803,$B122&amp;"|"&amp;CS$5)=0,"",SUMIF('Competency Event Log'!$U$4:$U$803,$B122&amp;"|"&amp;CS$5,'Competency Event Log'!$D$4:$D$803)))</f>
        <v/>
      </c>
      <c r="CT122" s="8" t="str">
        <f>IF($B122="","",IF(COUNTIF('Competency Event Log'!$U$4:$U$803,$B122&amp;"|"&amp;CT$5)=0,"",SUMIF('Competency Event Log'!$U$4:$U$803,$B122&amp;"|"&amp;CT$5,'Competency Event Log'!$D$4:$D$803)))</f>
        <v/>
      </c>
      <c r="CU122" s="8" t="str">
        <f>IF($B122="","",IF(COUNTIF('Competency Event Log'!$U$4:$U$803,$B122&amp;"|"&amp;CU$5)=0,"",SUMIF('Competency Event Log'!$U$4:$U$803,$B122&amp;"|"&amp;CU$5,'Competency Event Log'!$D$4:$D$803)))</f>
        <v/>
      </c>
      <c r="CV122" s="8" t="str">
        <f>IF($B122="","",IF(COUNTIF('Competency Event Log'!$U$4:$U$803,$B122&amp;"|"&amp;CV$5)=0,"",SUMIF('Competency Event Log'!$U$4:$U$803,$B122&amp;"|"&amp;CV$5,'Competency Event Log'!$D$4:$D$803)))</f>
        <v/>
      </c>
      <c r="CW122" s="8" t="str">
        <f>IF($B122="","",IF(COUNTIF('Competency Event Log'!$U$4:$U$803,$B122&amp;"|"&amp;CW$5)=0,"",SUMIF('Competency Event Log'!$U$4:$U$803,$B122&amp;"|"&amp;CW$5,'Competency Event Log'!$D$4:$D$803)))</f>
        <v/>
      </c>
      <c r="CX122" s="8" t="str">
        <f>IF($B122="","",IF(COUNTIF('Competency Event Log'!$U$4:$U$803,$B122&amp;"|"&amp;CX$5)=0,"",SUMIF('Competency Event Log'!$U$4:$U$803,$B122&amp;"|"&amp;CX$5,'Competency Event Log'!$D$4:$D$803)))</f>
        <v/>
      </c>
      <c r="CY122" s="8" t="str">
        <f>IF($B122="","",IF(COUNTIF('Competency Event Log'!$U$4:$U$803,$B122&amp;"|"&amp;CY$5)=0,"",SUMIF('Competency Event Log'!$U$4:$U$803,$B122&amp;"|"&amp;CY$5,'Competency Event Log'!$D$4:$D$803)))</f>
        <v/>
      </c>
      <c r="CZ122" s="8" t="str">
        <f>IF($B122="","",IF(COUNTIF('Competency Event Log'!$U$4:$U$803,$B122&amp;"|"&amp;CZ$5)=0,"",SUMIF('Competency Event Log'!$U$4:$U$803,$B122&amp;"|"&amp;CZ$5,'Competency Event Log'!$D$4:$D$803)))</f>
        <v/>
      </c>
      <c r="DA122" s="8" t="str">
        <f>IF($B122="","",IF(COUNTIF('Competency Event Log'!$U$4:$U$803,$B122&amp;"|"&amp;DA$5)=0,"",SUMIF('Competency Event Log'!$U$4:$U$803,$B122&amp;"|"&amp;DA$5,'Competency Event Log'!$D$4:$D$803)))</f>
        <v/>
      </c>
      <c r="DB122" s="8" t="str">
        <f>IF($B122="","",IF(COUNTIF('Competency Event Log'!$U$4:$U$803,$B122&amp;"|"&amp;DB$5)=0,"",SUMIF('Competency Event Log'!$U$4:$U$803,$B122&amp;"|"&amp;DB$5,'Competency Event Log'!$D$4:$D$803)))</f>
        <v/>
      </c>
      <c r="DC122" s="8" t="str">
        <f>IF($B122="","",IF(COUNTIF('Competency Event Log'!$U$4:$U$803,$B122&amp;"|"&amp;DC$5)=0,"",SUMIF('Competency Event Log'!$U$4:$U$803,$B122&amp;"|"&amp;DC$5,'Competency Event Log'!$D$4:$D$803)))</f>
        <v/>
      </c>
      <c r="DD122" s="8" t="str">
        <f>IF($B122="","",IF(COUNTIF('Competency Event Log'!$U$4:$U$803,$B122&amp;"|"&amp;DD$5)=0,"",SUMIF('Competency Event Log'!$U$4:$U$803,$B122&amp;"|"&amp;DD$5,'Competency Event Log'!$D$4:$D$803)))</f>
        <v/>
      </c>
      <c r="DE122" s="8" t="str">
        <f>IF($B122="","",IF(COUNTIF('Competency Event Log'!$U$4:$U$803,$B122&amp;"|"&amp;DE$5)=0,"",SUMIF('Competency Event Log'!$U$4:$U$803,$B122&amp;"|"&amp;DE$5,'Competency Event Log'!$D$4:$D$803)))</f>
        <v/>
      </c>
      <c r="DF122" s="8" t="str">
        <f t="shared" si="12"/>
        <v/>
      </c>
      <c r="DG122" s="8" t="str">
        <f t="shared" si="13"/>
        <v/>
      </c>
      <c r="DH122" s="8" t="str">
        <f t="shared" si="14"/>
        <v/>
      </c>
      <c r="DI122" s="11" t="str">
        <f t="shared" si="15"/>
        <v/>
      </c>
    </row>
    <row r="123" spans="1:113">
      <c r="A123" s="7"/>
      <c r="B123" s="7"/>
      <c r="C123" s="8"/>
      <c r="D123" s="9"/>
      <c r="E123" s="10"/>
      <c r="F123" s="8"/>
      <c r="G123" s="8" t="str">
        <f>IF($B123="","",IF(COUNTIF('Competency Event Log'!$U$4:$U$803,$B123&amp;"|"&amp;G$5)=0,"",SUMIF('Competency Event Log'!$U$4:$U$803,$B123&amp;"|"&amp;G$5,'Competency Event Log'!$D$4:$D$803)))</f>
        <v/>
      </c>
      <c r="H123" s="8" t="str">
        <f>IF($B123="","",IF(COUNTIF('Competency Event Log'!$U$4:$U$803,$B123&amp;"|"&amp;H$5)=0,"",SUMIF('Competency Event Log'!$U$4:$U$803,$B123&amp;"|"&amp;H$5,'Competency Event Log'!$D$4:$D$803)))</f>
        <v/>
      </c>
      <c r="I123" s="8" t="str">
        <f>IF($B123="","",IF(COUNTIF('Competency Event Log'!$U$4:$U$803,$B123&amp;"|"&amp;I$5)=0,"",SUMIF('Competency Event Log'!$U$4:$U$803,$B123&amp;"|"&amp;I$5,'Competency Event Log'!$D$4:$D$803)))</f>
        <v/>
      </c>
      <c r="J123" s="8" t="str">
        <f>IF($B123="","",IF(COUNTIF('Competency Event Log'!$U$4:$U$803,$B123&amp;"|"&amp;J$5)=0,"",SUMIF('Competency Event Log'!$U$4:$U$803,$B123&amp;"|"&amp;J$5,'Competency Event Log'!$D$4:$D$803)))</f>
        <v/>
      </c>
      <c r="K123" s="8" t="str">
        <f>IF($B123="","",IF(COUNTIF('Competency Event Log'!$U$4:$U$803,$B123&amp;"|"&amp;K$5)=0,"",SUMIF('Competency Event Log'!$U$4:$U$803,$B123&amp;"|"&amp;K$5,'Competency Event Log'!$D$4:$D$803)))</f>
        <v/>
      </c>
      <c r="L123" s="8" t="str">
        <f>IF($B123="","",IF(COUNTIF('Competency Event Log'!$U$4:$U$803,$B123&amp;"|"&amp;L$5)=0,"",SUMIF('Competency Event Log'!$U$4:$U$803,$B123&amp;"|"&amp;L$5,'Competency Event Log'!$D$4:$D$803)))</f>
        <v/>
      </c>
      <c r="M123" s="8" t="str">
        <f>IF($B123="","",IF(COUNTIF('Competency Event Log'!$U$4:$U$803,$B123&amp;"|"&amp;M$5)=0,"",SUMIF('Competency Event Log'!$U$4:$U$803,$B123&amp;"|"&amp;M$5,'Competency Event Log'!$D$4:$D$803)))</f>
        <v/>
      </c>
      <c r="N123" s="8" t="str">
        <f>IF($B123="","",IF(COUNTIF('Competency Event Log'!$U$4:$U$803,$B123&amp;"|"&amp;N$5)=0,"",SUMIF('Competency Event Log'!$U$4:$U$803,$B123&amp;"|"&amp;N$5,'Competency Event Log'!$D$4:$D$803)))</f>
        <v/>
      </c>
      <c r="O123" s="8" t="str">
        <f>IF($B123="","",IF(COUNTIF('Competency Event Log'!$U$4:$U$803,$B123&amp;"|"&amp;O$5)=0,"",SUMIF('Competency Event Log'!$U$4:$U$803,$B123&amp;"|"&amp;O$5,'Competency Event Log'!$D$4:$D$803)))</f>
        <v/>
      </c>
      <c r="P123" s="8" t="str">
        <f>IF($B123="","",IF(COUNTIF('Competency Event Log'!$U$4:$U$803,$B123&amp;"|"&amp;P$5)=0,"",SUMIF('Competency Event Log'!$U$4:$U$803,$B123&amp;"|"&amp;P$5,'Competency Event Log'!$D$4:$D$803)))</f>
        <v/>
      </c>
      <c r="Q123" s="8" t="str">
        <f>IF($B123="","",IF(COUNTIF('Competency Event Log'!$U$4:$U$803,$B123&amp;"|"&amp;Q$5)=0,"",SUMIF('Competency Event Log'!$U$4:$U$803,$B123&amp;"|"&amp;Q$5,'Competency Event Log'!$D$4:$D$803)))</f>
        <v/>
      </c>
      <c r="R123" s="8" t="str">
        <f>IF($B123="","",IF(COUNTIF('Competency Event Log'!$U$4:$U$803,$B123&amp;"|"&amp;R$5)=0,"",SUMIF('Competency Event Log'!$U$4:$U$803,$B123&amp;"|"&amp;R$5,'Competency Event Log'!$D$4:$D$803)))</f>
        <v/>
      </c>
      <c r="S123" s="8" t="str">
        <f>IF($B123="","",IF(COUNTIF('Competency Event Log'!$U$4:$U$803,$B123&amp;"|"&amp;S$5)=0,"",SUMIF('Competency Event Log'!$U$4:$U$803,$B123&amp;"|"&amp;S$5,'Competency Event Log'!$D$4:$D$803)))</f>
        <v/>
      </c>
      <c r="T123" s="8" t="str">
        <f>IF($B123="","",IF(COUNTIF('Competency Event Log'!$U$4:$U$803,$B123&amp;"|"&amp;T$5)=0,"",SUMIF('Competency Event Log'!$U$4:$U$803,$B123&amp;"|"&amp;T$5,'Competency Event Log'!$D$4:$D$803)))</f>
        <v/>
      </c>
      <c r="U123" s="8" t="str">
        <f>IF($B123="","",IF(COUNTIF('Competency Event Log'!$U$4:$U$803,$B123&amp;"|"&amp;U$5)=0,"",SUMIF('Competency Event Log'!$U$4:$U$803,$B123&amp;"|"&amp;U$5,'Competency Event Log'!$D$4:$D$803)))</f>
        <v/>
      </c>
      <c r="V123" s="8" t="str">
        <f>IF($B123="","",IF(COUNTIF('Competency Event Log'!$U$4:$U$803,$B123&amp;"|"&amp;V$5)=0,"",SUMIF('Competency Event Log'!$U$4:$U$803,$B123&amp;"|"&amp;V$5,'Competency Event Log'!$D$4:$D$803)))</f>
        <v/>
      </c>
      <c r="W123" s="8" t="str">
        <f>IF($B123="","",IF(COUNTIF('Competency Event Log'!$U$4:$U$803,$B123&amp;"|"&amp;W$5)=0,"",SUMIF('Competency Event Log'!$U$4:$U$803,$B123&amp;"|"&amp;W$5,'Competency Event Log'!$D$4:$D$803)))</f>
        <v/>
      </c>
      <c r="X123" s="8" t="str">
        <f>IF($B123="","",IF(COUNTIF('Competency Event Log'!$U$4:$U$803,$B123&amp;"|"&amp;X$5)=0,"",SUMIF('Competency Event Log'!$U$4:$U$803,$B123&amp;"|"&amp;X$5,'Competency Event Log'!$D$4:$D$803)))</f>
        <v/>
      </c>
      <c r="Y123" s="8" t="str">
        <f>IF($B123="","",IF(COUNTIF('Competency Event Log'!$U$4:$U$803,$B123&amp;"|"&amp;Y$5)=0,"",SUMIF('Competency Event Log'!$U$4:$U$803,$B123&amp;"|"&amp;Y$5,'Competency Event Log'!$D$4:$D$803)))</f>
        <v/>
      </c>
      <c r="Z123" s="8" t="str">
        <f>IF($B123="","",IF(COUNTIF('Competency Event Log'!$U$4:$U$803,$B123&amp;"|"&amp;Z$5)=0,"",SUMIF('Competency Event Log'!$U$4:$U$803,$B123&amp;"|"&amp;Z$5,'Competency Event Log'!$D$4:$D$803)))</f>
        <v/>
      </c>
      <c r="AA123" s="8" t="str">
        <f>IF($B123="","",IF(COUNTIF('Competency Event Log'!$U$4:$U$803,$B123&amp;"|"&amp;AA$5)=0,"",SUMIF('Competency Event Log'!$U$4:$U$803,$B123&amp;"|"&amp;AA$5,'Competency Event Log'!$D$4:$D$803)))</f>
        <v/>
      </c>
      <c r="AB123" s="8" t="str">
        <f>IF($B123="","",IF(COUNTIF('Competency Event Log'!$U$4:$U$803,$B123&amp;"|"&amp;AB$5)=0,"",SUMIF('Competency Event Log'!$U$4:$U$803,$B123&amp;"|"&amp;AB$5,'Competency Event Log'!$D$4:$D$803)))</f>
        <v/>
      </c>
      <c r="AC123" s="8" t="str">
        <f>IF($B123="","",IF(COUNTIF('Competency Event Log'!$U$4:$U$803,$B123&amp;"|"&amp;AC$5)=0,"",SUMIF('Competency Event Log'!$U$4:$U$803,$B123&amp;"|"&amp;AC$5,'Competency Event Log'!$D$4:$D$803)))</f>
        <v/>
      </c>
      <c r="AD123" s="8" t="str">
        <f>IF($B123="","",IF(COUNTIF('Competency Event Log'!$U$4:$U$803,$B123&amp;"|"&amp;AD$5)=0,"",SUMIF('Competency Event Log'!$U$4:$U$803,$B123&amp;"|"&amp;AD$5,'Competency Event Log'!$D$4:$D$803)))</f>
        <v/>
      </c>
      <c r="AE123" s="8" t="str">
        <f>IF($B123="","",IF(COUNTIF('Competency Event Log'!$U$4:$U$803,$B123&amp;"|"&amp;AE$5)=0,"",SUMIF('Competency Event Log'!$U$4:$U$803,$B123&amp;"|"&amp;AE$5,'Competency Event Log'!$D$4:$D$803)))</f>
        <v/>
      </c>
      <c r="AF123" s="8" t="str">
        <f>IF($B123="","",IF(COUNTIF('Competency Event Log'!$U$4:$U$803,$B123&amp;"|"&amp;AF$5)=0,"",SUMIF('Competency Event Log'!$U$4:$U$803,$B123&amp;"|"&amp;AF$5,'Competency Event Log'!$D$4:$D$803)))</f>
        <v/>
      </c>
      <c r="AG123" s="8" t="str">
        <f>IF($B123="","",IF(COUNTIF('Competency Event Log'!$U$4:$U$803,$B123&amp;"|"&amp;AG$5)=0,"",SUMIF('Competency Event Log'!$U$4:$U$803,$B123&amp;"|"&amp;AG$5,'Competency Event Log'!$D$4:$D$803)))</f>
        <v/>
      </c>
      <c r="AH123" s="8" t="str">
        <f>IF($B123="","",IF(COUNTIF('Competency Event Log'!$U$4:$U$803,$B123&amp;"|"&amp;AH$5)=0,"",SUMIF('Competency Event Log'!$U$4:$U$803,$B123&amp;"|"&amp;AH$5,'Competency Event Log'!$D$4:$D$803)))</f>
        <v/>
      </c>
      <c r="AI123" s="8" t="str">
        <f>IF($B123="","",IF(COUNTIF('Competency Event Log'!$U$4:$U$803,$B123&amp;"|"&amp;AI$5)=0,"",SUMIF('Competency Event Log'!$U$4:$U$803,$B123&amp;"|"&amp;AI$5,'Competency Event Log'!$D$4:$D$803)))</f>
        <v/>
      </c>
      <c r="AJ123" s="8" t="str">
        <f>IF($B123="","",IF(COUNTIF('Competency Event Log'!$U$4:$U$803,$B123&amp;"|"&amp;AJ$5)=0,"",SUMIF('Competency Event Log'!$U$4:$U$803,$B123&amp;"|"&amp;AJ$5,'Competency Event Log'!$D$4:$D$803)))</f>
        <v/>
      </c>
      <c r="AK123" s="8" t="str">
        <f>IF($B123="","",IF(COUNTIF('Competency Event Log'!$U$4:$U$803,$B123&amp;"|"&amp;AK$5)=0,"",SUMIF('Competency Event Log'!$U$4:$U$803,$B123&amp;"|"&amp;AK$5,'Competency Event Log'!$D$4:$D$803)))</f>
        <v/>
      </c>
      <c r="AL123" s="8" t="str">
        <f>IF($B123="","",IF(COUNTIF('Competency Event Log'!$U$4:$U$803,$B123&amp;"|"&amp;AL$5)=0,"",SUMIF('Competency Event Log'!$U$4:$U$803,$B123&amp;"|"&amp;AL$5,'Competency Event Log'!$D$4:$D$803)))</f>
        <v/>
      </c>
      <c r="AM123" s="8" t="str">
        <f>IF($B123="","",IF(COUNTIF('Competency Event Log'!$U$4:$U$803,$B123&amp;"|"&amp;AM$5)=0,"",SUMIF('Competency Event Log'!$U$4:$U$803,$B123&amp;"|"&amp;AM$5,'Competency Event Log'!$D$4:$D$803)))</f>
        <v/>
      </c>
      <c r="AN123" s="8" t="str">
        <f>IF($B123="","",IF(COUNTIF('Competency Event Log'!$U$4:$U$803,$B123&amp;"|"&amp;AN$5)=0,"",SUMIF('Competency Event Log'!$U$4:$U$803,$B123&amp;"|"&amp;AN$5,'Competency Event Log'!$D$4:$D$803)))</f>
        <v/>
      </c>
      <c r="AO123" s="8" t="str">
        <f>IF($B123="","",IF(COUNTIF('Competency Event Log'!$U$4:$U$803,$B123&amp;"|"&amp;AO$5)=0,"",SUMIF('Competency Event Log'!$U$4:$U$803,$B123&amp;"|"&amp;AO$5,'Competency Event Log'!$D$4:$D$803)))</f>
        <v/>
      </c>
      <c r="AP123" s="8" t="str">
        <f>IF($B123="","",IF(COUNTIF('Competency Event Log'!$U$4:$U$803,$B123&amp;"|"&amp;AP$5)=0,"",SUMIF('Competency Event Log'!$U$4:$U$803,$B123&amp;"|"&amp;AP$5,'Competency Event Log'!$D$4:$D$803)))</f>
        <v/>
      </c>
      <c r="AQ123" s="8" t="str">
        <f>IF($B123="","",IF(COUNTIF('Competency Event Log'!$U$4:$U$803,$B123&amp;"|"&amp;AQ$5)=0,"",SUMIF('Competency Event Log'!$U$4:$U$803,$B123&amp;"|"&amp;AQ$5,'Competency Event Log'!$D$4:$D$803)))</f>
        <v/>
      </c>
      <c r="AR123" s="8" t="str">
        <f>IF($B123="","",IF(COUNTIF('Competency Event Log'!$U$4:$U$803,$B123&amp;"|"&amp;AR$5)=0,"",SUMIF('Competency Event Log'!$U$4:$U$803,$B123&amp;"|"&amp;AR$5,'Competency Event Log'!$D$4:$D$803)))</f>
        <v/>
      </c>
      <c r="AS123" s="8" t="str">
        <f>IF($B123="","",IF(COUNTIF('Competency Event Log'!$U$4:$U$803,$B123&amp;"|"&amp;AS$5)=0,"",SUMIF('Competency Event Log'!$U$4:$U$803,$B123&amp;"|"&amp;AS$5,'Competency Event Log'!$D$4:$D$803)))</f>
        <v/>
      </c>
      <c r="AT123" s="8" t="str">
        <f>IF($B123="","",IF(COUNTIF('Competency Event Log'!$U$4:$U$803,$B123&amp;"|"&amp;AT$5)=0,"",SUMIF('Competency Event Log'!$U$4:$U$803,$B123&amp;"|"&amp;AT$5,'Competency Event Log'!$D$4:$D$803)))</f>
        <v/>
      </c>
      <c r="AU123" s="8" t="str">
        <f>IF($B123="","",IF(COUNTIF('Competency Event Log'!$U$4:$U$803,$B123&amp;"|"&amp;AU$5)=0,"",SUMIF('Competency Event Log'!$U$4:$U$803,$B123&amp;"|"&amp;AU$5,'Competency Event Log'!$D$4:$D$803)))</f>
        <v/>
      </c>
      <c r="AV123" s="8" t="str">
        <f>IF($B123="","",IF(COUNTIF('Competency Event Log'!$U$4:$U$803,$B123&amp;"|"&amp;AV$5)=0,"",SUMIF('Competency Event Log'!$U$4:$U$803,$B123&amp;"|"&amp;AV$5,'Competency Event Log'!$D$4:$D$803)))</f>
        <v/>
      </c>
      <c r="AW123" s="8" t="str">
        <f>IF($B123="","",IF(COUNTIF('Competency Event Log'!$U$4:$U$803,$B123&amp;"|"&amp;AW$5)=0,"",SUMIF('Competency Event Log'!$U$4:$U$803,$B123&amp;"|"&amp;AW$5,'Competency Event Log'!$D$4:$D$803)))</f>
        <v/>
      </c>
      <c r="AX123" s="8" t="str">
        <f>IF($B123="","",IF(COUNTIF('Competency Event Log'!$U$4:$U$803,$B123&amp;"|"&amp;AX$5)=0,"",SUMIF('Competency Event Log'!$U$4:$U$803,$B123&amp;"|"&amp;AX$5,'Competency Event Log'!$D$4:$D$803)))</f>
        <v/>
      </c>
      <c r="AY123" s="8" t="str">
        <f>IF($B123="","",IF(COUNTIF('Competency Event Log'!$U$4:$U$803,$B123&amp;"|"&amp;AY$5)=0,"",SUMIF('Competency Event Log'!$U$4:$U$803,$B123&amp;"|"&amp;AY$5,'Competency Event Log'!$D$4:$D$803)))</f>
        <v/>
      </c>
      <c r="AZ123" s="8" t="str">
        <f>IF($B123="","",IF(COUNTIF('Competency Event Log'!$U$4:$U$803,$B123&amp;"|"&amp;AZ$5)=0,"",SUMIF('Competency Event Log'!$U$4:$U$803,$B123&amp;"|"&amp;AZ$5,'Competency Event Log'!$D$4:$D$803)))</f>
        <v/>
      </c>
      <c r="BA123" s="8" t="str">
        <f>IF($B123="","",IF(COUNTIF('Competency Event Log'!$U$4:$U$803,$B123&amp;"|"&amp;BA$5)=0,"",SUMIF('Competency Event Log'!$U$4:$U$803,$B123&amp;"|"&amp;BA$5,'Competency Event Log'!$D$4:$D$803)))</f>
        <v/>
      </c>
      <c r="BB123" s="8" t="str">
        <f>IF($B123="","",IF(COUNTIF('Competency Event Log'!$U$4:$U$803,$B123&amp;"|"&amp;BB$5)=0,"",SUMIF('Competency Event Log'!$U$4:$U$803,$B123&amp;"|"&amp;BB$5,'Competency Event Log'!$D$4:$D$803)))</f>
        <v/>
      </c>
      <c r="BC123" s="8" t="str">
        <f>IF($B123="","",IF(COUNTIF('Competency Event Log'!$U$4:$U$803,$B123&amp;"|"&amp;BC$5)=0,"",SUMIF('Competency Event Log'!$U$4:$U$803,$B123&amp;"|"&amp;BC$5,'Competency Event Log'!$D$4:$D$803)))</f>
        <v/>
      </c>
      <c r="BD123" s="8" t="str">
        <f>IF($B123="","",IF(COUNTIF('Competency Event Log'!$U$4:$U$803,$B123&amp;"|"&amp;BD$5)=0,"",SUMIF('Competency Event Log'!$U$4:$U$803,$B123&amp;"|"&amp;BD$5,'Competency Event Log'!$D$4:$D$803)))</f>
        <v/>
      </c>
      <c r="BE123" s="8" t="str">
        <f>IF($B123="","",IF(COUNTIF('Competency Event Log'!$U$4:$U$803,$B123&amp;"|"&amp;BE$5)=0,"",SUMIF('Competency Event Log'!$U$4:$U$803,$B123&amp;"|"&amp;BE$5,'Competency Event Log'!$D$4:$D$803)))</f>
        <v/>
      </c>
      <c r="BF123" s="8" t="str">
        <f>IF($B123="","",IF(COUNTIF('Competency Event Log'!$U$4:$U$803,$B123&amp;"|"&amp;BF$5)=0,"",SUMIF('Competency Event Log'!$U$4:$U$803,$B123&amp;"|"&amp;BF$5,'Competency Event Log'!$D$4:$D$803)))</f>
        <v/>
      </c>
      <c r="BG123" s="8" t="str">
        <f>IF($B123="","",IF(COUNTIF('Competency Event Log'!$U$4:$U$803,$B123&amp;"|"&amp;BG$5)=0,"",SUMIF('Competency Event Log'!$U$4:$U$803,$B123&amp;"|"&amp;BG$5,'Competency Event Log'!$D$4:$D$803)))</f>
        <v/>
      </c>
      <c r="BH123" s="8" t="str">
        <f>IF($B123="","",IF(COUNTIF('Competency Event Log'!$U$4:$U$803,$B123&amp;"|"&amp;BH$5)=0,"",SUMIF('Competency Event Log'!$U$4:$U$803,$B123&amp;"|"&amp;BH$5,'Competency Event Log'!$D$4:$D$803)))</f>
        <v/>
      </c>
      <c r="BI123" s="8" t="str">
        <f>IF($B123="","",IF(COUNTIF('Competency Event Log'!$U$4:$U$803,$B123&amp;"|"&amp;BI$5)=0,"",SUMIF('Competency Event Log'!$U$4:$U$803,$B123&amp;"|"&amp;BI$5,'Competency Event Log'!$D$4:$D$803)))</f>
        <v/>
      </c>
      <c r="BJ123" s="8" t="str">
        <f>IF($B123="","",IF(COUNTIF('Competency Event Log'!$U$4:$U$803,$B123&amp;"|"&amp;BJ$5)=0,"",SUMIF('Competency Event Log'!$U$4:$U$803,$B123&amp;"|"&amp;BJ$5,'Competency Event Log'!$D$4:$D$803)))</f>
        <v/>
      </c>
      <c r="BK123" s="8" t="str">
        <f>IF($B123="","",IF(COUNTIF('Competency Event Log'!$U$4:$U$803,$B123&amp;"|"&amp;BK$5)=0,"",SUMIF('Competency Event Log'!$U$4:$U$803,$B123&amp;"|"&amp;BK$5,'Competency Event Log'!$D$4:$D$803)))</f>
        <v/>
      </c>
      <c r="BL123" s="8" t="str">
        <f>IF($B123="","",IF(COUNTIF('Competency Event Log'!$U$4:$U$803,$B123&amp;"|"&amp;BL$5)=0,"",SUMIF('Competency Event Log'!$U$4:$U$803,$B123&amp;"|"&amp;BL$5,'Competency Event Log'!$D$4:$D$803)))</f>
        <v/>
      </c>
      <c r="BM123" s="8" t="str">
        <f>IF($B123="","",IF(COUNTIF('Competency Event Log'!$U$4:$U$803,$B123&amp;"|"&amp;BM$5)=0,"",SUMIF('Competency Event Log'!$U$4:$U$803,$B123&amp;"|"&amp;BM$5,'Competency Event Log'!$D$4:$D$803)))</f>
        <v/>
      </c>
      <c r="BN123" s="8" t="str">
        <f>IF($B123="","",IF(COUNTIF('Competency Event Log'!$U$4:$U$803,$B123&amp;"|"&amp;BN$5)=0,"",SUMIF('Competency Event Log'!$U$4:$U$803,$B123&amp;"|"&amp;BN$5,'Competency Event Log'!$D$4:$D$803)))</f>
        <v/>
      </c>
      <c r="BO123" s="8" t="str">
        <f>IF($B123="","",IF(COUNTIF('Competency Event Log'!$U$4:$U$803,$B123&amp;"|"&amp;BO$5)=0,"",SUMIF('Competency Event Log'!$U$4:$U$803,$B123&amp;"|"&amp;BO$5,'Competency Event Log'!$D$4:$D$803)))</f>
        <v/>
      </c>
      <c r="BP123" s="8" t="str">
        <f>IF($B123="","",IF(COUNTIF('Competency Event Log'!$U$4:$U$803,$B123&amp;"|"&amp;BP$5)=0,"",SUMIF('Competency Event Log'!$U$4:$U$803,$B123&amp;"|"&amp;BP$5,'Competency Event Log'!$D$4:$D$803)))</f>
        <v/>
      </c>
      <c r="BQ123" s="8" t="str">
        <f>IF($B123="","",IF(COUNTIF('Competency Event Log'!$U$4:$U$803,$B123&amp;"|"&amp;BQ$5)=0,"",SUMIF('Competency Event Log'!$U$4:$U$803,$B123&amp;"|"&amp;BQ$5,'Competency Event Log'!$D$4:$D$803)))</f>
        <v/>
      </c>
      <c r="BR123" s="8" t="str">
        <f>IF($B123="","",IF(COUNTIF('Competency Event Log'!$U$4:$U$803,$B123&amp;"|"&amp;BR$5)=0,"",SUMIF('Competency Event Log'!$U$4:$U$803,$B123&amp;"|"&amp;BR$5,'Competency Event Log'!$D$4:$D$803)))</f>
        <v/>
      </c>
      <c r="BS123" s="8" t="str">
        <f>IF($B123="","",IF(COUNTIF('Competency Event Log'!$U$4:$U$803,$B123&amp;"|"&amp;BS$5)=0,"",SUMIF('Competency Event Log'!$U$4:$U$803,$B123&amp;"|"&amp;BS$5,'Competency Event Log'!$D$4:$D$803)))</f>
        <v/>
      </c>
      <c r="BT123" s="8" t="str">
        <f>IF($B123="","",IF(COUNTIF('Competency Event Log'!$U$4:$U$803,$B123&amp;"|"&amp;BT$5)=0,"",SUMIF('Competency Event Log'!$U$4:$U$803,$B123&amp;"|"&amp;BT$5,'Competency Event Log'!$D$4:$D$803)))</f>
        <v/>
      </c>
      <c r="BU123" s="8" t="str">
        <f>IF($B123="","",IF(COUNTIF('Competency Event Log'!$U$4:$U$803,$B123&amp;"|"&amp;BU$5)=0,"",SUMIF('Competency Event Log'!$U$4:$U$803,$B123&amp;"|"&amp;BU$5,'Competency Event Log'!$D$4:$D$803)))</f>
        <v/>
      </c>
      <c r="BV123" s="8" t="str">
        <f>IF($B123="","",IF(COUNTIF('Competency Event Log'!$U$4:$U$803,$B123&amp;"|"&amp;BV$5)=0,"",SUMIF('Competency Event Log'!$U$4:$U$803,$B123&amp;"|"&amp;BV$5,'Competency Event Log'!$D$4:$D$803)))</f>
        <v/>
      </c>
      <c r="BW123" s="8" t="str">
        <f>IF($B123="","",IF(COUNTIF('Competency Event Log'!$U$4:$U$803,$B123&amp;"|"&amp;BW$5)=0,"",SUMIF('Competency Event Log'!$U$4:$U$803,$B123&amp;"|"&amp;BW$5,'Competency Event Log'!$D$4:$D$803)))</f>
        <v/>
      </c>
      <c r="BX123" s="8" t="str">
        <f>IF($B123="","",IF(COUNTIF('Competency Event Log'!$U$4:$U$803,$B123&amp;"|"&amp;BX$5)=0,"",SUMIF('Competency Event Log'!$U$4:$U$803,$B123&amp;"|"&amp;BX$5,'Competency Event Log'!$D$4:$D$803)))</f>
        <v/>
      </c>
      <c r="BY123" s="8" t="str">
        <f>IF($B123="","",IF(COUNTIF('Competency Event Log'!$U$4:$U$803,$B123&amp;"|"&amp;BY$5)=0,"",SUMIF('Competency Event Log'!$U$4:$U$803,$B123&amp;"|"&amp;BY$5,'Competency Event Log'!$D$4:$D$803)))</f>
        <v/>
      </c>
      <c r="BZ123" s="8" t="str">
        <f>IF($B123="","",IF(COUNTIF('Competency Event Log'!$U$4:$U$803,$B123&amp;"|"&amp;BZ$5)=0,"",SUMIF('Competency Event Log'!$U$4:$U$803,$B123&amp;"|"&amp;BZ$5,'Competency Event Log'!$D$4:$D$803)))</f>
        <v/>
      </c>
      <c r="CA123" s="8" t="str">
        <f>IF($B123="","",IF(COUNTIF('Competency Event Log'!$U$4:$U$803,$B123&amp;"|"&amp;CA$5)=0,"",SUMIF('Competency Event Log'!$U$4:$U$803,$B123&amp;"|"&amp;CA$5,'Competency Event Log'!$D$4:$D$803)))</f>
        <v/>
      </c>
      <c r="CB123" s="8" t="str">
        <f>IF($B123="","",IF(COUNTIF('Competency Event Log'!$U$4:$U$803,$B123&amp;"|"&amp;CB$5)=0,"",SUMIF('Competency Event Log'!$U$4:$U$803,$B123&amp;"|"&amp;CB$5,'Competency Event Log'!$D$4:$D$803)))</f>
        <v/>
      </c>
      <c r="CC123" s="8" t="str">
        <f>IF($B123="","",IF(COUNTIF('Competency Event Log'!$U$4:$U$803,$B123&amp;"|"&amp;CC$5)=0,"",SUMIF('Competency Event Log'!$U$4:$U$803,$B123&amp;"|"&amp;CC$5,'Competency Event Log'!$D$4:$D$803)))</f>
        <v/>
      </c>
      <c r="CD123" s="8" t="str">
        <f>IF($B123="","",IF(COUNTIF('Competency Event Log'!$U$4:$U$803,$B123&amp;"|"&amp;CD$5)=0,"",SUMIF('Competency Event Log'!$U$4:$U$803,$B123&amp;"|"&amp;CD$5,'Competency Event Log'!$D$4:$D$803)))</f>
        <v/>
      </c>
      <c r="CE123" s="8" t="str">
        <f>IF($B123="","",IF(COUNTIF('Competency Event Log'!$U$4:$U$803,$B123&amp;"|"&amp;CE$5)=0,"",SUMIF('Competency Event Log'!$U$4:$U$803,$B123&amp;"|"&amp;CE$5,'Competency Event Log'!$D$4:$D$803)))</f>
        <v/>
      </c>
      <c r="CF123" s="8" t="str">
        <f>IF($B123="","",IF(COUNTIF('Competency Event Log'!$U$4:$U$803,$B123&amp;"|"&amp;CF$5)=0,"",SUMIF('Competency Event Log'!$U$4:$U$803,$B123&amp;"|"&amp;CF$5,'Competency Event Log'!$D$4:$D$803)))</f>
        <v/>
      </c>
      <c r="CG123" s="8" t="str">
        <f>IF($B123="","",IF(COUNTIF('Competency Event Log'!$U$4:$U$803,$B123&amp;"|"&amp;CG$5)=0,"",SUMIF('Competency Event Log'!$U$4:$U$803,$B123&amp;"|"&amp;CG$5,'Competency Event Log'!$D$4:$D$803)))</f>
        <v/>
      </c>
      <c r="CH123" s="8" t="str">
        <f>IF($B123="","",IF(COUNTIF('Competency Event Log'!$U$4:$U$803,$B123&amp;"|"&amp;CH$5)=0,"",SUMIF('Competency Event Log'!$U$4:$U$803,$B123&amp;"|"&amp;CH$5,'Competency Event Log'!$D$4:$D$803)))</f>
        <v/>
      </c>
      <c r="CI123" s="8" t="str">
        <f>IF($B123="","",IF(COUNTIF('Competency Event Log'!$U$4:$U$803,$B123&amp;"|"&amp;CI$5)=0,"",SUMIF('Competency Event Log'!$U$4:$U$803,$B123&amp;"|"&amp;CI$5,'Competency Event Log'!$D$4:$D$803)))</f>
        <v/>
      </c>
      <c r="CJ123" s="8" t="str">
        <f>IF($B123="","",IF(COUNTIF('Competency Event Log'!$U$4:$U$803,$B123&amp;"|"&amp;CJ$5)=0,"",SUMIF('Competency Event Log'!$U$4:$U$803,$B123&amp;"|"&amp;CJ$5,'Competency Event Log'!$D$4:$D$803)))</f>
        <v/>
      </c>
      <c r="CK123" s="8" t="str">
        <f>IF($B123="","",IF(COUNTIF('Competency Event Log'!$U$4:$U$803,$B123&amp;"|"&amp;CK$5)=0,"",SUMIF('Competency Event Log'!$U$4:$U$803,$B123&amp;"|"&amp;CK$5,'Competency Event Log'!$D$4:$D$803)))</f>
        <v/>
      </c>
      <c r="CL123" s="8" t="str">
        <f>IF($B123="","",IF(COUNTIF('Competency Event Log'!$U$4:$U$803,$B123&amp;"|"&amp;CL$5)=0,"",SUMIF('Competency Event Log'!$U$4:$U$803,$B123&amp;"|"&amp;CL$5,'Competency Event Log'!$D$4:$D$803)))</f>
        <v/>
      </c>
      <c r="CM123" s="8" t="str">
        <f>IF($B123="","",IF(COUNTIF('Competency Event Log'!$U$4:$U$803,$B123&amp;"|"&amp;CM$5)=0,"",SUMIF('Competency Event Log'!$U$4:$U$803,$B123&amp;"|"&amp;CM$5,'Competency Event Log'!$D$4:$D$803)))</f>
        <v/>
      </c>
      <c r="CN123" s="8" t="str">
        <f>IF($B123="","",IF(COUNTIF('Competency Event Log'!$U$4:$U$803,$B123&amp;"|"&amp;CN$5)=0,"",SUMIF('Competency Event Log'!$U$4:$U$803,$B123&amp;"|"&amp;CN$5,'Competency Event Log'!$D$4:$D$803)))</f>
        <v/>
      </c>
      <c r="CO123" s="8" t="str">
        <f>IF($B123="","",IF(COUNTIF('Competency Event Log'!$U$4:$U$803,$B123&amp;"|"&amp;CO$5)=0,"",SUMIF('Competency Event Log'!$U$4:$U$803,$B123&amp;"|"&amp;CO$5,'Competency Event Log'!$D$4:$D$803)))</f>
        <v/>
      </c>
      <c r="CP123" s="8" t="str">
        <f>IF($B123="","",IF(COUNTIF('Competency Event Log'!$U$4:$U$803,$B123&amp;"|"&amp;CP$5)=0,"",SUMIF('Competency Event Log'!$U$4:$U$803,$B123&amp;"|"&amp;CP$5,'Competency Event Log'!$D$4:$D$803)))</f>
        <v/>
      </c>
      <c r="CQ123" s="8" t="str">
        <f>IF($B123="","",IF(COUNTIF('Competency Event Log'!$U$4:$U$803,$B123&amp;"|"&amp;CQ$5)=0,"",SUMIF('Competency Event Log'!$U$4:$U$803,$B123&amp;"|"&amp;CQ$5,'Competency Event Log'!$D$4:$D$803)))</f>
        <v/>
      </c>
      <c r="CR123" s="8" t="str">
        <f>IF($B123="","",IF(COUNTIF('Competency Event Log'!$U$4:$U$803,$B123&amp;"|"&amp;CR$5)=0,"",SUMIF('Competency Event Log'!$U$4:$U$803,$B123&amp;"|"&amp;CR$5,'Competency Event Log'!$D$4:$D$803)))</f>
        <v/>
      </c>
      <c r="CS123" s="8" t="str">
        <f>IF($B123="","",IF(COUNTIF('Competency Event Log'!$U$4:$U$803,$B123&amp;"|"&amp;CS$5)=0,"",SUMIF('Competency Event Log'!$U$4:$U$803,$B123&amp;"|"&amp;CS$5,'Competency Event Log'!$D$4:$D$803)))</f>
        <v/>
      </c>
      <c r="CT123" s="8" t="str">
        <f>IF($B123="","",IF(COUNTIF('Competency Event Log'!$U$4:$U$803,$B123&amp;"|"&amp;CT$5)=0,"",SUMIF('Competency Event Log'!$U$4:$U$803,$B123&amp;"|"&amp;CT$5,'Competency Event Log'!$D$4:$D$803)))</f>
        <v/>
      </c>
      <c r="CU123" s="8" t="str">
        <f>IF($B123="","",IF(COUNTIF('Competency Event Log'!$U$4:$U$803,$B123&amp;"|"&amp;CU$5)=0,"",SUMIF('Competency Event Log'!$U$4:$U$803,$B123&amp;"|"&amp;CU$5,'Competency Event Log'!$D$4:$D$803)))</f>
        <v/>
      </c>
      <c r="CV123" s="8" t="str">
        <f>IF($B123="","",IF(COUNTIF('Competency Event Log'!$U$4:$U$803,$B123&amp;"|"&amp;CV$5)=0,"",SUMIF('Competency Event Log'!$U$4:$U$803,$B123&amp;"|"&amp;CV$5,'Competency Event Log'!$D$4:$D$803)))</f>
        <v/>
      </c>
      <c r="CW123" s="8" t="str">
        <f>IF($B123="","",IF(COUNTIF('Competency Event Log'!$U$4:$U$803,$B123&amp;"|"&amp;CW$5)=0,"",SUMIF('Competency Event Log'!$U$4:$U$803,$B123&amp;"|"&amp;CW$5,'Competency Event Log'!$D$4:$D$803)))</f>
        <v/>
      </c>
      <c r="CX123" s="8" t="str">
        <f>IF($B123="","",IF(COUNTIF('Competency Event Log'!$U$4:$U$803,$B123&amp;"|"&amp;CX$5)=0,"",SUMIF('Competency Event Log'!$U$4:$U$803,$B123&amp;"|"&amp;CX$5,'Competency Event Log'!$D$4:$D$803)))</f>
        <v/>
      </c>
      <c r="CY123" s="8" t="str">
        <f>IF($B123="","",IF(COUNTIF('Competency Event Log'!$U$4:$U$803,$B123&amp;"|"&amp;CY$5)=0,"",SUMIF('Competency Event Log'!$U$4:$U$803,$B123&amp;"|"&amp;CY$5,'Competency Event Log'!$D$4:$D$803)))</f>
        <v/>
      </c>
      <c r="CZ123" s="8" t="str">
        <f>IF($B123="","",IF(COUNTIF('Competency Event Log'!$U$4:$U$803,$B123&amp;"|"&amp;CZ$5)=0,"",SUMIF('Competency Event Log'!$U$4:$U$803,$B123&amp;"|"&amp;CZ$5,'Competency Event Log'!$D$4:$D$803)))</f>
        <v/>
      </c>
      <c r="DA123" s="8" t="str">
        <f>IF($B123="","",IF(COUNTIF('Competency Event Log'!$U$4:$U$803,$B123&amp;"|"&amp;DA$5)=0,"",SUMIF('Competency Event Log'!$U$4:$U$803,$B123&amp;"|"&amp;DA$5,'Competency Event Log'!$D$4:$D$803)))</f>
        <v/>
      </c>
      <c r="DB123" s="8" t="str">
        <f>IF($B123="","",IF(COUNTIF('Competency Event Log'!$U$4:$U$803,$B123&amp;"|"&amp;DB$5)=0,"",SUMIF('Competency Event Log'!$U$4:$U$803,$B123&amp;"|"&amp;DB$5,'Competency Event Log'!$D$4:$D$803)))</f>
        <v/>
      </c>
      <c r="DC123" s="8" t="str">
        <f>IF($B123="","",IF(COUNTIF('Competency Event Log'!$U$4:$U$803,$B123&amp;"|"&amp;DC$5)=0,"",SUMIF('Competency Event Log'!$U$4:$U$803,$B123&amp;"|"&amp;DC$5,'Competency Event Log'!$D$4:$D$803)))</f>
        <v/>
      </c>
      <c r="DD123" s="8" t="str">
        <f>IF($B123="","",IF(COUNTIF('Competency Event Log'!$U$4:$U$803,$B123&amp;"|"&amp;DD$5)=0,"",SUMIF('Competency Event Log'!$U$4:$U$803,$B123&amp;"|"&amp;DD$5,'Competency Event Log'!$D$4:$D$803)))</f>
        <v/>
      </c>
      <c r="DE123" s="8" t="str">
        <f>IF($B123="","",IF(COUNTIF('Competency Event Log'!$U$4:$U$803,$B123&amp;"|"&amp;DE$5)=0,"",SUMIF('Competency Event Log'!$U$4:$U$803,$B123&amp;"|"&amp;DE$5,'Competency Event Log'!$D$4:$D$803)))</f>
        <v/>
      </c>
      <c r="DF123" s="8" t="str">
        <f t="shared" si="12"/>
        <v/>
      </c>
      <c r="DG123" s="8" t="str">
        <f t="shared" si="13"/>
        <v/>
      </c>
      <c r="DH123" s="8" t="str">
        <f t="shared" si="14"/>
        <v/>
      </c>
      <c r="DI123" s="11" t="str">
        <f t="shared" si="15"/>
        <v/>
      </c>
    </row>
    <row r="124" spans="1:113">
      <c r="A124" s="7"/>
      <c r="B124" s="7"/>
      <c r="C124" s="8"/>
      <c r="D124" s="9"/>
      <c r="E124" s="10"/>
      <c r="F124" s="8"/>
      <c r="G124" s="8" t="str">
        <f>IF($B124="","",IF(COUNTIF('Competency Event Log'!$U$4:$U$803,$B124&amp;"|"&amp;G$5)=0,"",SUMIF('Competency Event Log'!$U$4:$U$803,$B124&amp;"|"&amp;G$5,'Competency Event Log'!$D$4:$D$803)))</f>
        <v/>
      </c>
      <c r="H124" s="8" t="str">
        <f>IF($B124="","",IF(COUNTIF('Competency Event Log'!$U$4:$U$803,$B124&amp;"|"&amp;H$5)=0,"",SUMIF('Competency Event Log'!$U$4:$U$803,$B124&amp;"|"&amp;H$5,'Competency Event Log'!$D$4:$D$803)))</f>
        <v/>
      </c>
      <c r="I124" s="8" t="str">
        <f>IF($B124="","",IF(COUNTIF('Competency Event Log'!$U$4:$U$803,$B124&amp;"|"&amp;I$5)=0,"",SUMIF('Competency Event Log'!$U$4:$U$803,$B124&amp;"|"&amp;I$5,'Competency Event Log'!$D$4:$D$803)))</f>
        <v/>
      </c>
      <c r="J124" s="8" t="str">
        <f>IF($B124="","",IF(COUNTIF('Competency Event Log'!$U$4:$U$803,$B124&amp;"|"&amp;J$5)=0,"",SUMIF('Competency Event Log'!$U$4:$U$803,$B124&amp;"|"&amp;J$5,'Competency Event Log'!$D$4:$D$803)))</f>
        <v/>
      </c>
      <c r="K124" s="8" t="str">
        <f>IF($B124="","",IF(COUNTIF('Competency Event Log'!$U$4:$U$803,$B124&amp;"|"&amp;K$5)=0,"",SUMIF('Competency Event Log'!$U$4:$U$803,$B124&amp;"|"&amp;K$5,'Competency Event Log'!$D$4:$D$803)))</f>
        <v/>
      </c>
      <c r="L124" s="8" t="str">
        <f>IF($B124="","",IF(COUNTIF('Competency Event Log'!$U$4:$U$803,$B124&amp;"|"&amp;L$5)=0,"",SUMIF('Competency Event Log'!$U$4:$U$803,$B124&amp;"|"&amp;L$5,'Competency Event Log'!$D$4:$D$803)))</f>
        <v/>
      </c>
      <c r="M124" s="8" t="str">
        <f>IF($B124="","",IF(COUNTIF('Competency Event Log'!$U$4:$U$803,$B124&amp;"|"&amp;M$5)=0,"",SUMIF('Competency Event Log'!$U$4:$U$803,$B124&amp;"|"&amp;M$5,'Competency Event Log'!$D$4:$D$803)))</f>
        <v/>
      </c>
      <c r="N124" s="8" t="str">
        <f>IF($B124="","",IF(COUNTIF('Competency Event Log'!$U$4:$U$803,$B124&amp;"|"&amp;N$5)=0,"",SUMIF('Competency Event Log'!$U$4:$U$803,$B124&amp;"|"&amp;N$5,'Competency Event Log'!$D$4:$D$803)))</f>
        <v/>
      </c>
      <c r="O124" s="8" t="str">
        <f>IF($B124="","",IF(COUNTIF('Competency Event Log'!$U$4:$U$803,$B124&amp;"|"&amp;O$5)=0,"",SUMIF('Competency Event Log'!$U$4:$U$803,$B124&amp;"|"&amp;O$5,'Competency Event Log'!$D$4:$D$803)))</f>
        <v/>
      </c>
      <c r="P124" s="8" t="str">
        <f>IF($B124="","",IF(COUNTIF('Competency Event Log'!$U$4:$U$803,$B124&amp;"|"&amp;P$5)=0,"",SUMIF('Competency Event Log'!$U$4:$U$803,$B124&amp;"|"&amp;P$5,'Competency Event Log'!$D$4:$D$803)))</f>
        <v/>
      </c>
      <c r="Q124" s="8" t="str">
        <f>IF($B124="","",IF(COUNTIF('Competency Event Log'!$U$4:$U$803,$B124&amp;"|"&amp;Q$5)=0,"",SUMIF('Competency Event Log'!$U$4:$U$803,$B124&amp;"|"&amp;Q$5,'Competency Event Log'!$D$4:$D$803)))</f>
        <v/>
      </c>
      <c r="R124" s="8" t="str">
        <f>IF($B124="","",IF(COUNTIF('Competency Event Log'!$U$4:$U$803,$B124&amp;"|"&amp;R$5)=0,"",SUMIF('Competency Event Log'!$U$4:$U$803,$B124&amp;"|"&amp;R$5,'Competency Event Log'!$D$4:$D$803)))</f>
        <v/>
      </c>
      <c r="S124" s="8" t="str">
        <f>IF($B124="","",IF(COUNTIF('Competency Event Log'!$U$4:$U$803,$B124&amp;"|"&amp;S$5)=0,"",SUMIF('Competency Event Log'!$U$4:$U$803,$B124&amp;"|"&amp;S$5,'Competency Event Log'!$D$4:$D$803)))</f>
        <v/>
      </c>
      <c r="T124" s="8" t="str">
        <f>IF($B124="","",IF(COUNTIF('Competency Event Log'!$U$4:$U$803,$B124&amp;"|"&amp;T$5)=0,"",SUMIF('Competency Event Log'!$U$4:$U$803,$B124&amp;"|"&amp;T$5,'Competency Event Log'!$D$4:$D$803)))</f>
        <v/>
      </c>
      <c r="U124" s="8" t="str">
        <f>IF($B124="","",IF(COUNTIF('Competency Event Log'!$U$4:$U$803,$B124&amp;"|"&amp;U$5)=0,"",SUMIF('Competency Event Log'!$U$4:$U$803,$B124&amp;"|"&amp;U$5,'Competency Event Log'!$D$4:$D$803)))</f>
        <v/>
      </c>
      <c r="V124" s="8" t="str">
        <f>IF($B124="","",IF(COUNTIF('Competency Event Log'!$U$4:$U$803,$B124&amp;"|"&amp;V$5)=0,"",SUMIF('Competency Event Log'!$U$4:$U$803,$B124&amp;"|"&amp;V$5,'Competency Event Log'!$D$4:$D$803)))</f>
        <v/>
      </c>
      <c r="W124" s="8" t="str">
        <f>IF($B124="","",IF(COUNTIF('Competency Event Log'!$U$4:$U$803,$B124&amp;"|"&amp;W$5)=0,"",SUMIF('Competency Event Log'!$U$4:$U$803,$B124&amp;"|"&amp;W$5,'Competency Event Log'!$D$4:$D$803)))</f>
        <v/>
      </c>
      <c r="X124" s="8" t="str">
        <f>IF($B124="","",IF(COUNTIF('Competency Event Log'!$U$4:$U$803,$B124&amp;"|"&amp;X$5)=0,"",SUMIF('Competency Event Log'!$U$4:$U$803,$B124&amp;"|"&amp;X$5,'Competency Event Log'!$D$4:$D$803)))</f>
        <v/>
      </c>
      <c r="Y124" s="8" t="str">
        <f>IF($B124="","",IF(COUNTIF('Competency Event Log'!$U$4:$U$803,$B124&amp;"|"&amp;Y$5)=0,"",SUMIF('Competency Event Log'!$U$4:$U$803,$B124&amp;"|"&amp;Y$5,'Competency Event Log'!$D$4:$D$803)))</f>
        <v/>
      </c>
      <c r="Z124" s="8" t="str">
        <f>IF($B124="","",IF(COUNTIF('Competency Event Log'!$U$4:$U$803,$B124&amp;"|"&amp;Z$5)=0,"",SUMIF('Competency Event Log'!$U$4:$U$803,$B124&amp;"|"&amp;Z$5,'Competency Event Log'!$D$4:$D$803)))</f>
        <v/>
      </c>
      <c r="AA124" s="8" t="str">
        <f>IF($B124="","",IF(COUNTIF('Competency Event Log'!$U$4:$U$803,$B124&amp;"|"&amp;AA$5)=0,"",SUMIF('Competency Event Log'!$U$4:$U$803,$B124&amp;"|"&amp;AA$5,'Competency Event Log'!$D$4:$D$803)))</f>
        <v/>
      </c>
      <c r="AB124" s="8" t="str">
        <f>IF($B124="","",IF(COUNTIF('Competency Event Log'!$U$4:$U$803,$B124&amp;"|"&amp;AB$5)=0,"",SUMIF('Competency Event Log'!$U$4:$U$803,$B124&amp;"|"&amp;AB$5,'Competency Event Log'!$D$4:$D$803)))</f>
        <v/>
      </c>
      <c r="AC124" s="8" t="str">
        <f>IF($B124="","",IF(COUNTIF('Competency Event Log'!$U$4:$U$803,$B124&amp;"|"&amp;AC$5)=0,"",SUMIF('Competency Event Log'!$U$4:$U$803,$B124&amp;"|"&amp;AC$5,'Competency Event Log'!$D$4:$D$803)))</f>
        <v/>
      </c>
      <c r="AD124" s="8" t="str">
        <f>IF($B124="","",IF(COUNTIF('Competency Event Log'!$U$4:$U$803,$B124&amp;"|"&amp;AD$5)=0,"",SUMIF('Competency Event Log'!$U$4:$U$803,$B124&amp;"|"&amp;AD$5,'Competency Event Log'!$D$4:$D$803)))</f>
        <v/>
      </c>
      <c r="AE124" s="8" t="str">
        <f>IF($B124="","",IF(COUNTIF('Competency Event Log'!$U$4:$U$803,$B124&amp;"|"&amp;AE$5)=0,"",SUMIF('Competency Event Log'!$U$4:$U$803,$B124&amp;"|"&amp;AE$5,'Competency Event Log'!$D$4:$D$803)))</f>
        <v/>
      </c>
      <c r="AF124" s="8" t="str">
        <f>IF($B124="","",IF(COUNTIF('Competency Event Log'!$U$4:$U$803,$B124&amp;"|"&amp;AF$5)=0,"",SUMIF('Competency Event Log'!$U$4:$U$803,$B124&amp;"|"&amp;AF$5,'Competency Event Log'!$D$4:$D$803)))</f>
        <v/>
      </c>
      <c r="AG124" s="8" t="str">
        <f>IF($B124="","",IF(COUNTIF('Competency Event Log'!$U$4:$U$803,$B124&amp;"|"&amp;AG$5)=0,"",SUMIF('Competency Event Log'!$U$4:$U$803,$B124&amp;"|"&amp;AG$5,'Competency Event Log'!$D$4:$D$803)))</f>
        <v/>
      </c>
      <c r="AH124" s="8" t="str">
        <f>IF($B124="","",IF(COUNTIF('Competency Event Log'!$U$4:$U$803,$B124&amp;"|"&amp;AH$5)=0,"",SUMIF('Competency Event Log'!$U$4:$U$803,$B124&amp;"|"&amp;AH$5,'Competency Event Log'!$D$4:$D$803)))</f>
        <v/>
      </c>
      <c r="AI124" s="8" t="str">
        <f>IF($B124="","",IF(COUNTIF('Competency Event Log'!$U$4:$U$803,$B124&amp;"|"&amp;AI$5)=0,"",SUMIF('Competency Event Log'!$U$4:$U$803,$B124&amp;"|"&amp;AI$5,'Competency Event Log'!$D$4:$D$803)))</f>
        <v/>
      </c>
      <c r="AJ124" s="8" t="str">
        <f>IF($B124="","",IF(COUNTIF('Competency Event Log'!$U$4:$U$803,$B124&amp;"|"&amp;AJ$5)=0,"",SUMIF('Competency Event Log'!$U$4:$U$803,$B124&amp;"|"&amp;AJ$5,'Competency Event Log'!$D$4:$D$803)))</f>
        <v/>
      </c>
      <c r="AK124" s="8" t="str">
        <f>IF($B124="","",IF(COUNTIF('Competency Event Log'!$U$4:$U$803,$B124&amp;"|"&amp;AK$5)=0,"",SUMIF('Competency Event Log'!$U$4:$U$803,$B124&amp;"|"&amp;AK$5,'Competency Event Log'!$D$4:$D$803)))</f>
        <v/>
      </c>
      <c r="AL124" s="8" t="str">
        <f>IF($B124="","",IF(COUNTIF('Competency Event Log'!$U$4:$U$803,$B124&amp;"|"&amp;AL$5)=0,"",SUMIF('Competency Event Log'!$U$4:$U$803,$B124&amp;"|"&amp;AL$5,'Competency Event Log'!$D$4:$D$803)))</f>
        <v/>
      </c>
      <c r="AM124" s="8" t="str">
        <f>IF($B124="","",IF(COUNTIF('Competency Event Log'!$U$4:$U$803,$B124&amp;"|"&amp;AM$5)=0,"",SUMIF('Competency Event Log'!$U$4:$U$803,$B124&amp;"|"&amp;AM$5,'Competency Event Log'!$D$4:$D$803)))</f>
        <v/>
      </c>
      <c r="AN124" s="8" t="str">
        <f>IF($B124="","",IF(COUNTIF('Competency Event Log'!$U$4:$U$803,$B124&amp;"|"&amp;AN$5)=0,"",SUMIF('Competency Event Log'!$U$4:$U$803,$B124&amp;"|"&amp;AN$5,'Competency Event Log'!$D$4:$D$803)))</f>
        <v/>
      </c>
      <c r="AO124" s="8" t="str">
        <f>IF($B124="","",IF(COUNTIF('Competency Event Log'!$U$4:$U$803,$B124&amp;"|"&amp;AO$5)=0,"",SUMIF('Competency Event Log'!$U$4:$U$803,$B124&amp;"|"&amp;AO$5,'Competency Event Log'!$D$4:$D$803)))</f>
        <v/>
      </c>
      <c r="AP124" s="8" t="str">
        <f>IF($B124="","",IF(COUNTIF('Competency Event Log'!$U$4:$U$803,$B124&amp;"|"&amp;AP$5)=0,"",SUMIF('Competency Event Log'!$U$4:$U$803,$B124&amp;"|"&amp;AP$5,'Competency Event Log'!$D$4:$D$803)))</f>
        <v/>
      </c>
      <c r="AQ124" s="8" t="str">
        <f>IF($B124="","",IF(COUNTIF('Competency Event Log'!$U$4:$U$803,$B124&amp;"|"&amp;AQ$5)=0,"",SUMIF('Competency Event Log'!$U$4:$U$803,$B124&amp;"|"&amp;AQ$5,'Competency Event Log'!$D$4:$D$803)))</f>
        <v/>
      </c>
      <c r="AR124" s="8" t="str">
        <f>IF($B124="","",IF(COUNTIF('Competency Event Log'!$U$4:$U$803,$B124&amp;"|"&amp;AR$5)=0,"",SUMIF('Competency Event Log'!$U$4:$U$803,$B124&amp;"|"&amp;AR$5,'Competency Event Log'!$D$4:$D$803)))</f>
        <v/>
      </c>
      <c r="AS124" s="8" t="str">
        <f>IF($B124="","",IF(COUNTIF('Competency Event Log'!$U$4:$U$803,$B124&amp;"|"&amp;AS$5)=0,"",SUMIF('Competency Event Log'!$U$4:$U$803,$B124&amp;"|"&amp;AS$5,'Competency Event Log'!$D$4:$D$803)))</f>
        <v/>
      </c>
      <c r="AT124" s="8" t="str">
        <f>IF($B124="","",IF(COUNTIF('Competency Event Log'!$U$4:$U$803,$B124&amp;"|"&amp;AT$5)=0,"",SUMIF('Competency Event Log'!$U$4:$U$803,$B124&amp;"|"&amp;AT$5,'Competency Event Log'!$D$4:$D$803)))</f>
        <v/>
      </c>
      <c r="AU124" s="8" t="str">
        <f>IF($B124="","",IF(COUNTIF('Competency Event Log'!$U$4:$U$803,$B124&amp;"|"&amp;AU$5)=0,"",SUMIF('Competency Event Log'!$U$4:$U$803,$B124&amp;"|"&amp;AU$5,'Competency Event Log'!$D$4:$D$803)))</f>
        <v/>
      </c>
      <c r="AV124" s="8" t="str">
        <f>IF($B124="","",IF(COUNTIF('Competency Event Log'!$U$4:$U$803,$B124&amp;"|"&amp;AV$5)=0,"",SUMIF('Competency Event Log'!$U$4:$U$803,$B124&amp;"|"&amp;AV$5,'Competency Event Log'!$D$4:$D$803)))</f>
        <v/>
      </c>
      <c r="AW124" s="8" t="str">
        <f>IF($B124="","",IF(COUNTIF('Competency Event Log'!$U$4:$U$803,$B124&amp;"|"&amp;AW$5)=0,"",SUMIF('Competency Event Log'!$U$4:$U$803,$B124&amp;"|"&amp;AW$5,'Competency Event Log'!$D$4:$D$803)))</f>
        <v/>
      </c>
      <c r="AX124" s="8" t="str">
        <f>IF($B124="","",IF(COUNTIF('Competency Event Log'!$U$4:$U$803,$B124&amp;"|"&amp;AX$5)=0,"",SUMIF('Competency Event Log'!$U$4:$U$803,$B124&amp;"|"&amp;AX$5,'Competency Event Log'!$D$4:$D$803)))</f>
        <v/>
      </c>
      <c r="AY124" s="8" t="str">
        <f>IF($B124="","",IF(COUNTIF('Competency Event Log'!$U$4:$U$803,$B124&amp;"|"&amp;AY$5)=0,"",SUMIF('Competency Event Log'!$U$4:$U$803,$B124&amp;"|"&amp;AY$5,'Competency Event Log'!$D$4:$D$803)))</f>
        <v/>
      </c>
      <c r="AZ124" s="8" t="str">
        <f>IF($B124="","",IF(COUNTIF('Competency Event Log'!$U$4:$U$803,$B124&amp;"|"&amp;AZ$5)=0,"",SUMIF('Competency Event Log'!$U$4:$U$803,$B124&amp;"|"&amp;AZ$5,'Competency Event Log'!$D$4:$D$803)))</f>
        <v/>
      </c>
      <c r="BA124" s="8" t="str">
        <f>IF($B124="","",IF(COUNTIF('Competency Event Log'!$U$4:$U$803,$B124&amp;"|"&amp;BA$5)=0,"",SUMIF('Competency Event Log'!$U$4:$U$803,$B124&amp;"|"&amp;BA$5,'Competency Event Log'!$D$4:$D$803)))</f>
        <v/>
      </c>
      <c r="BB124" s="8" t="str">
        <f>IF($B124="","",IF(COUNTIF('Competency Event Log'!$U$4:$U$803,$B124&amp;"|"&amp;BB$5)=0,"",SUMIF('Competency Event Log'!$U$4:$U$803,$B124&amp;"|"&amp;BB$5,'Competency Event Log'!$D$4:$D$803)))</f>
        <v/>
      </c>
      <c r="BC124" s="8" t="str">
        <f>IF($B124="","",IF(COUNTIF('Competency Event Log'!$U$4:$U$803,$B124&amp;"|"&amp;BC$5)=0,"",SUMIF('Competency Event Log'!$U$4:$U$803,$B124&amp;"|"&amp;BC$5,'Competency Event Log'!$D$4:$D$803)))</f>
        <v/>
      </c>
      <c r="BD124" s="8" t="str">
        <f>IF($B124="","",IF(COUNTIF('Competency Event Log'!$U$4:$U$803,$B124&amp;"|"&amp;BD$5)=0,"",SUMIF('Competency Event Log'!$U$4:$U$803,$B124&amp;"|"&amp;BD$5,'Competency Event Log'!$D$4:$D$803)))</f>
        <v/>
      </c>
      <c r="BE124" s="8" t="str">
        <f>IF($B124="","",IF(COUNTIF('Competency Event Log'!$U$4:$U$803,$B124&amp;"|"&amp;BE$5)=0,"",SUMIF('Competency Event Log'!$U$4:$U$803,$B124&amp;"|"&amp;BE$5,'Competency Event Log'!$D$4:$D$803)))</f>
        <v/>
      </c>
      <c r="BF124" s="8" t="str">
        <f>IF($B124="","",IF(COUNTIF('Competency Event Log'!$U$4:$U$803,$B124&amp;"|"&amp;BF$5)=0,"",SUMIF('Competency Event Log'!$U$4:$U$803,$B124&amp;"|"&amp;BF$5,'Competency Event Log'!$D$4:$D$803)))</f>
        <v/>
      </c>
      <c r="BG124" s="8" t="str">
        <f>IF($B124="","",IF(COUNTIF('Competency Event Log'!$U$4:$U$803,$B124&amp;"|"&amp;BG$5)=0,"",SUMIF('Competency Event Log'!$U$4:$U$803,$B124&amp;"|"&amp;BG$5,'Competency Event Log'!$D$4:$D$803)))</f>
        <v/>
      </c>
      <c r="BH124" s="8" t="str">
        <f>IF($B124="","",IF(COUNTIF('Competency Event Log'!$U$4:$U$803,$B124&amp;"|"&amp;BH$5)=0,"",SUMIF('Competency Event Log'!$U$4:$U$803,$B124&amp;"|"&amp;BH$5,'Competency Event Log'!$D$4:$D$803)))</f>
        <v/>
      </c>
      <c r="BI124" s="8" t="str">
        <f>IF($B124="","",IF(COUNTIF('Competency Event Log'!$U$4:$U$803,$B124&amp;"|"&amp;BI$5)=0,"",SUMIF('Competency Event Log'!$U$4:$U$803,$B124&amp;"|"&amp;BI$5,'Competency Event Log'!$D$4:$D$803)))</f>
        <v/>
      </c>
      <c r="BJ124" s="8" t="str">
        <f>IF($B124="","",IF(COUNTIF('Competency Event Log'!$U$4:$U$803,$B124&amp;"|"&amp;BJ$5)=0,"",SUMIF('Competency Event Log'!$U$4:$U$803,$B124&amp;"|"&amp;BJ$5,'Competency Event Log'!$D$4:$D$803)))</f>
        <v/>
      </c>
      <c r="BK124" s="8" t="str">
        <f>IF($B124="","",IF(COUNTIF('Competency Event Log'!$U$4:$U$803,$B124&amp;"|"&amp;BK$5)=0,"",SUMIF('Competency Event Log'!$U$4:$U$803,$B124&amp;"|"&amp;BK$5,'Competency Event Log'!$D$4:$D$803)))</f>
        <v/>
      </c>
      <c r="BL124" s="8" t="str">
        <f>IF($B124="","",IF(COUNTIF('Competency Event Log'!$U$4:$U$803,$B124&amp;"|"&amp;BL$5)=0,"",SUMIF('Competency Event Log'!$U$4:$U$803,$B124&amp;"|"&amp;BL$5,'Competency Event Log'!$D$4:$D$803)))</f>
        <v/>
      </c>
      <c r="BM124" s="8" t="str">
        <f>IF($B124="","",IF(COUNTIF('Competency Event Log'!$U$4:$U$803,$B124&amp;"|"&amp;BM$5)=0,"",SUMIF('Competency Event Log'!$U$4:$U$803,$B124&amp;"|"&amp;BM$5,'Competency Event Log'!$D$4:$D$803)))</f>
        <v/>
      </c>
      <c r="BN124" s="8" t="str">
        <f>IF($B124="","",IF(COUNTIF('Competency Event Log'!$U$4:$U$803,$B124&amp;"|"&amp;BN$5)=0,"",SUMIF('Competency Event Log'!$U$4:$U$803,$B124&amp;"|"&amp;BN$5,'Competency Event Log'!$D$4:$D$803)))</f>
        <v/>
      </c>
      <c r="BO124" s="8" t="str">
        <f>IF($B124="","",IF(COUNTIF('Competency Event Log'!$U$4:$U$803,$B124&amp;"|"&amp;BO$5)=0,"",SUMIF('Competency Event Log'!$U$4:$U$803,$B124&amp;"|"&amp;BO$5,'Competency Event Log'!$D$4:$D$803)))</f>
        <v/>
      </c>
      <c r="BP124" s="8" t="str">
        <f>IF($B124="","",IF(COUNTIF('Competency Event Log'!$U$4:$U$803,$B124&amp;"|"&amp;BP$5)=0,"",SUMIF('Competency Event Log'!$U$4:$U$803,$B124&amp;"|"&amp;BP$5,'Competency Event Log'!$D$4:$D$803)))</f>
        <v/>
      </c>
      <c r="BQ124" s="8" t="str">
        <f>IF($B124="","",IF(COUNTIF('Competency Event Log'!$U$4:$U$803,$B124&amp;"|"&amp;BQ$5)=0,"",SUMIF('Competency Event Log'!$U$4:$U$803,$B124&amp;"|"&amp;BQ$5,'Competency Event Log'!$D$4:$D$803)))</f>
        <v/>
      </c>
      <c r="BR124" s="8" t="str">
        <f>IF($B124="","",IF(COUNTIF('Competency Event Log'!$U$4:$U$803,$B124&amp;"|"&amp;BR$5)=0,"",SUMIF('Competency Event Log'!$U$4:$U$803,$B124&amp;"|"&amp;BR$5,'Competency Event Log'!$D$4:$D$803)))</f>
        <v/>
      </c>
      <c r="BS124" s="8" t="str">
        <f>IF($B124="","",IF(COUNTIF('Competency Event Log'!$U$4:$U$803,$B124&amp;"|"&amp;BS$5)=0,"",SUMIF('Competency Event Log'!$U$4:$U$803,$B124&amp;"|"&amp;BS$5,'Competency Event Log'!$D$4:$D$803)))</f>
        <v/>
      </c>
      <c r="BT124" s="8" t="str">
        <f>IF($B124="","",IF(COUNTIF('Competency Event Log'!$U$4:$U$803,$B124&amp;"|"&amp;BT$5)=0,"",SUMIF('Competency Event Log'!$U$4:$U$803,$B124&amp;"|"&amp;BT$5,'Competency Event Log'!$D$4:$D$803)))</f>
        <v/>
      </c>
      <c r="BU124" s="8" t="str">
        <f>IF($B124="","",IF(COUNTIF('Competency Event Log'!$U$4:$U$803,$B124&amp;"|"&amp;BU$5)=0,"",SUMIF('Competency Event Log'!$U$4:$U$803,$B124&amp;"|"&amp;BU$5,'Competency Event Log'!$D$4:$D$803)))</f>
        <v/>
      </c>
      <c r="BV124" s="8" t="str">
        <f>IF($B124="","",IF(COUNTIF('Competency Event Log'!$U$4:$U$803,$B124&amp;"|"&amp;BV$5)=0,"",SUMIF('Competency Event Log'!$U$4:$U$803,$B124&amp;"|"&amp;BV$5,'Competency Event Log'!$D$4:$D$803)))</f>
        <v/>
      </c>
      <c r="BW124" s="8" t="str">
        <f>IF($B124="","",IF(COUNTIF('Competency Event Log'!$U$4:$U$803,$B124&amp;"|"&amp;BW$5)=0,"",SUMIF('Competency Event Log'!$U$4:$U$803,$B124&amp;"|"&amp;BW$5,'Competency Event Log'!$D$4:$D$803)))</f>
        <v/>
      </c>
      <c r="BX124" s="8" t="str">
        <f>IF($B124="","",IF(COUNTIF('Competency Event Log'!$U$4:$U$803,$B124&amp;"|"&amp;BX$5)=0,"",SUMIF('Competency Event Log'!$U$4:$U$803,$B124&amp;"|"&amp;BX$5,'Competency Event Log'!$D$4:$D$803)))</f>
        <v/>
      </c>
      <c r="BY124" s="8" t="str">
        <f>IF($B124="","",IF(COUNTIF('Competency Event Log'!$U$4:$U$803,$B124&amp;"|"&amp;BY$5)=0,"",SUMIF('Competency Event Log'!$U$4:$U$803,$B124&amp;"|"&amp;BY$5,'Competency Event Log'!$D$4:$D$803)))</f>
        <v/>
      </c>
      <c r="BZ124" s="8" t="str">
        <f>IF($B124="","",IF(COUNTIF('Competency Event Log'!$U$4:$U$803,$B124&amp;"|"&amp;BZ$5)=0,"",SUMIF('Competency Event Log'!$U$4:$U$803,$B124&amp;"|"&amp;BZ$5,'Competency Event Log'!$D$4:$D$803)))</f>
        <v/>
      </c>
      <c r="CA124" s="8" t="str">
        <f>IF($B124="","",IF(COUNTIF('Competency Event Log'!$U$4:$U$803,$B124&amp;"|"&amp;CA$5)=0,"",SUMIF('Competency Event Log'!$U$4:$U$803,$B124&amp;"|"&amp;CA$5,'Competency Event Log'!$D$4:$D$803)))</f>
        <v/>
      </c>
      <c r="CB124" s="8" t="str">
        <f>IF($B124="","",IF(COUNTIF('Competency Event Log'!$U$4:$U$803,$B124&amp;"|"&amp;CB$5)=0,"",SUMIF('Competency Event Log'!$U$4:$U$803,$B124&amp;"|"&amp;CB$5,'Competency Event Log'!$D$4:$D$803)))</f>
        <v/>
      </c>
      <c r="CC124" s="8" t="str">
        <f>IF($B124="","",IF(COUNTIF('Competency Event Log'!$U$4:$U$803,$B124&amp;"|"&amp;CC$5)=0,"",SUMIF('Competency Event Log'!$U$4:$U$803,$B124&amp;"|"&amp;CC$5,'Competency Event Log'!$D$4:$D$803)))</f>
        <v/>
      </c>
      <c r="CD124" s="8" t="str">
        <f>IF($B124="","",IF(COUNTIF('Competency Event Log'!$U$4:$U$803,$B124&amp;"|"&amp;CD$5)=0,"",SUMIF('Competency Event Log'!$U$4:$U$803,$B124&amp;"|"&amp;CD$5,'Competency Event Log'!$D$4:$D$803)))</f>
        <v/>
      </c>
      <c r="CE124" s="8" t="str">
        <f>IF($B124="","",IF(COUNTIF('Competency Event Log'!$U$4:$U$803,$B124&amp;"|"&amp;CE$5)=0,"",SUMIF('Competency Event Log'!$U$4:$U$803,$B124&amp;"|"&amp;CE$5,'Competency Event Log'!$D$4:$D$803)))</f>
        <v/>
      </c>
      <c r="CF124" s="8" t="str">
        <f>IF($B124="","",IF(COUNTIF('Competency Event Log'!$U$4:$U$803,$B124&amp;"|"&amp;CF$5)=0,"",SUMIF('Competency Event Log'!$U$4:$U$803,$B124&amp;"|"&amp;CF$5,'Competency Event Log'!$D$4:$D$803)))</f>
        <v/>
      </c>
      <c r="CG124" s="8" t="str">
        <f>IF($B124="","",IF(COUNTIF('Competency Event Log'!$U$4:$U$803,$B124&amp;"|"&amp;CG$5)=0,"",SUMIF('Competency Event Log'!$U$4:$U$803,$B124&amp;"|"&amp;CG$5,'Competency Event Log'!$D$4:$D$803)))</f>
        <v/>
      </c>
      <c r="CH124" s="8" t="str">
        <f>IF($B124="","",IF(COUNTIF('Competency Event Log'!$U$4:$U$803,$B124&amp;"|"&amp;CH$5)=0,"",SUMIF('Competency Event Log'!$U$4:$U$803,$B124&amp;"|"&amp;CH$5,'Competency Event Log'!$D$4:$D$803)))</f>
        <v/>
      </c>
      <c r="CI124" s="8" t="str">
        <f>IF($B124="","",IF(COUNTIF('Competency Event Log'!$U$4:$U$803,$B124&amp;"|"&amp;CI$5)=0,"",SUMIF('Competency Event Log'!$U$4:$U$803,$B124&amp;"|"&amp;CI$5,'Competency Event Log'!$D$4:$D$803)))</f>
        <v/>
      </c>
      <c r="CJ124" s="8" t="str">
        <f>IF($B124="","",IF(COUNTIF('Competency Event Log'!$U$4:$U$803,$B124&amp;"|"&amp;CJ$5)=0,"",SUMIF('Competency Event Log'!$U$4:$U$803,$B124&amp;"|"&amp;CJ$5,'Competency Event Log'!$D$4:$D$803)))</f>
        <v/>
      </c>
      <c r="CK124" s="8" t="str">
        <f>IF($B124="","",IF(COUNTIF('Competency Event Log'!$U$4:$U$803,$B124&amp;"|"&amp;CK$5)=0,"",SUMIF('Competency Event Log'!$U$4:$U$803,$B124&amp;"|"&amp;CK$5,'Competency Event Log'!$D$4:$D$803)))</f>
        <v/>
      </c>
      <c r="CL124" s="8" t="str">
        <f>IF($B124="","",IF(COUNTIF('Competency Event Log'!$U$4:$U$803,$B124&amp;"|"&amp;CL$5)=0,"",SUMIF('Competency Event Log'!$U$4:$U$803,$B124&amp;"|"&amp;CL$5,'Competency Event Log'!$D$4:$D$803)))</f>
        <v/>
      </c>
      <c r="CM124" s="8" t="str">
        <f>IF($B124="","",IF(COUNTIF('Competency Event Log'!$U$4:$U$803,$B124&amp;"|"&amp;CM$5)=0,"",SUMIF('Competency Event Log'!$U$4:$U$803,$B124&amp;"|"&amp;CM$5,'Competency Event Log'!$D$4:$D$803)))</f>
        <v/>
      </c>
      <c r="CN124" s="8" t="str">
        <f>IF($B124="","",IF(COUNTIF('Competency Event Log'!$U$4:$U$803,$B124&amp;"|"&amp;CN$5)=0,"",SUMIF('Competency Event Log'!$U$4:$U$803,$B124&amp;"|"&amp;CN$5,'Competency Event Log'!$D$4:$D$803)))</f>
        <v/>
      </c>
      <c r="CO124" s="8" t="str">
        <f>IF($B124="","",IF(COUNTIF('Competency Event Log'!$U$4:$U$803,$B124&amp;"|"&amp;CO$5)=0,"",SUMIF('Competency Event Log'!$U$4:$U$803,$B124&amp;"|"&amp;CO$5,'Competency Event Log'!$D$4:$D$803)))</f>
        <v/>
      </c>
      <c r="CP124" s="8" t="str">
        <f>IF($B124="","",IF(COUNTIF('Competency Event Log'!$U$4:$U$803,$B124&amp;"|"&amp;CP$5)=0,"",SUMIF('Competency Event Log'!$U$4:$U$803,$B124&amp;"|"&amp;CP$5,'Competency Event Log'!$D$4:$D$803)))</f>
        <v/>
      </c>
      <c r="CQ124" s="8" t="str">
        <f>IF($B124="","",IF(COUNTIF('Competency Event Log'!$U$4:$U$803,$B124&amp;"|"&amp;CQ$5)=0,"",SUMIF('Competency Event Log'!$U$4:$U$803,$B124&amp;"|"&amp;CQ$5,'Competency Event Log'!$D$4:$D$803)))</f>
        <v/>
      </c>
      <c r="CR124" s="8" t="str">
        <f>IF($B124="","",IF(COUNTIF('Competency Event Log'!$U$4:$U$803,$B124&amp;"|"&amp;CR$5)=0,"",SUMIF('Competency Event Log'!$U$4:$U$803,$B124&amp;"|"&amp;CR$5,'Competency Event Log'!$D$4:$D$803)))</f>
        <v/>
      </c>
      <c r="CS124" s="8" t="str">
        <f>IF($B124="","",IF(COUNTIF('Competency Event Log'!$U$4:$U$803,$B124&amp;"|"&amp;CS$5)=0,"",SUMIF('Competency Event Log'!$U$4:$U$803,$B124&amp;"|"&amp;CS$5,'Competency Event Log'!$D$4:$D$803)))</f>
        <v/>
      </c>
      <c r="CT124" s="8" t="str">
        <f>IF($B124="","",IF(COUNTIF('Competency Event Log'!$U$4:$U$803,$B124&amp;"|"&amp;CT$5)=0,"",SUMIF('Competency Event Log'!$U$4:$U$803,$B124&amp;"|"&amp;CT$5,'Competency Event Log'!$D$4:$D$803)))</f>
        <v/>
      </c>
      <c r="CU124" s="8" t="str">
        <f>IF($B124="","",IF(COUNTIF('Competency Event Log'!$U$4:$U$803,$B124&amp;"|"&amp;CU$5)=0,"",SUMIF('Competency Event Log'!$U$4:$U$803,$B124&amp;"|"&amp;CU$5,'Competency Event Log'!$D$4:$D$803)))</f>
        <v/>
      </c>
      <c r="CV124" s="8" t="str">
        <f>IF($B124="","",IF(COUNTIF('Competency Event Log'!$U$4:$U$803,$B124&amp;"|"&amp;CV$5)=0,"",SUMIF('Competency Event Log'!$U$4:$U$803,$B124&amp;"|"&amp;CV$5,'Competency Event Log'!$D$4:$D$803)))</f>
        <v/>
      </c>
      <c r="CW124" s="8" t="str">
        <f>IF($B124="","",IF(COUNTIF('Competency Event Log'!$U$4:$U$803,$B124&amp;"|"&amp;CW$5)=0,"",SUMIF('Competency Event Log'!$U$4:$U$803,$B124&amp;"|"&amp;CW$5,'Competency Event Log'!$D$4:$D$803)))</f>
        <v/>
      </c>
      <c r="CX124" s="8" t="str">
        <f>IF($B124="","",IF(COUNTIF('Competency Event Log'!$U$4:$U$803,$B124&amp;"|"&amp;CX$5)=0,"",SUMIF('Competency Event Log'!$U$4:$U$803,$B124&amp;"|"&amp;CX$5,'Competency Event Log'!$D$4:$D$803)))</f>
        <v/>
      </c>
      <c r="CY124" s="8" t="str">
        <f>IF($B124="","",IF(COUNTIF('Competency Event Log'!$U$4:$U$803,$B124&amp;"|"&amp;CY$5)=0,"",SUMIF('Competency Event Log'!$U$4:$U$803,$B124&amp;"|"&amp;CY$5,'Competency Event Log'!$D$4:$D$803)))</f>
        <v/>
      </c>
      <c r="CZ124" s="8" t="str">
        <f>IF($B124="","",IF(COUNTIF('Competency Event Log'!$U$4:$U$803,$B124&amp;"|"&amp;CZ$5)=0,"",SUMIF('Competency Event Log'!$U$4:$U$803,$B124&amp;"|"&amp;CZ$5,'Competency Event Log'!$D$4:$D$803)))</f>
        <v/>
      </c>
      <c r="DA124" s="8" t="str">
        <f>IF($B124="","",IF(COUNTIF('Competency Event Log'!$U$4:$U$803,$B124&amp;"|"&amp;DA$5)=0,"",SUMIF('Competency Event Log'!$U$4:$U$803,$B124&amp;"|"&amp;DA$5,'Competency Event Log'!$D$4:$D$803)))</f>
        <v/>
      </c>
      <c r="DB124" s="8" t="str">
        <f>IF($B124="","",IF(COUNTIF('Competency Event Log'!$U$4:$U$803,$B124&amp;"|"&amp;DB$5)=0,"",SUMIF('Competency Event Log'!$U$4:$U$803,$B124&amp;"|"&amp;DB$5,'Competency Event Log'!$D$4:$D$803)))</f>
        <v/>
      </c>
      <c r="DC124" s="8" t="str">
        <f>IF($B124="","",IF(COUNTIF('Competency Event Log'!$U$4:$U$803,$B124&amp;"|"&amp;DC$5)=0,"",SUMIF('Competency Event Log'!$U$4:$U$803,$B124&amp;"|"&amp;DC$5,'Competency Event Log'!$D$4:$D$803)))</f>
        <v/>
      </c>
      <c r="DD124" s="8" t="str">
        <f>IF($B124="","",IF(COUNTIF('Competency Event Log'!$U$4:$U$803,$B124&amp;"|"&amp;DD$5)=0,"",SUMIF('Competency Event Log'!$U$4:$U$803,$B124&amp;"|"&amp;DD$5,'Competency Event Log'!$D$4:$D$803)))</f>
        <v/>
      </c>
      <c r="DE124" s="8" t="str">
        <f>IF($B124="","",IF(COUNTIF('Competency Event Log'!$U$4:$U$803,$B124&amp;"|"&amp;DE$5)=0,"",SUMIF('Competency Event Log'!$U$4:$U$803,$B124&amp;"|"&amp;DE$5,'Competency Event Log'!$D$4:$D$803)))</f>
        <v/>
      </c>
      <c r="DF124" s="8" t="str">
        <f t="shared" si="12"/>
        <v/>
      </c>
      <c r="DG124" s="8" t="str">
        <f t="shared" si="13"/>
        <v/>
      </c>
      <c r="DH124" s="8" t="str">
        <f t="shared" si="14"/>
        <v/>
      </c>
      <c r="DI124" s="11" t="str">
        <f t="shared" si="15"/>
        <v/>
      </c>
    </row>
    <row r="125" spans="1:113">
      <c r="A125" s="7"/>
      <c r="B125" s="7"/>
      <c r="C125" s="8"/>
      <c r="D125" s="9"/>
      <c r="E125" s="10"/>
      <c r="F125" s="8"/>
      <c r="G125" s="8" t="str">
        <f>IF($B125="","",IF(COUNTIF('Competency Event Log'!$U$4:$U$803,$B125&amp;"|"&amp;G$5)=0,"",SUMIF('Competency Event Log'!$U$4:$U$803,$B125&amp;"|"&amp;G$5,'Competency Event Log'!$D$4:$D$803)))</f>
        <v/>
      </c>
      <c r="H125" s="8" t="str">
        <f>IF($B125="","",IF(COUNTIF('Competency Event Log'!$U$4:$U$803,$B125&amp;"|"&amp;H$5)=0,"",SUMIF('Competency Event Log'!$U$4:$U$803,$B125&amp;"|"&amp;H$5,'Competency Event Log'!$D$4:$D$803)))</f>
        <v/>
      </c>
      <c r="I125" s="8" t="str">
        <f>IF($B125="","",IF(COUNTIF('Competency Event Log'!$U$4:$U$803,$B125&amp;"|"&amp;I$5)=0,"",SUMIF('Competency Event Log'!$U$4:$U$803,$B125&amp;"|"&amp;I$5,'Competency Event Log'!$D$4:$D$803)))</f>
        <v/>
      </c>
      <c r="J125" s="8" t="str">
        <f>IF($B125="","",IF(COUNTIF('Competency Event Log'!$U$4:$U$803,$B125&amp;"|"&amp;J$5)=0,"",SUMIF('Competency Event Log'!$U$4:$U$803,$B125&amp;"|"&amp;J$5,'Competency Event Log'!$D$4:$D$803)))</f>
        <v/>
      </c>
      <c r="K125" s="8" t="str">
        <f>IF($B125="","",IF(COUNTIF('Competency Event Log'!$U$4:$U$803,$B125&amp;"|"&amp;K$5)=0,"",SUMIF('Competency Event Log'!$U$4:$U$803,$B125&amp;"|"&amp;K$5,'Competency Event Log'!$D$4:$D$803)))</f>
        <v/>
      </c>
      <c r="L125" s="8" t="str">
        <f>IF($B125="","",IF(COUNTIF('Competency Event Log'!$U$4:$U$803,$B125&amp;"|"&amp;L$5)=0,"",SUMIF('Competency Event Log'!$U$4:$U$803,$B125&amp;"|"&amp;L$5,'Competency Event Log'!$D$4:$D$803)))</f>
        <v/>
      </c>
      <c r="M125" s="8" t="str">
        <f>IF($B125="","",IF(COUNTIF('Competency Event Log'!$U$4:$U$803,$B125&amp;"|"&amp;M$5)=0,"",SUMIF('Competency Event Log'!$U$4:$U$803,$B125&amp;"|"&amp;M$5,'Competency Event Log'!$D$4:$D$803)))</f>
        <v/>
      </c>
      <c r="N125" s="8" t="str">
        <f>IF($B125="","",IF(COUNTIF('Competency Event Log'!$U$4:$U$803,$B125&amp;"|"&amp;N$5)=0,"",SUMIF('Competency Event Log'!$U$4:$U$803,$B125&amp;"|"&amp;N$5,'Competency Event Log'!$D$4:$D$803)))</f>
        <v/>
      </c>
      <c r="O125" s="8" t="str">
        <f>IF($B125="","",IF(COUNTIF('Competency Event Log'!$U$4:$U$803,$B125&amp;"|"&amp;O$5)=0,"",SUMIF('Competency Event Log'!$U$4:$U$803,$B125&amp;"|"&amp;O$5,'Competency Event Log'!$D$4:$D$803)))</f>
        <v/>
      </c>
      <c r="P125" s="8" t="str">
        <f>IF($B125="","",IF(COUNTIF('Competency Event Log'!$U$4:$U$803,$B125&amp;"|"&amp;P$5)=0,"",SUMIF('Competency Event Log'!$U$4:$U$803,$B125&amp;"|"&amp;P$5,'Competency Event Log'!$D$4:$D$803)))</f>
        <v/>
      </c>
      <c r="Q125" s="8" t="str">
        <f>IF($B125="","",IF(COUNTIF('Competency Event Log'!$U$4:$U$803,$B125&amp;"|"&amp;Q$5)=0,"",SUMIF('Competency Event Log'!$U$4:$U$803,$B125&amp;"|"&amp;Q$5,'Competency Event Log'!$D$4:$D$803)))</f>
        <v/>
      </c>
      <c r="R125" s="8" t="str">
        <f>IF($B125="","",IF(COUNTIF('Competency Event Log'!$U$4:$U$803,$B125&amp;"|"&amp;R$5)=0,"",SUMIF('Competency Event Log'!$U$4:$U$803,$B125&amp;"|"&amp;R$5,'Competency Event Log'!$D$4:$D$803)))</f>
        <v/>
      </c>
      <c r="S125" s="8" t="str">
        <f>IF($B125="","",IF(COUNTIF('Competency Event Log'!$U$4:$U$803,$B125&amp;"|"&amp;S$5)=0,"",SUMIF('Competency Event Log'!$U$4:$U$803,$B125&amp;"|"&amp;S$5,'Competency Event Log'!$D$4:$D$803)))</f>
        <v/>
      </c>
      <c r="T125" s="8" t="str">
        <f>IF($B125="","",IF(COUNTIF('Competency Event Log'!$U$4:$U$803,$B125&amp;"|"&amp;T$5)=0,"",SUMIF('Competency Event Log'!$U$4:$U$803,$B125&amp;"|"&amp;T$5,'Competency Event Log'!$D$4:$D$803)))</f>
        <v/>
      </c>
      <c r="U125" s="8" t="str">
        <f>IF($B125="","",IF(COUNTIF('Competency Event Log'!$U$4:$U$803,$B125&amp;"|"&amp;U$5)=0,"",SUMIF('Competency Event Log'!$U$4:$U$803,$B125&amp;"|"&amp;U$5,'Competency Event Log'!$D$4:$D$803)))</f>
        <v/>
      </c>
      <c r="V125" s="8" t="str">
        <f>IF($B125="","",IF(COUNTIF('Competency Event Log'!$U$4:$U$803,$B125&amp;"|"&amp;V$5)=0,"",SUMIF('Competency Event Log'!$U$4:$U$803,$B125&amp;"|"&amp;V$5,'Competency Event Log'!$D$4:$D$803)))</f>
        <v/>
      </c>
      <c r="W125" s="8" t="str">
        <f>IF($B125="","",IF(COUNTIF('Competency Event Log'!$U$4:$U$803,$B125&amp;"|"&amp;W$5)=0,"",SUMIF('Competency Event Log'!$U$4:$U$803,$B125&amp;"|"&amp;W$5,'Competency Event Log'!$D$4:$D$803)))</f>
        <v/>
      </c>
      <c r="X125" s="8" t="str">
        <f>IF($B125="","",IF(COUNTIF('Competency Event Log'!$U$4:$U$803,$B125&amp;"|"&amp;X$5)=0,"",SUMIF('Competency Event Log'!$U$4:$U$803,$B125&amp;"|"&amp;X$5,'Competency Event Log'!$D$4:$D$803)))</f>
        <v/>
      </c>
      <c r="Y125" s="8" t="str">
        <f>IF($B125="","",IF(COUNTIF('Competency Event Log'!$U$4:$U$803,$B125&amp;"|"&amp;Y$5)=0,"",SUMIF('Competency Event Log'!$U$4:$U$803,$B125&amp;"|"&amp;Y$5,'Competency Event Log'!$D$4:$D$803)))</f>
        <v/>
      </c>
      <c r="Z125" s="8" t="str">
        <f>IF($B125="","",IF(COUNTIF('Competency Event Log'!$U$4:$U$803,$B125&amp;"|"&amp;Z$5)=0,"",SUMIF('Competency Event Log'!$U$4:$U$803,$B125&amp;"|"&amp;Z$5,'Competency Event Log'!$D$4:$D$803)))</f>
        <v/>
      </c>
      <c r="AA125" s="8" t="str">
        <f>IF($B125="","",IF(COUNTIF('Competency Event Log'!$U$4:$U$803,$B125&amp;"|"&amp;AA$5)=0,"",SUMIF('Competency Event Log'!$U$4:$U$803,$B125&amp;"|"&amp;AA$5,'Competency Event Log'!$D$4:$D$803)))</f>
        <v/>
      </c>
      <c r="AB125" s="8" t="str">
        <f>IF($B125="","",IF(COUNTIF('Competency Event Log'!$U$4:$U$803,$B125&amp;"|"&amp;AB$5)=0,"",SUMIF('Competency Event Log'!$U$4:$U$803,$B125&amp;"|"&amp;AB$5,'Competency Event Log'!$D$4:$D$803)))</f>
        <v/>
      </c>
      <c r="AC125" s="8" t="str">
        <f>IF($B125="","",IF(COUNTIF('Competency Event Log'!$U$4:$U$803,$B125&amp;"|"&amp;AC$5)=0,"",SUMIF('Competency Event Log'!$U$4:$U$803,$B125&amp;"|"&amp;AC$5,'Competency Event Log'!$D$4:$D$803)))</f>
        <v/>
      </c>
      <c r="AD125" s="8" t="str">
        <f>IF($B125="","",IF(COUNTIF('Competency Event Log'!$U$4:$U$803,$B125&amp;"|"&amp;AD$5)=0,"",SUMIF('Competency Event Log'!$U$4:$U$803,$B125&amp;"|"&amp;AD$5,'Competency Event Log'!$D$4:$D$803)))</f>
        <v/>
      </c>
      <c r="AE125" s="8" t="str">
        <f>IF($B125="","",IF(COUNTIF('Competency Event Log'!$U$4:$U$803,$B125&amp;"|"&amp;AE$5)=0,"",SUMIF('Competency Event Log'!$U$4:$U$803,$B125&amp;"|"&amp;AE$5,'Competency Event Log'!$D$4:$D$803)))</f>
        <v/>
      </c>
      <c r="AF125" s="8" t="str">
        <f>IF($B125="","",IF(COUNTIF('Competency Event Log'!$U$4:$U$803,$B125&amp;"|"&amp;AF$5)=0,"",SUMIF('Competency Event Log'!$U$4:$U$803,$B125&amp;"|"&amp;AF$5,'Competency Event Log'!$D$4:$D$803)))</f>
        <v/>
      </c>
      <c r="AG125" s="8" t="str">
        <f>IF($B125="","",IF(COUNTIF('Competency Event Log'!$U$4:$U$803,$B125&amp;"|"&amp;AG$5)=0,"",SUMIF('Competency Event Log'!$U$4:$U$803,$B125&amp;"|"&amp;AG$5,'Competency Event Log'!$D$4:$D$803)))</f>
        <v/>
      </c>
      <c r="AH125" s="8" t="str">
        <f>IF($B125="","",IF(COUNTIF('Competency Event Log'!$U$4:$U$803,$B125&amp;"|"&amp;AH$5)=0,"",SUMIF('Competency Event Log'!$U$4:$U$803,$B125&amp;"|"&amp;AH$5,'Competency Event Log'!$D$4:$D$803)))</f>
        <v/>
      </c>
      <c r="AI125" s="8" t="str">
        <f>IF($B125="","",IF(COUNTIF('Competency Event Log'!$U$4:$U$803,$B125&amp;"|"&amp;AI$5)=0,"",SUMIF('Competency Event Log'!$U$4:$U$803,$B125&amp;"|"&amp;AI$5,'Competency Event Log'!$D$4:$D$803)))</f>
        <v/>
      </c>
      <c r="AJ125" s="8" t="str">
        <f>IF($B125="","",IF(COUNTIF('Competency Event Log'!$U$4:$U$803,$B125&amp;"|"&amp;AJ$5)=0,"",SUMIF('Competency Event Log'!$U$4:$U$803,$B125&amp;"|"&amp;AJ$5,'Competency Event Log'!$D$4:$D$803)))</f>
        <v/>
      </c>
      <c r="AK125" s="8" t="str">
        <f>IF($B125="","",IF(COUNTIF('Competency Event Log'!$U$4:$U$803,$B125&amp;"|"&amp;AK$5)=0,"",SUMIF('Competency Event Log'!$U$4:$U$803,$B125&amp;"|"&amp;AK$5,'Competency Event Log'!$D$4:$D$803)))</f>
        <v/>
      </c>
      <c r="AL125" s="8" t="str">
        <f>IF($B125="","",IF(COUNTIF('Competency Event Log'!$U$4:$U$803,$B125&amp;"|"&amp;AL$5)=0,"",SUMIF('Competency Event Log'!$U$4:$U$803,$B125&amp;"|"&amp;AL$5,'Competency Event Log'!$D$4:$D$803)))</f>
        <v/>
      </c>
      <c r="AM125" s="8" t="str">
        <f>IF($B125="","",IF(COUNTIF('Competency Event Log'!$U$4:$U$803,$B125&amp;"|"&amp;AM$5)=0,"",SUMIF('Competency Event Log'!$U$4:$U$803,$B125&amp;"|"&amp;AM$5,'Competency Event Log'!$D$4:$D$803)))</f>
        <v/>
      </c>
      <c r="AN125" s="8" t="str">
        <f>IF($B125="","",IF(COUNTIF('Competency Event Log'!$U$4:$U$803,$B125&amp;"|"&amp;AN$5)=0,"",SUMIF('Competency Event Log'!$U$4:$U$803,$B125&amp;"|"&amp;AN$5,'Competency Event Log'!$D$4:$D$803)))</f>
        <v/>
      </c>
      <c r="AO125" s="8" t="str">
        <f>IF($B125="","",IF(COUNTIF('Competency Event Log'!$U$4:$U$803,$B125&amp;"|"&amp;AO$5)=0,"",SUMIF('Competency Event Log'!$U$4:$U$803,$B125&amp;"|"&amp;AO$5,'Competency Event Log'!$D$4:$D$803)))</f>
        <v/>
      </c>
      <c r="AP125" s="8" t="str">
        <f>IF($B125="","",IF(COUNTIF('Competency Event Log'!$U$4:$U$803,$B125&amp;"|"&amp;AP$5)=0,"",SUMIF('Competency Event Log'!$U$4:$U$803,$B125&amp;"|"&amp;AP$5,'Competency Event Log'!$D$4:$D$803)))</f>
        <v/>
      </c>
      <c r="AQ125" s="8" t="str">
        <f>IF($B125="","",IF(COUNTIF('Competency Event Log'!$U$4:$U$803,$B125&amp;"|"&amp;AQ$5)=0,"",SUMIF('Competency Event Log'!$U$4:$U$803,$B125&amp;"|"&amp;AQ$5,'Competency Event Log'!$D$4:$D$803)))</f>
        <v/>
      </c>
      <c r="AR125" s="8" t="str">
        <f>IF($B125="","",IF(COUNTIF('Competency Event Log'!$U$4:$U$803,$B125&amp;"|"&amp;AR$5)=0,"",SUMIF('Competency Event Log'!$U$4:$U$803,$B125&amp;"|"&amp;AR$5,'Competency Event Log'!$D$4:$D$803)))</f>
        <v/>
      </c>
      <c r="AS125" s="8" t="str">
        <f>IF($B125="","",IF(COUNTIF('Competency Event Log'!$U$4:$U$803,$B125&amp;"|"&amp;AS$5)=0,"",SUMIF('Competency Event Log'!$U$4:$U$803,$B125&amp;"|"&amp;AS$5,'Competency Event Log'!$D$4:$D$803)))</f>
        <v/>
      </c>
      <c r="AT125" s="8" t="str">
        <f>IF($B125="","",IF(COUNTIF('Competency Event Log'!$U$4:$U$803,$B125&amp;"|"&amp;AT$5)=0,"",SUMIF('Competency Event Log'!$U$4:$U$803,$B125&amp;"|"&amp;AT$5,'Competency Event Log'!$D$4:$D$803)))</f>
        <v/>
      </c>
      <c r="AU125" s="8" t="str">
        <f>IF($B125="","",IF(COUNTIF('Competency Event Log'!$U$4:$U$803,$B125&amp;"|"&amp;AU$5)=0,"",SUMIF('Competency Event Log'!$U$4:$U$803,$B125&amp;"|"&amp;AU$5,'Competency Event Log'!$D$4:$D$803)))</f>
        <v/>
      </c>
      <c r="AV125" s="8" t="str">
        <f>IF($B125="","",IF(COUNTIF('Competency Event Log'!$U$4:$U$803,$B125&amp;"|"&amp;AV$5)=0,"",SUMIF('Competency Event Log'!$U$4:$U$803,$B125&amp;"|"&amp;AV$5,'Competency Event Log'!$D$4:$D$803)))</f>
        <v/>
      </c>
      <c r="AW125" s="8" t="str">
        <f>IF($B125="","",IF(COUNTIF('Competency Event Log'!$U$4:$U$803,$B125&amp;"|"&amp;AW$5)=0,"",SUMIF('Competency Event Log'!$U$4:$U$803,$B125&amp;"|"&amp;AW$5,'Competency Event Log'!$D$4:$D$803)))</f>
        <v/>
      </c>
      <c r="AX125" s="8" t="str">
        <f>IF($B125="","",IF(COUNTIF('Competency Event Log'!$U$4:$U$803,$B125&amp;"|"&amp;AX$5)=0,"",SUMIF('Competency Event Log'!$U$4:$U$803,$B125&amp;"|"&amp;AX$5,'Competency Event Log'!$D$4:$D$803)))</f>
        <v/>
      </c>
      <c r="AY125" s="8" t="str">
        <f>IF($B125="","",IF(COUNTIF('Competency Event Log'!$U$4:$U$803,$B125&amp;"|"&amp;AY$5)=0,"",SUMIF('Competency Event Log'!$U$4:$U$803,$B125&amp;"|"&amp;AY$5,'Competency Event Log'!$D$4:$D$803)))</f>
        <v/>
      </c>
      <c r="AZ125" s="8" t="str">
        <f>IF($B125="","",IF(COUNTIF('Competency Event Log'!$U$4:$U$803,$B125&amp;"|"&amp;AZ$5)=0,"",SUMIF('Competency Event Log'!$U$4:$U$803,$B125&amp;"|"&amp;AZ$5,'Competency Event Log'!$D$4:$D$803)))</f>
        <v/>
      </c>
      <c r="BA125" s="8" t="str">
        <f>IF($B125="","",IF(COUNTIF('Competency Event Log'!$U$4:$U$803,$B125&amp;"|"&amp;BA$5)=0,"",SUMIF('Competency Event Log'!$U$4:$U$803,$B125&amp;"|"&amp;BA$5,'Competency Event Log'!$D$4:$D$803)))</f>
        <v/>
      </c>
      <c r="BB125" s="8" t="str">
        <f>IF($B125="","",IF(COUNTIF('Competency Event Log'!$U$4:$U$803,$B125&amp;"|"&amp;BB$5)=0,"",SUMIF('Competency Event Log'!$U$4:$U$803,$B125&amp;"|"&amp;BB$5,'Competency Event Log'!$D$4:$D$803)))</f>
        <v/>
      </c>
      <c r="BC125" s="8" t="str">
        <f>IF($B125="","",IF(COUNTIF('Competency Event Log'!$U$4:$U$803,$B125&amp;"|"&amp;BC$5)=0,"",SUMIF('Competency Event Log'!$U$4:$U$803,$B125&amp;"|"&amp;BC$5,'Competency Event Log'!$D$4:$D$803)))</f>
        <v/>
      </c>
      <c r="BD125" s="8" t="str">
        <f>IF($B125="","",IF(COUNTIF('Competency Event Log'!$U$4:$U$803,$B125&amp;"|"&amp;BD$5)=0,"",SUMIF('Competency Event Log'!$U$4:$U$803,$B125&amp;"|"&amp;BD$5,'Competency Event Log'!$D$4:$D$803)))</f>
        <v/>
      </c>
      <c r="BE125" s="8" t="str">
        <f>IF($B125="","",IF(COUNTIF('Competency Event Log'!$U$4:$U$803,$B125&amp;"|"&amp;BE$5)=0,"",SUMIF('Competency Event Log'!$U$4:$U$803,$B125&amp;"|"&amp;BE$5,'Competency Event Log'!$D$4:$D$803)))</f>
        <v/>
      </c>
      <c r="BF125" s="8" t="str">
        <f>IF($B125="","",IF(COUNTIF('Competency Event Log'!$U$4:$U$803,$B125&amp;"|"&amp;BF$5)=0,"",SUMIF('Competency Event Log'!$U$4:$U$803,$B125&amp;"|"&amp;BF$5,'Competency Event Log'!$D$4:$D$803)))</f>
        <v/>
      </c>
      <c r="BG125" s="8" t="str">
        <f>IF($B125="","",IF(COUNTIF('Competency Event Log'!$U$4:$U$803,$B125&amp;"|"&amp;BG$5)=0,"",SUMIF('Competency Event Log'!$U$4:$U$803,$B125&amp;"|"&amp;BG$5,'Competency Event Log'!$D$4:$D$803)))</f>
        <v/>
      </c>
      <c r="BH125" s="8" t="str">
        <f>IF($B125="","",IF(COUNTIF('Competency Event Log'!$U$4:$U$803,$B125&amp;"|"&amp;BH$5)=0,"",SUMIF('Competency Event Log'!$U$4:$U$803,$B125&amp;"|"&amp;BH$5,'Competency Event Log'!$D$4:$D$803)))</f>
        <v/>
      </c>
      <c r="BI125" s="8" t="str">
        <f>IF($B125="","",IF(COUNTIF('Competency Event Log'!$U$4:$U$803,$B125&amp;"|"&amp;BI$5)=0,"",SUMIF('Competency Event Log'!$U$4:$U$803,$B125&amp;"|"&amp;BI$5,'Competency Event Log'!$D$4:$D$803)))</f>
        <v/>
      </c>
      <c r="BJ125" s="8" t="str">
        <f>IF($B125="","",IF(COUNTIF('Competency Event Log'!$U$4:$U$803,$B125&amp;"|"&amp;BJ$5)=0,"",SUMIF('Competency Event Log'!$U$4:$U$803,$B125&amp;"|"&amp;BJ$5,'Competency Event Log'!$D$4:$D$803)))</f>
        <v/>
      </c>
      <c r="BK125" s="8" t="str">
        <f>IF($B125="","",IF(COUNTIF('Competency Event Log'!$U$4:$U$803,$B125&amp;"|"&amp;BK$5)=0,"",SUMIF('Competency Event Log'!$U$4:$U$803,$B125&amp;"|"&amp;BK$5,'Competency Event Log'!$D$4:$D$803)))</f>
        <v/>
      </c>
      <c r="BL125" s="8" t="str">
        <f>IF($B125="","",IF(COUNTIF('Competency Event Log'!$U$4:$U$803,$B125&amp;"|"&amp;BL$5)=0,"",SUMIF('Competency Event Log'!$U$4:$U$803,$B125&amp;"|"&amp;BL$5,'Competency Event Log'!$D$4:$D$803)))</f>
        <v/>
      </c>
      <c r="BM125" s="8" t="str">
        <f>IF($B125="","",IF(COUNTIF('Competency Event Log'!$U$4:$U$803,$B125&amp;"|"&amp;BM$5)=0,"",SUMIF('Competency Event Log'!$U$4:$U$803,$B125&amp;"|"&amp;BM$5,'Competency Event Log'!$D$4:$D$803)))</f>
        <v/>
      </c>
      <c r="BN125" s="8" t="str">
        <f>IF($B125="","",IF(COUNTIF('Competency Event Log'!$U$4:$U$803,$B125&amp;"|"&amp;BN$5)=0,"",SUMIF('Competency Event Log'!$U$4:$U$803,$B125&amp;"|"&amp;BN$5,'Competency Event Log'!$D$4:$D$803)))</f>
        <v/>
      </c>
      <c r="BO125" s="8" t="str">
        <f>IF($B125="","",IF(COUNTIF('Competency Event Log'!$U$4:$U$803,$B125&amp;"|"&amp;BO$5)=0,"",SUMIF('Competency Event Log'!$U$4:$U$803,$B125&amp;"|"&amp;BO$5,'Competency Event Log'!$D$4:$D$803)))</f>
        <v/>
      </c>
      <c r="BP125" s="8" t="str">
        <f>IF($B125="","",IF(COUNTIF('Competency Event Log'!$U$4:$U$803,$B125&amp;"|"&amp;BP$5)=0,"",SUMIF('Competency Event Log'!$U$4:$U$803,$B125&amp;"|"&amp;BP$5,'Competency Event Log'!$D$4:$D$803)))</f>
        <v/>
      </c>
      <c r="BQ125" s="8" t="str">
        <f>IF($B125="","",IF(COUNTIF('Competency Event Log'!$U$4:$U$803,$B125&amp;"|"&amp;BQ$5)=0,"",SUMIF('Competency Event Log'!$U$4:$U$803,$B125&amp;"|"&amp;BQ$5,'Competency Event Log'!$D$4:$D$803)))</f>
        <v/>
      </c>
      <c r="BR125" s="8" t="str">
        <f>IF($B125="","",IF(COUNTIF('Competency Event Log'!$U$4:$U$803,$B125&amp;"|"&amp;BR$5)=0,"",SUMIF('Competency Event Log'!$U$4:$U$803,$B125&amp;"|"&amp;BR$5,'Competency Event Log'!$D$4:$D$803)))</f>
        <v/>
      </c>
      <c r="BS125" s="8" t="str">
        <f>IF($B125="","",IF(COUNTIF('Competency Event Log'!$U$4:$U$803,$B125&amp;"|"&amp;BS$5)=0,"",SUMIF('Competency Event Log'!$U$4:$U$803,$B125&amp;"|"&amp;BS$5,'Competency Event Log'!$D$4:$D$803)))</f>
        <v/>
      </c>
      <c r="BT125" s="8" t="str">
        <f>IF($B125="","",IF(COUNTIF('Competency Event Log'!$U$4:$U$803,$B125&amp;"|"&amp;BT$5)=0,"",SUMIF('Competency Event Log'!$U$4:$U$803,$B125&amp;"|"&amp;BT$5,'Competency Event Log'!$D$4:$D$803)))</f>
        <v/>
      </c>
      <c r="BU125" s="8" t="str">
        <f>IF($B125="","",IF(COUNTIF('Competency Event Log'!$U$4:$U$803,$B125&amp;"|"&amp;BU$5)=0,"",SUMIF('Competency Event Log'!$U$4:$U$803,$B125&amp;"|"&amp;BU$5,'Competency Event Log'!$D$4:$D$803)))</f>
        <v/>
      </c>
      <c r="BV125" s="8" t="str">
        <f>IF($B125="","",IF(COUNTIF('Competency Event Log'!$U$4:$U$803,$B125&amp;"|"&amp;BV$5)=0,"",SUMIF('Competency Event Log'!$U$4:$U$803,$B125&amp;"|"&amp;BV$5,'Competency Event Log'!$D$4:$D$803)))</f>
        <v/>
      </c>
      <c r="BW125" s="8" t="str">
        <f>IF($B125="","",IF(COUNTIF('Competency Event Log'!$U$4:$U$803,$B125&amp;"|"&amp;BW$5)=0,"",SUMIF('Competency Event Log'!$U$4:$U$803,$B125&amp;"|"&amp;BW$5,'Competency Event Log'!$D$4:$D$803)))</f>
        <v/>
      </c>
      <c r="BX125" s="8" t="str">
        <f>IF($B125="","",IF(COUNTIF('Competency Event Log'!$U$4:$U$803,$B125&amp;"|"&amp;BX$5)=0,"",SUMIF('Competency Event Log'!$U$4:$U$803,$B125&amp;"|"&amp;BX$5,'Competency Event Log'!$D$4:$D$803)))</f>
        <v/>
      </c>
      <c r="BY125" s="8" t="str">
        <f>IF($B125="","",IF(COUNTIF('Competency Event Log'!$U$4:$U$803,$B125&amp;"|"&amp;BY$5)=0,"",SUMIF('Competency Event Log'!$U$4:$U$803,$B125&amp;"|"&amp;BY$5,'Competency Event Log'!$D$4:$D$803)))</f>
        <v/>
      </c>
      <c r="BZ125" s="8" t="str">
        <f>IF($B125="","",IF(COUNTIF('Competency Event Log'!$U$4:$U$803,$B125&amp;"|"&amp;BZ$5)=0,"",SUMIF('Competency Event Log'!$U$4:$U$803,$B125&amp;"|"&amp;BZ$5,'Competency Event Log'!$D$4:$D$803)))</f>
        <v/>
      </c>
      <c r="CA125" s="8" t="str">
        <f>IF($B125="","",IF(COUNTIF('Competency Event Log'!$U$4:$U$803,$B125&amp;"|"&amp;CA$5)=0,"",SUMIF('Competency Event Log'!$U$4:$U$803,$B125&amp;"|"&amp;CA$5,'Competency Event Log'!$D$4:$D$803)))</f>
        <v/>
      </c>
      <c r="CB125" s="8" t="str">
        <f>IF($B125="","",IF(COUNTIF('Competency Event Log'!$U$4:$U$803,$B125&amp;"|"&amp;CB$5)=0,"",SUMIF('Competency Event Log'!$U$4:$U$803,$B125&amp;"|"&amp;CB$5,'Competency Event Log'!$D$4:$D$803)))</f>
        <v/>
      </c>
      <c r="CC125" s="8" t="str">
        <f>IF($B125="","",IF(COUNTIF('Competency Event Log'!$U$4:$U$803,$B125&amp;"|"&amp;CC$5)=0,"",SUMIF('Competency Event Log'!$U$4:$U$803,$B125&amp;"|"&amp;CC$5,'Competency Event Log'!$D$4:$D$803)))</f>
        <v/>
      </c>
      <c r="CD125" s="8" t="str">
        <f>IF($B125="","",IF(COUNTIF('Competency Event Log'!$U$4:$U$803,$B125&amp;"|"&amp;CD$5)=0,"",SUMIF('Competency Event Log'!$U$4:$U$803,$B125&amp;"|"&amp;CD$5,'Competency Event Log'!$D$4:$D$803)))</f>
        <v/>
      </c>
      <c r="CE125" s="8" t="str">
        <f>IF($B125="","",IF(COUNTIF('Competency Event Log'!$U$4:$U$803,$B125&amp;"|"&amp;CE$5)=0,"",SUMIF('Competency Event Log'!$U$4:$U$803,$B125&amp;"|"&amp;CE$5,'Competency Event Log'!$D$4:$D$803)))</f>
        <v/>
      </c>
      <c r="CF125" s="8" t="str">
        <f>IF($B125="","",IF(COUNTIF('Competency Event Log'!$U$4:$U$803,$B125&amp;"|"&amp;CF$5)=0,"",SUMIF('Competency Event Log'!$U$4:$U$803,$B125&amp;"|"&amp;CF$5,'Competency Event Log'!$D$4:$D$803)))</f>
        <v/>
      </c>
      <c r="CG125" s="8" t="str">
        <f>IF($B125="","",IF(COUNTIF('Competency Event Log'!$U$4:$U$803,$B125&amp;"|"&amp;CG$5)=0,"",SUMIF('Competency Event Log'!$U$4:$U$803,$B125&amp;"|"&amp;CG$5,'Competency Event Log'!$D$4:$D$803)))</f>
        <v/>
      </c>
      <c r="CH125" s="8" t="str">
        <f>IF($B125="","",IF(COUNTIF('Competency Event Log'!$U$4:$U$803,$B125&amp;"|"&amp;CH$5)=0,"",SUMIF('Competency Event Log'!$U$4:$U$803,$B125&amp;"|"&amp;CH$5,'Competency Event Log'!$D$4:$D$803)))</f>
        <v/>
      </c>
      <c r="CI125" s="8" t="str">
        <f>IF($B125="","",IF(COUNTIF('Competency Event Log'!$U$4:$U$803,$B125&amp;"|"&amp;CI$5)=0,"",SUMIF('Competency Event Log'!$U$4:$U$803,$B125&amp;"|"&amp;CI$5,'Competency Event Log'!$D$4:$D$803)))</f>
        <v/>
      </c>
      <c r="CJ125" s="8" t="str">
        <f>IF($B125="","",IF(COUNTIF('Competency Event Log'!$U$4:$U$803,$B125&amp;"|"&amp;CJ$5)=0,"",SUMIF('Competency Event Log'!$U$4:$U$803,$B125&amp;"|"&amp;CJ$5,'Competency Event Log'!$D$4:$D$803)))</f>
        <v/>
      </c>
      <c r="CK125" s="8" t="str">
        <f>IF($B125="","",IF(COUNTIF('Competency Event Log'!$U$4:$U$803,$B125&amp;"|"&amp;CK$5)=0,"",SUMIF('Competency Event Log'!$U$4:$U$803,$B125&amp;"|"&amp;CK$5,'Competency Event Log'!$D$4:$D$803)))</f>
        <v/>
      </c>
      <c r="CL125" s="8" t="str">
        <f>IF($B125="","",IF(COUNTIF('Competency Event Log'!$U$4:$U$803,$B125&amp;"|"&amp;CL$5)=0,"",SUMIF('Competency Event Log'!$U$4:$U$803,$B125&amp;"|"&amp;CL$5,'Competency Event Log'!$D$4:$D$803)))</f>
        <v/>
      </c>
      <c r="CM125" s="8" t="str">
        <f>IF($B125="","",IF(COUNTIF('Competency Event Log'!$U$4:$U$803,$B125&amp;"|"&amp;CM$5)=0,"",SUMIF('Competency Event Log'!$U$4:$U$803,$B125&amp;"|"&amp;CM$5,'Competency Event Log'!$D$4:$D$803)))</f>
        <v/>
      </c>
      <c r="CN125" s="8" t="str">
        <f>IF($B125="","",IF(COUNTIF('Competency Event Log'!$U$4:$U$803,$B125&amp;"|"&amp;CN$5)=0,"",SUMIF('Competency Event Log'!$U$4:$U$803,$B125&amp;"|"&amp;CN$5,'Competency Event Log'!$D$4:$D$803)))</f>
        <v/>
      </c>
      <c r="CO125" s="8" t="str">
        <f>IF($B125="","",IF(COUNTIF('Competency Event Log'!$U$4:$U$803,$B125&amp;"|"&amp;CO$5)=0,"",SUMIF('Competency Event Log'!$U$4:$U$803,$B125&amp;"|"&amp;CO$5,'Competency Event Log'!$D$4:$D$803)))</f>
        <v/>
      </c>
      <c r="CP125" s="8" t="str">
        <f>IF($B125="","",IF(COUNTIF('Competency Event Log'!$U$4:$U$803,$B125&amp;"|"&amp;CP$5)=0,"",SUMIF('Competency Event Log'!$U$4:$U$803,$B125&amp;"|"&amp;CP$5,'Competency Event Log'!$D$4:$D$803)))</f>
        <v/>
      </c>
      <c r="CQ125" s="8" t="str">
        <f>IF($B125="","",IF(COUNTIF('Competency Event Log'!$U$4:$U$803,$B125&amp;"|"&amp;CQ$5)=0,"",SUMIF('Competency Event Log'!$U$4:$U$803,$B125&amp;"|"&amp;CQ$5,'Competency Event Log'!$D$4:$D$803)))</f>
        <v/>
      </c>
      <c r="CR125" s="8" t="str">
        <f>IF($B125="","",IF(COUNTIF('Competency Event Log'!$U$4:$U$803,$B125&amp;"|"&amp;CR$5)=0,"",SUMIF('Competency Event Log'!$U$4:$U$803,$B125&amp;"|"&amp;CR$5,'Competency Event Log'!$D$4:$D$803)))</f>
        <v/>
      </c>
      <c r="CS125" s="8" t="str">
        <f>IF($B125="","",IF(COUNTIF('Competency Event Log'!$U$4:$U$803,$B125&amp;"|"&amp;CS$5)=0,"",SUMIF('Competency Event Log'!$U$4:$U$803,$B125&amp;"|"&amp;CS$5,'Competency Event Log'!$D$4:$D$803)))</f>
        <v/>
      </c>
      <c r="CT125" s="8" t="str">
        <f>IF($B125="","",IF(COUNTIF('Competency Event Log'!$U$4:$U$803,$B125&amp;"|"&amp;CT$5)=0,"",SUMIF('Competency Event Log'!$U$4:$U$803,$B125&amp;"|"&amp;CT$5,'Competency Event Log'!$D$4:$D$803)))</f>
        <v/>
      </c>
      <c r="CU125" s="8" t="str">
        <f>IF($B125="","",IF(COUNTIF('Competency Event Log'!$U$4:$U$803,$B125&amp;"|"&amp;CU$5)=0,"",SUMIF('Competency Event Log'!$U$4:$U$803,$B125&amp;"|"&amp;CU$5,'Competency Event Log'!$D$4:$D$803)))</f>
        <v/>
      </c>
      <c r="CV125" s="8" t="str">
        <f>IF($B125="","",IF(COUNTIF('Competency Event Log'!$U$4:$U$803,$B125&amp;"|"&amp;CV$5)=0,"",SUMIF('Competency Event Log'!$U$4:$U$803,$B125&amp;"|"&amp;CV$5,'Competency Event Log'!$D$4:$D$803)))</f>
        <v/>
      </c>
      <c r="CW125" s="8" t="str">
        <f>IF($B125="","",IF(COUNTIF('Competency Event Log'!$U$4:$U$803,$B125&amp;"|"&amp;CW$5)=0,"",SUMIF('Competency Event Log'!$U$4:$U$803,$B125&amp;"|"&amp;CW$5,'Competency Event Log'!$D$4:$D$803)))</f>
        <v/>
      </c>
      <c r="CX125" s="8" t="str">
        <f>IF($B125="","",IF(COUNTIF('Competency Event Log'!$U$4:$U$803,$B125&amp;"|"&amp;CX$5)=0,"",SUMIF('Competency Event Log'!$U$4:$U$803,$B125&amp;"|"&amp;CX$5,'Competency Event Log'!$D$4:$D$803)))</f>
        <v/>
      </c>
      <c r="CY125" s="8" t="str">
        <f>IF($B125="","",IF(COUNTIF('Competency Event Log'!$U$4:$U$803,$B125&amp;"|"&amp;CY$5)=0,"",SUMIF('Competency Event Log'!$U$4:$U$803,$B125&amp;"|"&amp;CY$5,'Competency Event Log'!$D$4:$D$803)))</f>
        <v/>
      </c>
      <c r="CZ125" s="8" t="str">
        <f>IF($B125="","",IF(COUNTIF('Competency Event Log'!$U$4:$U$803,$B125&amp;"|"&amp;CZ$5)=0,"",SUMIF('Competency Event Log'!$U$4:$U$803,$B125&amp;"|"&amp;CZ$5,'Competency Event Log'!$D$4:$D$803)))</f>
        <v/>
      </c>
      <c r="DA125" s="8" t="str">
        <f>IF($B125="","",IF(COUNTIF('Competency Event Log'!$U$4:$U$803,$B125&amp;"|"&amp;DA$5)=0,"",SUMIF('Competency Event Log'!$U$4:$U$803,$B125&amp;"|"&amp;DA$5,'Competency Event Log'!$D$4:$D$803)))</f>
        <v/>
      </c>
      <c r="DB125" s="8" t="str">
        <f>IF($B125="","",IF(COUNTIF('Competency Event Log'!$U$4:$U$803,$B125&amp;"|"&amp;DB$5)=0,"",SUMIF('Competency Event Log'!$U$4:$U$803,$B125&amp;"|"&amp;DB$5,'Competency Event Log'!$D$4:$D$803)))</f>
        <v/>
      </c>
      <c r="DC125" s="8" t="str">
        <f>IF($B125="","",IF(COUNTIF('Competency Event Log'!$U$4:$U$803,$B125&amp;"|"&amp;DC$5)=0,"",SUMIF('Competency Event Log'!$U$4:$U$803,$B125&amp;"|"&amp;DC$5,'Competency Event Log'!$D$4:$D$803)))</f>
        <v/>
      </c>
      <c r="DD125" s="8" t="str">
        <f>IF($B125="","",IF(COUNTIF('Competency Event Log'!$U$4:$U$803,$B125&amp;"|"&amp;DD$5)=0,"",SUMIF('Competency Event Log'!$U$4:$U$803,$B125&amp;"|"&amp;DD$5,'Competency Event Log'!$D$4:$D$803)))</f>
        <v/>
      </c>
      <c r="DE125" s="8" t="str">
        <f>IF($B125="","",IF(COUNTIF('Competency Event Log'!$U$4:$U$803,$B125&amp;"|"&amp;DE$5)=0,"",SUMIF('Competency Event Log'!$U$4:$U$803,$B125&amp;"|"&amp;DE$5,'Competency Event Log'!$D$4:$D$803)))</f>
        <v/>
      </c>
      <c r="DF125" s="8" t="str">
        <f t="shared" si="12"/>
        <v/>
      </c>
      <c r="DG125" s="8" t="str">
        <f t="shared" si="13"/>
        <v/>
      </c>
      <c r="DH125" s="8" t="str">
        <f t="shared" si="14"/>
        <v/>
      </c>
      <c r="DI125" s="11" t="str">
        <f t="shared" si="15"/>
        <v/>
      </c>
    </row>
    <row r="126" spans="1:113">
      <c r="A126" s="7"/>
      <c r="B126" s="7"/>
      <c r="C126" s="8"/>
      <c r="D126" s="9"/>
      <c r="E126" s="10"/>
      <c r="F126" s="8"/>
      <c r="G126" s="8" t="str">
        <f>IF($B126="","",IF(COUNTIF('Competency Event Log'!$U$4:$U$803,$B126&amp;"|"&amp;G$5)=0,"",SUMIF('Competency Event Log'!$U$4:$U$803,$B126&amp;"|"&amp;G$5,'Competency Event Log'!$D$4:$D$803)))</f>
        <v/>
      </c>
      <c r="H126" s="8" t="str">
        <f>IF($B126="","",IF(COUNTIF('Competency Event Log'!$U$4:$U$803,$B126&amp;"|"&amp;H$5)=0,"",SUMIF('Competency Event Log'!$U$4:$U$803,$B126&amp;"|"&amp;H$5,'Competency Event Log'!$D$4:$D$803)))</f>
        <v/>
      </c>
      <c r="I126" s="8" t="str">
        <f>IF($B126="","",IF(COUNTIF('Competency Event Log'!$U$4:$U$803,$B126&amp;"|"&amp;I$5)=0,"",SUMIF('Competency Event Log'!$U$4:$U$803,$B126&amp;"|"&amp;I$5,'Competency Event Log'!$D$4:$D$803)))</f>
        <v/>
      </c>
      <c r="J126" s="8" t="str">
        <f>IF($B126="","",IF(COUNTIF('Competency Event Log'!$U$4:$U$803,$B126&amp;"|"&amp;J$5)=0,"",SUMIF('Competency Event Log'!$U$4:$U$803,$B126&amp;"|"&amp;J$5,'Competency Event Log'!$D$4:$D$803)))</f>
        <v/>
      </c>
      <c r="K126" s="8" t="str">
        <f>IF($B126="","",IF(COUNTIF('Competency Event Log'!$U$4:$U$803,$B126&amp;"|"&amp;K$5)=0,"",SUMIF('Competency Event Log'!$U$4:$U$803,$B126&amp;"|"&amp;K$5,'Competency Event Log'!$D$4:$D$803)))</f>
        <v/>
      </c>
      <c r="L126" s="8" t="str">
        <f>IF($B126="","",IF(COUNTIF('Competency Event Log'!$U$4:$U$803,$B126&amp;"|"&amp;L$5)=0,"",SUMIF('Competency Event Log'!$U$4:$U$803,$B126&amp;"|"&amp;L$5,'Competency Event Log'!$D$4:$D$803)))</f>
        <v/>
      </c>
      <c r="M126" s="8" t="str">
        <f>IF($B126="","",IF(COUNTIF('Competency Event Log'!$U$4:$U$803,$B126&amp;"|"&amp;M$5)=0,"",SUMIF('Competency Event Log'!$U$4:$U$803,$B126&amp;"|"&amp;M$5,'Competency Event Log'!$D$4:$D$803)))</f>
        <v/>
      </c>
      <c r="N126" s="8" t="str">
        <f>IF($B126="","",IF(COUNTIF('Competency Event Log'!$U$4:$U$803,$B126&amp;"|"&amp;N$5)=0,"",SUMIF('Competency Event Log'!$U$4:$U$803,$B126&amp;"|"&amp;N$5,'Competency Event Log'!$D$4:$D$803)))</f>
        <v/>
      </c>
      <c r="O126" s="8" t="str">
        <f>IF($B126="","",IF(COUNTIF('Competency Event Log'!$U$4:$U$803,$B126&amp;"|"&amp;O$5)=0,"",SUMIF('Competency Event Log'!$U$4:$U$803,$B126&amp;"|"&amp;O$5,'Competency Event Log'!$D$4:$D$803)))</f>
        <v/>
      </c>
      <c r="P126" s="8" t="str">
        <f>IF($B126="","",IF(COUNTIF('Competency Event Log'!$U$4:$U$803,$B126&amp;"|"&amp;P$5)=0,"",SUMIF('Competency Event Log'!$U$4:$U$803,$B126&amp;"|"&amp;P$5,'Competency Event Log'!$D$4:$D$803)))</f>
        <v/>
      </c>
      <c r="Q126" s="8" t="str">
        <f>IF($B126="","",IF(COUNTIF('Competency Event Log'!$U$4:$U$803,$B126&amp;"|"&amp;Q$5)=0,"",SUMIF('Competency Event Log'!$U$4:$U$803,$B126&amp;"|"&amp;Q$5,'Competency Event Log'!$D$4:$D$803)))</f>
        <v/>
      </c>
      <c r="R126" s="8" t="str">
        <f>IF($B126="","",IF(COUNTIF('Competency Event Log'!$U$4:$U$803,$B126&amp;"|"&amp;R$5)=0,"",SUMIF('Competency Event Log'!$U$4:$U$803,$B126&amp;"|"&amp;R$5,'Competency Event Log'!$D$4:$D$803)))</f>
        <v/>
      </c>
      <c r="S126" s="8" t="str">
        <f>IF($B126="","",IF(COUNTIF('Competency Event Log'!$U$4:$U$803,$B126&amp;"|"&amp;S$5)=0,"",SUMIF('Competency Event Log'!$U$4:$U$803,$B126&amp;"|"&amp;S$5,'Competency Event Log'!$D$4:$D$803)))</f>
        <v/>
      </c>
      <c r="T126" s="8" t="str">
        <f>IF($B126="","",IF(COUNTIF('Competency Event Log'!$U$4:$U$803,$B126&amp;"|"&amp;T$5)=0,"",SUMIF('Competency Event Log'!$U$4:$U$803,$B126&amp;"|"&amp;T$5,'Competency Event Log'!$D$4:$D$803)))</f>
        <v/>
      </c>
      <c r="U126" s="8" t="str">
        <f>IF($B126="","",IF(COUNTIF('Competency Event Log'!$U$4:$U$803,$B126&amp;"|"&amp;U$5)=0,"",SUMIF('Competency Event Log'!$U$4:$U$803,$B126&amp;"|"&amp;U$5,'Competency Event Log'!$D$4:$D$803)))</f>
        <v/>
      </c>
      <c r="V126" s="8" t="str">
        <f>IF($B126="","",IF(COUNTIF('Competency Event Log'!$U$4:$U$803,$B126&amp;"|"&amp;V$5)=0,"",SUMIF('Competency Event Log'!$U$4:$U$803,$B126&amp;"|"&amp;V$5,'Competency Event Log'!$D$4:$D$803)))</f>
        <v/>
      </c>
      <c r="W126" s="8" t="str">
        <f>IF($B126="","",IF(COUNTIF('Competency Event Log'!$U$4:$U$803,$B126&amp;"|"&amp;W$5)=0,"",SUMIF('Competency Event Log'!$U$4:$U$803,$B126&amp;"|"&amp;W$5,'Competency Event Log'!$D$4:$D$803)))</f>
        <v/>
      </c>
      <c r="X126" s="8" t="str">
        <f>IF($B126="","",IF(COUNTIF('Competency Event Log'!$U$4:$U$803,$B126&amp;"|"&amp;X$5)=0,"",SUMIF('Competency Event Log'!$U$4:$U$803,$B126&amp;"|"&amp;X$5,'Competency Event Log'!$D$4:$D$803)))</f>
        <v/>
      </c>
      <c r="Y126" s="8" t="str">
        <f>IF($B126="","",IF(COUNTIF('Competency Event Log'!$U$4:$U$803,$B126&amp;"|"&amp;Y$5)=0,"",SUMIF('Competency Event Log'!$U$4:$U$803,$B126&amp;"|"&amp;Y$5,'Competency Event Log'!$D$4:$D$803)))</f>
        <v/>
      </c>
      <c r="Z126" s="8" t="str">
        <f>IF($B126="","",IF(COUNTIF('Competency Event Log'!$U$4:$U$803,$B126&amp;"|"&amp;Z$5)=0,"",SUMIF('Competency Event Log'!$U$4:$U$803,$B126&amp;"|"&amp;Z$5,'Competency Event Log'!$D$4:$D$803)))</f>
        <v/>
      </c>
      <c r="AA126" s="8" t="str">
        <f>IF($B126="","",IF(COUNTIF('Competency Event Log'!$U$4:$U$803,$B126&amp;"|"&amp;AA$5)=0,"",SUMIF('Competency Event Log'!$U$4:$U$803,$B126&amp;"|"&amp;AA$5,'Competency Event Log'!$D$4:$D$803)))</f>
        <v/>
      </c>
      <c r="AB126" s="8" t="str">
        <f>IF($B126="","",IF(COUNTIF('Competency Event Log'!$U$4:$U$803,$B126&amp;"|"&amp;AB$5)=0,"",SUMIF('Competency Event Log'!$U$4:$U$803,$B126&amp;"|"&amp;AB$5,'Competency Event Log'!$D$4:$D$803)))</f>
        <v/>
      </c>
      <c r="AC126" s="8" t="str">
        <f>IF($B126="","",IF(COUNTIF('Competency Event Log'!$U$4:$U$803,$B126&amp;"|"&amp;AC$5)=0,"",SUMIF('Competency Event Log'!$U$4:$U$803,$B126&amp;"|"&amp;AC$5,'Competency Event Log'!$D$4:$D$803)))</f>
        <v/>
      </c>
      <c r="AD126" s="8" t="str">
        <f>IF($B126="","",IF(COUNTIF('Competency Event Log'!$U$4:$U$803,$B126&amp;"|"&amp;AD$5)=0,"",SUMIF('Competency Event Log'!$U$4:$U$803,$B126&amp;"|"&amp;AD$5,'Competency Event Log'!$D$4:$D$803)))</f>
        <v/>
      </c>
      <c r="AE126" s="8" t="str">
        <f>IF($B126="","",IF(COUNTIF('Competency Event Log'!$U$4:$U$803,$B126&amp;"|"&amp;AE$5)=0,"",SUMIF('Competency Event Log'!$U$4:$U$803,$B126&amp;"|"&amp;AE$5,'Competency Event Log'!$D$4:$D$803)))</f>
        <v/>
      </c>
      <c r="AF126" s="8" t="str">
        <f>IF($B126="","",IF(COUNTIF('Competency Event Log'!$U$4:$U$803,$B126&amp;"|"&amp;AF$5)=0,"",SUMIF('Competency Event Log'!$U$4:$U$803,$B126&amp;"|"&amp;AF$5,'Competency Event Log'!$D$4:$D$803)))</f>
        <v/>
      </c>
      <c r="AG126" s="8" t="str">
        <f>IF($B126="","",IF(COUNTIF('Competency Event Log'!$U$4:$U$803,$B126&amp;"|"&amp;AG$5)=0,"",SUMIF('Competency Event Log'!$U$4:$U$803,$B126&amp;"|"&amp;AG$5,'Competency Event Log'!$D$4:$D$803)))</f>
        <v/>
      </c>
      <c r="AH126" s="8" t="str">
        <f>IF($B126="","",IF(COUNTIF('Competency Event Log'!$U$4:$U$803,$B126&amp;"|"&amp;AH$5)=0,"",SUMIF('Competency Event Log'!$U$4:$U$803,$B126&amp;"|"&amp;AH$5,'Competency Event Log'!$D$4:$D$803)))</f>
        <v/>
      </c>
      <c r="AI126" s="8" t="str">
        <f>IF($B126="","",IF(COUNTIF('Competency Event Log'!$U$4:$U$803,$B126&amp;"|"&amp;AI$5)=0,"",SUMIF('Competency Event Log'!$U$4:$U$803,$B126&amp;"|"&amp;AI$5,'Competency Event Log'!$D$4:$D$803)))</f>
        <v/>
      </c>
      <c r="AJ126" s="8" t="str">
        <f>IF($B126="","",IF(COUNTIF('Competency Event Log'!$U$4:$U$803,$B126&amp;"|"&amp;AJ$5)=0,"",SUMIF('Competency Event Log'!$U$4:$U$803,$B126&amp;"|"&amp;AJ$5,'Competency Event Log'!$D$4:$D$803)))</f>
        <v/>
      </c>
      <c r="AK126" s="8" t="str">
        <f>IF($B126="","",IF(COUNTIF('Competency Event Log'!$U$4:$U$803,$B126&amp;"|"&amp;AK$5)=0,"",SUMIF('Competency Event Log'!$U$4:$U$803,$B126&amp;"|"&amp;AK$5,'Competency Event Log'!$D$4:$D$803)))</f>
        <v/>
      </c>
      <c r="AL126" s="8" t="str">
        <f>IF($B126="","",IF(COUNTIF('Competency Event Log'!$U$4:$U$803,$B126&amp;"|"&amp;AL$5)=0,"",SUMIF('Competency Event Log'!$U$4:$U$803,$B126&amp;"|"&amp;AL$5,'Competency Event Log'!$D$4:$D$803)))</f>
        <v/>
      </c>
      <c r="AM126" s="8" t="str">
        <f>IF($B126="","",IF(COUNTIF('Competency Event Log'!$U$4:$U$803,$B126&amp;"|"&amp;AM$5)=0,"",SUMIF('Competency Event Log'!$U$4:$U$803,$B126&amp;"|"&amp;AM$5,'Competency Event Log'!$D$4:$D$803)))</f>
        <v/>
      </c>
      <c r="AN126" s="8" t="str">
        <f>IF($B126="","",IF(COUNTIF('Competency Event Log'!$U$4:$U$803,$B126&amp;"|"&amp;AN$5)=0,"",SUMIF('Competency Event Log'!$U$4:$U$803,$B126&amp;"|"&amp;AN$5,'Competency Event Log'!$D$4:$D$803)))</f>
        <v/>
      </c>
      <c r="AO126" s="8" t="str">
        <f>IF($B126="","",IF(COUNTIF('Competency Event Log'!$U$4:$U$803,$B126&amp;"|"&amp;AO$5)=0,"",SUMIF('Competency Event Log'!$U$4:$U$803,$B126&amp;"|"&amp;AO$5,'Competency Event Log'!$D$4:$D$803)))</f>
        <v/>
      </c>
      <c r="AP126" s="8" t="str">
        <f>IF($B126="","",IF(COUNTIF('Competency Event Log'!$U$4:$U$803,$B126&amp;"|"&amp;AP$5)=0,"",SUMIF('Competency Event Log'!$U$4:$U$803,$B126&amp;"|"&amp;AP$5,'Competency Event Log'!$D$4:$D$803)))</f>
        <v/>
      </c>
      <c r="AQ126" s="8" t="str">
        <f>IF($B126="","",IF(COUNTIF('Competency Event Log'!$U$4:$U$803,$B126&amp;"|"&amp;AQ$5)=0,"",SUMIF('Competency Event Log'!$U$4:$U$803,$B126&amp;"|"&amp;AQ$5,'Competency Event Log'!$D$4:$D$803)))</f>
        <v/>
      </c>
      <c r="AR126" s="8" t="str">
        <f>IF($B126="","",IF(COUNTIF('Competency Event Log'!$U$4:$U$803,$B126&amp;"|"&amp;AR$5)=0,"",SUMIF('Competency Event Log'!$U$4:$U$803,$B126&amp;"|"&amp;AR$5,'Competency Event Log'!$D$4:$D$803)))</f>
        <v/>
      </c>
      <c r="AS126" s="8" t="str">
        <f>IF($B126="","",IF(COUNTIF('Competency Event Log'!$U$4:$U$803,$B126&amp;"|"&amp;AS$5)=0,"",SUMIF('Competency Event Log'!$U$4:$U$803,$B126&amp;"|"&amp;AS$5,'Competency Event Log'!$D$4:$D$803)))</f>
        <v/>
      </c>
      <c r="AT126" s="8" t="str">
        <f>IF($B126="","",IF(COUNTIF('Competency Event Log'!$U$4:$U$803,$B126&amp;"|"&amp;AT$5)=0,"",SUMIF('Competency Event Log'!$U$4:$U$803,$B126&amp;"|"&amp;AT$5,'Competency Event Log'!$D$4:$D$803)))</f>
        <v/>
      </c>
      <c r="AU126" s="8" t="str">
        <f>IF($B126="","",IF(COUNTIF('Competency Event Log'!$U$4:$U$803,$B126&amp;"|"&amp;AU$5)=0,"",SUMIF('Competency Event Log'!$U$4:$U$803,$B126&amp;"|"&amp;AU$5,'Competency Event Log'!$D$4:$D$803)))</f>
        <v/>
      </c>
      <c r="AV126" s="8" t="str">
        <f>IF($B126="","",IF(COUNTIF('Competency Event Log'!$U$4:$U$803,$B126&amp;"|"&amp;AV$5)=0,"",SUMIF('Competency Event Log'!$U$4:$U$803,$B126&amp;"|"&amp;AV$5,'Competency Event Log'!$D$4:$D$803)))</f>
        <v/>
      </c>
      <c r="AW126" s="8" t="str">
        <f>IF($B126="","",IF(COUNTIF('Competency Event Log'!$U$4:$U$803,$B126&amp;"|"&amp;AW$5)=0,"",SUMIF('Competency Event Log'!$U$4:$U$803,$B126&amp;"|"&amp;AW$5,'Competency Event Log'!$D$4:$D$803)))</f>
        <v/>
      </c>
      <c r="AX126" s="8" t="str">
        <f>IF($B126="","",IF(COUNTIF('Competency Event Log'!$U$4:$U$803,$B126&amp;"|"&amp;AX$5)=0,"",SUMIF('Competency Event Log'!$U$4:$U$803,$B126&amp;"|"&amp;AX$5,'Competency Event Log'!$D$4:$D$803)))</f>
        <v/>
      </c>
      <c r="AY126" s="8" t="str">
        <f>IF($B126="","",IF(COUNTIF('Competency Event Log'!$U$4:$U$803,$B126&amp;"|"&amp;AY$5)=0,"",SUMIF('Competency Event Log'!$U$4:$U$803,$B126&amp;"|"&amp;AY$5,'Competency Event Log'!$D$4:$D$803)))</f>
        <v/>
      </c>
      <c r="AZ126" s="8" t="str">
        <f>IF($B126="","",IF(COUNTIF('Competency Event Log'!$U$4:$U$803,$B126&amp;"|"&amp;AZ$5)=0,"",SUMIF('Competency Event Log'!$U$4:$U$803,$B126&amp;"|"&amp;AZ$5,'Competency Event Log'!$D$4:$D$803)))</f>
        <v/>
      </c>
      <c r="BA126" s="8" t="str">
        <f>IF($B126="","",IF(COUNTIF('Competency Event Log'!$U$4:$U$803,$B126&amp;"|"&amp;BA$5)=0,"",SUMIF('Competency Event Log'!$U$4:$U$803,$B126&amp;"|"&amp;BA$5,'Competency Event Log'!$D$4:$D$803)))</f>
        <v/>
      </c>
      <c r="BB126" s="8" t="str">
        <f>IF($B126="","",IF(COUNTIF('Competency Event Log'!$U$4:$U$803,$B126&amp;"|"&amp;BB$5)=0,"",SUMIF('Competency Event Log'!$U$4:$U$803,$B126&amp;"|"&amp;BB$5,'Competency Event Log'!$D$4:$D$803)))</f>
        <v/>
      </c>
      <c r="BC126" s="8" t="str">
        <f>IF($B126="","",IF(COUNTIF('Competency Event Log'!$U$4:$U$803,$B126&amp;"|"&amp;BC$5)=0,"",SUMIF('Competency Event Log'!$U$4:$U$803,$B126&amp;"|"&amp;BC$5,'Competency Event Log'!$D$4:$D$803)))</f>
        <v/>
      </c>
      <c r="BD126" s="8" t="str">
        <f>IF($B126="","",IF(COUNTIF('Competency Event Log'!$U$4:$U$803,$B126&amp;"|"&amp;BD$5)=0,"",SUMIF('Competency Event Log'!$U$4:$U$803,$B126&amp;"|"&amp;BD$5,'Competency Event Log'!$D$4:$D$803)))</f>
        <v/>
      </c>
      <c r="BE126" s="8" t="str">
        <f>IF($B126="","",IF(COUNTIF('Competency Event Log'!$U$4:$U$803,$B126&amp;"|"&amp;BE$5)=0,"",SUMIF('Competency Event Log'!$U$4:$U$803,$B126&amp;"|"&amp;BE$5,'Competency Event Log'!$D$4:$D$803)))</f>
        <v/>
      </c>
      <c r="BF126" s="8" t="str">
        <f>IF($B126="","",IF(COUNTIF('Competency Event Log'!$U$4:$U$803,$B126&amp;"|"&amp;BF$5)=0,"",SUMIF('Competency Event Log'!$U$4:$U$803,$B126&amp;"|"&amp;BF$5,'Competency Event Log'!$D$4:$D$803)))</f>
        <v/>
      </c>
      <c r="BG126" s="8" t="str">
        <f>IF($B126="","",IF(COUNTIF('Competency Event Log'!$U$4:$U$803,$B126&amp;"|"&amp;BG$5)=0,"",SUMIF('Competency Event Log'!$U$4:$U$803,$B126&amp;"|"&amp;BG$5,'Competency Event Log'!$D$4:$D$803)))</f>
        <v/>
      </c>
      <c r="BH126" s="8" t="str">
        <f>IF($B126="","",IF(COUNTIF('Competency Event Log'!$U$4:$U$803,$B126&amp;"|"&amp;BH$5)=0,"",SUMIF('Competency Event Log'!$U$4:$U$803,$B126&amp;"|"&amp;BH$5,'Competency Event Log'!$D$4:$D$803)))</f>
        <v/>
      </c>
      <c r="BI126" s="8" t="str">
        <f>IF($B126="","",IF(COUNTIF('Competency Event Log'!$U$4:$U$803,$B126&amp;"|"&amp;BI$5)=0,"",SUMIF('Competency Event Log'!$U$4:$U$803,$B126&amp;"|"&amp;BI$5,'Competency Event Log'!$D$4:$D$803)))</f>
        <v/>
      </c>
      <c r="BJ126" s="8" t="str">
        <f>IF($B126="","",IF(COUNTIF('Competency Event Log'!$U$4:$U$803,$B126&amp;"|"&amp;BJ$5)=0,"",SUMIF('Competency Event Log'!$U$4:$U$803,$B126&amp;"|"&amp;BJ$5,'Competency Event Log'!$D$4:$D$803)))</f>
        <v/>
      </c>
      <c r="BK126" s="8" t="str">
        <f>IF($B126="","",IF(COUNTIF('Competency Event Log'!$U$4:$U$803,$B126&amp;"|"&amp;BK$5)=0,"",SUMIF('Competency Event Log'!$U$4:$U$803,$B126&amp;"|"&amp;BK$5,'Competency Event Log'!$D$4:$D$803)))</f>
        <v/>
      </c>
      <c r="BL126" s="8" t="str">
        <f>IF($B126="","",IF(COUNTIF('Competency Event Log'!$U$4:$U$803,$B126&amp;"|"&amp;BL$5)=0,"",SUMIF('Competency Event Log'!$U$4:$U$803,$B126&amp;"|"&amp;BL$5,'Competency Event Log'!$D$4:$D$803)))</f>
        <v/>
      </c>
      <c r="BM126" s="8" t="str">
        <f>IF($B126="","",IF(COUNTIF('Competency Event Log'!$U$4:$U$803,$B126&amp;"|"&amp;BM$5)=0,"",SUMIF('Competency Event Log'!$U$4:$U$803,$B126&amp;"|"&amp;BM$5,'Competency Event Log'!$D$4:$D$803)))</f>
        <v/>
      </c>
      <c r="BN126" s="8" t="str">
        <f>IF($B126="","",IF(COUNTIF('Competency Event Log'!$U$4:$U$803,$B126&amp;"|"&amp;BN$5)=0,"",SUMIF('Competency Event Log'!$U$4:$U$803,$B126&amp;"|"&amp;BN$5,'Competency Event Log'!$D$4:$D$803)))</f>
        <v/>
      </c>
      <c r="BO126" s="8" t="str">
        <f>IF($B126="","",IF(COUNTIF('Competency Event Log'!$U$4:$U$803,$B126&amp;"|"&amp;BO$5)=0,"",SUMIF('Competency Event Log'!$U$4:$U$803,$B126&amp;"|"&amp;BO$5,'Competency Event Log'!$D$4:$D$803)))</f>
        <v/>
      </c>
      <c r="BP126" s="8" t="str">
        <f>IF($B126="","",IF(COUNTIF('Competency Event Log'!$U$4:$U$803,$B126&amp;"|"&amp;BP$5)=0,"",SUMIF('Competency Event Log'!$U$4:$U$803,$B126&amp;"|"&amp;BP$5,'Competency Event Log'!$D$4:$D$803)))</f>
        <v/>
      </c>
      <c r="BQ126" s="8" t="str">
        <f>IF($B126="","",IF(COUNTIF('Competency Event Log'!$U$4:$U$803,$B126&amp;"|"&amp;BQ$5)=0,"",SUMIF('Competency Event Log'!$U$4:$U$803,$B126&amp;"|"&amp;BQ$5,'Competency Event Log'!$D$4:$D$803)))</f>
        <v/>
      </c>
      <c r="BR126" s="8" t="str">
        <f>IF($B126="","",IF(COUNTIF('Competency Event Log'!$U$4:$U$803,$B126&amp;"|"&amp;BR$5)=0,"",SUMIF('Competency Event Log'!$U$4:$U$803,$B126&amp;"|"&amp;BR$5,'Competency Event Log'!$D$4:$D$803)))</f>
        <v/>
      </c>
      <c r="BS126" s="8" t="str">
        <f>IF($B126="","",IF(COUNTIF('Competency Event Log'!$U$4:$U$803,$B126&amp;"|"&amp;BS$5)=0,"",SUMIF('Competency Event Log'!$U$4:$U$803,$B126&amp;"|"&amp;BS$5,'Competency Event Log'!$D$4:$D$803)))</f>
        <v/>
      </c>
      <c r="BT126" s="8" t="str">
        <f>IF($B126="","",IF(COUNTIF('Competency Event Log'!$U$4:$U$803,$B126&amp;"|"&amp;BT$5)=0,"",SUMIF('Competency Event Log'!$U$4:$U$803,$B126&amp;"|"&amp;BT$5,'Competency Event Log'!$D$4:$D$803)))</f>
        <v/>
      </c>
      <c r="BU126" s="8" t="str">
        <f>IF($B126="","",IF(COUNTIF('Competency Event Log'!$U$4:$U$803,$B126&amp;"|"&amp;BU$5)=0,"",SUMIF('Competency Event Log'!$U$4:$U$803,$B126&amp;"|"&amp;BU$5,'Competency Event Log'!$D$4:$D$803)))</f>
        <v/>
      </c>
      <c r="BV126" s="8" t="str">
        <f>IF($B126="","",IF(COUNTIF('Competency Event Log'!$U$4:$U$803,$B126&amp;"|"&amp;BV$5)=0,"",SUMIF('Competency Event Log'!$U$4:$U$803,$B126&amp;"|"&amp;BV$5,'Competency Event Log'!$D$4:$D$803)))</f>
        <v/>
      </c>
      <c r="BW126" s="8" t="str">
        <f>IF($B126="","",IF(COUNTIF('Competency Event Log'!$U$4:$U$803,$B126&amp;"|"&amp;BW$5)=0,"",SUMIF('Competency Event Log'!$U$4:$U$803,$B126&amp;"|"&amp;BW$5,'Competency Event Log'!$D$4:$D$803)))</f>
        <v/>
      </c>
      <c r="BX126" s="8" t="str">
        <f>IF($B126="","",IF(COUNTIF('Competency Event Log'!$U$4:$U$803,$B126&amp;"|"&amp;BX$5)=0,"",SUMIF('Competency Event Log'!$U$4:$U$803,$B126&amp;"|"&amp;BX$5,'Competency Event Log'!$D$4:$D$803)))</f>
        <v/>
      </c>
      <c r="BY126" s="8" t="str">
        <f>IF($B126="","",IF(COUNTIF('Competency Event Log'!$U$4:$U$803,$B126&amp;"|"&amp;BY$5)=0,"",SUMIF('Competency Event Log'!$U$4:$U$803,$B126&amp;"|"&amp;BY$5,'Competency Event Log'!$D$4:$D$803)))</f>
        <v/>
      </c>
      <c r="BZ126" s="8" t="str">
        <f>IF($B126="","",IF(COUNTIF('Competency Event Log'!$U$4:$U$803,$B126&amp;"|"&amp;BZ$5)=0,"",SUMIF('Competency Event Log'!$U$4:$U$803,$B126&amp;"|"&amp;BZ$5,'Competency Event Log'!$D$4:$D$803)))</f>
        <v/>
      </c>
      <c r="CA126" s="8" t="str">
        <f>IF($B126="","",IF(COUNTIF('Competency Event Log'!$U$4:$U$803,$B126&amp;"|"&amp;CA$5)=0,"",SUMIF('Competency Event Log'!$U$4:$U$803,$B126&amp;"|"&amp;CA$5,'Competency Event Log'!$D$4:$D$803)))</f>
        <v/>
      </c>
      <c r="CB126" s="8" t="str">
        <f>IF($B126="","",IF(COUNTIF('Competency Event Log'!$U$4:$U$803,$B126&amp;"|"&amp;CB$5)=0,"",SUMIF('Competency Event Log'!$U$4:$U$803,$B126&amp;"|"&amp;CB$5,'Competency Event Log'!$D$4:$D$803)))</f>
        <v/>
      </c>
      <c r="CC126" s="8" t="str">
        <f>IF($B126="","",IF(COUNTIF('Competency Event Log'!$U$4:$U$803,$B126&amp;"|"&amp;CC$5)=0,"",SUMIF('Competency Event Log'!$U$4:$U$803,$B126&amp;"|"&amp;CC$5,'Competency Event Log'!$D$4:$D$803)))</f>
        <v/>
      </c>
      <c r="CD126" s="8" t="str">
        <f>IF($B126="","",IF(COUNTIF('Competency Event Log'!$U$4:$U$803,$B126&amp;"|"&amp;CD$5)=0,"",SUMIF('Competency Event Log'!$U$4:$U$803,$B126&amp;"|"&amp;CD$5,'Competency Event Log'!$D$4:$D$803)))</f>
        <v/>
      </c>
      <c r="CE126" s="8" t="str">
        <f>IF($B126="","",IF(COUNTIF('Competency Event Log'!$U$4:$U$803,$B126&amp;"|"&amp;CE$5)=0,"",SUMIF('Competency Event Log'!$U$4:$U$803,$B126&amp;"|"&amp;CE$5,'Competency Event Log'!$D$4:$D$803)))</f>
        <v/>
      </c>
      <c r="CF126" s="8" t="str">
        <f>IF($B126="","",IF(COUNTIF('Competency Event Log'!$U$4:$U$803,$B126&amp;"|"&amp;CF$5)=0,"",SUMIF('Competency Event Log'!$U$4:$U$803,$B126&amp;"|"&amp;CF$5,'Competency Event Log'!$D$4:$D$803)))</f>
        <v/>
      </c>
      <c r="CG126" s="8" t="str">
        <f>IF($B126="","",IF(COUNTIF('Competency Event Log'!$U$4:$U$803,$B126&amp;"|"&amp;CG$5)=0,"",SUMIF('Competency Event Log'!$U$4:$U$803,$B126&amp;"|"&amp;CG$5,'Competency Event Log'!$D$4:$D$803)))</f>
        <v/>
      </c>
      <c r="CH126" s="8" t="str">
        <f>IF($B126="","",IF(COUNTIF('Competency Event Log'!$U$4:$U$803,$B126&amp;"|"&amp;CH$5)=0,"",SUMIF('Competency Event Log'!$U$4:$U$803,$B126&amp;"|"&amp;CH$5,'Competency Event Log'!$D$4:$D$803)))</f>
        <v/>
      </c>
      <c r="CI126" s="8" t="str">
        <f>IF($B126="","",IF(COUNTIF('Competency Event Log'!$U$4:$U$803,$B126&amp;"|"&amp;CI$5)=0,"",SUMIF('Competency Event Log'!$U$4:$U$803,$B126&amp;"|"&amp;CI$5,'Competency Event Log'!$D$4:$D$803)))</f>
        <v/>
      </c>
      <c r="CJ126" s="8" t="str">
        <f>IF($B126="","",IF(COUNTIF('Competency Event Log'!$U$4:$U$803,$B126&amp;"|"&amp;CJ$5)=0,"",SUMIF('Competency Event Log'!$U$4:$U$803,$B126&amp;"|"&amp;CJ$5,'Competency Event Log'!$D$4:$D$803)))</f>
        <v/>
      </c>
      <c r="CK126" s="8" t="str">
        <f>IF($B126="","",IF(COUNTIF('Competency Event Log'!$U$4:$U$803,$B126&amp;"|"&amp;CK$5)=0,"",SUMIF('Competency Event Log'!$U$4:$U$803,$B126&amp;"|"&amp;CK$5,'Competency Event Log'!$D$4:$D$803)))</f>
        <v/>
      </c>
      <c r="CL126" s="8" t="str">
        <f>IF($B126="","",IF(COUNTIF('Competency Event Log'!$U$4:$U$803,$B126&amp;"|"&amp;CL$5)=0,"",SUMIF('Competency Event Log'!$U$4:$U$803,$B126&amp;"|"&amp;CL$5,'Competency Event Log'!$D$4:$D$803)))</f>
        <v/>
      </c>
      <c r="CM126" s="8" t="str">
        <f>IF($B126="","",IF(COUNTIF('Competency Event Log'!$U$4:$U$803,$B126&amp;"|"&amp;CM$5)=0,"",SUMIF('Competency Event Log'!$U$4:$U$803,$B126&amp;"|"&amp;CM$5,'Competency Event Log'!$D$4:$D$803)))</f>
        <v/>
      </c>
      <c r="CN126" s="8" t="str">
        <f>IF($B126="","",IF(COUNTIF('Competency Event Log'!$U$4:$U$803,$B126&amp;"|"&amp;CN$5)=0,"",SUMIF('Competency Event Log'!$U$4:$U$803,$B126&amp;"|"&amp;CN$5,'Competency Event Log'!$D$4:$D$803)))</f>
        <v/>
      </c>
      <c r="CO126" s="8" t="str">
        <f>IF($B126="","",IF(COUNTIF('Competency Event Log'!$U$4:$U$803,$B126&amp;"|"&amp;CO$5)=0,"",SUMIF('Competency Event Log'!$U$4:$U$803,$B126&amp;"|"&amp;CO$5,'Competency Event Log'!$D$4:$D$803)))</f>
        <v/>
      </c>
      <c r="CP126" s="8" t="str">
        <f>IF($B126="","",IF(COUNTIF('Competency Event Log'!$U$4:$U$803,$B126&amp;"|"&amp;CP$5)=0,"",SUMIF('Competency Event Log'!$U$4:$U$803,$B126&amp;"|"&amp;CP$5,'Competency Event Log'!$D$4:$D$803)))</f>
        <v/>
      </c>
      <c r="CQ126" s="8" t="str">
        <f>IF($B126="","",IF(COUNTIF('Competency Event Log'!$U$4:$U$803,$B126&amp;"|"&amp;CQ$5)=0,"",SUMIF('Competency Event Log'!$U$4:$U$803,$B126&amp;"|"&amp;CQ$5,'Competency Event Log'!$D$4:$D$803)))</f>
        <v/>
      </c>
      <c r="CR126" s="8" t="str">
        <f>IF($B126="","",IF(COUNTIF('Competency Event Log'!$U$4:$U$803,$B126&amp;"|"&amp;CR$5)=0,"",SUMIF('Competency Event Log'!$U$4:$U$803,$B126&amp;"|"&amp;CR$5,'Competency Event Log'!$D$4:$D$803)))</f>
        <v/>
      </c>
      <c r="CS126" s="8" t="str">
        <f>IF($B126="","",IF(COUNTIF('Competency Event Log'!$U$4:$U$803,$B126&amp;"|"&amp;CS$5)=0,"",SUMIF('Competency Event Log'!$U$4:$U$803,$B126&amp;"|"&amp;CS$5,'Competency Event Log'!$D$4:$D$803)))</f>
        <v/>
      </c>
      <c r="CT126" s="8" t="str">
        <f>IF($B126="","",IF(COUNTIF('Competency Event Log'!$U$4:$U$803,$B126&amp;"|"&amp;CT$5)=0,"",SUMIF('Competency Event Log'!$U$4:$U$803,$B126&amp;"|"&amp;CT$5,'Competency Event Log'!$D$4:$D$803)))</f>
        <v/>
      </c>
      <c r="CU126" s="8" t="str">
        <f>IF($B126="","",IF(COUNTIF('Competency Event Log'!$U$4:$U$803,$B126&amp;"|"&amp;CU$5)=0,"",SUMIF('Competency Event Log'!$U$4:$U$803,$B126&amp;"|"&amp;CU$5,'Competency Event Log'!$D$4:$D$803)))</f>
        <v/>
      </c>
      <c r="CV126" s="8" t="str">
        <f>IF($B126="","",IF(COUNTIF('Competency Event Log'!$U$4:$U$803,$B126&amp;"|"&amp;CV$5)=0,"",SUMIF('Competency Event Log'!$U$4:$U$803,$B126&amp;"|"&amp;CV$5,'Competency Event Log'!$D$4:$D$803)))</f>
        <v/>
      </c>
      <c r="CW126" s="8" t="str">
        <f>IF($B126="","",IF(COUNTIF('Competency Event Log'!$U$4:$U$803,$B126&amp;"|"&amp;CW$5)=0,"",SUMIF('Competency Event Log'!$U$4:$U$803,$B126&amp;"|"&amp;CW$5,'Competency Event Log'!$D$4:$D$803)))</f>
        <v/>
      </c>
      <c r="CX126" s="8" t="str">
        <f>IF($B126="","",IF(COUNTIF('Competency Event Log'!$U$4:$U$803,$B126&amp;"|"&amp;CX$5)=0,"",SUMIF('Competency Event Log'!$U$4:$U$803,$B126&amp;"|"&amp;CX$5,'Competency Event Log'!$D$4:$D$803)))</f>
        <v/>
      </c>
      <c r="CY126" s="8" t="str">
        <f>IF($B126="","",IF(COUNTIF('Competency Event Log'!$U$4:$U$803,$B126&amp;"|"&amp;CY$5)=0,"",SUMIF('Competency Event Log'!$U$4:$U$803,$B126&amp;"|"&amp;CY$5,'Competency Event Log'!$D$4:$D$803)))</f>
        <v/>
      </c>
      <c r="CZ126" s="8" t="str">
        <f>IF($B126="","",IF(COUNTIF('Competency Event Log'!$U$4:$U$803,$B126&amp;"|"&amp;CZ$5)=0,"",SUMIF('Competency Event Log'!$U$4:$U$803,$B126&amp;"|"&amp;CZ$5,'Competency Event Log'!$D$4:$D$803)))</f>
        <v/>
      </c>
      <c r="DA126" s="8" t="str">
        <f>IF($B126="","",IF(COUNTIF('Competency Event Log'!$U$4:$U$803,$B126&amp;"|"&amp;DA$5)=0,"",SUMIF('Competency Event Log'!$U$4:$U$803,$B126&amp;"|"&amp;DA$5,'Competency Event Log'!$D$4:$D$803)))</f>
        <v/>
      </c>
      <c r="DB126" s="8" t="str">
        <f>IF($B126="","",IF(COUNTIF('Competency Event Log'!$U$4:$U$803,$B126&amp;"|"&amp;DB$5)=0,"",SUMIF('Competency Event Log'!$U$4:$U$803,$B126&amp;"|"&amp;DB$5,'Competency Event Log'!$D$4:$D$803)))</f>
        <v/>
      </c>
      <c r="DC126" s="8" t="str">
        <f>IF($B126="","",IF(COUNTIF('Competency Event Log'!$U$4:$U$803,$B126&amp;"|"&amp;DC$5)=0,"",SUMIF('Competency Event Log'!$U$4:$U$803,$B126&amp;"|"&amp;DC$5,'Competency Event Log'!$D$4:$D$803)))</f>
        <v/>
      </c>
      <c r="DD126" s="8" t="str">
        <f>IF($B126="","",IF(COUNTIF('Competency Event Log'!$U$4:$U$803,$B126&amp;"|"&amp;DD$5)=0,"",SUMIF('Competency Event Log'!$U$4:$U$803,$B126&amp;"|"&amp;DD$5,'Competency Event Log'!$D$4:$D$803)))</f>
        <v/>
      </c>
      <c r="DE126" s="8" t="str">
        <f>IF($B126="","",IF(COUNTIF('Competency Event Log'!$U$4:$U$803,$B126&amp;"|"&amp;DE$5)=0,"",SUMIF('Competency Event Log'!$U$4:$U$803,$B126&amp;"|"&amp;DE$5,'Competency Event Log'!$D$4:$D$803)))</f>
        <v/>
      </c>
      <c r="DF126" s="8" t="str">
        <f t="shared" si="12"/>
        <v/>
      </c>
      <c r="DG126" s="8" t="str">
        <f t="shared" si="13"/>
        <v/>
      </c>
      <c r="DH126" s="8" t="str">
        <f t="shared" si="14"/>
        <v/>
      </c>
      <c r="DI126" s="11" t="str">
        <f t="shared" si="15"/>
        <v/>
      </c>
    </row>
    <row r="127" spans="1:113">
      <c r="A127" s="7"/>
      <c r="B127" s="7"/>
      <c r="C127" s="8"/>
      <c r="D127" s="9"/>
      <c r="E127" s="10"/>
      <c r="F127" s="8"/>
      <c r="G127" s="8" t="str">
        <f>IF($B127="","",IF(COUNTIF('Competency Event Log'!$U$4:$U$803,$B127&amp;"|"&amp;G$5)=0,"",SUMIF('Competency Event Log'!$U$4:$U$803,$B127&amp;"|"&amp;G$5,'Competency Event Log'!$D$4:$D$803)))</f>
        <v/>
      </c>
      <c r="H127" s="8" t="str">
        <f>IF($B127="","",IF(COUNTIF('Competency Event Log'!$U$4:$U$803,$B127&amp;"|"&amp;H$5)=0,"",SUMIF('Competency Event Log'!$U$4:$U$803,$B127&amp;"|"&amp;H$5,'Competency Event Log'!$D$4:$D$803)))</f>
        <v/>
      </c>
      <c r="I127" s="8" t="str">
        <f>IF($B127="","",IF(COUNTIF('Competency Event Log'!$U$4:$U$803,$B127&amp;"|"&amp;I$5)=0,"",SUMIF('Competency Event Log'!$U$4:$U$803,$B127&amp;"|"&amp;I$5,'Competency Event Log'!$D$4:$D$803)))</f>
        <v/>
      </c>
      <c r="J127" s="8" t="str">
        <f>IF($B127="","",IF(COUNTIF('Competency Event Log'!$U$4:$U$803,$B127&amp;"|"&amp;J$5)=0,"",SUMIF('Competency Event Log'!$U$4:$U$803,$B127&amp;"|"&amp;J$5,'Competency Event Log'!$D$4:$D$803)))</f>
        <v/>
      </c>
      <c r="K127" s="8" t="str">
        <f>IF($B127="","",IF(COUNTIF('Competency Event Log'!$U$4:$U$803,$B127&amp;"|"&amp;K$5)=0,"",SUMIF('Competency Event Log'!$U$4:$U$803,$B127&amp;"|"&amp;K$5,'Competency Event Log'!$D$4:$D$803)))</f>
        <v/>
      </c>
      <c r="L127" s="8" t="str">
        <f>IF($B127="","",IF(COUNTIF('Competency Event Log'!$U$4:$U$803,$B127&amp;"|"&amp;L$5)=0,"",SUMIF('Competency Event Log'!$U$4:$U$803,$B127&amp;"|"&amp;L$5,'Competency Event Log'!$D$4:$D$803)))</f>
        <v/>
      </c>
      <c r="M127" s="8" t="str">
        <f>IF($B127="","",IF(COUNTIF('Competency Event Log'!$U$4:$U$803,$B127&amp;"|"&amp;M$5)=0,"",SUMIF('Competency Event Log'!$U$4:$U$803,$B127&amp;"|"&amp;M$5,'Competency Event Log'!$D$4:$D$803)))</f>
        <v/>
      </c>
      <c r="N127" s="8" t="str">
        <f>IF($B127="","",IF(COUNTIF('Competency Event Log'!$U$4:$U$803,$B127&amp;"|"&amp;N$5)=0,"",SUMIF('Competency Event Log'!$U$4:$U$803,$B127&amp;"|"&amp;N$5,'Competency Event Log'!$D$4:$D$803)))</f>
        <v/>
      </c>
      <c r="O127" s="8" t="str">
        <f>IF($B127="","",IF(COUNTIF('Competency Event Log'!$U$4:$U$803,$B127&amp;"|"&amp;O$5)=0,"",SUMIF('Competency Event Log'!$U$4:$U$803,$B127&amp;"|"&amp;O$5,'Competency Event Log'!$D$4:$D$803)))</f>
        <v/>
      </c>
      <c r="P127" s="8" t="str">
        <f>IF($B127="","",IF(COUNTIF('Competency Event Log'!$U$4:$U$803,$B127&amp;"|"&amp;P$5)=0,"",SUMIF('Competency Event Log'!$U$4:$U$803,$B127&amp;"|"&amp;P$5,'Competency Event Log'!$D$4:$D$803)))</f>
        <v/>
      </c>
      <c r="Q127" s="8" t="str">
        <f>IF($B127="","",IF(COUNTIF('Competency Event Log'!$U$4:$U$803,$B127&amp;"|"&amp;Q$5)=0,"",SUMIF('Competency Event Log'!$U$4:$U$803,$B127&amp;"|"&amp;Q$5,'Competency Event Log'!$D$4:$D$803)))</f>
        <v/>
      </c>
      <c r="R127" s="8" t="str">
        <f>IF($B127="","",IF(COUNTIF('Competency Event Log'!$U$4:$U$803,$B127&amp;"|"&amp;R$5)=0,"",SUMIF('Competency Event Log'!$U$4:$U$803,$B127&amp;"|"&amp;R$5,'Competency Event Log'!$D$4:$D$803)))</f>
        <v/>
      </c>
      <c r="S127" s="8" t="str">
        <f>IF($B127="","",IF(COUNTIF('Competency Event Log'!$U$4:$U$803,$B127&amp;"|"&amp;S$5)=0,"",SUMIF('Competency Event Log'!$U$4:$U$803,$B127&amp;"|"&amp;S$5,'Competency Event Log'!$D$4:$D$803)))</f>
        <v/>
      </c>
      <c r="T127" s="8" t="str">
        <f>IF($B127="","",IF(COUNTIF('Competency Event Log'!$U$4:$U$803,$B127&amp;"|"&amp;T$5)=0,"",SUMIF('Competency Event Log'!$U$4:$U$803,$B127&amp;"|"&amp;T$5,'Competency Event Log'!$D$4:$D$803)))</f>
        <v/>
      </c>
      <c r="U127" s="8" t="str">
        <f>IF($B127="","",IF(COUNTIF('Competency Event Log'!$U$4:$U$803,$B127&amp;"|"&amp;U$5)=0,"",SUMIF('Competency Event Log'!$U$4:$U$803,$B127&amp;"|"&amp;U$5,'Competency Event Log'!$D$4:$D$803)))</f>
        <v/>
      </c>
      <c r="V127" s="8" t="str">
        <f>IF($B127="","",IF(COUNTIF('Competency Event Log'!$U$4:$U$803,$B127&amp;"|"&amp;V$5)=0,"",SUMIF('Competency Event Log'!$U$4:$U$803,$B127&amp;"|"&amp;V$5,'Competency Event Log'!$D$4:$D$803)))</f>
        <v/>
      </c>
      <c r="W127" s="8" t="str">
        <f>IF($B127="","",IF(COUNTIF('Competency Event Log'!$U$4:$U$803,$B127&amp;"|"&amp;W$5)=0,"",SUMIF('Competency Event Log'!$U$4:$U$803,$B127&amp;"|"&amp;W$5,'Competency Event Log'!$D$4:$D$803)))</f>
        <v/>
      </c>
      <c r="X127" s="8" t="str">
        <f>IF($B127="","",IF(COUNTIF('Competency Event Log'!$U$4:$U$803,$B127&amp;"|"&amp;X$5)=0,"",SUMIF('Competency Event Log'!$U$4:$U$803,$B127&amp;"|"&amp;X$5,'Competency Event Log'!$D$4:$D$803)))</f>
        <v/>
      </c>
      <c r="Y127" s="8" t="str">
        <f>IF($B127="","",IF(COUNTIF('Competency Event Log'!$U$4:$U$803,$B127&amp;"|"&amp;Y$5)=0,"",SUMIF('Competency Event Log'!$U$4:$U$803,$B127&amp;"|"&amp;Y$5,'Competency Event Log'!$D$4:$D$803)))</f>
        <v/>
      </c>
      <c r="Z127" s="8" t="str">
        <f>IF($B127="","",IF(COUNTIF('Competency Event Log'!$U$4:$U$803,$B127&amp;"|"&amp;Z$5)=0,"",SUMIF('Competency Event Log'!$U$4:$U$803,$B127&amp;"|"&amp;Z$5,'Competency Event Log'!$D$4:$D$803)))</f>
        <v/>
      </c>
      <c r="AA127" s="8" t="str">
        <f>IF($B127="","",IF(COUNTIF('Competency Event Log'!$U$4:$U$803,$B127&amp;"|"&amp;AA$5)=0,"",SUMIF('Competency Event Log'!$U$4:$U$803,$B127&amp;"|"&amp;AA$5,'Competency Event Log'!$D$4:$D$803)))</f>
        <v/>
      </c>
      <c r="AB127" s="8" t="str">
        <f>IF($B127="","",IF(COUNTIF('Competency Event Log'!$U$4:$U$803,$B127&amp;"|"&amp;AB$5)=0,"",SUMIF('Competency Event Log'!$U$4:$U$803,$B127&amp;"|"&amp;AB$5,'Competency Event Log'!$D$4:$D$803)))</f>
        <v/>
      </c>
      <c r="AC127" s="8" t="str">
        <f>IF($B127="","",IF(COUNTIF('Competency Event Log'!$U$4:$U$803,$B127&amp;"|"&amp;AC$5)=0,"",SUMIF('Competency Event Log'!$U$4:$U$803,$B127&amp;"|"&amp;AC$5,'Competency Event Log'!$D$4:$D$803)))</f>
        <v/>
      </c>
      <c r="AD127" s="8" t="str">
        <f>IF($B127="","",IF(COUNTIF('Competency Event Log'!$U$4:$U$803,$B127&amp;"|"&amp;AD$5)=0,"",SUMIF('Competency Event Log'!$U$4:$U$803,$B127&amp;"|"&amp;AD$5,'Competency Event Log'!$D$4:$D$803)))</f>
        <v/>
      </c>
      <c r="AE127" s="8" t="str">
        <f>IF($B127="","",IF(COUNTIF('Competency Event Log'!$U$4:$U$803,$B127&amp;"|"&amp;AE$5)=0,"",SUMIF('Competency Event Log'!$U$4:$U$803,$B127&amp;"|"&amp;AE$5,'Competency Event Log'!$D$4:$D$803)))</f>
        <v/>
      </c>
      <c r="AF127" s="8" t="str">
        <f>IF($B127="","",IF(COUNTIF('Competency Event Log'!$U$4:$U$803,$B127&amp;"|"&amp;AF$5)=0,"",SUMIF('Competency Event Log'!$U$4:$U$803,$B127&amp;"|"&amp;AF$5,'Competency Event Log'!$D$4:$D$803)))</f>
        <v/>
      </c>
      <c r="AG127" s="8" t="str">
        <f>IF($B127="","",IF(COUNTIF('Competency Event Log'!$U$4:$U$803,$B127&amp;"|"&amp;AG$5)=0,"",SUMIF('Competency Event Log'!$U$4:$U$803,$B127&amp;"|"&amp;AG$5,'Competency Event Log'!$D$4:$D$803)))</f>
        <v/>
      </c>
      <c r="AH127" s="8" t="str">
        <f>IF($B127="","",IF(COUNTIF('Competency Event Log'!$U$4:$U$803,$B127&amp;"|"&amp;AH$5)=0,"",SUMIF('Competency Event Log'!$U$4:$U$803,$B127&amp;"|"&amp;AH$5,'Competency Event Log'!$D$4:$D$803)))</f>
        <v/>
      </c>
      <c r="AI127" s="8" t="str">
        <f>IF($B127="","",IF(COUNTIF('Competency Event Log'!$U$4:$U$803,$B127&amp;"|"&amp;AI$5)=0,"",SUMIF('Competency Event Log'!$U$4:$U$803,$B127&amp;"|"&amp;AI$5,'Competency Event Log'!$D$4:$D$803)))</f>
        <v/>
      </c>
      <c r="AJ127" s="8" t="str">
        <f>IF($B127="","",IF(COUNTIF('Competency Event Log'!$U$4:$U$803,$B127&amp;"|"&amp;AJ$5)=0,"",SUMIF('Competency Event Log'!$U$4:$U$803,$B127&amp;"|"&amp;AJ$5,'Competency Event Log'!$D$4:$D$803)))</f>
        <v/>
      </c>
      <c r="AK127" s="8" t="str">
        <f>IF($B127="","",IF(COUNTIF('Competency Event Log'!$U$4:$U$803,$B127&amp;"|"&amp;AK$5)=0,"",SUMIF('Competency Event Log'!$U$4:$U$803,$B127&amp;"|"&amp;AK$5,'Competency Event Log'!$D$4:$D$803)))</f>
        <v/>
      </c>
      <c r="AL127" s="8" t="str">
        <f>IF($B127="","",IF(COUNTIF('Competency Event Log'!$U$4:$U$803,$B127&amp;"|"&amp;AL$5)=0,"",SUMIF('Competency Event Log'!$U$4:$U$803,$B127&amp;"|"&amp;AL$5,'Competency Event Log'!$D$4:$D$803)))</f>
        <v/>
      </c>
      <c r="AM127" s="8" t="str">
        <f>IF($B127="","",IF(COUNTIF('Competency Event Log'!$U$4:$U$803,$B127&amp;"|"&amp;AM$5)=0,"",SUMIF('Competency Event Log'!$U$4:$U$803,$B127&amp;"|"&amp;AM$5,'Competency Event Log'!$D$4:$D$803)))</f>
        <v/>
      </c>
      <c r="AN127" s="8" t="str">
        <f>IF($B127="","",IF(COUNTIF('Competency Event Log'!$U$4:$U$803,$B127&amp;"|"&amp;AN$5)=0,"",SUMIF('Competency Event Log'!$U$4:$U$803,$B127&amp;"|"&amp;AN$5,'Competency Event Log'!$D$4:$D$803)))</f>
        <v/>
      </c>
      <c r="AO127" s="8" t="str">
        <f>IF($B127="","",IF(COUNTIF('Competency Event Log'!$U$4:$U$803,$B127&amp;"|"&amp;AO$5)=0,"",SUMIF('Competency Event Log'!$U$4:$U$803,$B127&amp;"|"&amp;AO$5,'Competency Event Log'!$D$4:$D$803)))</f>
        <v/>
      </c>
      <c r="AP127" s="8" t="str">
        <f>IF($B127="","",IF(COUNTIF('Competency Event Log'!$U$4:$U$803,$B127&amp;"|"&amp;AP$5)=0,"",SUMIF('Competency Event Log'!$U$4:$U$803,$B127&amp;"|"&amp;AP$5,'Competency Event Log'!$D$4:$D$803)))</f>
        <v/>
      </c>
      <c r="AQ127" s="8" t="str">
        <f>IF($B127="","",IF(COUNTIF('Competency Event Log'!$U$4:$U$803,$B127&amp;"|"&amp;AQ$5)=0,"",SUMIF('Competency Event Log'!$U$4:$U$803,$B127&amp;"|"&amp;AQ$5,'Competency Event Log'!$D$4:$D$803)))</f>
        <v/>
      </c>
      <c r="AR127" s="8" t="str">
        <f>IF($B127="","",IF(COUNTIF('Competency Event Log'!$U$4:$U$803,$B127&amp;"|"&amp;AR$5)=0,"",SUMIF('Competency Event Log'!$U$4:$U$803,$B127&amp;"|"&amp;AR$5,'Competency Event Log'!$D$4:$D$803)))</f>
        <v/>
      </c>
      <c r="AS127" s="8" t="str">
        <f>IF($B127="","",IF(COUNTIF('Competency Event Log'!$U$4:$U$803,$B127&amp;"|"&amp;AS$5)=0,"",SUMIF('Competency Event Log'!$U$4:$U$803,$B127&amp;"|"&amp;AS$5,'Competency Event Log'!$D$4:$D$803)))</f>
        <v/>
      </c>
      <c r="AT127" s="8" t="str">
        <f>IF($B127="","",IF(COUNTIF('Competency Event Log'!$U$4:$U$803,$B127&amp;"|"&amp;AT$5)=0,"",SUMIF('Competency Event Log'!$U$4:$U$803,$B127&amp;"|"&amp;AT$5,'Competency Event Log'!$D$4:$D$803)))</f>
        <v/>
      </c>
      <c r="AU127" s="8" t="str">
        <f>IF($B127="","",IF(COUNTIF('Competency Event Log'!$U$4:$U$803,$B127&amp;"|"&amp;AU$5)=0,"",SUMIF('Competency Event Log'!$U$4:$U$803,$B127&amp;"|"&amp;AU$5,'Competency Event Log'!$D$4:$D$803)))</f>
        <v/>
      </c>
      <c r="AV127" s="8" t="str">
        <f>IF($B127="","",IF(COUNTIF('Competency Event Log'!$U$4:$U$803,$B127&amp;"|"&amp;AV$5)=0,"",SUMIF('Competency Event Log'!$U$4:$U$803,$B127&amp;"|"&amp;AV$5,'Competency Event Log'!$D$4:$D$803)))</f>
        <v/>
      </c>
      <c r="AW127" s="8" t="str">
        <f>IF($B127="","",IF(COUNTIF('Competency Event Log'!$U$4:$U$803,$B127&amp;"|"&amp;AW$5)=0,"",SUMIF('Competency Event Log'!$U$4:$U$803,$B127&amp;"|"&amp;AW$5,'Competency Event Log'!$D$4:$D$803)))</f>
        <v/>
      </c>
      <c r="AX127" s="8" t="str">
        <f>IF($B127="","",IF(COUNTIF('Competency Event Log'!$U$4:$U$803,$B127&amp;"|"&amp;AX$5)=0,"",SUMIF('Competency Event Log'!$U$4:$U$803,$B127&amp;"|"&amp;AX$5,'Competency Event Log'!$D$4:$D$803)))</f>
        <v/>
      </c>
      <c r="AY127" s="8" t="str">
        <f>IF($B127="","",IF(COUNTIF('Competency Event Log'!$U$4:$U$803,$B127&amp;"|"&amp;AY$5)=0,"",SUMIF('Competency Event Log'!$U$4:$U$803,$B127&amp;"|"&amp;AY$5,'Competency Event Log'!$D$4:$D$803)))</f>
        <v/>
      </c>
      <c r="AZ127" s="8" t="str">
        <f>IF($B127="","",IF(COUNTIF('Competency Event Log'!$U$4:$U$803,$B127&amp;"|"&amp;AZ$5)=0,"",SUMIF('Competency Event Log'!$U$4:$U$803,$B127&amp;"|"&amp;AZ$5,'Competency Event Log'!$D$4:$D$803)))</f>
        <v/>
      </c>
      <c r="BA127" s="8" t="str">
        <f>IF($B127="","",IF(COUNTIF('Competency Event Log'!$U$4:$U$803,$B127&amp;"|"&amp;BA$5)=0,"",SUMIF('Competency Event Log'!$U$4:$U$803,$B127&amp;"|"&amp;BA$5,'Competency Event Log'!$D$4:$D$803)))</f>
        <v/>
      </c>
      <c r="BB127" s="8" t="str">
        <f>IF($B127="","",IF(COUNTIF('Competency Event Log'!$U$4:$U$803,$B127&amp;"|"&amp;BB$5)=0,"",SUMIF('Competency Event Log'!$U$4:$U$803,$B127&amp;"|"&amp;BB$5,'Competency Event Log'!$D$4:$D$803)))</f>
        <v/>
      </c>
      <c r="BC127" s="8" t="str">
        <f>IF($B127="","",IF(COUNTIF('Competency Event Log'!$U$4:$U$803,$B127&amp;"|"&amp;BC$5)=0,"",SUMIF('Competency Event Log'!$U$4:$U$803,$B127&amp;"|"&amp;BC$5,'Competency Event Log'!$D$4:$D$803)))</f>
        <v/>
      </c>
      <c r="BD127" s="8" t="str">
        <f>IF($B127="","",IF(COUNTIF('Competency Event Log'!$U$4:$U$803,$B127&amp;"|"&amp;BD$5)=0,"",SUMIF('Competency Event Log'!$U$4:$U$803,$B127&amp;"|"&amp;BD$5,'Competency Event Log'!$D$4:$D$803)))</f>
        <v/>
      </c>
      <c r="BE127" s="8" t="str">
        <f>IF($B127="","",IF(COUNTIF('Competency Event Log'!$U$4:$U$803,$B127&amp;"|"&amp;BE$5)=0,"",SUMIF('Competency Event Log'!$U$4:$U$803,$B127&amp;"|"&amp;BE$5,'Competency Event Log'!$D$4:$D$803)))</f>
        <v/>
      </c>
      <c r="BF127" s="8" t="str">
        <f>IF($B127="","",IF(COUNTIF('Competency Event Log'!$U$4:$U$803,$B127&amp;"|"&amp;BF$5)=0,"",SUMIF('Competency Event Log'!$U$4:$U$803,$B127&amp;"|"&amp;BF$5,'Competency Event Log'!$D$4:$D$803)))</f>
        <v/>
      </c>
      <c r="BG127" s="8" t="str">
        <f>IF($B127="","",IF(COUNTIF('Competency Event Log'!$U$4:$U$803,$B127&amp;"|"&amp;BG$5)=0,"",SUMIF('Competency Event Log'!$U$4:$U$803,$B127&amp;"|"&amp;BG$5,'Competency Event Log'!$D$4:$D$803)))</f>
        <v/>
      </c>
      <c r="BH127" s="8" t="str">
        <f>IF($B127="","",IF(COUNTIF('Competency Event Log'!$U$4:$U$803,$B127&amp;"|"&amp;BH$5)=0,"",SUMIF('Competency Event Log'!$U$4:$U$803,$B127&amp;"|"&amp;BH$5,'Competency Event Log'!$D$4:$D$803)))</f>
        <v/>
      </c>
      <c r="BI127" s="8" t="str">
        <f>IF($B127="","",IF(COUNTIF('Competency Event Log'!$U$4:$U$803,$B127&amp;"|"&amp;BI$5)=0,"",SUMIF('Competency Event Log'!$U$4:$U$803,$B127&amp;"|"&amp;BI$5,'Competency Event Log'!$D$4:$D$803)))</f>
        <v/>
      </c>
      <c r="BJ127" s="8" t="str">
        <f>IF($B127="","",IF(COUNTIF('Competency Event Log'!$U$4:$U$803,$B127&amp;"|"&amp;BJ$5)=0,"",SUMIF('Competency Event Log'!$U$4:$U$803,$B127&amp;"|"&amp;BJ$5,'Competency Event Log'!$D$4:$D$803)))</f>
        <v/>
      </c>
      <c r="BK127" s="8" t="str">
        <f>IF($B127="","",IF(COUNTIF('Competency Event Log'!$U$4:$U$803,$B127&amp;"|"&amp;BK$5)=0,"",SUMIF('Competency Event Log'!$U$4:$U$803,$B127&amp;"|"&amp;BK$5,'Competency Event Log'!$D$4:$D$803)))</f>
        <v/>
      </c>
      <c r="BL127" s="8" t="str">
        <f>IF($B127="","",IF(COUNTIF('Competency Event Log'!$U$4:$U$803,$B127&amp;"|"&amp;BL$5)=0,"",SUMIF('Competency Event Log'!$U$4:$U$803,$B127&amp;"|"&amp;BL$5,'Competency Event Log'!$D$4:$D$803)))</f>
        <v/>
      </c>
      <c r="BM127" s="8" t="str">
        <f>IF($B127="","",IF(COUNTIF('Competency Event Log'!$U$4:$U$803,$B127&amp;"|"&amp;BM$5)=0,"",SUMIF('Competency Event Log'!$U$4:$U$803,$B127&amp;"|"&amp;BM$5,'Competency Event Log'!$D$4:$D$803)))</f>
        <v/>
      </c>
      <c r="BN127" s="8" t="str">
        <f>IF($B127="","",IF(COUNTIF('Competency Event Log'!$U$4:$U$803,$B127&amp;"|"&amp;BN$5)=0,"",SUMIF('Competency Event Log'!$U$4:$U$803,$B127&amp;"|"&amp;BN$5,'Competency Event Log'!$D$4:$D$803)))</f>
        <v/>
      </c>
      <c r="BO127" s="8" t="str">
        <f>IF($B127="","",IF(COUNTIF('Competency Event Log'!$U$4:$U$803,$B127&amp;"|"&amp;BO$5)=0,"",SUMIF('Competency Event Log'!$U$4:$U$803,$B127&amp;"|"&amp;BO$5,'Competency Event Log'!$D$4:$D$803)))</f>
        <v/>
      </c>
      <c r="BP127" s="8" t="str">
        <f>IF($B127="","",IF(COUNTIF('Competency Event Log'!$U$4:$U$803,$B127&amp;"|"&amp;BP$5)=0,"",SUMIF('Competency Event Log'!$U$4:$U$803,$B127&amp;"|"&amp;BP$5,'Competency Event Log'!$D$4:$D$803)))</f>
        <v/>
      </c>
      <c r="BQ127" s="8" t="str">
        <f>IF($B127="","",IF(COUNTIF('Competency Event Log'!$U$4:$U$803,$B127&amp;"|"&amp;BQ$5)=0,"",SUMIF('Competency Event Log'!$U$4:$U$803,$B127&amp;"|"&amp;BQ$5,'Competency Event Log'!$D$4:$D$803)))</f>
        <v/>
      </c>
      <c r="BR127" s="8" t="str">
        <f>IF($B127="","",IF(COUNTIF('Competency Event Log'!$U$4:$U$803,$B127&amp;"|"&amp;BR$5)=0,"",SUMIF('Competency Event Log'!$U$4:$U$803,$B127&amp;"|"&amp;BR$5,'Competency Event Log'!$D$4:$D$803)))</f>
        <v/>
      </c>
      <c r="BS127" s="8" t="str">
        <f>IF($B127="","",IF(COUNTIF('Competency Event Log'!$U$4:$U$803,$B127&amp;"|"&amp;BS$5)=0,"",SUMIF('Competency Event Log'!$U$4:$U$803,$B127&amp;"|"&amp;BS$5,'Competency Event Log'!$D$4:$D$803)))</f>
        <v/>
      </c>
      <c r="BT127" s="8" t="str">
        <f>IF($B127="","",IF(COUNTIF('Competency Event Log'!$U$4:$U$803,$B127&amp;"|"&amp;BT$5)=0,"",SUMIF('Competency Event Log'!$U$4:$U$803,$B127&amp;"|"&amp;BT$5,'Competency Event Log'!$D$4:$D$803)))</f>
        <v/>
      </c>
      <c r="BU127" s="8" t="str">
        <f>IF($B127="","",IF(COUNTIF('Competency Event Log'!$U$4:$U$803,$B127&amp;"|"&amp;BU$5)=0,"",SUMIF('Competency Event Log'!$U$4:$U$803,$B127&amp;"|"&amp;BU$5,'Competency Event Log'!$D$4:$D$803)))</f>
        <v/>
      </c>
      <c r="BV127" s="8" t="str">
        <f>IF($B127="","",IF(COUNTIF('Competency Event Log'!$U$4:$U$803,$B127&amp;"|"&amp;BV$5)=0,"",SUMIF('Competency Event Log'!$U$4:$U$803,$B127&amp;"|"&amp;BV$5,'Competency Event Log'!$D$4:$D$803)))</f>
        <v/>
      </c>
      <c r="BW127" s="8" t="str">
        <f>IF($B127="","",IF(COUNTIF('Competency Event Log'!$U$4:$U$803,$B127&amp;"|"&amp;BW$5)=0,"",SUMIF('Competency Event Log'!$U$4:$U$803,$B127&amp;"|"&amp;BW$5,'Competency Event Log'!$D$4:$D$803)))</f>
        <v/>
      </c>
      <c r="BX127" s="8" t="str">
        <f>IF($B127="","",IF(COUNTIF('Competency Event Log'!$U$4:$U$803,$B127&amp;"|"&amp;BX$5)=0,"",SUMIF('Competency Event Log'!$U$4:$U$803,$B127&amp;"|"&amp;BX$5,'Competency Event Log'!$D$4:$D$803)))</f>
        <v/>
      </c>
      <c r="BY127" s="8" t="str">
        <f>IF($B127="","",IF(COUNTIF('Competency Event Log'!$U$4:$U$803,$B127&amp;"|"&amp;BY$5)=0,"",SUMIF('Competency Event Log'!$U$4:$U$803,$B127&amp;"|"&amp;BY$5,'Competency Event Log'!$D$4:$D$803)))</f>
        <v/>
      </c>
      <c r="BZ127" s="8" t="str">
        <f>IF($B127="","",IF(COUNTIF('Competency Event Log'!$U$4:$U$803,$B127&amp;"|"&amp;BZ$5)=0,"",SUMIF('Competency Event Log'!$U$4:$U$803,$B127&amp;"|"&amp;BZ$5,'Competency Event Log'!$D$4:$D$803)))</f>
        <v/>
      </c>
      <c r="CA127" s="8" t="str">
        <f>IF($B127="","",IF(COUNTIF('Competency Event Log'!$U$4:$U$803,$B127&amp;"|"&amp;CA$5)=0,"",SUMIF('Competency Event Log'!$U$4:$U$803,$B127&amp;"|"&amp;CA$5,'Competency Event Log'!$D$4:$D$803)))</f>
        <v/>
      </c>
      <c r="CB127" s="8" t="str">
        <f>IF($B127="","",IF(COUNTIF('Competency Event Log'!$U$4:$U$803,$B127&amp;"|"&amp;CB$5)=0,"",SUMIF('Competency Event Log'!$U$4:$U$803,$B127&amp;"|"&amp;CB$5,'Competency Event Log'!$D$4:$D$803)))</f>
        <v/>
      </c>
      <c r="CC127" s="8" t="str">
        <f>IF($B127="","",IF(COUNTIF('Competency Event Log'!$U$4:$U$803,$B127&amp;"|"&amp;CC$5)=0,"",SUMIF('Competency Event Log'!$U$4:$U$803,$B127&amp;"|"&amp;CC$5,'Competency Event Log'!$D$4:$D$803)))</f>
        <v/>
      </c>
      <c r="CD127" s="8" t="str">
        <f>IF($B127="","",IF(COUNTIF('Competency Event Log'!$U$4:$U$803,$B127&amp;"|"&amp;CD$5)=0,"",SUMIF('Competency Event Log'!$U$4:$U$803,$B127&amp;"|"&amp;CD$5,'Competency Event Log'!$D$4:$D$803)))</f>
        <v/>
      </c>
      <c r="CE127" s="8" t="str">
        <f>IF($B127="","",IF(COUNTIF('Competency Event Log'!$U$4:$U$803,$B127&amp;"|"&amp;CE$5)=0,"",SUMIF('Competency Event Log'!$U$4:$U$803,$B127&amp;"|"&amp;CE$5,'Competency Event Log'!$D$4:$D$803)))</f>
        <v/>
      </c>
      <c r="CF127" s="8" t="str">
        <f>IF($B127="","",IF(COUNTIF('Competency Event Log'!$U$4:$U$803,$B127&amp;"|"&amp;CF$5)=0,"",SUMIF('Competency Event Log'!$U$4:$U$803,$B127&amp;"|"&amp;CF$5,'Competency Event Log'!$D$4:$D$803)))</f>
        <v/>
      </c>
      <c r="CG127" s="8" t="str">
        <f>IF($B127="","",IF(COUNTIF('Competency Event Log'!$U$4:$U$803,$B127&amp;"|"&amp;CG$5)=0,"",SUMIF('Competency Event Log'!$U$4:$U$803,$B127&amp;"|"&amp;CG$5,'Competency Event Log'!$D$4:$D$803)))</f>
        <v/>
      </c>
      <c r="CH127" s="8" t="str">
        <f>IF($B127="","",IF(COUNTIF('Competency Event Log'!$U$4:$U$803,$B127&amp;"|"&amp;CH$5)=0,"",SUMIF('Competency Event Log'!$U$4:$U$803,$B127&amp;"|"&amp;CH$5,'Competency Event Log'!$D$4:$D$803)))</f>
        <v/>
      </c>
      <c r="CI127" s="8" t="str">
        <f>IF($B127="","",IF(COUNTIF('Competency Event Log'!$U$4:$U$803,$B127&amp;"|"&amp;CI$5)=0,"",SUMIF('Competency Event Log'!$U$4:$U$803,$B127&amp;"|"&amp;CI$5,'Competency Event Log'!$D$4:$D$803)))</f>
        <v/>
      </c>
      <c r="CJ127" s="8" t="str">
        <f>IF($B127="","",IF(COUNTIF('Competency Event Log'!$U$4:$U$803,$B127&amp;"|"&amp;CJ$5)=0,"",SUMIF('Competency Event Log'!$U$4:$U$803,$B127&amp;"|"&amp;CJ$5,'Competency Event Log'!$D$4:$D$803)))</f>
        <v/>
      </c>
      <c r="CK127" s="8" t="str">
        <f>IF($B127="","",IF(COUNTIF('Competency Event Log'!$U$4:$U$803,$B127&amp;"|"&amp;CK$5)=0,"",SUMIF('Competency Event Log'!$U$4:$U$803,$B127&amp;"|"&amp;CK$5,'Competency Event Log'!$D$4:$D$803)))</f>
        <v/>
      </c>
      <c r="CL127" s="8" t="str">
        <f>IF($B127="","",IF(COUNTIF('Competency Event Log'!$U$4:$U$803,$B127&amp;"|"&amp;CL$5)=0,"",SUMIF('Competency Event Log'!$U$4:$U$803,$B127&amp;"|"&amp;CL$5,'Competency Event Log'!$D$4:$D$803)))</f>
        <v/>
      </c>
      <c r="CM127" s="8" t="str">
        <f>IF($B127="","",IF(COUNTIF('Competency Event Log'!$U$4:$U$803,$B127&amp;"|"&amp;CM$5)=0,"",SUMIF('Competency Event Log'!$U$4:$U$803,$B127&amp;"|"&amp;CM$5,'Competency Event Log'!$D$4:$D$803)))</f>
        <v/>
      </c>
      <c r="CN127" s="8" t="str">
        <f>IF($B127="","",IF(COUNTIF('Competency Event Log'!$U$4:$U$803,$B127&amp;"|"&amp;CN$5)=0,"",SUMIF('Competency Event Log'!$U$4:$U$803,$B127&amp;"|"&amp;CN$5,'Competency Event Log'!$D$4:$D$803)))</f>
        <v/>
      </c>
      <c r="CO127" s="8" t="str">
        <f>IF($B127="","",IF(COUNTIF('Competency Event Log'!$U$4:$U$803,$B127&amp;"|"&amp;CO$5)=0,"",SUMIF('Competency Event Log'!$U$4:$U$803,$B127&amp;"|"&amp;CO$5,'Competency Event Log'!$D$4:$D$803)))</f>
        <v/>
      </c>
      <c r="CP127" s="8" t="str">
        <f>IF($B127="","",IF(COUNTIF('Competency Event Log'!$U$4:$U$803,$B127&amp;"|"&amp;CP$5)=0,"",SUMIF('Competency Event Log'!$U$4:$U$803,$B127&amp;"|"&amp;CP$5,'Competency Event Log'!$D$4:$D$803)))</f>
        <v/>
      </c>
      <c r="CQ127" s="8" t="str">
        <f>IF($B127="","",IF(COUNTIF('Competency Event Log'!$U$4:$U$803,$B127&amp;"|"&amp;CQ$5)=0,"",SUMIF('Competency Event Log'!$U$4:$U$803,$B127&amp;"|"&amp;CQ$5,'Competency Event Log'!$D$4:$D$803)))</f>
        <v/>
      </c>
      <c r="CR127" s="8" t="str">
        <f>IF($B127="","",IF(COUNTIF('Competency Event Log'!$U$4:$U$803,$B127&amp;"|"&amp;CR$5)=0,"",SUMIF('Competency Event Log'!$U$4:$U$803,$B127&amp;"|"&amp;CR$5,'Competency Event Log'!$D$4:$D$803)))</f>
        <v/>
      </c>
      <c r="CS127" s="8" t="str">
        <f>IF($B127="","",IF(COUNTIF('Competency Event Log'!$U$4:$U$803,$B127&amp;"|"&amp;CS$5)=0,"",SUMIF('Competency Event Log'!$U$4:$U$803,$B127&amp;"|"&amp;CS$5,'Competency Event Log'!$D$4:$D$803)))</f>
        <v/>
      </c>
      <c r="CT127" s="8" t="str">
        <f>IF($B127="","",IF(COUNTIF('Competency Event Log'!$U$4:$U$803,$B127&amp;"|"&amp;CT$5)=0,"",SUMIF('Competency Event Log'!$U$4:$U$803,$B127&amp;"|"&amp;CT$5,'Competency Event Log'!$D$4:$D$803)))</f>
        <v/>
      </c>
      <c r="CU127" s="8" t="str">
        <f>IF($B127="","",IF(COUNTIF('Competency Event Log'!$U$4:$U$803,$B127&amp;"|"&amp;CU$5)=0,"",SUMIF('Competency Event Log'!$U$4:$U$803,$B127&amp;"|"&amp;CU$5,'Competency Event Log'!$D$4:$D$803)))</f>
        <v/>
      </c>
      <c r="CV127" s="8" t="str">
        <f>IF($B127="","",IF(COUNTIF('Competency Event Log'!$U$4:$U$803,$B127&amp;"|"&amp;CV$5)=0,"",SUMIF('Competency Event Log'!$U$4:$U$803,$B127&amp;"|"&amp;CV$5,'Competency Event Log'!$D$4:$D$803)))</f>
        <v/>
      </c>
      <c r="CW127" s="8" t="str">
        <f>IF($B127="","",IF(COUNTIF('Competency Event Log'!$U$4:$U$803,$B127&amp;"|"&amp;CW$5)=0,"",SUMIF('Competency Event Log'!$U$4:$U$803,$B127&amp;"|"&amp;CW$5,'Competency Event Log'!$D$4:$D$803)))</f>
        <v/>
      </c>
      <c r="CX127" s="8" t="str">
        <f>IF($B127="","",IF(COUNTIF('Competency Event Log'!$U$4:$U$803,$B127&amp;"|"&amp;CX$5)=0,"",SUMIF('Competency Event Log'!$U$4:$U$803,$B127&amp;"|"&amp;CX$5,'Competency Event Log'!$D$4:$D$803)))</f>
        <v/>
      </c>
      <c r="CY127" s="8" t="str">
        <f>IF($B127="","",IF(COUNTIF('Competency Event Log'!$U$4:$U$803,$B127&amp;"|"&amp;CY$5)=0,"",SUMIF('Competency Event Log'!$U$4:$U$803,$B127&amp;"|"&amp;CY$5,'Competency Event Log'!$D$4:$D$803)))</f>
        <v/>
      </c>
      <c r="CZ127" s="8" t="str">
        <f>IF($B127="","",IF(COUNTIF('Competency Event Log'!$U$4:$U$803,$B127&amp;"|"&amp;CZ$5)=0,"",SUMIF('Competency Event Log'!$U$4:$U$803,$B127&amp;"|"&amp;CZ$5,'Competency Event Log'!$D$4:$D$803)))</f>
        <v/>
      </c>
      <c r="DA127" s="8" t="str">
        <f>IF($B127="","",IF(COUNTIF('Competency Event Log'!$U$4:$U$803,$B127&amp;"|"&amp;DA$5)=0,"",SUMIF('Competency Event Log'!$U$4:$U$803,$B127&amp;"|"&amp;DA$5,'Competency Event Log'!$D$4:$D$803)))</f>
        <v/>
      </c>
      <c r="DB127" s="8" t="str">
        <f>IF($B127="","",IF(COUNTIF('Competency Event Log'!$U$4:$U$803,$B127&amp;"|"&amp;DB$5)=0,"",SUMIF('Competency Event Log'!$U$4:$U$803,$B127&amp;"|"&amp;DB$5,'Competency Event Log'!$D$4:$D$803)))</f>
        <v/>
      </c>
      <c r="DC127" s="8" t="str">
        <f>IF($B127="","",IF(COUNTIF('Competency Event Log'!$U$4:$U$803,$B127&amp;"|"&amp;DC$5)=0,"",SUMIF('Competency Event Log'!$U$4:$U$803,$B127&amp;"|"&amp;DC$5,'Competency Event Log'!$D$4:$D$803)))</f>
        <v/>
      </c>
      <c r="DD127" s="8" t="str">
        <f>IF($B127="","",IF(COUNTIF('Competency Event Log'!$U$4:$U$803,$B127&amp;"|"&amp;DD$5)=0,"",SUMIF('Competency Event Log'!$U$4:$U$803,$B127&amp;"|"&amp;DD$5,'Competency Event Log'!$D$4:$D$803)))</f>
        <v/>
      </c>
      <c r="DE127" s="8" t="str">
        <f>IF($B127="","",IF(COUNTIF('Competency Event Log'!$U$4:$U$803,$B127&amp;"|"&amp;DE$5)=0,"",SUMIF('Competency Event Log'!$U$4:$U$803,$B127&amp;"|"&amp;DE$5,'Competency Event Log'!$D$4:$D$803)))</f>
        <v/>
      </c>
      <c r="DF127" s="8" t="str">
        <f t="shared" si="12"/>
        <v/>
      </c>
      <c r="DG127" s="8" t="str">
        <f t="shared" si="13"/>
        <v/>
      </c>
      <c r="DH127" s="8" t="str">
        <f t="shared" si="14"/>
        <v/>
      </c>
      <c r="DI127" s="11" t="str">
        <f t="shared" si="15"/>
        <v/>
      </c>
    </row>
    <row r="128" spans="1:113">
      <c r="A128" s="7"/>
      <c r="B128" s="7"/>
      <c r="C128" s="8"/>
      <c r="D128" s="9"/>
      <c r="E128" s="10"/>
      <c r="F128" s="8"/>
      <c r="G128" s="8" t="str">
        <f>IF($B128="","",IF(COUNTIF('Competency Event Log'!$U$4:$U$803,$B128&amp;"|"&amp;G$5)=0,"",SUMIF('Competency Event Log'!$U$4:$U$803,$B128&amp;"|"&amp;G$5,'Competency Event Log'!$D$4:$D$803)))</f>
        <v/>
      </c>
      <c r="H128" s="8" t="str">
        <f>IF($B128="","",IF(COUNTIF('Competency Event Log'!$U$4:$U$803,$B128&amp;"|"&amp;H$5)=0,"",SUMIF('Competency Event Log'!$U$4:$U$803,$B128&amp;"|"&amp;H$5,'Competency Event Log'!$D$4:$D$803)))</f>
        <v/>
      </c>
      <c r="I128" s="8" t="str">
        <f>IF($B128="","",IF(COUNTIF('Competency Event Log'!$U$4:$U$803,$B128&amp;"|"&amp;I$5)=0,"",SUMIF('Competency Event Log'!$U$4:$U$803,$B128&amp;"|"&amp;I$5,'Competency Event Log'!$D$4:$D$803)))</f>
        <v/>
      </c>
      <c r="J128" s="8" t="str">
        <f>IF($B128="","",IF(COUNTIF('Competency Event Log'!$U$4:$U$803,$B128&amp;"|"&amp;J$5)=0,"",SUMIF('Competency Event Log'!$U$4:$U$803,$B128&amp;"|"&amp;J$5,'Competency Event Log'!$D$4:$D$803)))</f>
        <v/>
      </c>
      <c r="K128" s="8" t="str">
        <f>IF($B128="","",IF(COUNTIF('Competency Event Log'!$U$4:$U$803,$B128&amp;"|"&amp;K$5)=0,"",SUMIF('Competency Event Log'!$U$4:$U$803,$B128&amp;"|"&amp;K$5,'Competency Event Log'!$D$4:$D$803)))</f>
        <v/>
      </c>
      <c r="L128" s="8" t="str">
        <f>IF($B128="","",IF(COUNTIF('Competency Event Log'!$U$4:$U$803,$B128&amp;"|"&amp;L$5)=0,"",SUMIF('Competency Event Log'!$U$4:$U$803,$B128&amp;"|"&amp;L$5,'Competency Event Log'!$D$4:$D$803)))</f>
        <v/>
      </c>
      <c r="M128" s="8" t="str">
        <f>IF($B128="","",IF(COUNTIF('Competency Event Log'!$U$4:$U$803,$B128&amp;"|"&amp;M$5)=0,"",SUMIF('Competency Event Log'!$U$4:$U$803,$B128&amp;"|"&amp;M$5,'Competency Event Log'!$D$4:$D$803)))</f>
        <v/>
      </c>
      <c r="N128" s="8" t="str">
        <f>IF($B128="","",IF(COUNTIF('Competency Event Log'!$U$4:$U$803,$B128&amp;"|"&amp;N$5)=0,"",SUMIF('Competency Event Log'!$U$4:$U$803,$B128&amp;"|"&amp;N$5,'Competency Event Log'!$D$4:$D$803)))</f>
        <v/>
      </c>
      <c r="O128" s="8" t="str">
        <f>IF($B128="","",IF(COUNTIF('Competency Event Log'!$U$4:$U$803,$B128&amp;"|"&amp;O$5)=0,"",SUMIF('Competency Event Log'!$U$4:$U$803,$B128&amp;"|"&amp;O$5,'Competency Event Log'!$D$4:$D$803)))</f>
        <v/>
      </c>
      <c r="P128" s="8" t="str">
        <f>IF($B128="","",IF(COUNTIF('Competency Event Log'!$U$4:$U$803,$B128&amp;"|"&amp;P$5)=0,"",SUMIF('Competency Event Log'!$U$4:$U$803,$B128&amp;"|"&amp;P$5,'Competency Event Log'!$D$4:$D$803)))</f>
        <v/>
      </c>
      <c r="Q128" s="8" t="str">
        <f>IF($B128="","",IF(COUNTIF('Competency Event Log'!$U$4:$U$803,$B128&amp;"|"&amp;Q$5)=0,"",SUMIF('Competency Event Log'!$U$4:$U$803,$B128&amp;"|"&amp;Q$5,'Competency Event Log'!$D$4:$D$803)))</f>
        <v/>
      </c>
      <c r="R128" s="8" t="str">
        <f>IF($B128="","",IF(COUNTIF('Competency Event Log'!$U$4:$U$803,$B128&amp;"|"&amp;R$5)=0,"",SUMIF('Competency Event Log'!$U$4:$U$803,$B128&amp;"|"&amp;R$5,'Competency Event Log'!$D$4:$D$803)))</f>
        <v/>
      </c>
      <c r="S128" s="8" t="str">
        <f>IF($B128="","",IF(COUNTIF('Competency Event Log'!$U$4:$U$803,$B128&amp;"|"&amp;S$5)=0,"",SUMIF('Competency Event Log'!$U$4:$U$803,$B128&amp;"|"&amp;S$5,'Competency Event Log'!$D$4:$D$803)))</f>
        <v/>
      </c>
      <c r="T128" s="8" t="str">
        <f>IF($B128="","",IF(COUNTIF('Competency Event Log'!$U$4:$U$803,$B128&amp;"|"&amp;T$5)=0,"",SUMIF('Competency Event Log'!$U$4:$U$803,$B128&amp;"|"&amp;T$5,'Competency Event Log'!$D$4:$D$803)))</f>
        <v/>
      </c>
      <c r="U128" s="8" t="str">
        <f>IF($B128="","",IF(COUNTIF('Competency Event Log'!$U$4:$U$803,$B128&amp;"|"&amp;U$5)=0,"",SUMIF('Competency Event Log'!$U$4:$U$803,$B128&amp;"|"&amp;U$5,'Competency Event Log'!$D$4:$D$803)))</f>
        <v/>
      </c>
      <c r="V128" s="8" t="str">
        <f>IF($B128="","",IF(COUNTIF('Competency Event Log'!$U$4:$U$803,$B128&amp;"|"&amp;V$5)=0,"",SUMIF('Competency Event Log'!$U$4:$U$803,$B128&amp;"|"&amp;V$5,'Competency Event Log'!$D$4:$D$803)))</f>
        <v/>
      </c>
      <c r="W128" s="8" t="str">
        <f>IF($B128="","",IF(COUNTIF('Competency Event Log'!$U$4:$U$803,$B128&amp;"|"&amp;W$5)=0,"",SUMIF('Competency Event Log'!$U$4:$U$803,$B128&amp;"|"&amp;W$5,'Competency Event Log'!$D$4:$D$803)))</f>
        <v/>
      </c>
      <c r="X128" s="8" t="str">
        <f>IF($B128="","",IF(COUNTIF('Competency Event Log'!$U$4:$U$803,$B128&amp;"|"&amp;X$5)=0,"",SUMIF('Competency Event Log'!$U$4:$U$803,$B128&amp;"|"&amp;X$5,'Competency Event Log'!$D$4:$D$803)))</f>
        <v/>
      </c>
      <c r="Y128" s="8" t="str">
        <f>IF($B128="","",IF(COUNTIF('Competency Event Log'!$U$4:$U$803,$B128&amp;"|"&amp;Y$5)=0,"",SUMIF('Competency Event Log'!$U$4:$U$803,$B128&amp;"|"&amp;Y$5,'Competency Event Log'!$D$4:$D$803)))</f>
        <v/>
      </c>
      <c r="Z128" s="8" t="str">
        <f>IF($B128="","",IF(COUNTIF('Competency Event Log'!$U$4:$U$803,$B128&amp;"|"&amp;Z$5)=0,"",SUMIF('Competency Event Log'!$U$4:$U$803,$B128&amp;"|"&amp;Z$5,'Competency Event Log'!$D$4:$D$803)))</f>
        <v/>
      </c>
      <c r="AA128" s="8" t="str">
        <f>IF($B128="","",IF(COUNTIF('Competency Event Log'!$U$4:$U$803,$B128&amp;"|"&amp;AA$5)=0,"",SUMIF('Competency Event Log'!$U$4:$U$803,$B128&amp;"|"&amp;AA$5,'Competency Event Log'!$D$4:$D$803)))</f>
        <v/>
      </c>
      <c r="AB128" s="8" t="str">
        <f>IF($B128="","",IF(COUNTIF('Competency Event Log'!$U$4:$U$803,$B128&amp;"|"&amp;AB$5)=0,"",SUMIF('Competency Event Log'!$U$4:$U$803,$B128&amp;"|"&amp;AB$5,'Competency Event Log'!$D$4:$D$803)))</f>
        <v/>
      </c>
      <c r="AC128" s="8" t="str">
        <f>IF($B128="","",IF(COUNTIF('Competency Event Log'!$U$4:$U$803,$B128&amp;"|"&amp;AC$5)=0,"",SUMIF('Competency Event Log'!$U$4:$U$803,$B128&amp;"|"&amp;AC$5,'Competency Event Log'!$D$4:$D$803)))</f>
        <v/>
      </c>
      <c r="AD128" s="8" t="str">
        <f>IF($B128="","",IF(COUNTIF('Competency Event Log'!$U$4:$U$803,$B128&amp;"|"&amp;AD$5)=0,"",SUMIF('Competency Event Log'!$U$4:$U$803,$B128&amp;"|"&amp;AD$5,'Competency Event Log'!$D$4:$D$803)))</f>
        <v/>
      </c>
      <c r="AE128" s="8" t="str">
        <f>IF($B128="","",IF(COUNTIF('Competency Event Log'!$U$4:$U$803,$B128&amp;"|"&amp;AE$5)=0,"",SUMIF('Competency Event Log'!$U$4:$U$803,$B128&amp;"|"&amp;AE$5,'Competency Event Log'!$D$4:$D$803)))</f>
        <v/>
      </c>
      <c r="AF128" s="8" t="str">
        <f>IF($B128="","",IF(COUNTIF('Competency Event Log'!$U$4:$U$803,$B128&amp;"|"&amp;AF$5)=0,"",SUMIF('Competency Event Log'!$U$4:$U$803,$B128&amp;"|"&amp;AF$5,'Competency Event Log'!$D$4:$D$803)))</f>
        <v/>
      </c>
      <c r="AG128" s="8" t="str">
        <f>IF($B128="","",IF(COUNTIF('Competency Event Log'!$U$4:$U$803,$B128&amp;"|"&amp;AG$5)=0,"",SUMIF('Competency Event Log'!$U$4:$U$803,$B128&amp;"|"&amp;AG$5,'Competency Event Log'!$D$4:$D$803)))</f>
        <v/>
      </c>
      <c r="AH128" s="8" t="str">
        <f>IF($B128="","",IF(COUNTIF('Competency Event Log'!$U$4:$U$803,$B128&amp;"|"&amp;AH$5)=0,"",SUMIF('Competency Event Log'!$U$4:$U$803,$B128&amp;"|"&amp;AH$5,'Competency Event Log'!$D$4:$D$803)))</f>
        <v/>
      </c>
      <c r="AI128" s="8" t="str">
        <f>IF($B128="","",IF(COUNTIF('Competency Event Log'!$U$4:$U$803,$B128&amp;"|"&amp;AI$5)=0,"",SUMIF('Competency Event Log'!$U$4:$U$803,$B128&amp;"|"&amp;AI$5,'Competency Event Log'!$D$4:$D$803)))</f>
        <v/>
      </c>
      <c r="AJ128" s="8" t="str">
        <f>IF($B128="","",IF(COUNTIF('Competency Event Log'!$U$4:$U$803,$B128&amp;"|"&amp;AJ$5)=0,"",SUMIF('Competency Event Log'!$U$4:$U$803,$B128&amp;"|"&amp;AJ$5,'Competency Event Log'!$D$4:$D$803)))</f>
        <v/>
      </c>
      <c r="AK128" s="8" t="str">
        <f>IF($B128="","",IF(COUNTIF('Competency Event Log'!$U$4:$U$803,$B128&amp;"|"&amp;AK$5)=0,"",SUMIF('Competency Event Log'!$U$4:$U$803,$B128&amp;"|"&amp;AK$5,'Competency Event Log'!$D$4:$D$803)))</f>
        <v/>
      </c>
      <c r="AL128" s="8" t="str">
        <f>IF($B128="","",IF(COUNTIF('Competency Event Log'!$U$4:$U$803,$B128&amp;"|"&amp;AL$5)=0,"",SUMIF('Competency Event Log'!$U$4:$U$803,$B128&amp;"|"&amp;AL$5,'Competency Event Log'!$D$4:$D$803)))</f>
        <v/>
      </c>
      <c r="AM128" s="8" t="str">
        <f>IF($B128="","",IF(COUNTIF('Competency Event Log'!$U$4:$U$803,$B128&amp;"|"&amp;AM$5)=0,"",SUMIF('Competency Event Log'!$U$4:$U$803,$B128&amp;"|"&amp;AM$5,'Competency Event Log'!$D$4:$D$803)))</f>
        <v/>
      </c>
      <c r="AN128" s="8" t="str">
        <f>IF($B128="","",IF(COUNTIF('Competency Event Log'!$U$4:$U$803,$B128&amp;"|"&amp;AN$5)=0,"",SUMIF('Competency Event Log'!$U$4:$U$803,$B128&amp;"|"&amp;AN$5,'Competency Event Log'!$D$4:$D$803)))</f>
        <v/>
      </c>
      <c r="AO128" s="8" t="str">
        <f>IF($B128="","",IF(COUNTIF('Competency Event Log'!$U$4:$U$803,$B128&amp;"|"&amp;AO$5)=0,"",SUMIF('Competency Event Log'!$U$4:$U$803,$B128&amp;"|"&amp;AO$5,'Competency Event Log'!$D$4:$D$803)))</f>
        <v/>
      </c>
      <c r="AP128" s="8" t="str">
        <f>IF($B128="","",IF(COUNTIF('Competency Event Log'!$U$4:$U$803,$B128&amp;"|"&amp;AP$5)=0,"",SUMIF('Competency Event Log'!$U$4:$U$803,$B128&amp;"|"&amp;AP$5,'Competency Event Log'!$D$4:$D$803)))</f>
        <v/>
      </c>
      <c r="AQ128" s="8" t="str">
        <f>IF($B128="","",IF(COUNTIF('Competency Event Log'!$U$4:$U$803,$B128&amp;"|"&amp;AQ$5)=0,"",SUMIF('Competency Event Log'!$U$4:$U$803,$B128&amp;"|"&amp;AQ$5,'Competency Event Log'!$D$4:$D$803)))</f>
        <v/>
      </c>
      <c r="AR128" s="8" t="str">
        <f>IF($B128="","",IF(COUNTIF('Competency Event Log'!$U$4:$U$803,$B128&amp;"|"&amp;AR$5)=0,"",SUMIF('Competency Event Log'!$U$4:$U$803,$B128&amp;"|"&amp;AR$5,'Competency Event Log'!$D$4:$D$803)))</f>
        <v/>
      </c>
      <c r="AS128" s="8" t="str">
        <f>IF($B128="","",IF(COUNTIF('Competency Event Log'!$U$4:$U$803,$B128&amp;"|"&amp;AS$5)=0,"",SUMIF('Competency Event Log'!$U$4:$U$803,$B128&amp;"|"&amp;AS$5,'Competency Event Log'!$D$4:$D$803)))</f>
        <v/>
      </c>
      <c r="AT128" s="8" t="str">
        <f>IF($B128="","",IF(COUNTIF('Competency Event Log'!$U$4:$U$803,$B128&amp;"|"&amp;AT$5)=0,"",SUMIF('Competency Event Log'!$U$4:$U$803,$B128&amp;"|"&amp;AT$5,'Competency Event Log'!$D$4:$D$803)))</f>
        <v/>
      </c>
      <c r="AU128" s="8" t="str">
        <f>IF($B128="","",IF(COUNTIF('Competency Event Log'!$U$4:$U$803,$B128&amp;"|"&amp;AU$5)=0,"",SUMIF('Competency Event Log'!$U$4:$U$803,$B128&amp;"|"&amp;AU$5,'Competency Event Log'!$D$4:$D$803)))</f>
        <v/>
      </c>
      <c r="AV128" s="8" t="str">
        <f>IF($B128="","",IF(COUNTIF('Competency Event Log'!$U$4:$U$803,$B128&amp;"|"&amp;AV$5)=0,"",SUMIF('Competency Event Log'!$U$4:$U$803,$B128&amp;"|"&amp;AV$5,'Competency Event Log'!$D$4:$D$803)))</f>
        <v/>
      </c>
      <c r="AW128" s="8" t="str">
        <f>IF($B128="","",IF(COUNTIF('Competency Event Log'!$U$4:$U$803,$B128&amp;"|"&amp;AW$5)=0,"",SUMIF('Competency Event Log'!$U$4:$U$803,$B128&amp;"|"&amp;AW$5,'Competency Event Log'!$D$4:$D$803)))</f>
        <v/>
      </c>
      <c r="AX128" s="8" t="str">
        <f>IF($B128="","",IF(COUNTIF('Competency Event Log'!$U$4:$U$803,$B128&amp;"|"&amp;AX$5)=0,"",SUMIF('Competency Event Log'!$U$4:$U$803,$B128&amp;"|"&amp;AX$5,'Competency Event Log'!$D$4:$D$803)))</f>
        <v/>
      </c>
      <c r="AY128" s="8" t="str">
        <f>IF($B128="","",IF(COUNTIF('Competency Event Log'!$U$4:$U$803,$B128&amp;"|"&amp;AY$5)=0,"",SUMIF('Competency Event Log'!$U$4:$U$803,$B128&amp;"|"&amp;AY$5,'Competency Event Log'!$D$4:$D$803)))</f>
        <v/>
      </c>
      <c r="AZ128" s="8" t="str">
        <f>IF($B128="","",IF(COUNTIF('Competency Event Log'!$U$4:$U$803,$B128&amp;"|"&amp;AZ$5)=0,"",SUMIF('Competency Event Log'!$U$4:$U$803,$B128&amp;"|"&amp;AZ$5,'Competency Event Log'!$D$4:$D$803)))</f>
        <v/>
      </c>
      <c r="BA128" s="8" t="str">
        <f>IF($B128="","",IF(COUNTIF('Competency Event Log'!$U$4:$U$803,$B128&amp;"|"&amp;BA$5)=0,"",SUMIF('Competency Event Log'!$U$4:$U$803,$B128&amp;"|"&amp;BA$5,'Competency Event Log'!$D$4:$D$803)))</f>
        <v/>
      </c>
      <c r="BB128" s="8" t="str">
        <f>IF($B128="","",IF(COUNTIF('Competency Event Log'!$U$4:$U$803,$B128&amp;"|"&amp;BB$5)=0,"",SUMIF('Competency Event Log'!$U$4:$U$803,$B128&amp;"|"&amp;BB$5,'Competency Event Log'!$D$4:$D$803)))</f>
        <v/>
      </c>
      <c r="BC128" s="8" t="str">
        <f>IF($B128="","",IF(COUNTIF('Competency Event Log'!$U$4:$U$803,$B128&amp;"|"&amp;BC$5)=0,"",SUMIF('Competency Event Log'!$U$4:$U$803,$B128&amp;"|"&amp;BC$5,'Competency Event Log'!$D$4:$D$803)))</f>
        <v/>
      </c>
      <c r="BD128" s="8" t="str">
        <f>IF($B128="","",IF(COUNTIF('Competency Event Log'!$U$4:$U$803,$B128&amp;"|"&amp;BD$5)=0,"",SUMIF('Competency Event Log'!$U$4:$U$803,$B128&amp;"|"&amp;BD$5,'Competency Event Log'!$D$4:$D$803)))</f>
        <v/>
      </c>
      <c r="BE128" s="8" t="str">
        <f>IF($B128="","",IF(COUNTIF('Competency Event Log'!$U$4:$U$803,$B128&amp;"|"&amp;BE$5)=0,"",SUMIF('Competency Event Log'!$U$4:$U$803,$B128&amp;"|"&amp;BE$5,'Competency Event Log'!$D$4:$D$803)))</f>
        <v/>
      </c>
      <c r="BF128" s="8" t="str">
        <f>IF($B128="","",IF(COUNTIF('Competency Event Log'!$U$4:$U$803,$B128&amp;"|"&amp;BF$5)=0,"",SUMIF('Competency Event Log'!$U$4:$U$803,$B128&amp;"|"&amp;BF$5,'Competency Event Log'!$D$4:$D$803)))</f>
        <v/>
      </c>
      <c r="BG128" s="8" t="str">
        <f>IF($B128="","",IF(COUNTIF('Competency Event Log'!$U$4:$U$803,$B128&amp;"|"&amp;BG$5)=0,"",SUMIF('Competency Event Log'!$U$4:$U$803,$B128&amp;"|"&amp;BG$5,'Competency Event Log'!$D$4:$D$803)))</f>
        <v/>
      </c>
      <c r="BH128" s="8" t="str">
        <f>IF($B128="","",IF(COUNTIF('Competency Event Log'!$U$4:$U$803,$B128&amp;"|"&amp;BH$5)=0,"",SUMIF('Competency Event Log'!$U$4:$U$803,$B128&amp;"|"&amp;BH$5,'Competency Event Log'!$D$4:$D$803)))</f>
        <v/>
      </c>
      <c r="BI128" s="8" t="str">
        <f>IF($B128="","",IF(COUNTIF('Competency Event Log'!$U$4:$U$803,$B128&amp;"|"&amp;BI$5)=0,"",SUMIF('Competency Event Log'!$U$4:$U$803,$B128&amp;"|"&amp;BI$5,'Competency Event Log'!$D$4:$D$803)))</f>
        <v/>
      </c>
      <c r="BJ128" s="8" t="str">
        <f>IF($B128="","",IF(COUNTIF('Competency Event Log'!$U$4:$U$803,$B128&amp;"|"&amp;BJ$5)=0,"",SUMIF('Competency Event Log'!$U$4:$U$803,$B128&amp;"|"&amp;BJ$5,'Competency Event Log'!$D$4:$D$803)))</f>
        <v/>
      </c>
      <c r="BK128" s="8" t="str">
        <f>IF($B128="","",IF(COUNTIF('Competency Event Log'!$U$4:$U$803,$B128&amp;"|"&amp;BK$5)=0,"",SUMIF('Competency Event Log'!$U$4:$U$803,$B128&amp;"|"&amp;BK$5,'Competency Event Log'!$D$4:$D$803)))</f>
        <v/>
      </c>
      <c r="BL128" s="8" t="str">
        <f>IF($B128="","",IF(COUNTIF('Competency Event Log'!$U$4:$U$803,$B128&amp;"|"&amp;BL$5)=0,"",SUMIF('Competency Event Log'!$U$4:$U$803,$B128&amp;"|"&amp;BL$5,'Competency Event Log'!$D$4:$D$803)))</f>
        <v/>
      </c>
      <c r="BM128" s="8" t="str">
        <f>IF($B128="","",IF(COUNTIF('Competency Event Log'!$U$4:$U$803,$B128&amp;"|"&amp;BM$5)=0,"",SUMIF('Competency Event Log'!$U$4:$U$803,$B128&amp;"|"&amp;BM$5,'Competency Event Log'!$D$4:$D$803)))</f>
        <v/>
      </c>
      <c r="BN128" s="8" t="str">
        <f>IF($B128="","",IF(COUNTIF('Competency Event Log'!$U$4:$U$803,$B128&amp;"|"&amp;BN$5)=0,"",SUMIF('Competency Event Log'!$U$4:$U$803,$B128&amp;"|"&amp;BN$5,'Competency Event Log'!$D$4:$D$803)))</f>
        <v/>
      </c>
      <c r="BO128" s="8" t="str">
        <f>IF($B128="","",IF(COUNTIF('Competency Event Log'!$U$4:$U$803,$B128&amp;"|"&amp;BO$5)=0,"",SUMIF('Competency Event Log'!$U$4:$U$803,$B128&amp;"|"&amp;BO$5,'Competency Event Log'!$D$4:$D$803)))</f>
        <v/>
      </c>
      <c r="BP128" s="8" t="str">
        <f>IF($B128="","",IF(COUNTIF('Competency Event Log'!$U$4:$U$803,$B128&amp;"|"&amp;BP$5)=0,"",SUMIF('Competency Event Log'!$U$4:$U$803,$B128&amp;"|"&amp;BP$5,'Competency Event Log'!$D$4:$D$803)))</f>
        <v/>
      </c>
      <c r="BQ128" s="8" t="str">
        <f>IF($B128="","",IF(COUNTIF('Competency Event Log'!$U$4:$U$803,$B128&amp;"|"&amp;BQ$5)=0,"",SUMIF('Competency Event Log'!$U$4:$U$803,$B128&amp;"|"&amp;BQ$5,'Competency Event Log'!$D$4:$D$803)))</f>
        <v/>
      </c>
      <c r="BR128" s="8" t="str">
        <f>IF($B128="","",IF(COUNTIF('Competency Event Log'!$U$4:$U$803,$B128&amp;"|"&amp;BR$5)=0,"",SUMIF('Competency Event Log'!$U$4:$U$803,$B128&amp;"|"&amp;BR$5,'Competency Event Log'!$D$4:$D$803)))</f>
        <v/>
      </c>
      <c r="BS128" s="8" t="str">
        <f>IF($B128="","",IF(COUNTIF('Competency Event Log'!$U$4:$U$803,$B128&amp;"|"&amp;BS$5)=0,"",SUMIF('Competency Event Log'!$U$4:$U$803,$B128&amp;"|"&amp;BS$5,'Competency Event Log'!$D$4:$D$803)))</f>
        <v/>
      </c>
      <c r="BT128" s="8" t="str">
        <f>IF($B128="","",IF(COUNTIF('Competency Event Log'!$U$4:$U$803,$B128&amp;"|"&amp;BT$5)=0,"",SUMIF('Competency Event Log'!$U$4:$U$803,$B128&amp;"|"&amp;BT$5,'Competency Event Log'!$D$4:$D$803)))</f>
        <v/>
      </c>
      <c r="BU128" s="8" t="str">
        <f>IF($B128="","",IF(COUNTIF('Competency Event Log'!$U$4:$U$803,$B128&amp;"|"&amp;BU$5)=0,"",SUMIF('Competency Event Log'!$U$4:$U$803,$B128&amp;"|"&amp;BU$5,'Competency Event Log'!$D$4:$D$803)))</f>
        <v/>
      </c>
      <c r="BV128" s="8" t="str">
        <f>IF($B128="","",IF(COUNTIF('Competency Event Log'!$U$4:$U$803,$B128&amp;"|"&amp;BV$5)=0,"",SUMIF('Competency Event Log'!$U$4:$U$803,$B128&amp;"|"&amp;BV$5,'Competency Event Log'!$D$4:$D$803)))</f>
        <v/>
      </c>
      <c r="BW128" s="8" t="str">
        <f>IF($B128="","",IF(COUNTIF('Competency Event Log'!$U$4:$U$803,$B128&amp;"|"&amp;BW$5)=0,"",SUMIF('Competency Event Log'!$U$4:$U$803,$B128&amp;"|"&amp;BW$5,'Competency Event Log'!$D$4:$D$803)))</f>
        <v/>
      </c>
      <c r="BX128" s="8" t="str">
        <f>IF($B128="","",IF(COUNTIF('Competency Event Log'!$U$4:$U$803,$B128&amp;"|"&amp;BX$5)=0,"",SUMIF('Competency Event Log'!$U$4:$U$803,$B128&amp;"|"&amp;BX$5,'Competency Event Log'!$D$4:$D$803)))</f>
        <v/>
      </c>
      <c r="BY128" s="8" t="str">
        <f>IF($B128="","",IF(COUNTIF('Competency Event Log'!$U$4:$U$803,$B128&amp;"|"&amp;BY$5)=0,"",SUMIF('Competency Event Log'!$U$4:$U$803,$B128&amp;"|"&amp;BY$5,'Competency Event Log'!$D$4:$D$803)))</f>
        <v/>
      </c>
      <c r="BZ128" s="8" t="str">
        <f>IF($B128="","",IF(COUNTIF('Competency Event Log'!$U$4:$U$803,$B128&amp;"|"&amp;BZ$5)=0,"",SUMIF('Competency Event Log'!$U$4:$U$803,$B128&amp;"|"&amp;BZ$5,'Competency Event Log'!$D$4:$D$803)))</f>
        <v/>
      </c>
      <c r="CA128" s="8" t="str">
        <f>IF($B128="","",IF(COUNTIF('Competency Event Log'!$U$4:$U$803,$B128&amp;"|"&amp;CA$5)=0,"",SUMIF('Competency Event Log'!$U$4:$U$803,$B128&amp;"|"&amp;CA$5,'Competency Event Log'!$D$4:$D$803)))</f>
        <v/>
      </c>
      <c r="CB128" s="8" t="str">
        <f>IF($B128="","",IF(COUNTIF('Competency Event Log'!$U$4:$U$803,$B128&amp;"|"&amp;CB$5)=0,"",SUMIF('Competency Event Log'!$U$4:$U$803,$B128&amp;"|"&amp;CB$5,'Competency Event Log'!$D$4:$D$803)))</f>
        <v/>
      </c>
      <c r="CC128" s="8" t="str">
        <f>IF($B128="","",IF(COUNTIF('Competency Event Log'!$U$4:$U$803,$B128&amp;"|"&amp;CC$5)=0,"",SUMIF('Competency Event Log'!$U$4:$U$803,$B128&amp;"|"&amp;CC$5,'Competency Event Log'!$D$4:$D$803)))</f>
        <v/>
      </c>
      <c r="CD128" s="8" t="str">
        <f>IF($B128="","",IF(COUNTIF('Competency Event Log'!$U$4:$U$803,$B128&amp;"|"&amp;CD$5)=0,"",SUMIF('Competency Event Log'!$U$4:$U$803,$B128&amp;"|"&amp;CD$5,'Competency Event Log'!$D$4:$D$803)))</f>
        <v/>
      </c>
      <c r="CE128" s="8" t="str">
        <f>IF($B128="","",IF(COUNTIF('Competency Event Log'!$U$4:$U$803,$B128&amp;"|"&amp;CE$5)=0,"",SUMIF('Competency Event Log'!$U$4:$U$803,$B128&amp;"|"&amp;CE$5,'Competency Event Log'!$D$4:$D$803)))</f>
        <v/>
      </c>
      <c r="CF128" s="8" t="str">
        <f>IF($B128="","",IF(COUNTIF('Competency Event Log'!$U$4:$U$803,$B128&amp;"|"&amp;CF$5)=0,"",SUMIF('Competency Event Log'!$U$4:$U$803,$B128&amp;"|"&amp;CF$5,'Competency Event Log'!$D$4:$D$803)))</f>
        <v/>
      </c>
      <c r="CG128" s="8" t="str">
        <f>IF($B128="","",IF(COUNTIF('Competency Event Log'!$U$4:$U$803,$B128&amp;"|"&amp;CG$5)=0,"",SUMIF('Competency Event Log'!$U$4:$U$803,$B128&amp;"|"&amp;CG$5,'Competency Event Log'!$D$4:$D$803)))</f>
        <v/>
      </c>
      <c r="CH128" s="8" t="str">
        <f>IF($B128="","",IF(COUNTIF('Competency Event Log'!$U$4:$U$803,$B128&amp;"|"&amp;CH$5)=0,"",SUMIF('Competency Event Log'!$U$4:$U$803,$B128&amp;"|"&amp;CH$5,'Competency Event Log'!$D$4:$D$803)))</f>
        <v/>
      </c>
      <c r="CI128" s="8" t="str">
        <f>IF($B128="","",IF(COUNTIF('Competency Event Log'!$U$4:$U$803,$B128&amp;"|"&amp;CI$5)=0,"",SUMIF('Competency Event Log'!$U$4:$U$803,$B128&amp;"|"&amp;CI$5,'Competency Event Log'!$D$4:$D$803)))</f>
        <v/>
      </c>
      <c r="CJ128" s="8" t="str">
        <f>IF($B128="","",IF(COUNTIF('Competency Event Log'!$U$4:$U$803,$B128&amp;"|"&amp;CJ$5)=0,"",SUMIF('Competency Event Log'!$U$4:$U$803,$B128&amp;"|"&amp;CJ$5,'Competency Event Log'!$D$4:$D$803)))</f>
        <v/>
      </c>
      <c r="CK128" s="8" t="str">
        <f>IF($B128="","",IF(COUNTIF('Competency Event Log'!$U$4:$U$803,$B128&amp;"|"&amp;CK$5)=0,"",SUMIF('Competency Event Log'!$U$4:$U$803,$B128&amp;"|"&amp;CK$5,'Competency Event Log'!$D$4:$D$803)))</f>
        <v/>
      </c>
      <c r="CL128" s="8" t="str">
        <f>IF($B128="","",IF(COUNTIF('Competency Event Log'!$U$4:$U$803,$B128&amp;"|"&amp;CL$5)=0,"",SUMIF('Competency Event Log'!$U$4:$U$803,$B128&amp;"|"&amp;CL$5,'Competency Event Log'!$D$4:$D$803)))</f>
        <v/>
      </c>
      <c r="CM128" s="8" t="str">
        <f>IF($B128="","",IF(COUNTIF('Competency Event Log'!$U$4:$U$803,$B128&amp;"|"&amp;CM$5)=0,"",SUMIF('Competency Event Log'!$U$4:$U$803,$B128&amp;"|"&amp;CM$5,'Competency Event Log'!$D$4:$D$803)))</f>
        <v/>
      </c>
      <c r="CN128" s="8" t="str">
        <f>IF($B128="","",IF(COUNTIF('Competency Event Log'!$U$4:$U$803,$B128&amp;"|"&amp;CN$5)=0,"",SUMIF('Competency Event Log'!$U$4:$U$803,$B128&amp;"|"&amp;CN$5,'Competency Event Log'!$D$4:$D$803)))</f>
        <v/>
      </c>
      <c r="CO128" s="8" t="str">
        <f>IF($B128="","",IF(COUNTIF('Competency Event Log'!$U$4:$U$803,$B128&amp;"|"&amp;CO$5)=0,"",SUMIF('Competency Event Log'!$U$4:$U$803,$B128&amp;"|"&amp;CO$5,'Competency Event Log'!$D$4:$D$803)))</f>
        <v/>
      </c>
      <c r="CP128" s="8" t="str">
        <f>IF($B128="","",IF(COUNTIF('Competency Event Log'!$U$4:$U$803,$B128&amp;"|"&amp;CP$5)=0,"",SUMIF('Competency Event Log'!$U$4:$U$803,$B128&amp;"|"&amp;CP$5,'Competency Event Log'!$D$4:$D$803)))</f>
        <v/>
      </c>
      <c r="CQ128" s="8" t="str">
        <f>IF($B128="","",IF(COUNTIF('Competency Event Log'!$U$4:$U$803,$B128&amp;"|"&amp;CQ$5)=0,"",SUMIF('Competency Event Log'!$U$4:$U$803,$B128&amp;"|"&amp;CQ$5,'Competency Event Log'!$D$4:$D$803)))</f>
        <v/>
      </c>
      <c r="CR128" s="8" t="str">
        <f>IF($B128="","",IF(COUNTIF('Competency Event Log'!$U$4:$U$803,$B128&amp;"|"&amp;CR$5)=0,"",SUMIF('Competency Event Log'!$U$4:$U$803,$B128&amp;"|"&amp;CR$5,'Competency Event Log'!$D$4:$D$803)))</f>
        <v/>
      </c>
      <c r="CS128" s="8" t="str">
        <f>IF($B128="","",IF(COUNTIF('Competency Event Log'!$U$4:$U$803,$B128&amp;"|"&amp;CS$5)=0,"",SUMIF('Competency Event Log'!$U$4:$U$803,$B128&amp;"|"&amp;CS$5,'Competency Event Log'!$D$4:$D$803)))</f>
        <v/>
      </c>
      <c r="CT128" s="8" t="str">
        <f>IF($B128="","",IF(COUNTIF('Competency Event Log'!$U$4:$U$803,$B128&amp;"|"&amp;CT$5)=0,"",SUMIF('Competency Event Log'!$U$4:$U$803,$B128&amp;"|"&amp;CT$5,'Competency Event Log'!$D$4:$D$803)))</f>
        <v/>
      </c>
      <c r="CU128" s="8" t="str">
        <f>IF($B128="","",IF(COUNTIF('Competency Event Log'!$U$4:$U$803,$B128&amp;"|"&amp;CU$5)=0,"",SUMIF('Competency Event Log'!$U$4:$U$803,$B128&amp;"|"&amp;CU$5,'Competency Event Log'!$D$4:$D$803)))</f>
        <v/>
      </c>
      <c r="CV128" s="8" t="str">
        <f>IF($B128="","",IF(COUNTIF('Competency Event Log'!$U$4:$U$803,$B128&amp;"|"&amp;CV$5)=0,"",SUMIF('Competency Event Log'!$U$4:$U$803,$B128&amp;"|"&amp;CV$5,'Competency Event Log'!$D$4:$D$803)))</f>
        <v/>
      </c>
      <c r="CW128" s="8" t="str">
        <f>IF($B128="","",IF(COUNTIF('Competency Event Log'!$U$4:$U$803,$B128&amp;"|"&amp;CW$5)=0,"",SUMIF('Competency Event Log'!$U$4:$U$803,$B128&amp;"|"&amp;CW$5,'Competency Event Log'!$D$4:$D$803)))</f>
        <v/>
      </c>
      <c r="CX128" s="8" t="str">
        <f>IF($B128="","",IF(COUNTIF('Competency Event Log'!$U$4:$U$803,$B128&amp;"|"&amp;CX$5)=0,"",SUMIF('Competency Event Log'!$U$4:$U$803,$B128&amp;"|"&amp;CX$5,'Competency Event Log'!$D$4:$D$803)))</f>
        <v/>
      </c>
      <c r="CY128" s="8" t="str">
        <f>IF($B128="","",IF(COUNTIF('Competency Event Log'!$U$4:$U$803,$B128&amp;"|"&amp;CY$5)=0,"",SUMIF('Competency Event Log'!$U$4:$U$803,$B128&amp;"|"&amp;CY$5,'Competency Event Log'!$D$4:$D$803)))</f>
        <v/>
      </c>
      <c r="CZ128" s="8" t="str">
        <f>IF($B128="","",IF(COUNTIF('Competency Event Log'!$U$4:$U$803,$B128&amp;"|"&amp;CZ$5)=0,"",SUMIF('Competency Event Log'!$U$4:$U$803,$B128&amp;"|"&amp;CZ$5,'Competency Event Log'!$D$4:$D$803)))</f>
        <v/>
      </c>
      <c r="DA128" s="8" t="str">
        <f>IF($B128="","",IF(COUNTIF('Competency Event Log'!$U$4:$U$803,$B128&amp;"|"&amp;DA$5)=0,"",SUMIF('Competency Event Log'!$U$4:$U$803,$B128&amp;"|"&amp;DA$5,'Competency Event Log'!$D$4:$D$803)))</f>
        <v/>
      </c>
      <c r="DB128" s="8" t="str">
        <f>IF($B128="","",IF(COUNTIF('Competency Event Log'!$U$4:$U$803,$B128&amp;"|"&amp;DB$5)=0,"",SUMIF('Competency Event Log'!$U$4:$U$803,$B128&amp;"|"&amp;DB$5,'Competency Event Log'!$D$4:$D$803)))</f>
        <v/>
      </c>
      <c r="DC128" s="8" t="str">
        <f>IF($B128="","",IF(COUNTIF('Competency Event Log'!$U$4:$U$803,$B128&amp;"|"&amp;DC$5)=0,"",SUMIF('Competency Event Log'!$U$4:$U$803,$B128&amp;"|"&amp;DC$5,'Competency Event Log'!$D$4:$D$803)))</f>
        <v/>
      </c>
      <c r="DD128" s="8" t="str">
        <f>IF($B128="","",IF(COUNTIF('Competency Event Log'!$U$4:$U$803,$B128&amp;"|"&amp;DD$5)=0,"",SUMIF('Competency Event Log'!$U$4:$U$803,$B128&amp;"|"&amp;DD$5,'Competency Event Log'!$D$4:$D$803)))</f>
        <v/>
      </c>
      <c r="DE128" s="8" t="str">
        <f>IF($B128="","",IF(COUNTIF('Competency Event Log'!$U$4:$U$803,$B128&amp;"|"&amp;DE$5)=0,"",SUMIF('Competency Event Log'!$U$4:$U$803,$B128&amp;"|"&amp;DE$5,'Competency Event Log'!$D$4:$D$803)))</f>
        <v/>
      </c>
      <c r="DF128" s="8" t="str">
        <f t="shared" si="12"/>
        <v/>
      </c>
      <c r="DG128" s="8" t="str">
        <f t="shared" si="13"/>
        <v/>
      </c>
      <c r="DH128" s="8" t="str">
        <f t="shared" si="14"/>
        <v/>
      </c>
      <c r="DI128" s="11" t="str">
        <f t="shared" si="15"/>
        <v/>
      </c>
    </row>
    <row r="129" spans="1:113">
      <c r="A129" s="7"/>
      <c r="B129" s="7"/>
      <c r="C129" s="8"/>
      <c r="D129" s="9"/>
      <c r="E129" s="10"/>
      <c r="F129" s="8"/>
      <c r="G129" s="8" t="str">
        <f>IF($B129="","",IF(COUNTIF('Competency Event Log'!$U$4:$U$803,$B129&amp;"|"&amp;G$5)=0,"",SUMIF('Competency Event Log'!$U$4:$U$803,$B129&amp;"|"&amp;G$5,'Competency Event Log'!$D$4:$D$803)))</f>
        <v/>
      </c>
      <c r="H129" s="8" t="str">
        <f>IF($B129="","",IF(COUNTIF('Competency Event Log'!$U$4:$U$803,$B129&amp;"|"&amp;H$5)=0,"",SUMIF('Competency Event Log'!$U$4:$U$803,$B129&amp;"|"&amp;H$5,'Competency Event Log'!$D$4:$D$803)))</f>
        <v/>
      </c>
      <c r="I129" s="8" t="str">
        <f>IF($B129="","",IF(COUNTIF('Competency Event Log'!$U$4:$U$803,$B129&amp;"|"&amp;I$5)=0,"",SUMIF('Competency Event Log'!$U$4:$U$803,$B129&amp;"|"&amp;I$5,'Competency Event Log'!$D$4:$D$803)))</f>
        <v/>
      </c>
      <c r="J129" s="8" t="str">
        <f>IF($B129="","",IF(COUNTIF('Competency Event Log'!$U$4:$U$803,$B129&amp;"|"&amp;J$5)=0,"",SUMIF('Competency Event Log'!$U$4:$U$803,$B129&amp;"|"&amp;J$5,'Competency Event Log'!$D$4:$D$803)))</f>
        <v/>
      </c>
      <c r="K129" s="8" t="str">
        <f>IF($B129="","",IF(COUNTIF('Competency Event Log'!$U$4:$U$803,$B129&amp;"|"&amp;K$5)=0,"",SUMIF('Competency Event Log'!$U$4:$U$803,$B129&amp;"|"&amp;K$5,'Competency Event Log'!$D$4:$D$803)))</f>
        <v/>
      </c>
      <c r="L129" s="8" t="str">
        <f>IF($B129="","",IF(COUNTIF('Competency Event Log'!$U$4:$U$803,$B129&amp;"|"&amp;L$5)=0,"",SUMIF('Competency Event Log'!$U$4:$U$803,$B129&amp;"|"&amp;L$5,'Competency Event Log'!$D$4:$D$803)))</f>
        <v/>
      </c>
      <c r="M129" s="8" t="str">
        <f>IF($B129="","",IF(COUNTIF('Competency Event Log'!$U$4:$U$803,$B129&amp;"|"&amp;M$5)=0,"",SUMIF('Competency Event Log'!$U$4:$U$803,$B129&amp;"|"&amp;M$5,'Competency Event Log'!$D$4:$D$803)))</f>
        <v/>
      </c>
      <c r="N129" s="8" t="str">
        <f>IF($B129="","",IF(COUNTIF('Competency Event Log'!$U$4:$U$803,$B129&amp;"|"&amp;N$5)=0,"",SUMIF('Competency Event Log'!$U$4:$U$803,$B129&amp;"|"&amp;N$5,'Competency Event Log'!$D$4:$D$803)))</f>
        <v/>
      </c>
      <c r="O129" s="8" t="str">
        <f>IF($B129="","",IF(COUNTIF('Competency Event Log'!$U$4:$U$803,$B129&amp;"|"&amp;O$5)=0,"",SUMIF('Competency Event Log'!$U$4:$U$803,$B129&amp;"|"&amp;O$5,'Competency Event Log'!$D$4:$D$803)))</f>
        <v/>
      </c>
      <c r="P129" s="8" t="str">
        <f>IF($B129="","",IF(COUNTIF('Competency Event Log'!$U$4:$U$803,$B129&amp;"|"&amp;P$5)=0,"",SUMIF('Competency Event Log'!$U$4:$U$803,$B129&amp;"|"&amp;P$5,'Competency Event Log'!$D$4:$D$803)))</f>
        <v/>
      </c>
      <c r="Q129" s="8" t="str">
        <f>IF($B129="","",IF(COUNTIF('Competency Event Log'!$U$4:$U$803,$B129&amp;"|"&amp;Q$5)=0,"",SUMIF('Competency Event Log'!$U$4:$U$803,$B129&amp;"|"&amp;Q$5,'Competency Event Log'!$D$4:$D$803)))</f>
        <v/>
      </c>
      <c r="R129" s="8" t="str">
        <f>IF($B129="","",IF(COUNTIF('Competency Event Log'!$U$4:$U$803,$B129&amp;"|"&amp;R$5)=0,"",SUMIF('Competency Event Log'!$U$4:$U$803,$B129&amp;"|"&amp;R$5,'Competency Event Log'!$D$4:$D$803)))</f>
        <v/>
      </c>
      <c r="S129" s="8" t="str">
        <f>IF($B129="","",IF(COUNTIF('Competency Event Log'!$U$4:$U$803,$B129&amp;"|"&amp;S$5)=0,"",SUMIF('Competency Event Log'!$U$4:$U$803,$B129&amp;"|"&amp;S$5,'Competency Event Log'!$D$4:$D$803)))</f>
        <v/>
      </c>
      <c r="T129" s="8" t="str">
        <f>IF($B129="","",IF(COUNTIF('Competency Event Log'!$U$4:$U$803,$B129&amp;"|"&amp;T$5)=0,"",SUMIF('Competency Event Log'!$U$4:$U$803,$B129&amp;"|"&amp;T$5,'Competency Event Log'!$D$4:$D$803)))</f>
        <v/>
      </c>
      <c r="U129" s="8" t="str">
        <f>IF($B129="","",IF(COUNTIF('Competency Event Log'!$U$4:$U$803,$B129&amp;"|"&amp;U$5)=0,"",SUMIF('Competency Event Log'!$U$4:$U$803,$B129&amp;"|"&amp;U$5,'Competency Event Log'!$D$4:$D$803)))</f>
        <v/>
      </c>
      <c r="V129" s="8" t="str">
        <f>IF($B129="","",IF(COUNTIF('Competency Event Log'!$U$4:$U$803,$B129&amp;"|"&amp;V$5)=0,"",SUMIF('Competency Event Log'!$U$4:$U$803,$B129&amp;"|"&amp;V$5,'Competency Event Log'!$D$4:$D$803)))</f>
        <v/>
      </c>
      <c r="W129" s="8" t="str">
        <f>IF($B129="","",IF(COUNTIF('Competency Event Log'!$U$4:$U$803,$B129&amp;"|"&amp;W$5)=0,"",SUMIF('Competency Event Log'!$U$4:$U$803,$B129&amp;"|"&amp;W$5,'Competency Event Log'!$D$4:$D$803)))</f>
        <v/>
      </c>
      <c r="X129" s="8" t="str">
        <f>IF($B129="","",IF(COUNTIF('Competency Event Log'!$U$4:$U$803,$B129&amp;"|"&amp;X$5)=0,"",SUMIF('Competency Event Log'!$U$4:$U$803,$B129&amp;"|"&amp;X$5,'Competency Event Log'!$D$4:$D$803)))</f>
        <v/>
      </c>
      <c r="Y129" s="8" t="str">
        <f>IF($B129="","",IF(COUNTIF('Competency Event Log'!$U$4:$U$803,$B129&amp;"|"&amp;Y$5)=0,"",SUMIF('Competency Event Log'!$U$4:$U$803,$B129&amp;"|"&amp;Y$5,'Competency Event Log'!$D$4:$D$803)))</f>
        <v/>
      </c>
      <c r="Z129" s="8" t="str">
        <f>IF($B129="","",IF(COUNTIF('Competency Event Log'!$U$4:$U$803,$B129&amp;"|"&amp;Z$5)=0,"",SUMIF('Competency Event Log'!$U$4:$U$803,$B129&amp;"|"&amp;Z$5,'Competency Event Log'!$D$4:$D$803)))</f>
        <v/>
      </c>
      <c r="AA129" s="8" t="str">
        <f>IF($B129="","",IF(COUNTIF('Competency Event Log'!$U$4:$U$803,$B129&amp;"|"&amp;AA$5)=0,"",SUMIF('Competency Event Log'!$U$4:$U$803,$B129&amp;"|"&amp;AA$5,'Competency Event Log'!$D$4:$D$803)))</f>
        <v/>
      </c>
      <c r="AB129" s="8" t="str">
        <f>IF($B129="","",IF(COUNTIF('Competency Event Log'!$U$4:$U$803,$B129&amp;"|"&amp;AB$5)=0,"",SUMIF('Competency Event Log'!$U$4:$U$803,$B129&amp;"|"&amp;AB$5,'Competency Event Log'!$D$4:$D$803)))</f>
        <v/>
      </c>
      <c r="AC129" s="8" t="str">
        <f>IF($B129="","",IF(COUNTIF('Competency Event Log'!$U$4:$U$803,$B129&amp;"|"&amp;AC$5)=0,"",SUMIF('Competency Event Log'!$U$4:$U$803,$B129&amp;"|"&amp;AC$5,'Competency Event Log'!$D$4:$D$803)))</f>
        <v/>
      </c>
      <c r="AD129" s="8" t="str">
        <f>IF($B129="","",IF(COUNTIF('Competency Event Log'!$U$4:$U$803,$B129&amp;"|"&amp;AD$5)=0,"",SUMIF('Competency Event Log'!$U$4:$U$803,$B129&amp;"|"&amp;AD$5,'Competency Event Log'!$D$4:$D$803)))</f>
        <v/>
      </c>
      <c r="AE129" s="8" t="str">
        <f>IF($B129="","",IF(COUNTIF('Competency Event Log'!$U$4:$U$803,$B129&amp;"|"&amp;AE$5)=0,"",SUMIF('Competency Event Log'!$U$4:$U$803,$B129&amp;"|"&amp;AE$5,'Competency Event Log'!$D$4:$D$803)))</f>
        <v/>
      </c>
      <c r="AF129" s="8" t="str">
        <f>IF($B129="","",IF(COUNTIF('Competency Event Log'!$U$4:$U$803,$B129&amp;"|"&amp;AF$5)=0,"",SUMIF('Competency Event Log'!$U$4:$U$803,$B129&amp;"|"&amp;AF$5,'Competency Event Log'!$D$4:$D$803)))</f>
        <v/>
      </c>
      <c r="AG129" s="8" t="str">
        <f>IF($B129="","",IF(COUNTIF('Competency Event Log'!$U$4:$U$803,$B129&amp;"|"&amp;AG$5)=0,"",SUMIF('Competency Event Log'!$U$4:$U$803,$B129&amp;"|"&amp;AG$5,'Competency Event Log'!$D$4:$D$803)))</f>
        <v/>
      </c>
      <c r="AH129" s="8" t="str">
        <f>IF($B129="","",IF(COUNTIF('Competency Event Log'!$U$4:$U$803,$B129&amp;"|"&amp;AH$5)=0,"",SUMIF('Competency Event Log'!$U$4:$U$803,$B129&amp;"|"&amp;AH$5,'Competency Event Log'!$D$4:$D$803)))</f>
        <v/>
      </c>
      <c r="AI129" s="8" t="str">
        <f>IF($B129="","",IF(COUNTIF('Competency Event Log'!$U$4:$U$803,$B129&amp;"|"&amp;AI$5)=0,"",SUMIF('Competency Event Log'!$U$4:$U$803,$B129&amp;"|"&amp;AI$5,'Competency Event Log'!$D$4:$D$803)))</f>
        <v/>
      </c>
      <c r="AJ129" s="8" t="str">
        <f>IF($B129="","",IF(COUNTIF('Competency Event Log'!$U$4:$U$803,$B129&amp;"|"&amp;AJ$5)=0,"",SUMIF('Competency Event Log'!$U$4:$U$803,$B129&amp;"|"&amp;AJ$5,'Competency Event Log'!$D$4:$D$803)))</f>
        <v/>
      </c>
      <c r="AK129" s="8" t="str">
        <f>IF($B129="","",IF(COUNTIF('Competency Event Log'!$U$4:$U$803,$B129&amp;"|"&amp;AK$5)=0,"",SUMIF('Competency Event Log'!$U$4:$U$803,$B129&amp;"|"&amp;AK$5,'Competency Event Log'!$D$4:$D$803)))</f>
        <v/>
      </c>
      <c r="AL129" s="8" t="str">
        <f>IF($B129="","",IF(COUNTIF('Competency Event Log'!$U$4:$U$803,$B129&amp;"|"&amp;AL$5)=0,"",SUMIF('Competency Event Log'!$U$4:$U$803,$B129&amp;"|"&amp;AL$5,'Competency Event Log'!$D$4:$D$803)))</f>
        <v/>
      </c>
      <c r="AM129" s="8" t="str">
        <f>IF($B129="","",IF(COUNTIF('Competency Event Log'!$U$4:$U$803,$B129&amp;"|"&amp;AM$5)=0,"",SUMIF('Competency Event Log'!$U$4:$U$803,$B129&amp;"|"&amp;AM$5,'Competency Event Log'!$D$4:$D$803)))</f>
        <v/>
      </c>
      <c r="AN129" s="8" t="str">
        <f>IF($B129="","",IF(COUNTIF('Competency Event Log'!$U$4:$U$803,$B129&amp;"|"&amp;AN$5)=0,"",SUMIF('Competency Event Log'!$U$4:$U$803,$B129&amp;"|"&amp;AN$5,'Competency Event Log'!$D$4:$D$803)))</f>
        <v/>
      </c>
      <c r="AO129" s="8" t="str">
        <f>IF($B129="","",IF(COUNTIF('Competency Event Log'!$U$4:$U$803,$B129&amp;"|"&amp;AO$5)=0,"",SUMIF('Competency Event Log'!$U$4:$U$803,$B129&amp;"|"&amp;AO$5,'Competency Event Log'!$D$4:$D$803)))</f>
        <v/>
      </c>
      <c r="AP129" s="8" t="str">
        <f>IF($B129="","",IF(COUNTIF('Competency Event Log'!$U$4:$U$803,$B129&amp;"|"&amp;AP$5)=0,"",SUMIF('Competency Event Log'!$U$4:$U$803,$B129&amp;"|"&amp;AP$5,'Competency Event Log'!$D$4:$D$803)))</f>
        <v/>
      </c>
      <c r="AQ129" s="8" t="str">
        <f>IF($B129="","",IF(COUNTIF('Competency Event Log'!$U$4:$U$803,$B129&amp;"|"&amp;AQ$5)=0,"",SUMIF('Competency Event Log'!$U$4:$U$803,$B129&amp;"|"&amp;AQ$5,'Competency Event Log'!$D$4:$D$803)))</f>
        <v/>
      </c>
      <c r="AR129" s="8" t="str">
        <f>IF($B129="","",IF(COUNTIF('Competency Event Log'!$U$4:$U$803,$B129&amp;"|"&amp;AR$5)=0,"",SUMIF('Competency Event Log'!$U$4:$U$803,$B129&amp;"|"&amp;AR$5,'Competency Event Log'!$D$4:$D$803)))</f>
        <v/>
      </c>
      <c r="AS129" s="8" t="str">
        <f>IF($B129="","",IF(COUNTIF('Competency Event Log'!$U$4:$U$803,$B129&amp;"|"&amp;AS$5)=0,"",SUMIF('Competency Event Log'!$U$4:$U$803,$B129&amp;"|"&amp;AS$5,'Competency Event Log'!$D$4:$D$803)))</f>
        <v/>
      </c>
      <c r="AT129" s="8" t="str">
        <f>IF($B129="","",IF(COUNTIF('Competency Event Log'!$U$4:$U$803,$B129&amp;"|"&amp;AT$5)=0,"",SUMIF('Competency Event Log'!$U$4:$U$803,$B129&amp;"|"&amp;AT$5,'Competency Event Log'!$D$4:$D$803)))</f>
        <v/>
      </c>
      <c r="AU129" s="8" t="str">
        <f>IF($B129="","",IF(COUNTIF('Competency Event Log'!$U$4:$U$803,$B129&amp;"|"&amp;AU$5)=0,"",SUMIF('Competency Event Log'!$U$4:$U$803,$B129&amp;"|"&amp;AU$5,'Competency Event Log'!$D$4:$D$803)))</f>
        <v/>
      </c>
      <c r="AV129" s="8" t="str">
        <f>IF($B129="","",IF(COUNTIF('Competency Event Log'!$U$4:$U$803,$B129&amp;"|"&amp;AV$5)=0,"",SUMIF('Competency Event Log'!$U$4:$U$803,$B129&amp;"|"&amp;AV$5,'Competency Event Log'!$D$4:$D$803)))</f>
        <v/>
      </c>
      <c r="AW129" s="8" t="str">
        <f>IF($B129="","",IF(COUNTIF('Competency Event Log'!$U$4:$U$803,$B129&amp;"|"&amp;AW$5)=0,"",SUMIF('Competency Event Log'!$U$4:$U$803,$B129&amp;"|"&amp;AW$5,'Competency Event Log'!$D$4:$D$803)))</f>
        <v/>
      </c>
      <c r="AX129" s="8" t="str">
        <f>IF($B129="","",IF(COUNTIF('Competency Event Log'!$U$4:$U$803,$B129&amp;"|"&amp;AX$5)=0,"",SUMIF('Competency Event Log'!$U$4:$U$803,$B129&amp;"|"&amp;AX$5,'Competency Event Log'!$D$4:$D$803)))</f>
        <v/>
      </c>
      <c r="AY129" s="8" t="str">
        <f>IF($B129="","",IF(COUNTIF('Competency Event Log'!$U$4:$U$803,$B129&amp;"|"&amp;AY$5)=0,"",SUMIF('Competency Event Log'!$U$4:$U$803,$B129&amp;"|"&amp;AY$5,'Competency Event Log'!$D$4:$D$803)))</f>
        <v/>
      </c>
      <c r="AZ129" s="8" t="str">
        <f>IF($B129="","",IF(COUNTIF('Competency Event Log'!$U$4:$U$803,$B129&amp;"|"&amp;AZ$5)=0,"",SUMIF('Competency Event Log'!$U$4:$U$803,$B129&amp;"|"&amp;AZ$5,'Competency Event Log'!$D$4:$D$803)))</f>
        <v/>
      </c>
      <c r="BA129" s="8" t="str">
        <f>IF($B129="","",IF(COUNTIF('Competency Event Log'!$U$4:$U$803,$B129&amp;"|"&amp;BA$5)=0,"",SUMIF('Competency Event Log'!$U$4:$U$803,$B129&amp;"|"&amp;BA$5,'Competency Event Log'!$D$4:$D$803)))</f>
        <v/>
      </c>
      <c r="BB129" s="8" t="str">
        <f>IF($B129="","",IF(COUNTIF('Competency Event Log'!$U$4:$U$803,$B129&amp;"|"&amp;BB$5)=0,"",SUMIF('Competency Event Log'!$U$4:$U$803,$B129&amp;"|"&amp;BB$5,'Competency Event Log'!$D$4:$D$803)))</f>
        <v/>
      </c>
      <c r="BC129" s="8" t="str">
        <f>IF($B129="","",IF(COUNTIF('Competency Event Log'!$U$4:$U$803,$B129&amp;"|"&amp;BC$5)=0,"",SUMIF('Competency Event Log'!$U$4:$U$803,$B129&amp;"|"&amp;BC$5,'Competency Event Log'!$D$4:$D$803)))</f>
        <v/>
      </c>
      <c r="BD129" s="8" t="str">
        <f>IF($B129="","",IF(COUNTIF('Competency Event Log'!$U$4:$U$803,$B129&amp;"|"&amp;BD$5)=0,"",SUMIF('Competency Event Log'!$U$4:$U$803,$B129&amp;"|"&amp;BD$5,'Competency Event Log'!$D$4:$D$803)))</f>
        <v/>
      </c>
      <c r="BE129" s="8" t="str">
        <f>IF($B129="","",IF(COUNTIF('Competency Event Log'!$U$4:$U$803,$B129&amp;"|"&amp;BE$5)=0,"",SUMIF('Competency Event Log'!$U$4:$U$803,$B129&amp;"|"&amp;BE$5,'Competency Event Log'!$D$4:$D$803)))</f>
        <v/>
      </c>
      <c r="BF129" s="8" t="str">
        <f>IF($B129="","",IF(COUNTIF('Competency Event Log'!$U$4:$U$803,$B129&amp;"|"&amp;BF$5)=0,"",SUMIF('Competency Event Log'!$U$4:$U$803,$B129&amp;"|"&amp;BF$5,'Competency Event Log'!$D$4:$D$803)))</f>
        <v/>
      </c>
      <c r="BG129" s="8" t="str">
        <f>IF($B129="","",IF(COUNTIF('Competency Event Log'!$U$4:$U$803,$B129&amp;"|"&amp;BG$5)=0,"",SUMIF('Competency Event Log'!$U$4:$U$803,$B129&amp;"|"&amp;BG$5,'Competency Event Log'!$D$4:$D$803)))</f>
        <v/>
      </c>
      <c r="BH129" s="8" t="str">
        <f>IF($B129="","",IF(COUNTIF('Competency Event Log'!$U$4:$U$803,$B129&amp;"|"&amp;BH$5)=0,"",SUMIF('Competency Event Log'!$U$4:$U$803,$B129&amp;"|"&amp;BH$5,'Competency Event Log'!$D$4:$D$803)))</f>
        <v/>
      </c>
      <c r="BI129" s="8" t="str">
        <f>IF($B129="","",IF(COUNTIF('Competency Event Log'!$U$4:$U$803,$B129&amp;"|"&amp;BI$5)=0,"",SUMIF('Competency Event Log'!$U$4:$U$803,$B129&amp;"|"&amp;BI$5,'Competency Event Log'!$D$4:$D$803)))</f>
        <v/>
      </c>
      <c r="BJ129" s="8" t="str">
        <f>IF($B129="","",IF(COUNTIF('Competency Event Log'!$U$4:$U$803,$B129&amp;"|"&amp;BJ$5)=0,"",SUMIF('Competency Event Log'!$U$4:$U$803,$B129&amp;"|"&amp;BJ$5,'Competency Event Log'!$D$4:$D$803)))</f>
        <v/>
      </c>
      <c r="BK129" s="8" t="str">
        <f>IF($B129="","",IF(COUNTIF('Competency Event Log'!$U$4:$U$803,$B129&amp;"|"&amp;BK$5)=0,"",SUMIF('Competency Event Log'!$U$4:$U$803,$B129&amp;"|"&amp;BK$5,'Competency Event Log'!$D$4:$D$803)))</f>
        <v/>
      </c>
      <c r="BL129" s="8" t="str">
        <f>IF($B129="","",IF(COUNTIF('Competency Event Log'!$U$4:$U$803,$B129&amp;"|"&amp;BL$5)=0,"",SUMIF('Competency Event Log'!$U$4:$U$803,$B129&amp;"|"&amp;BL$5,'Competency Event Log'!$D$4:$D$803)))</f>
        <v/>
      </c>
      <c r="BM129" s="8" t="str">
        <f>IF($B129="","",IF(COUNTIF('Competency Event Log'!$U$4:$U$803,$B129&amp;"|"&amp;BM$5)=0,"",SUMIF('Competency Event Log'!$U$4:$U$803,$B129&amp;"|"&amp;BM$5,'Competency Event Log'!$D$4:$D$803)))</f>
        <v/>
      </c>
      <c r="BN129" s="8" t="str">
        <f>IF($B129="","",IF(COUNTIF('Competency Event Log'!$U$4:$U$803,$B129&amp;"|"&amp;BN$5)=0,"",SUMIF('Competency Event Log'!$U$4:$U$803,$B129&amp;"|"&amp;BN$5,'Competency Event Log'!$D$4:$D$803)))</f>
        <v/>
      </c>
      <c r="BO129" s="8" t="str">
        <f>IF($B129="","",IF(COUNTIF('Competency Event Log'!$U$4:$U$803,$B129&amp;"|"&amp;BO$5)=0,"",SUMIF('Competency Event Log'!$U$4:$U$803,$B129&amp;"|"&amp;BO$5,'Competency Event Log'!$D$4:$D$803)))</f>
        <v/>
      </c>
      <c r="BP129" s="8" t="str">
        <f>IF($B129="","",IF(COUNTIF('Competency Event Log'!$U$4:$U$803,$B129&amp;"|"&amp;BP$5)=0,"",SUMIF('Competency Event Log'!$U$4:$U$803,$B129&amp;"|"&amp;BP$5,'Competency Event Log'!$D$4:$D$803)))</f>
        <v/>
      </c>
      <c r="BQ129" s="8" t="str">
        <f>IF($B129="","",IF(COUNTIF('Competency Event Log'!$U$4:$U$803,$B129&amp;"|"&amp;BQ$5)=0,"",SUMIF('Competency Event Log'!$U$4:$U$803,$B129&amp;"|"&amp;BQ$5,'Competency Event Log'!$D$4:$D$803)))</f>
        <v/>
      </c>
      <c r="BR129" s="8" t="str">
        <f>IF($B129="","",IF(COUNTIF('Competency Event Log'!$U$4:$U$803,$B129&amp;"|"&amp;BR$5)=0,"",SUMIF('Competency Event Log'!$U$4:$U$803,$B129&amp;"|"&amp;BR$5,'Competency Event Log'!$D$4:$D$803)))</f>
        <v/>
      </c>
      <c r="BS129" s="8" t="str">
        <f>IF($B129="","",IF(COUNTIF('Competency Event Log'!$U$4:$U$803,$B129&amp;"|"&amp;BS$5)=0,"",SUMIF('Competency Event Log'!$U$4:$U$803,$B129&amp;"|"&amp;BS$5,'Competency Event Log'!$D$4:$D$803)))</f>
        <v/>
      </c>
      <c r="BT129" s="8" t="str">
        <f>IF($B129="","",IF(COUNTIF('Competency Event Log'!$U$4:$U$803,$B129&amp;"|"&amp;BT$5)=0,"",SUMIF('Competency Event Log'!$U$4:$U$803,$B129&amp;"|"&amp;BT$5,'Competency Event Log'!$D$4:$D$803)))</f>
        <v/>
      </c>
      <c r="BU129" s="8" t="str">
        <f>IF($B129="","",IF(COUNTIF('Competency Event Log'!$U$4:$U$803,$B129&amp;"|"&amp;BU$5)=0,"",SUMIF('Competency Event Log'!$U$4:$U$803,$B129&amp;"|"&amp;BU$5,'Competency Event Log'!$D$4:$D$803)))</f>
        <v/>
      </c>
      <c r="BV129" s="8" t="str">
        <f>IF($B129="","",IF(COUNTIF('Competency Event Log'!$U$4:$U$803,$B129&amp;"|"&amp;BV$5)=0,"",SUMIF('Competency Event Log'!$U$4:$U$803,$B129&amp;"|"&amp;BV$5,'Competency Event Log'!$D$4:$D$803)))</f>
        <v/>
      </c>
      <c r="BW129" s="8" t="str">
        <f>IF($B129="","",IF(COUNTIF('Competency Event Log'!$U$4:$U$803,$B129&amp;"|"&amp;BW$5)=0,"",SUMIF('Competency Event Log'!$U$4:$U$803,$B129&amp;"|"&amp;BW$5,'Competency Event Log'!$D$4:$D$803)))</f>
        <v/>
      </c>
      <c r="BX129" s="8" t="str">
        <f>IF($B129="","",IF(COUNTIF('Competency Event Log'!$U$4:$U$803,$B129&amp;"|"&amp;BX$5)=0,"",SUMIF('Competency Event Log'!$U$4:$U$803,$B129&amp;"|"&amp;BX$5,'Competency Event Log'!$D$4:$D$803)))</f>
        <v/>
      </c>
      <c r="BY129" s="8" t="str">
        <f>IF($B129="","",IF(COUNTIF('Competency Event Log'!$U$4:$U$803,$B129&amp;"|"&amp;BY$5)=0,"",SUMIF('Competency Event Log'!$U$4:$U$803,$B129&amp;"|"&amp;BY$5,'Competency Event Log'!$D$4:$D$803)))</f>
        <v/>
      </c>
      <c r="BZ129" s="8" t="str">
        <f>IF($B129="","",IF(COUNTIF('Competency Event Log'!$U$4:$U$803,$B129&amp;"|"&amp;BZ$5)=0,"",SUMIF('Competency Event Log'!$U$4:$U$803,$B129&amp;"|"&amp;BZ$5,'Competency Event Log'!$D$4:$D$803)))</f>
        <v/>
      </c>
      <c r="CA129" s="8" t="str">
        <f>IF($B129="","",IF(COUNTIF('Competency Event Log'!$U$4:$U$803,$B129&amp;"|"&amp;CA$5)=0,"",SUMIF('Competency Event Log'!$U$4:$U$803,$B129&amp;"|"&amp;CA$5,'Competency Event Log'!$D$4:$D$803)))</f>
        <v/>
      </c>
      <c r="CB129" s="8" t="str">
        <f>IF($B129="","",IF(COUNTIF('Competency Event Log'!$U$4:$U$803,$B129&amp;"|"&amp;CB$5)=0,"",SUMIF('Competency Event Log'!$U$4:$U$803,$B129&amp;"|"&amp;CB$5,'Competency Event Log'!$D$4:$D$803)))</f>
        <v/>
      </c>
      <c r="CC129" s="8" t="str">
        <f>IF($B129="","",IF(COUNTIF('Competency Event Log'!$U$4:$U$803,$B129&amp;"|"&amp;CC$5)=0,"",SUMIF('Competency Event Log'!$U$4:$U$803,$B129&amp;"|"&amp;CC$5,'Competency Event Log'!$D$4:$D$803)))</f>
        <v/>
      </c>
      <c r="CD129" s="8" t="str">
        <f>IF($B129="","",IF(COUNTIF('Competency Event Log'!$U$4:$U$803,$B129&amp;"|"&amp;CD$5)=0,"",SUMIF('Competency Event Log'!$U$4:$U$803,$B129&amp;"|"&amp;CD$5,'Competency Event Log'!$D$4:$D$803)))</f>
        <v/>
      </c>
      <c r="CE129" s="8" t="str">
        <f>IF($B129="","",IF(COUNTIF('Competency Event Log'!$U$4:$U$803,$B129&amp;"|"&amp;CE$5)=0,"",SUMIF('Competency Event Log'!$U$4:$U$803,$B129&amp;"|"&amp;CE$5,'Competency Event Log'!$D$4:$D$803)))</f>
        <v/>
      </c>
      <c r="CF129" s="8" t="str">
        <f>IF($B129="","",IF(COUNTIF('Competency Event Log'!$U$4:$U$803,$B129&amp;"|"&amp;CF$5)=0,"",SUMIF('Competency Event Log'!$U$4:$U$803,$B129&amp;"|"&amp;CF$5,'Competency Event Log'!$D$4:$D$803)))</f>
        <v/>
      </c>
      <c r="CG129" s="8" t="str">
        <f>IF($B129="","",IF(COUNTIF('Competency Event Log'!$U$4:$U$803,$B129&amp;"|"&amp;CG$5)=0,"",SUMIF('Competency Event Log'!$U$4:$U$803,$B129&amp;"|"&amp;CG$5,'Competency Event Log'!$D$4:$D$803)))</f>
        <v/>
      </c>
      <c r="CH129" s="8" t="str">
        <f>IF($B129="","",IF(COUNTIF('Competency Event Log'!$U$4:$U$803,$B129&amp;"|"&amp;CH$5)=0,"",SUMIF('Competency Event Log'!$U$4:$U$803,$B129&amp;"|"&amp;CH$5,'Competency Event Log'!$D$4:$D$803)))</f>
        <v/>
      </c>
      <c r="CI129" s="8" t="str">
        <f>IF($B129="","",IF(COUNTIF('Competency Event Log'!$U$4:$U$803,$B129&amp;"|"&amp;CI$5)=0,"",SUMIF('Competency Event Log'!$U$4:$U$803,$B129&amp;"|"&amp;CI$5,'Competency Event Log'!$D$4:$D$803)))</f>
        <v/>
      </c>
      <c r="CJ129" s="8" t="str">
        <f>IF($B129="","",IF(COUNTIF('Competency Event Log'!$U$4:$U$803,$B129&amp;"|"&amp;CJ$5)=0,"",SUMIF('Competency Event Log'!$U$4:$U$803,$B129&amp;"|"&amp;CJ$5,'Competency Event Log'!$D$4:$D$803)))</f>
        <v/>
      </c>
      <c r="CK129" s="8" t="str">
        <f>IF($B129="","",IF(COUNTIF('Competency Event Log'!$U$4:$U$803,$B129&amp;"|"&amp;CK$5)=0,"",SUMIF('Competency Event Log'!$U$4:$U$803,$B129&amp;"|"&amp;CK$5,'Competency Event Log'!$D$4:$D$803)))</f>
        <v/>
      </c>
      <c r="CL129" s="8" t="str">
        <f>IF($B129="","",IF(COUNTIF('Competency Event Log'!$U$4:$U$803,$B129&amp;"|"&amp;CL$5)=0,"",SUMIF('Competency Event Log'!$U$4:$U$803,$B129&amp;"|"&amp;CL$5,'Competency Event Log'!$D$4:$D$803)))</f>
        <v/>
      </c>
      <c r="CM129" s="8" t="str">
        <f>IF($B129="","",IF(COUNTIF('Competency Event Log'!$U$4:$U$803,$B129&amp;"|"&amp;CM$5)=0,"",SUMIF('Competency Event Log'!$U$4:$U$803,$B129&amp;"|"&amp;CM$5,'Competency Event Log'!$D$4:$D$803)))</f>
        <v/>
      </c>
      <c r="CN129" s="8" t="str">
        <f>IF($B129="","",IF(COUNTIF('Competency Event Log'!$U$4:$U$803,$B129&amp;"|"&amp;CN$5)=0,"",SUMIF('Competency Event Log'!$U$4:$U$803,$B129&amp;"|"&amp;CN$5,'Competency Event Log'!$D$4:$D$803)))</f>
        <v/>
      </c>
      <c r="CO129" s="8" t="str">
        <f>IF($B129="","",IF(COUNTIF('Competency Event Log'!$U$4:$U$803,$B129&amp;"|"&amp;CO$5)=0,"",SUMIF('Competency Event Log'!$U$4:$U$803,$B129&amp;"|"&amp;CO$5,'Competency Event Log'!$D$4:$D$803)))</f>
        <v/>
      </c>
      <c r="CP129" s="8" t="str">
        <f>IF($B129="","",IF(COUNTIF('Competency Event Log'!$U$4:$U$803,$B129&amp;"|"&amp;CP$5)=0,"",SUMIF('Competency Event Log'!$U$4:$U$803,$B129&amp;"|"&amp;CP$5,'Competency Event Log'!$D$4:$D$803)))</f>
        <v/>
      </c>
      <c r="CQ129" s="8" t="str">
        <f>IF($B129="","",IF(COUNTIF('Competency Event Log'!$U$4:$U$803,$B129&amp;"|"&amp;CQ$5)=0,"",SUMIF('Competency Event Log'!$U$4:$U$803,$B129&amp;"|"&amp;CQ$5,'Competency Event Log'!$D$4:$D$803)))</f>
        <v/>
      </c>
      <c r="CR129" s="8" t="str">
        <f>IF($B129="","",IF(COUNTIF('Competency Event Log'!$U$4:$U$803,$B129&amp;"|"&amp;CR$5)=0,"",SUMIF('Competency Event Log'!$U$4:$U$803,$B129&amp;"|"&amp;CR$5,'Competency Event Log'!$D$4:$D$803)))</f>
        <v/>
      </c>
      <c r="CS129" s="8" t="str">
        <f>IF($B129="","",IF(COUNTIF('Competency Event Log'!$U$4:$U$803,$B129&amp;"|"&amp;CS$5)=0,"",SUMIF('Competency Event Log'!$U$4:$U$803,$B129&amp;"|"&amp;CS$5,'Competency Event Log'!$D$4:$D$803)))</f>
        <v/>
      </c>
      <c r="CT129" s="8" t="str">
        <f>IF($B129="","",IF(COUNTIF('Competency Event Log'!$U$4:$U$803,$B129&amp;"|"&amp;CT$5)=0,"",SUMIF('Competency Event Log'!$U$4:$U$803,$B129&amp;"|"&amp;CT$5,'Competency Event Log'!$D$4:$D$803)))</f>
        <v/>
      </c>
      <c r="CU129" s="8" t="str">
        <f>IF($B129="","",IF(COUNTIF('Competency Event Log'!$U$4:$U$803,$B129&amp;"|"&amp;CU$5)=0,"",SUMIF('Competency Event Log'!$U$4:$U$803,$B129&amp;"|"&amp;CU$5,'Competency Event Log'!$D$4:$D$803)))</f>
        <v/>
      </c>
      <c r="CV129" s="8" t="str">
        <f>IF($B129="","",IF(COUNTIF('Competency Event Log'!$U$4:$U$803,$B129&amp;"|"&amp;CV$5)=0,"",SUMIF('Competency Event Log'!$U$4:$U$803,$B129&amp;"|"&amp;CV$5,'Competency Event Log'!$D$4:$D$803)))</f>
        <v/>
      </c>
      <c r="CW129" s="8" t="str">
        <f>IF($B129="","",IF(COUNTIF('Competency Event Log'!$U$4:$U$803,$B129&amp;"|"&amp;CW$5)=0,"",SUMIF('Competency Event Log'!$U$4:$U$803,$B129&amp;"|"&amp;CW$5,'Competency Event Log'!$D$4:$D$803)))</f>
        <v/>
      </c>
      <c r="CX129" s="8" t="str">
        <f>IF($B129="","",IF(COUNTIF('Competency Event Log'!$U$4:$U$803,$B129&amp;"|"&amp;CX$5)=0,"",SUMIF('Competency Event Log'!$U$4:$U$803,$B129&amp;"|"&amp;CX$5,'Competency Event Log'!$D$4:$D$803)))</f>
        <v/>
      </c>
      <c r="CY129" s="8" t="str">
        <f>IF($B129="","",IF(COUNTIF('Competency Event Log'!$U$4:$U$803,$B129&amp;"|"&amp;CY$5)=0,"",SUMIF('Competency Event Log'!$U$4:$U$803,$B129&amp;"|"&amp;CY$5,'Competency Event Log'!$D$4:$D$803)))</f>
        <v/>
      </c>
      <c r="CZ129" s="8" t="str">
        <f>IF($B129="","",IF(COUNTIF('Competency Event Log'!$U$4:$U$803,$B129&amp;"|"&amp;CZ$5)=0,"",SUMIF('Competency Event Log'!$U$4:$U$803,$B129&amp;"|"&amp;CZ$5,'Competency Event Log'!$D$4:$D$803)))</f>
        <v/>
      </c>
      <c r="DA129" s="8" t="str">
        <f>IF($B129="","",IF(COUNTIF('Competency Event Log'!$U$4:$U$803,$B129&amp;"|"&amp;DA$5)=0,"",SUMIF('Competency Event Log'!$U$4:$U$803,$B129&amp;"|"&amp;DA$5,'Competency Event Log'!$D$4:$D$803)))</f>
        <v/>
      </c>
      <c r="DB129" s="8" t="str">
        <f>IF($B129="","",IF(COUNTIF('Competency Event Log'!$U$4:$U$803,$B129&amp;"|"&amp;DB$5)=0,"",SUMIF('Competency Event Log'!$U$4:$U$803,$B129&amp;"|"&amp;DB$5,'Competency Event Log'!$D$4:$D$803)))</f>
        <v/>
      </c>
      <c r="DC129" s="8" t="str">
        <f>IF($B129="","",IF(COUNTIF('Competency Event Log'!$U$4:$U$803,$B129&amp;"|"&amp;DC$5)=0,"",SUMIF('Competency Event Log'!$U$4:$U$803,$B129&amp;"|"&amp;DC$5,'Competency Event Log'!$D$4:$D$803)))</f>
        <v/>
      </c>
      <c r="DD129" s="8" t="str">
        <f>IF($B129="","",IF(COUNTIF('Competency Event Log'!$U$4:$U$803,$B129&amp;"|"&amp;DD$5)=0,"",SUMIF('Competency Event Log'!$U$4:$U$803,$B129&amp;"|"&amp;DD$5,'Competency Event Log'!$D$4:$D$803)))</f>
        <v/>
      </c>
      <c r="DE129" s="8" t="str">
        <f>IF($B129="","",IF(COUNTIF('Competency Event Log'!$U$4:$U$803,$B129&amp;"|"&amp;DE$5)=0,"",SUMIF('Competency Event Log'!$U$4:$U$803,$B129&amp;"|"&amp;DE$5,'Competency Event Log'!$D$4:$D$803)))</f>
        <v/>
      </c>
      <c r="DF129" s="8" t="str">
        <f t="shared" si="12"/>
        <v/>
      </c>
      <c r="DG129" s="8" t="str">
        <f t="shared" si="13"/>
        <v/>
      </c>
      <c r="DH129" s="8" t="str">
        <f t="shared" si="14"/>
        <v/>
      </c>
      <c r="DI129" s="11" t="str">
        <f t="shared" si="15"/>
        <v/>
      </c>
    </row>
    <row r="130" spans="1:113">
      <c r="A130" s="7"/>
      <c r="B130" s="7"/>
      <c r="C130" s="8"/>
      <c r="D130" s="9"/>
      <c r="E130" s="10"/>
      <c r="F130" s="8"/>
      <c r="G130" s="8" t="str">
        <f>IF($B130="","",IF(COUNTIF('Competency Event Log'!$U$4:$U$803,$B130&amp;"|"&amp;G$5)=0,"",SUMIF('Competency Event Log'!$U$4:$U$803,$B130&amp;"|"&amp;G$5,'Competency Event Log'!$D$4:$D$803)))</f>
        <v/>
      </c>
      <c r="H130" s="8" t="str">
        <f>IF($B130="","",IF(COUNTIF('Competency Event Log'!$U$4:$U$803,$B130&amp;"|"&amp;H$5)=0,"",SUMIF('Competency Event Log'!$U$4:$U$803,$B130&amp;"|"&amp;H$5,'Competency Event Log'!$D$4:$D$803)))</f>
        <v/>
      </c>
      <c r="I130" s="8" t="str">
        <f>IF($B130="","",IF(COUNTIF('Competency Event Log'!$U$4:$U$803,$B130&amp;"|"&amp;I$5)=0,"",SUMIF('Competency Event Log'!$U$4:$U$803,$B130&amp;"|"&amp;I$5,'Competency Event Log'!$D$4:$D$803)))</f>
        <v/>
      </c>
      <c r="J130" s="8" t="str">
        <f>IF($B130="","",IF(COUNTIF('Competency Event Log'!$U$4:$U$803,$B130&amp;"|"&amp;J$5)=0,"",SUMIF('Competency Event Log'!$U$4:$U$803,$B130&amp;"|"&amp;J$5,'Competency Event Log'!$D$4:$D$803)))</f>
        <v/>
      </c>
      <c r="K130" s="8" t="str">
        <f>IF($B130="","",IF(COUNTIF('Competency Event Log'!$U$4:$U$803,$B130&amp;"|"&amp;K$5)=0,"",SUMIF('Competency Event Log'!$U$4:$U$803,$B130&amp;"|"&amp;K$5,'Competency Event Log'!$D$4:$D$803)))</f>
        <v/>
      </c>
      <c r="L130" s="8" t="str">
        <f>IF($B130="","",IF(COUNTIF('Competency Event Log'!$U$4:$U$803,$B130&amp;"|"&amp;L$5)=0,"",SUMIF('Competency Event Log'!$U$4:$U$803,$B130&amp;"|"&amp;L$5,'Competency Event Log'!$D$4:$D$803)))</f>
        <v/>
      </c>
      <c r="M130" s="8" t="str">
        <f>IF($B130="","",IF(COUNTIF('Competency Event Log'!$U$4:$U$803,$B130&amp;"|"&amp;M$5)=0,"",SUMIF('Competency Event Log'!$U$4:$U$803,$B130&amp;"|"&amp;M$5,'Competency Event Log'!$D$4:$D$803)))</f>
        <v/>
      </c>
      <c r="N130" s="8" t="str">
        <f>IF($B130="","",IF(COUNTIF('Competency Event Log'!$U$4:$U$803,$B130&amp;"|"&amp;N$5)=0,"",SUMIF('Competency Event Log'!$U$4:$U$803,$B130&amp;"|"&amp;N$5,'Competency Event Log'!$D$4:$D$803)))</f>
        <v/>
      </c>
      <c r="O130" s="8" t="str">
        <f>IF($B130="","",IF(COUNTIF('Competency Event Log'!$U$4:$U$803,$B130&amp;"|"&amp;O$5)=0,"",SUMIF('Competency Event Log'!$U$4:$U$803,$B130&amp;"|"&amp;O$5,'Competency Event Log'!$D$4:$D$803)))</f>
        <v/>
      </c>
      <c r="P130" s="8" t="str">
        <f>IF($B130="","",IF(COUNTIF('Competency Event Log'!$U$4:$U$803,$B130&amp;"|"&amp;P$5)=0,"",SUMIF('Competency Event Log'!$U$4:$U$803,$B130&amp;"|"&amp;P$5,'Competency Event Log'!$D$4:$D$803)))</f>
        <v/>
      </c>
      <c r="Q130" s="8" t="str">
        <f>IF($B130="","",IF(COUNTIF('Competency Event Log'!$U$4:$U$803,$B130&amp;"|"&amp;Q$5)=0,"",SUMIF('Competency Event Log'!$U$4:$U$803,$B130&amp;"|"&amp;Q$5,'Competency Event Log'!$D$4:$D$803)))</f>
        <v/>
      </c>
      <c r="R130" s="8" t="str">
        <f>IF($B130="","",IF(COUNTIF('Competency Event Log'!$U$4:$U$803,$B130&amp;"|"&amp;R$5)=0,"",SUMIF('Competency Event Log'!$U$4:$U$803,$B130&amp;"|"&amp;R$5,'Competency Event Log'!$D$4:$D$803)))</f>
        <v/>
      </c>
      <c r="S130" s="8" t="str">
        <f>IF($B130="","",IF(COUNTIF('Competency Event Log'!$U$4:$U$803,$B130&amp;"|"&amp;S$5)=0,"",SUMIF('Competency Event Log'!$U$4:$U$803,$B130&amp;"|"&amp;S$5,'Competency Event Log'!$D$4:$D$803)))</f>
        <v/>
      </c>
      <c r="T130" s="8" t="str">
        <f>IF($B130="","",IF(COUNTIF('Competency Event Log'!$U$4:$U$803,$B130&amp;"|"&amp;T$5)=0,"",SUMIF('Competency Event Log'!$U$4:$U$803,$B130&amp;"|"&amp;T$5,'Competency Event Log'!$D$4:$D$803)))</f>
        <v/>
      </c>
      <c r="U130" s="8" t="str">
        <f>IF($B130="","",IF(COUNTIF('Competency Event Log'!$U$4:$U$803,$B130&amp;"|"&amp;U$5)=0,"",SUMIF('Competency Event Log'!$U$4:$U$803,$B130&amp;"|"&amp;U$5,'Competency Event Log'!$D$4:$D$803)))</f>
        <v/>
      </c>
      <c r="V130" s="8" t="str">
        <f>IF($B130="","",IF(COUNTIF('Competency Event Log'!$U$4:$U$803,$B130&amp;"|"&amp;V$5)=0,"",SUMIF('Competency Event Log'!$U$4:$U$803,$B130&amp;"|"&amp;V$5,'Competency Event Log'!$D$4:$D$803)))</f>
        <v/>
      </c>
      <c r="W130" s="8" t="str">
        <f>IF($B130="","",IF(COUNTIF('Competency Event Log'!$U$4:$U$803,$B130&amp;"|"&amp;W$5)=0,"",SUMIF('Competency Event Log'!$U$4:$U$803,$B130&amp;"|"&amp;W$5,'Competency Event Log'!$D$4:$D$803)))</f>
        <v/>
      </c>
      <c r="X130" s="8" t="str">
        <f>IF($B130="","",IF(COUNTIF('Competency Event Log'!$U$4:$U$803,$B130&amp;"|"&amp;X$5)=0,"",SUMIF('Competency Event Log'!$U$4:$U$803,$B130&amp;"|"&amp;X$5,'Competency Event Log'!$D$4:$D$803)))</f>
        <v/>
      </c>
      <c r="Y130" s="8" t="str">
        <f>IF($B130="","",IF(COUNTIF('Competency Event Log'!$U$4:$U$803,$B130&amp;"|"&amp;Y$5)=0,"",SUMIF('Competency Event Log'!$U$4:$U$803,$B130&amp;"|"&amp;Y$5,'Competency Event Log'!$D$4:$D$803)))</f>
        <v/>
      </c>
      <c r="Z130" s="8" t="str">
        <f>IF($B130="","",IF(COUNTIF('Competency Event Log'!$U$4:$U$803,$B130&amp;"|"&amp;Z$5)=0,"",SUMIF('Competency Event Log'!$U$4:$U$803,$B130&amp;"|"&amp;Z$5,'Competency Event Log'!$D$4:$D$803)))</f>
        <v/>
      </c>
      <c r="AA130" s="8" t="str">
        <f>IF($B130="","",IF(COUNTIF('Competency Event Log'!$U$4:$U$803,$B130&amp;"|"&amp;AA$5)=0,"",SUMIF('Competency Event Log'!$U$4:$U$803,$B130&amp;"|"&amp;AA$5,'Competency Event Log'!$D$4:$D$803)))</f>
        <v/>
      </c>
      <c r="AB130" s="8" t="str">
        <f>IF($B130="","",IF(COUNTIF('Competency Event Log'!$U$4:$U$803,$B130&amp;"|"&amp;AB$5)=0,"",SUMIF('Competency Event Log'!$U$4:$U$803,$B130&amp;"|"&amp;AB$5,'Competency Event Log'!$D$4:$D$803)))</f>
        <v/>
      </c>
      <c r="AC130" s="8" t="str">
        <f>IF($B130="","",IF(COUNTIF('Competency Event Log'!$U$4:$U$803,$B130&amp;"|"&amp;AC$5)=0,"",SUMIF('Competency Event Log'!$U$4:$U$803,$B130&amp;"|"&amp;AC$5,'Competency Event Log'!$D$4:$D$803)))</f>
        <v/>
      </c>
      <c r="AD130" s="8" t="str">
        <f>IF($B130="","",IF(COUNTIF('Competency Event Log'!$U$4:$U$803,$B130&amp;"|"&amp;AD$5)=0,"",SUMIF('Competency Event Log'!$U$4:$U$803,$B130&amp;"|"&amp;AD$5,'Competency Event Log'!$D$4:$D$803)))</f>
        <v/>
      </c>
      <c r="AE130" s="8" t="str">
        <f>IF($B130="","",IF(COUNTIF('Competency Event Log'!$U$4:$U$803,$B130&amp;"|"&amp;AE$5)=0,"",SUMIF('Competency Event Log'!$U$4:$U$803,$B130&amp;"|"&amp;AE$5,'Competency Event Log'!$D$4:$D$803)))</f>
        <v/>
      </c>
      <c r="AF130" s="8" t="str">
        <f>IF($B130="","",IF(COUNTIF('Competency Event Log'!$U$4:$U$803,$B130&amp;"|"&amp;AF$5)=0,"",SUMIF('Competency Event Log'!$U$4:$U$803,$B130&amp;"|"&amp;AF$5,'Competency Event Log'!$D$4:$D$803)))</f>
        <v/>
      </c>
      <c r="AG130" s="8" t="str">
        <f>IF($B130="","",IF(COUNTIF('Competency Event Log'!$U$4:$U$803,$B130&amp;"|"&amp;AG$5)=0,"",SUMIF('Competency Event Log'!$U$4:$U$803,$B130&amp;"|"&amp;AG$5,'Competency Event Log'!$D$4:$D$803)))</f>
        <v/>
      </c>
      <c r="AH130" s="8" t="str">
        <f>IF($B130="","",IF(COUNTIF('Competency Event Log'!$U$4:$U$803,$B130&amp;"|"&amp;AH$5)=0,"",SUMIF('Competency Event Log'!$U$4:$U$803,$B130&amp;"|"&amp;AH$5,'Competency Event Log'!$D$4:$D$803)))</f>
        <v/>
      </c>
      <c r="AI130" s="8" t="str">
        <f>IF($B130="","",IF(COUNTIF('Competency Event Log'!$U$4:$U$803,$B130&amp;"|"&amp;AI$5)=0,"",SUMIF('Competency Event Log'!$U$4:$U$803,$B130&amp;"|"&amp;AI$5,'Competency Event Log'!$D$4:$D$803)))</f>
        <v/>
      </c>
      <c r="AJ130" s="8" t="str">
        <f>IF($B130="","",IF(COUNTIF('Competency Event Log'!$U$4:$U$803,$B130&amp;"|"&amp;AJ$5)=0,"",SUMIF('Competency Event Log'!$U$4:$U$803,$B130&amp;"|"&amp;AJ$5,'Competency Event Log'!$D$4:$D$803)))</f>
        <v/>
      </c>
      <c r="AK130" s="8" t="str">
        <f>IF($B130="","",IF(COUNTIF('Competency Event Log'!$U$4:$U$803,$B130&amp;"|"&amp;AK$5)=0,"",SUMIF('Competency Event Log'!$U$4:$U$803,$B130&amp;"|"&amp;AK$5,'Competency Event Log'!$D$4:$D$803)))</f>
        <v/>
      </c>
      <c r="AL130" s="8" t="str">
        <f>IF($B130="","",IF(COUNTIF('Competency Event Log'!$U$4:$U$803,$B130&amp;"|"&amp;AL$5)=0,"",SUMIF('Competency Event Log'!$U$4:$U$803,$B130&amp;"|"&amp;AL$5,'Competency Event Log'!$D$4:$D$803)))</f>
        <v/>
      </c>
      <c r="AM130" s="8" t="str">
        <f>IF($B130="","",IF(COUNTIF('Competency Event Log'!$U$4:$U$803,$B130&amp;"|"&amp;AM$5)=0,"",SUMIF('Competency Event Log'!$U$4:$U$803,$B130&amp;"|"&amp;AM$5,'Competency Event Log'!$D$4:$D$803)))</f>
        <v/>
      </c>
      <c r="AN130" s="8" t="str">
        <f>IF($B130="","",IF(COUNTIF('Competency Event Log'!$U$4:$U$803,$B130&amp;"|"&amp;AN$5)=0,"",SUMIF('Competency Event Log'!$U$4:$U$803,$B130&amp;"|"&amp;AN$5,'Competency Event Log'!$D$4:$D$803)))</f>
        <v/>
      </c>
      <c r="AO130" s="8" t="str">
        <f>IF($B130="","",IF(COUNTIF('Competency Event Log'!$U$4:$U$803,$B130&amp;"|"&amp;AO$5)=0,"",SUMIF('Competency Event Log'!$U$4:$U$803,$B130&amp;"|"&amp;AO$5,'Competency Event Log'!$D$4:$D$803)))</f>
        <v/>
      </c>
      <c r="AP130" s="8" t="str">
        <f>IF($B130="","",IF(COUNTIF('Competency Event Log'!$U$4:$U$803,$B130&amp;"|"&amp;AP$5)=0,"",SUMIF('Competency Event Log'!$U$4:$U$803,$B130&amp;"|"&amp;AP$5,'Competency Event Log'!$D$4:$D$803)))</f>
        <v/>
      </c>
      <c r="AQ130" s="8" t="str">
        <f>IF($B130="","",IF(COUNTIF('Competency Event Log'!$U$4:$U$803,$B130&amp;"|"&amp;AQ$5)=0,"",SUMIF('Competency Event Log'!$U$4:$U$803,$B130&amp;"|"&amp;AQ$5,'Competency Event Log'!$D$4:$D$803)))</f>
        <v/>
      </c>
      <c r="AR130" s="8" t="str">
        <f>IF($B130="","",IF(COUNTIF('Competency Event Log'!$U$4:$U$803,$B130&amp;"|"&amp;AR$5)=0,"",SUMIF('Competency Event Log'!$U$4:$U$803,$B130&amp;"|"&amp;AR$5,'Competency Event Log'!$D$4:$D$803)))</f>
        <v/>
      </c>
      <c r="AS130" s="8" t="str">
        <f>IF($B130="","",IF(COUNTIF('Competency Event Log'!$U$4:$U$803,$B130&amp;"|"&amp;AS$5)=0,"",SUMIF('Competency Event Log'!$U$4:$U$803,$B130&amp;"|"&amp;AS$5,'Competency Event Log'!$D$4:$D$803)))</f>
        <v/>
      </c>
      <c r="AT130" s="8" t="str">
        <f>IF($B130="","",IF(COUNTIF('Competency Event Log'!$U$4:$U$803,$B130&amp;"|"&amp;AT$5)=0,"",SUMIF('Competency Event Log'!$U$4:$U$803,$B130&amp;"|"&amp;AT$5,'Competency Event Log'!$D$4:$D$803)))</f>
        <v/>
      </c>
      <c r="AU130" s="8" t="str">
        <f>IF($B130="","",IF(COUNTIF('Competency Event Log'!$U$4:$U$803,$B130&amp;"|"&amp;AU$5)=0,"",SUMIF('Competency Event Log'!$U$4:$U$803,$B130&amp;"|"&amp;AU$5,'Competency Event Log'!$D$4:$D$803)))</f>
        <v/>
      </c>
      <c r="AV130" s="8" t="str">
        <f>IF($B130="","",IF(COUNTIF('Competency Event Log'!$U$4:$U$803,$B130&amp;"|"&amp;AV$5)=0,"",SUMIF('Competency Event Log'!$U$4:$U$803,$B130&amp;"|"&amp;AV$5,'Competency Event Log'!$D$4:$D$803)))</f>
        <v/>
      </c>
      <c r="AW130" s="8" t="str">
        <f>IF($B130="","",IF(COUNTIF('Competency Event Log'!$U$4:$U$803,$B130&amp;"|"&amp;AW$5)=0,"",SUMIF('Competency Event Log'!$U$4:$U$803,$B130&amp;"|"&amp;AW$5,'Competency Event Log'!$D$4:$D$803)))</f>
        <v/>
      </c>
      <c r="AX130" s="8" t="str">
        <f>IF($B130="","",IF(COUNTIF('Competency Event Log'!$U$4:$U$803,$B130&amp;"|"&amp;AX$5)=0,"",SUMIF('Competency Event Log'!$U$4:$U$803,$B130&amp;"|"&amp;AX$5,'Competency Event Log'!$D$4:$D$803)))</f>
        <v/>
      </c>
      <c r="AY130" s="8" t="str">
        <f>IF($B130="","",IF(COUNTIF('Competency Event Log'!$U$4:$U$803,$B130&amp;"|"&amp;AY$5)=0,"",SUMIF('Competency Event Log'!$U$4:$U$803,$B130&amp;"|"&amp;AY$5,'Competency Event Log'!$D$4:$D$803)))</f>
        <v/>
      </c>
      <c r="AZ130" s="8" t="str">
        <f>IF($B130="","",IF(COUNTIF('Competency Event Log'!$U$4:$U$803,$B130&amp;"|"&amp;AZ$5)=0,"",SUMIF('Competency Event Log'!$U$4:$U$803,$B130&amp;"|"&amp;AZ$5,'Competency Event Log'!$D$4:$D$803)))</f>
        <v/>
      </c>
      <c r="BA130" s="8" t="str">
        <f>IF($B130="","",IF(COUNTIF('Competency Event Log'!$U$4:$U$803,$B130&amp;"|"&amp;BA$5)=0,"",SUMIF('Competency Event Log'!$U$4:$U$803,$B130&amp;"|"&amp;BA$5,'Competency Event Log'!$D$4:$D$803)))</f>
        <v/>
      </c>
      <c r="BB130" s="8" t="str">
        <f>IF($B130="","",IF(COUNTIF('Competency Event Log'!$U$4:$U$803,$B130&amp;"|"&amp;BB$5)=0,"",SUMIF('Competency Event Log'!$U$4:$U$803,$B130&amp;"|"&amp;BB$5,'Competency Event Log'!$D$4:$D$803)))</f>
        <v/>
      </c>
      <c r="BC130" s="8" t="str">
        <f>IF($B130="","",IF(COUNTIF('Competency Event Log'!$U$4:$U$803,$B130&amp;"|"&amp;BC$5)=0,"",SUMIF('Competency Event Log'!$U$4:$U$803,$B130&amp;"|"&amp;BC$5,'Competency Event Log'!$D$4:$D$803)))</f>
        <v/>
      </c>
      <c r="BD130" s="8" t="str">
        <f>IF($B130="","",IF(COUNTIF('Competency Event Log'!$U$4:$U$803,$B130&amp;"|"&amp;BD$5)=0,"",SUMIF('Competency Event Log'!$U$4:$U$803,$B130&amp;"|"&amp;BD$5,'Competency Event Log'!$D$4:$D$803)))</f>
        <v/>
      </c>
      <c r="BE130" s="8" t="str">
        <f>IF($B130="","",IF(COUNTIF('Competency Event Log'!$U$4:$U$803,$B130&amp;"|"&amp;BE$5)=0,"",SUMIF('Competency Event Log'!$U$4:$U$803,$B130&amp;"|"&amp;BE$5,'Competency Event Log'!$D$4:$D$803)))</f>
        <v/>
      </c>
      <c r="BF130" s="8" t="str">
        <f>IF($B130="","",IF(COUNTIF('Competency Event Log'!$U$4:$U$803,$B130&amp;"|"&amp;BF$5)=0,"",SUMIF('Competency Event Log'!$U$4:$U$803,$B130&amp;"|"&amp;BF$5,'Competency Event Log'!$D$4:$D$803)))</f>
        <v/>
      </c>
      <c r="BG130" s="8" t="str">
        <f>IF($B130="","",IF(COUNTIF('Competency Event Log'!$U$4:$U$803,$B130&amp;"|"&amp;BG$5)=0,"",SUMIF('Competency Event Log'!$U$4:$U$803,$B130&amp;"|"&amp;BG$5,'Competency Event Log'!$D$4:$D$803)))</f>
        <v/>
      </c>
      <c r="BH130" s="8" t="str">
        <f>IF($B130="","",IF(COUNTIF('Competency Event Log'!$U$4:$U$803,$B130&amp;"|"&amp;BH$5)=0,"",SUMIF('Competency Event Log'!$U$4:$U$803,$B130&amp;"|"&amp;BH$5,'Competency Event Log'!$D$4:$D$803)))</f>
        <v/>
      </c>
      <c r="BI130" s="8" t="str">
        <f>IF($B130="","",IF(COUNTIF('Competency Event Log'!$U$4:$U$803,$B130&amp;"|"&amp;BI$5)=0,"",SUMIF('Competency Event Log'!$U$4:$U$803,$B130&amp;"|"&amp;BI$5,'Competency Event Log'!$D$4:$D$803)))</f>
        <v/>
      </c>
      <c r="BJ130" s="8" t="str">
        <f>IF($B130="","",IF(COUNTIF('Competency Event Log'!$U$4:$U$803,$B130&amp;"|"&amp;BJ$5)=0,"",SUMIF('Competency Event Log'!$U$4:$U$803,$B130&amp;"|"&amp;BJ$5,'Competency Event Log'!$D$4:$D$803)))</f>
        <v/>
      </c>
      <c r="BK130" s="8" t="str">
        <f>IF($B130="","",IF(COUNTIF('Competency Event Log'!$U$4:$U$803,$B130&amp;"|"&amp;BK$5)=0,"",SUMIF('Competency Event Log'!$U$4:$U$803,$B130&amp;"|"&amp;BK$5,'Competency Event Log'!$D$4:$D$803)))</f>
        <v/>
      </c>
      <c r="BL130" s="8" t="str">
        <f>IF($B130="","",IF(COUNTIF('Competency Event Log'!$U$4:$U$803,$B130&amp;"|"&amp;BL$5)=0,"",SUMIF('Competency Event Log'!$U$4:$U$803,$B130&amp;"|"&amp;BL$5,'Competency Event Log'!$D$4:$D$803)))</f>
        <v/>
      </c>
      <c r="BM130" s="8" t="str">
        <f>IF($B130="","",IF(COUNTIF('Competency Event Log'!$U$4:$U$803,$B130&amp;"|"&amp;BM$5)=0,"",SUMIF('Competency Event Log'!$U$4:$U$803,$B130&amp;"|"&amp;BM$5,'Competency Event Log'!$D$4:$D$803)))</f>
        <v/>
      </c>
      <c r="BN130" s="8" t="str">
        <f>IF($B130="","",IF(COUNTIF('Competency Event Log'!$U$4:$U$803,$B130&amp;"|"&amp;BN$5)=0,"",SUMIF('Competency Event Log'!$U$4:$U$803,$B130&amp;"|"&amp;BN$5,'Competency Event Log'!$D$4:$D$803)))</f>
        <v/>
      </c>
      <c r="BO130" s="8" t="str">
        <f>IF($B130="","",IF(COUNTIF('Competency Event Log'!$U$4:$U$803,$B130&amp;"|"&amp;BO$5)=0,"",SUMIF('Competency Event Log'!$U$4:$U$803,$B130&amp;"|"&amp;BO$5,'Competency Event Log'!$D$4:$D$803)))</f>
        <v/>
      </c>
      <c r="BP130" s="8" t="str">
        <f>IF($B130="","",IF(COUNTIF('Competency Event Log'!$U$4:$U$803,$B130&amp;"|"&amp;BP$5)=0,"",SUMIF('Competency Event Log'!$U$4:$U$803,$B130&amp;"|"&amp;BP$5,'Competency Event Log'!$D$4:$D$803)))</f>
        <v/>
      </c>
      <c r="BQ130" s="8" t="str">
        <f>IF($B130="","",IF(COUNTIF('Competency Event Log'!$U$4:$U$803,$B130&amp;"|"&amp;BQ$5)=0,"",SUMIF('Competency Event Log'!$U$4:$U$803,$B130&amp;"|"&amp;BQ$5,'Competency Event Log'!$D$4:$D$803)))</f>
        <v/>
      </c>
      <c r="BR130" s="8" t="str">
        <f>IF($B130="","",IF(COUNTIF('Competency Event Log'!$U$4:$U$803,$B130&amp;"|"&amp;BR$5)=0,"",SUMIF('Competency Event Log'!$U$4:$U$803,$B130&amp;"|"&amp;BR$5,'Competency Event Log'!$D$4:$D$803)))</f>
        <v/>
      </c>
      <c r="BS130" s="8" t="str">
        <f>IF($B130="","",IF(COUNTIF('Competency Event Log'!$U$4:$U$803,$B130&amp;"|"&amp;BS$5)=0,"",SUMIF('Competency Event Log'!$U$4:$U$803,$B130&amp;"|"&amp;BS$5,'Competency Event Log'!$D$4:$D$803)))</f>
        <v/>
      </c>
      <c r="BT130" s="8" t="str">
        <f>IF($B130="","",IF(COUNTIF('Competency Event Log'!$U$4:$U$803,$B130&amp;"|"&amp;BT$5)=0,"",SUMIF('Competency Event Log'!$U$4:$U$803,$B130&amp;"|"&amp;BT$5,'Competency Event Log'!$D$4:$D$803)))</f>
        <v/>
      </c>
      <c r="BU130" s="8" t="str">
        <f>IF($B130="","",IF(COUNTIF('Competency Event Log'!$U$4:$U$803,$B130&amp;"|"&amp;BU$5)=0,"",SUMIF('Competency Event Log'!$U$4:$U$803,$B130&amp;"|"&amp;BU$5,'Competency Event Log'!$D$4:$D$803)))</f>
        <v/>
      </c>
      <c r="BV130" s="8" t="str">
        <f>IF($B130="","",IF(COUNTIF('Competency Event Log'!$U$4:$U$803,$B130&amp;"|"&amp;BV$5)=0,"",SUMIF('Competency Event Log'!$U$4:$U$803,$B130&amp;"|"&amp;BV$5,'Competency Event Log'!$D$4:$D$803)))</f>
        <v/>
      </c>
      <c r="BW130" s="8" t="str">
        <f>IF($B130="","",IF(COUNTIF('Competency Event Log'!$U$4:$U$803,$B130&amp;"|"&amp;BW$5)=0,"",SUMIF('Competency Event Log'!$U$4:$U$803,$B130&amp;"|"&amp;BW$5,'Competency Event Log'!$D$4:$D$803)))</f>
        <v/>
      </c>
      <c r="BX130" s="8" t="str">
        <f>IF($B130="","",IF(COUNTIF('Competency Event Log'!$U$4:$U$803,$B130&amp;"|"&amp;BX$5)=0,"",SUMIF('Competency Event Log'!$U$4:$U$803,$B130&amp;"|"&amp;BX$5,'Competency Event Log'!$D$4:$D$803)))</f>
        <v/>
      </c>
      <c r="BY130" s="8" t="str">
        <f>IF($B130="","",IF(COUNTIF('Competency Event Log'!$U$4:$U$803,$B130&amp;"|"&amp;BY$5)=0,"",SUMIF('Competency Event Log'!$U$4:$U$803,$B130&amp;"|"&amp;BY$5,'Competency Event Log'!$D$4:$D$803)))</f>
        <v/>
      </c>
      <c r="BZ130" s="8" t="str">
        <f>IF($B130="","",IF(COUNTIF('Competency Event Log'!$U$4:$U$803,$B130&amp;"|"&amp;BZ$5)=0,"",SUMIF('Competency Event Log'!$U$4:$U$803,$B130&amp;"|"&amp;BZ$5,'Competency Event Log'!$D$4:$D$803)))</f>
        <v/>
      </c>
      <c r="CA130" s="8" t="str">
        <f>IF($B130="","",IF(COUNTIF('Competency Event Log'!$U$4:$U$803,$B130&amp;"|"&amp;CA$5)=0,"",SUMIF('Competency Event Log'!$U$4:$U$803,$B130&amp;"|"&amp;CA$5,'Competency Event Log'!$D$4:$D$803)))</f>
        <v/>
      </c>
      <c r="CB130" s="8" t="str">
        <f>IF($B130="","",IF(COUNTIF('Competency Event Log'!$U$4:$U$803,$B130&amp;"|"&amp;CB$5)=0,"",SUMIF('Competency Event Log'!$U$4:$U$803,$B130&amp;"|"&amp;CB$5,'Competency Event Log'!$D$4:$D$803)))</f>
        <v/>
      </c>
      <c r="CC130" s="8" t="str">
        <f>IF($B130="","",IF(COUNTIF('Competency Event Log'!$U$4:$U$803,$B130&amp;"|"&amp;CC$5)=0,"",SUMIF('Competency Event Log'!$U$4:$U$803,$B130&amp;"|"&amp;CC$5,'Competency Event Log'!$D$4:$D$803)))</f>
        <v/>
      </c>
      <c r="CD130" s="8" t="str">
        <f>IF($B130="","",IF(COUNTIF('Competency Event Log'!$U$4:$U$803,$B130&amp;"|"&amp;CD$5)=0,"",SUMIF('Competency Event Log'!$U$4:$U$803,$B130&amp;"|"&amp;CD$5,'Competency Event Log'!$D$4:$D$803)))</f>
        <v/>
      </c>
      <c r="CE130" s="8" t="str">
        <f>IF($B130="","",IF(COUNTIF('Competency Event Log'!$U$4:$U$803,$B130&amp;"|"&amp;CE$5)=0,"",SUMIF('Competency Event Log'!$U$4:$U$803,$B130&amp;"|"&amp;CE$5,'Competency Event Log'!$D$4:$D$803)))</f>
        <v/>
      </c>
      <c r="CF130" s="8" t="str">
        <f>IF($B130="","",IF(COUNTIF('Competency Event Log'!$U$4:$U$803,$B130&amp;"|"&amp;CF$5)=0,"",SUMIF('Competency Event Log'!$U$4:$U$803,$B130&amp;"|"&amp;CF$5,'Competency Event Log'!$D$4:$D$803)))</f>
        <v/>
      </c>
      <c r="CG130" s="8" t="str">
        <f>IF($B130="","",IF(COUNTIF('Competency Event Log'!$U$4:$U$803,$B130&amp;"|"&amp;CG$5)=0,"",SUMIF('Competency Event Log'!$U$4:$U$803,$B130&amp;"|"&amp;CG$5,'Competency Event Log'!$D$4:$D$803)))</f>
        <v/>
      </c>
      <c r="CH130" s="8" t="str">
        <f>IF($B130="","",IF(COUNTIF('Competency Event Log'!$U$4:$U$803,$B130&amp;"|"&amp;CH$5)=0,"",SUMIF('Competency Event Log'!$U$4:$U$803,$B130&amp;"|"&amp;CH$5,'Competency Event Log'!$D$4:$D$803)))</f>
        <v/>
      </c>
      <c r="CI130" s="8" t="str">
        <f>IF($B130="","",IF(COUNTIF('Competency Event Log'!$U$4:$U$803,$B130&amp;"|"&amp;CI$5)=0,"",SUMIF('Competency Event Log'!$U$4:$U$803,$B130&amp;"|"&amp;CI$5,'Competency Event Log'!$D$4:$D$803)))</f>
        <v/>
      </c>
      <c r="CJ130" s="8" t="str">
        <f>IF($B130="","",IF(COUNTIF('Competency Event Log'!$U$4:$U$803,$B130&amp;"|"&amp;CJ$5)=0,"",SUMIF('Competency Event Log'!$U$4:$U$803,$B130&amp;"|"&amp;CJ$5,'Competency Event Log'!$D$4:$D$803)))</f>
        <v/>
      </c>
      <c r="CK130" s="8" t="str">
        <f>IF($B130="","",IF(COUNTIF('Competency Event Log'!$U$4:$U$803,$B130&amp;"|"&amp;CK$5)=0,"",SUMIF('Competency Event Log'!$U$4:$U$803,$B130&amp;"|"&amp;CK$5,'Competency Event Log'!$D$4:$D$803)))</f>
        <v/>
      </c>
      <c r="CL130" s="8" t="str">
        <f>IF($B130="","",IF(COUNTIF('Competency Event Log'!$U$4:$U$803,$B130&amp;"|"&amp;CL$5)=0,"",SUMIF('Competency Event Log'!$U$4:$U$803,$B130&amp;"|"&amp;CL$5,'Competency Event Log'!$D$4:$D$803)))</f>
        <v/>
      </c>
      <c r="CM130" s="8" t="str">
        <f>IF($B130="","",IF(COUNTIF('Competency Event Log'!$U$4:$U$803,$B130&amp;"|"&amp;CM$5)=0,"",SUMIF('Competency Event Log'!$U$4:$U$803,$B130&amp;"|"&amp;CM$5,'Competency Event Log'!$D$4:$D$803)))</f>
        <v/>
      </c>
      <c r="CN130" s="8" t="str">
        <f>IF($B130="","",IF(COUNTIF('Competency Event Log'!$U$4:$U$803,$B130&amp;"|"&amp;CN$5)=0,"",SUMIF('Competency Event Log'!$U$4:$U$803,$B130&amp;"|"&amp;CN$5,'Competency Event Log'!$D$4:$D$803)))</f>
        <v/>
      </c>
      <c r="CO130" s="8" t="str">
        <f>IF($B130="","",IF(COUNTIF('Competency Event Log'!$U$4:$U$803,$B130&amp;"|"&amp;CO$5)=0,"",SUMIF('Competency Event Log'!$U$4:$U$803,$B130&amp;"|"&amp;CO$5,'Competency Event Log'!$D$4:$D$803)))</f>
        <v/>
      </c>
      <c r="CP130" s="8" t="str">
        <f>IF($B130="","",IF(COUNTIF('Competency Event Log'!$U$4:$U$803,$B130&amp;"|"&amp;CP$5)=0,"",SUMIF('Competency Event Log'!$U$4:$U$803,$B130&amp;"|"&amp;CP$5,'Competency Event Log'!$D$4:$D$803)))</f>
        <v/>
      </c>
      <c r="CQ130" s="8" t="str">
        <f>IF($B130="","",IF(COUNTIF('Competency Event Log'!$U$4:$U$803,$B130&amp;"|"&amp;CQ$5)=0,"",SUMIF('Competency Event Log'!$U$4:$U$803,$B130&amp;"|"&amp;CQ$5,'Competency Event Log'!$D$4:$D$803)))</f>
        <v/>
      </c>
      <c r="CR130" s="8" t="str">
        <f>IF($B130="","",IF(COUNTIF('Competency Event Log'!$U$4:$U$803,$B130&amp;"|"&amp;CR$5)=0,"",SUMIF('Competency Event Log'!$U$4:$U$803,$B130&amp;"|"&amp;CR$5,'Competency Event Log'!$D$4:$D$803)))</f>
        <v/>
      </c>
      <c r="CS130" s="8" t="str">
        <f>IF($B130="","",IF(COUNTIF('Competency Event Log'!$U$4:$U$803,$B130&amp;"|"&amp;CS$5)=0,"",SUMIF('Competency Event Log'!$U$4:$U$803,$B130&amp;"|"&amp;CS$5,'Competency Event Log'!$D$4:$D$803)))</f>
        <v/>
      </c>
      <c r="CT130" s="8" t="str">
        <f>IF($B130="","",IF(COUNTIF('Competency Event Log'!$U$4:$U$803,$B130&amp;"|"&amp;CT$5)=0,"",SUMIF('Competency Event Log'!$U$4:$U$803,$B130&amp;"|"&amp;CT$5,'Competency Event Log'!$D$4:$D$803)))</f>
        <v/>
      </c>
      <c r="CU130" s="8" t="str">
        <f>IF($B130="","",IF(COUNTIF('Competency Event Log'!$U$4:$U$803,$B130&amp;"|"&amp;CU$5)=0,"",SUMIF('Competency Event Log'!$U$4:$U$803,$B130&amp;"|"&amp;CU$5,'Competency Event Log'!$D$4:$D$803)))</f>
        <v/>
      </c>
      <c r="CV130" s="8" t="str">
        <f>IF($B130="","",IF(COUNTIF('Competency Event Log'!$U$4:$U$803,$B130&amp;"|"&amp;CV$5)=0,"",SUMIF('Competency Event Log'!$U$4:$U$803,$B130&amp;"|"&amp;CV$5,'Competency Event Log'!$D$4:$D$803)))</f>
        <v/>
      </c>
      <c r="CW130" s="8" t="str">
        <f>IF($B130="","",IF(COUNTIF('Competency Event Log'!$U$4:$U$803,$B130&amp;"|"&amp;CW$5)=0,"",SUMIF('Competency Event Log'!$U$4:$U$803,$B130&amp;"|"&amp;CW$5,'Competency Event Log'!$D$4:$D$803)))</f>
        <v/>
      </c>
      <c r="CX130" s="8" t="str">
        <f>IF($B130="","",IF(COUNTIF('Competency Event Log'!$U$4:$U$803,$B130&amp;"|"&amp;CX$5)=0,"",SUMIF('Competency Event Log'!$U$4:$U$803,$B130&amp;"|"&amp;CX$5,'Competency Event Log'!$D$4:$D$803)))</f>
        <v/>
      </c>
      <c r="CY130" s="8" t="str">
        <f>IF($B130="","",IF(COUNTIF('Competency Event Log'!$U$4:$U$803,$B130&amp;"|"&amp;CY$5)=0,"",SUMIF('Competency Event Log'!$U$4:$U$803,$B130&amp;"|"&amp;CY$5,'Competency Event Log'!$D$4:$D$803)))</f>
        <v/>
      </c>
      <c r="CZ130" s="8" t="str">
        <f>IF($B130="","",IF(COUNTIF('Competency Event Log'!$U$4:$U$803,$B130&amp;"|"&amp;CZ$5)=0,"",SUMIF('Competency Event Log'!$U$4:$U$803,$B130&amp;"|"&amp;CZ$5,'Competency Event Log'!$D$4:$D$803)))</f>
        <v/>
      </c>
      <c r="DA130" s="8" t="str">
        <f>IF($B130="","",IF(COUNTIF('Competency Event Log'!$U$4:$U$803,$B130&amp;"|"&amp;DA$5)=0,"",SUMIF('Competency Event Log'!$U$4:$U$803,$B130&amp;"|"&amp;DA$5,'Competency Event Log'!$D$4:$D$803)))</f>
        <v/>
      </c>
      <c r="DB130" s="8" t="str">
        <f>IF($B130="","",IF(COUNTIF('Competency Event Log'!$U$4:$U$803,$B130&amp;"|"&amp;DB$5)=0,"",SUMIF('Competency Event Log'!$U$4:$U$803,$B130&amp;"|"&amp;DB$5,'Competency Event Log'!$D$4:$D$803)))</f>
        <v/>
      </c>
      <c r="DC130" s="8" t="str">
        <f>IF($B130="","",IF(COUNTIF('Competency Event Log'!$U$4:$U$803,$B130&amp;"|"&amp;DC$5)=0,"",SUMIF('Competency Event Log'!$U$4:$U$803,$B130&amp;"|"&amp;DC$5,'Competency Event Log'!$D$4:$D$803)))</f>
        <v/>
      </c>
      <c r="DD130" s="8" t="str">
        <f>IF($B130="","",IF(COUNTIF('Competency Event Log'!$U$4:$U$803,$B130&amp;"|"&amp;DD$5)=0,"",SUMIF('Competency Event Log'!$U$4:$U$803,$B130&amp;"|"&amp;DD$5,'Competency Event Log'!$D$4:$D$803)))</f>
        <v/>
      </c>
      <c r="DE130" s="8" t="str">
        <f>IF($B130="","",IF(COUNTIF('Competency Event Log'!$U$4:$U$803,$B130&amp;"|"&amp;DE$5)=0,"",SUMIF('Competency Event Log'!$U$4:$U$803,$B130&amp;"|"&amp;DE$5,'Competency Event Log'!$D$4:$D$803)))</f>
        <v/>
      </c>
      <c r="DF130" s="8" t="str">
        <f t="shared" si="12"/>
        <v/>
      </c>
      <c r="DG130" s="8" t="str">
        <f t="shared" si="13"/>
        <v/>
      </c>
      <c r="DH130" s="8" t="str">
        <f t="shared" si="14"/>
        <v/>
      </c>
      <c r="DI130" s="11" t="str">
        <f t="shared" si="15"/>
        <v/>
      </c>
    </row>
    <row r="131" spans="1:113">
      <c r="A131" s="7"/>
      <c r="B131" s="7"/>
      <c r="C131" s="8"/>
      <c r="D131" s="9"/>
      <c r="E131" s="10"/>
      <c r="F131" s="8"/>
      <c r="G131" s="8" t="str">
        <f>IF($B131="","",IF(COUNTIF('Competency Event Log'!$U$4:$U$803,$B131&amp;"|"&amp;G$5)=0,"",SUMIF('Competency Event Log'!$U$4:$U$803,$B131&amp;"|"&amp;G$5,'Competency Event Log'!$D$4:$D$803)))</f>
        <v/>
      </c>
      <c r="H131" s="8" t="str">
        <f>IF($B131="","",IF(COUNTIF('Competency Event Log'!$U$4:$U$803,$B131&amp;"|"&amp;H$5)=0,"",SUMIF('Competency Event Log'!$U$4:$U$803,$B131&amp;"|"&amp;H$5,'Competency Event Log'!$D$4:$D$803)))</f>
        <v/>
      </c>
      <c r="I131" s="8" t="str">
        <f>IF($B131="","",IF(COUNTIF('Competency Event Log'!$U$4:$U$803,$B131&amp;"|"&amp;I$5)=0,"",SUMIF('Competency Event Log'!$U$4:$U$803,$B131&amp;"|"&amp;I$5,'Competency Event Log'!$D$4:$D$803)))</f>
        <v/>
      </c>
      <c r="J131" s="8" t="str">
        <f>IF($B131="","",IF(COUNTIF('Competency Event Log'!$U$4:$U$803,$B131&amp;"|"&amp;J$5)=0,"",SUMIF('Competency Event Log'!$U$4:$U$803,$B131&amp;"|"&amp;J$5,'Competency Event Log'!$D$4:$D$803)))</f>
        <v/>
      </c>
      <c r="K131" s="8" t="str">
        <f>IF($B131="","",IF(COUNTIF('Competency Event Log'!$U$4:$U$803,$B131&amp;"|"&amp;K$5)=0,"",SUMIF('Competency Event Log'!$U$4:$U$803,$B131&amp;"|"&amp;K$5,'Competency Event Log'!$D$4:$D$803)))</f>
        <v/>
      </c>
      <c r="L131" s="8" t="str">
        <f>IF($B131="","",IF(COUNTIF('Competency Event Log'!$U$4:$U$803,$B131&amp;"|"&amp;L$5)=0,"",SUMIF('Competency Event Log'!$U$4:$U$803,$B131&amp;"|"&amp;L$5,'Competency Event Log'!$D$4:$D$803)))</f>
        <v/>
      </c>
      <c r="M131" s="8" t="str">
        <f>IF($B131="","",IF(COUNTIF('Competency Event Log'!$U$4:$U$803,$B131&amp;"|"&amp;M$5)=0,"",SUMIF('Competency Event Log'!$U$4:$U$803,$B131&amp;"|"&amp;M$5,'Competency Event Log'!$D$4:$D$803)))</f>
        <v/>
      </c>
      <c r="N131" s="8" t="str">
        <f>IF($B131="","",IF(COUNTIF('Competency Event Log'!$U$4:$U$803,$B131&amp;"|"&amp;N$5)=0,"",SUMIF('Competency Event Log'!$U$4:$U$803,$B131&amp;"|"&amp;N$5,'Competency Event Log'!$D$4:$D$803)))</f>
        <v/>
      </c>
      <c r="O131" s="8" t="str">
        <f>IF($B131="","",IF(COUNTIF('Competency Event Log'!$U$4:$U$803,$B131&amp;"|"&amp;O$5)=0,"",SUMIF('Competency Event Log'!$U$4:$U$803,$B131&amp;"|"&amp;O$5,'Competency Event Log'!$D$4:$D$803)))</f>
        <v/>
      </c>
      <c r="P131" s="8" t="str">
        <f>IF($B131="","",IF(COUNTIF('Competency Event Log'!$U$4:$U$803,$B131&amp;"|"&amp;P$5)=0,"",SUMIF('Competency Event Log'!$U$4:$U$803,$B131&amp;"|"&amp;P$5,'Competency Event Log'!$D$4:$D$803)))</f>
        <v/>
      </c>
      <c r="Q131" s="8" t="str">
        <f>IF($B131="","",IF(COUNTIF('Competency Event Log'!$U$4:$U$803,$B131&amp;"|"&amp;Q$5)=0,"",SUMIF('Competency Event Log'!$U$4:$U$803,$B131&amp;"|"&amp;Q$5,'Competency Event Log'!$D$4:$D$803)))</f>
        <v/>
      </c>
      <c r="R131" s="8" t="str">
        <f>IF($B131="","",IF(COUNTIF('Competency Event Log'!$U$4:$U$803,$B131&amp;"|"&amp;R$5)=0,"",SUMIF('Competency Event Log'!$U$4:$U$803,$B131&amp;"|"&amp;R$5,'Competency Event Log'!$D$4:$D$803)))</f>
        <v/>
      </c>
      <c r="S131" s="8" t="str">
        <f>IF($B131="","",IF(COUNTIF('Competency Event Log'!$U$4:$U$803,$B131&amp;"|"&amp;S$5)=0,"",SUMIF('Competency Event Log'!$U$4:$U$803,$B131&amp;"|"&amp;S$5,'Competency Event Log'!$D$4:$D$803)))</f>
        <v/>
      </c>
      <c r="T131" s="8" t="str">
        <f>IF($B131="","",IF(COUNTIF('Competency Event Log'!$U$4:$U$803,$B131&amp;"|"&amp;T$5)=0,"",SUMIF('Competency Event Log'!$U$4:$U$803,$B131&amp;"|"&amp;T$5,'Competency Event Log'!$D$4:$D$803)))</f>
        <v/>
      </c>
      <c r="U131" s="8" t="str">
        <f>IF($B131="","",IF(COUNTIF('Competency Event Log'!$U$4:$U$803,$B131&amp;"|"&amp;U$5)=0,"",SUMIF('Competency Event Log'!$U$4:$U$803,$B131&amp;"|"&amp;U$5,'Competency Event Log'!$D$4:$D$803)))</f>
        <v/>
      </c>
      <c r="V131" s="8" t="str">
        <f>IF($B131="","",IF(COUNTIF('Competency Event Log'!$U$4:$U$803,$B131&amp;"|"&amp;V$5)=0,"",SUMIF('Competency Event Log'!$U$4:$U$803,$B131&amp;"|"&amp;V$5,'Competency Event Log'!$D$4:$D$803)))</f>
        <v/>
      </c>
      <c r="W131" s="8" t="str">
        <f>IF($B131="","",IF(COUNTIF('Competency Event Log'!$U$4:$U$803,$B131&amp;"|"&amp;W$5)=0,"",SUMIF('Competency Event Log'!$U$4:$U$803,$B131&amp;"|"&amp;W$5,'Competency Event Log'!$D$4:$D$803)))</f>
        <v/>
      </c>
      <c r="X131" s="8" t="str">
        <f>IF($B131="","",IF(COUNTIF('Competency Event Log'!$U$4:$U$803,$B131&amp;"|"&amp;X$5)=0,"",SUMIF('Competency Event Log'!$U$4:$U$803,$B131&amp;"|"&amp;X$5,'Competency Event Log'!$D$4:$D$803)))</f>
        <v/>
      </c>
      <c r="Y131" s="8" t="str">
        <f>IF($B131="","",IF(COUNTIF('Competency Event Log'!$U$4:$U$803,$B131&amp;"|"&amp;Y$5)=0,"",SUMIF('Competency Event Log'!$U$4:$U$803,$B131&amp;"|"&amp;Y$5,'Competency Event Log'!$D$4:$D$803)))</f>
        <v/>
      </c>
      <c r="Z131" s="8" t="str">
        <f>IF($B131="","",IF(COUNTIF('Competency Event Log'!$U$4:$U$803,$B131&amp;"|"&amp;Z$5)=0,"",SUMIF('Competency Event Log'!$U$4:$U$803,$B131&amp;"|"&amp;Z$5,'Competency Event Log'!$D$4:$D$803)))</f>
        <v/>
      </c>
      <c r="AA131" s="8" t="str">
        <f>IF($B131="","",IF(COUNTIF('Competency Event Log'!$U$4:$U$803,$B131&amp;"|"&amp;AA$5)=0,"",SUMIF('Competency Event Log'!$U$4:$U$803,$B131&amp;"|"&amp;AA$5,'Competency Event Log'!$D$4:$D$803)))</f>
        <v/>
      </c>
      <c r="AB131" s="8" t="str">
        <f>IF($B131="","",IF(COUNTIF('Competency Event Log'!$U$4:$U$803,$B131&amp;"|"&amp;AB$5)=0,"",SUMIF('Competency Event Log'!$U$4:$U$803,$B131&amp;"|"&amp;AB$5,'Competency Event Log'!$D$4:$D$803)))</f>
        <v/>
      </c>
      <c r="AC131" s="8" t="str">
        <f>IF($B131="","",IF(COUNTIF('Competency Event Log'!$U$4:$U$803,$B131&amp;"|"&amp;AC$5)=0,"",SUMIF('Competency Event Log'!$U$4:$U$803,$B131&amp;"|"&amp;AC$5,'Competency Event Log'!$D$4:$D$803)))</f>
        <v/>
      </c>
      <c r="AD131" s="8" t="str">
        <f>IF($B131="","",IF(COUNTIF('Competency Event Log'!$U$4:$U$803,$B131&amp;"|"&amp;AD$5)=0,"",SUMIF('Competency Event Log'!$U$4:$U$803,$B131&amp;"|"&amp;AD$5,'Competency Event Log'!$D$4:$D$803)))</f>
        <v/>
      </c>
      <c r="AE131" s="8" t="str">
        <f>IF($B131="","",IF(COUNTIF('Competency Event Log'!$U$4:$U$803,$B131&amp;"|"&amp;AE$5)=0,"",SUMIF('Competency Event Log'!$U$4:$U$803,$B131&amp;"|"&amp;AE$5,'Competency Event Log'!$D$4:$D$803)))</f>
        <v/>
      </c>
      <c r="AF131" s="8" t="str">
        <f>IF($B131="","",IF(COUNTIF('Competency Event Log'!$U$4:$U$803,$B131&amp;"|"&amp;AF$5)=0,"",SUMIF('Competency Event Log'!$U$4:$U$803,$B131&amp;"|"&amp;AF$5,'Competency Event Log'!$D$4:$D$803)))</f>
        <v/>
      </c>
      <c r="AG131" s="8" t="str">
        <f>IF($B131="","",IF(COUNTIF('Competency Event Log'!$U$4:$U$803,$B131&amp;"|"&amp;AG$5)=0,"",SUMIF('Competency Event Log'!$U$4:$U$803,$B131&amp;"|"&amp;AG$5,'Competency Event Log'!$D$4:$D$803)))</f>
        <v/>
      </c>
      <c r="AH131" s="8" t="str">
        <f>IF($B131="","",IF(COUNTIF('Competency Event Log'!$U$4:$U$803,$B131&amp;"|"&amp;AH$5)=0,"",SUMIF('Competency Event Log'!$U$4:$U$803,$B131&amp;"|"&amp;AH$5,'Competency Event Log'!$D$4:$D$803)))</f>
        <v/>
      </c>
      <c r="AI131" s="8" t="str">
        <f>IF($B131="","",IF(COUNTIF('Competency Event Log'!$U$4:$U$803,$B131&amp;"|"&amp;AI$5)=0,"",SUMIF('Competency Event Log'!$U$4:$U$803,$B131&amp;"|"&amp;AI$5,'Competency Event Log'!$D$4:$D$803)))</f>
        <v/>
      </c>
      <c r="AJ131" s="8" t="str">
        <f>IF($B131="","",IF(COUNTIF('Competency Event Log'!$U$4:$U$803,$B131&amp;"|"&amp;AJ$5)=0,"",SUMIF('Competency Event Log'!$U$4:$U$803,$B131&amp;"|"&amp;AJ$5,'Competency Event Log'!$D$4:$D$803)))</f>
        <v/>
      </c>
      <c r="AK131" s="8" t="str">
        <f>IF($B131="","",IF(COUNTIF('Competency Event Log'!$U$4:$U$803,$B131&amp;"|"&amp;AK$5)=0,"",SUMIF('Competency Event Log'!$U$4:$U$803,$B131&amp;"|"&amp;AK$5,'Competency Event Log'!$D$4:$D$803)))</f>
        <v/>
      </c>
      <c r="AL131" s="8" t="str">
        <f>IF($B131="","",IF(COUNTIF('Competency Event Log'!$U$4:$U$803,$B131&amp;"|"&amp;AL$5)=0,"",SUMIF('Competency Event Log'!$U$4:$U$803,$B131&amp;"|"&amp;AL$5,'Competency Event Log'!$D$4:$D$803)))</f>
        <v/>
      </c>
      <c r="AM131" s="8" t="str">
        <f>IF($B131="","",IF(COUNTIF('Competency Event Log'!$U$4:$U$803,$B131&amp;"|"&amp;AM$5)=0,"",SUMIF('Competency Event Log'!$U$4:$U$803,$B131&amp;"|"&amp;AM$5,'Competency Event Log'!$D$4:$D$803)))</f>
        <v/>
      </c>
      <c r="AN131" s="8" t="str">
        <f>IF($B131="","",IF(COUNTIF('Competency Event Log'!$U$4:$U$803,$B131&amp;"|"&amp;AN$5)=0,"",SUMIF('Competency Event Log'!$U$4:$U$803,$B131&amp;"|"&amp;AN$5,'Competency Event Log'!$D$4:$D$803)))</f>
        <v/>
      </c>
      <c r="AO131" s="8" t="str">
        <f>IF($B131="","",IF(COUNTIF('Competency Event Log'!$U$4:$U$803,$B131&amp;"|"&amp;AO$5)=0,"",SUMIF('Competency Event Log'!$U$4:$U$803,$B131&amp;"|"&amp;AO$5,'Competency Event Log'!$D$4:$D$803)))</f>
        <v/>
      </c>
      <c r="AP131" s="8" t="str">
        <f>IF($B131="","",IF(COUNTIF('Competency Event Log'!$U$4:$U$803,$B131&amp;"|"&amp;AP$5)=0,"",SUMIF('Competency Event Log'!$U$4:$U$803,$B131&amp;"|"&amp;AP$5,'Competency Event Log'!$D$4:$D$803)))</f>
        <v/>
      </c>
      <c r="AQ131" s="8" t="str">
        <f>IF($B131="","",IF(COUNTIF('Competency Event Log'!$U$4:$U$803,$B131&amp;"|"&amp;AQ$5)=0,"",SUMIF('Competency Event Log'!$U$4:$U$803,$B131&amp;"|"&amp;AQ$5,'Competency Event Log'!$D$4:$D$803)))</f>
        <v/>
      </c>
      <c r="AR131" s="8" t="str">
        <f>IF($B131="","",IF(COUNTIF('Competency Event Log'!$U$4:$U$803,$B131&amp;"|"&amp;AR$5)=0,"",SUMIF('Competency Event Log'!$U$4:$U$803,$B131&amp;"|"&amp;AR$5,'Competency Event Log'!$D$4:$D$803)))</f>
        <v/>
      </c>
      <c r="AS131" s="8" t="str">
        <f>IF($B131="","",IF(COUNTIF('Competency Event Log'!$U$4:$U$803,$B131&amp;"|"&amp;AS$5)=0,"",SUMIF('Competency Event Log'!$U$4:$U$803,$B131&amp;"|"&amp;AS$5,'Competency Event Log'!$D$4:$D$803)))</f>
        <v/>
      </c>
      <c r="AT131" s="8" t="str">
        <f>IF($B131="","",IF(COUNTIF('Competency Event Log'!$U$4:$U$803,$B131&amp;"|"&amp;AT$5)=0,"",SUMIF('Competency Event Log'!$U$4:$U$803,$B131&amp;"|"&amp;AT$5,'Competency Event Log'!$D$4:$D$803)))</f>
        <v/>
      </c>
      <c r="AU131" s="8" t="str">
        <f>IF($B131="","",IF(COUNTIF('Competency Event Log'!$U$4:$U$803,$B131&amp;"|"&amp;AU$5)=0,"",SUMIF('Competency Event Log'!$U$4:$U$803,$B131&amp;"|"&amp;AU$5,'Competency Event Log'!$D$4:$D$803)))</f>
        <v/>
      </c>
      <c r="AV131" s="8" t="str">
        <f>IF($B131="","",IF(COUNTIF('Competency Event Log'!$U$4:$U$803,$B131&amp;"|"&amp;AV$5)=0,"",SUMIF('Competency Event Log'!$U$4:$U$803,$B131&amp;"|"&amp;AV$5,'Competency Event Log'!$D$4:$D$803)))</f>
        <v/>
      </c>
      <c r="AW131" s="8" t="str">
        <f>IF($B131="","",IF(COUNTIF('Competency Event Log'!$U$4:$U$803,$B131&amp;"|"&amp;AW$5)=0,"",SUMIF('Competency Event Log'!$U$4:$U$803,$B131&amp;"|"&amp;AW$5,'Competency Event Log'!$D$4:$D$803)))</f>
        <v/>
      </c>
      <c r="AX131" s="8" t="str">
        <f>IF($B131="","",IF(COUNTIF('Competency Event Log'!$U$4:$U$803,$B131&amp;"|"&amp;AX$5)=0,"",SUMIF('Competency Event Log'!$U$4:$U$803,$B131&amp;"|"&amp;AX$5,'Competency Event Log'!$D$4:$D$803)))</f>
        <v/>
      </c>
      <c r="AY131" s="8" t="str">
        <f>IF($B131="","",IF(COUNTIF('Competency Event Log'!$U$4:$U$803,$B131&amp;"|"&amp;AY$5)=0,"",SUMIF('Competency Event Log'!$U$4:$U$803,$B131&amp;"|"&amp;AY$5,'Competency Event Log'!$D$4:$D$803)))</f>
        <v/>
      </c>
      <c r="AZ131" s="8" t="str">
        <f>IF($B131="","",IF(COUNTIF('Competency Event Log'!$U$4:$U$803,$B131&amp;"|"&amp;AZ$5)=0,"",SUMIF('Competency Event Log'!$U$4:$U$803,$B131&amp;"|"&amp;AZ$5,'Competency Event Log'!$D$4:$D$803)))</f>
        <v/>
      </c>
      <c r="BA131" s="8" t="str">
        <f>IF($B131="","",IF(COUNTIF('Competency Event Log'!$U$4:$U$803,$B131&amp;"|"&amp;BA$5)=0,"",SUMIF('Competency Event Log'!$U$4:$U$803,$B131&amp;"|"&amp;BA$5,'Competency Event Log'!$D$4:$D$803)))</f>
        <v/>
      </c>
      <c r="BB131" s="8" t="str">
        <f>IF($B131="","",IF(COUNTIF('Competency Event Log'!$U$4:$U$803,$B131&amp;"|"&amp;BB$5)=0,"",SUMIF('Competency Event Log'!$U$4:$U$803,$B131&amp;"|"&amp;BB$5,'Competency Event Log'!$D$4:$D$803)))</f>
        <v/>
      </c>
      <c r="BC131" s="8" t="str">
        <f>IF($B131="","",IF(COUNTIF('Competency Event Log'!$U$4:$U$803,$B131&amp;"|"&amp;BC$5)=0,"",SUMIF('Competency Event Log'!$U$4:$U$803,$B131&amp;"|"&amp;BC$5,'Competency Event Log'!$D$4:$D$803)))</f>
        <v/>
      </c>
      <c r="BD131" s="8" t="str">
        <f>IF($B131="","",IF(COUNTIF('Competency Event Log'!$U$4:$U$803,$B131&amp;"|"&amp;BD$5)=0,"",SUMIF('Competency Event Log'!$U$4:$U$803,$B131&amp;"|"&amp;BD$5,'Competency Event Log'!$D$4:$D$803)))</f>
        <v/>
      </c>
      <c r="BE131" s="8" t="str">
        <f>IF($B131="","",IF(COUNTIF('Competency Event Log'!$U$4:$U$803,$B131&amp;"|"&amp;BE$5)=0,"",SUMIF('Competency Event Log'!$U$4:$U$803,$B131&amp;"|"&amp;BE$5,'Competency Event Log'!$D$4:$D$803)))</f>
        <v/>
      </c>
      <c r="BF131" s="8" t="str">
        <f>IF($B131="","",IF(COUNTIF('Competency Event Log'!$U$4:$U$803,$B131&amp;"|"&amp;BF$5)=0,"",SUMIF('Competency Event Log'!$U$4:$U$803,$B131&amp;"|"&amp;BF$5,'Competency Event Log'!$D$4:$D$803)))</f>
        <v/>
      </c>
      <c r="BG131" s="8" t="str">
        <f>IF($B131="","",IF(COUNTIF('Competency Event Log'!$U$4:$U$803,$B131&amp;"|"&amp;BG$5)=0,"",SUMIF('Competency Event Log'!$U$4:$U$803,$B131&amp;"|"&amp;BG$5,'Competency Event Log'!$D$4:$D$803)))</f>
        <v/>
      </c>
      <c r="BH131" s="8" t="str">
        <f>IF($B131="","",IF(COUNTIF('Competency Event Log'!$U$4:$U$803,$B131&amp;"|"&amp;BH$5)=0,"",SUMIF('Competency Event Log'!$U$4:$U$803,$B131&amp;"|"&amp;BH$5,'Competency Event Log'!$D$4:$D$803)))</f>
        <v/>
      </c>
      <c r="BI131" s="8" t="str">
        <f>IF($B131="","",IF(COUNTIF('Competency Event Log'!$U$4:$U$803,$B131&amp;"|"&amp;BI$5)=0,"",SUMIF('Competency Event Log'!$U$4:$U$803,$B131&amp;"|"&amp;BI$5,'Competency Event Log'!$D$4:$D$803)))</f>
        <v/>
      </c>
      <c r="BJ131" s="8" t="str">
        <f>IF($B131="","",IF(COUNTIF('Competency Event Log'!$U$4:$U$803,$B131&amp;"|"&amp;BJ$5)=0,"",SUMIF('Competency Event Log'!$U$4:$U$803,$B131&amp;"|"&amp;BJ$5,'Competency Event Log'!$D$4:$D$803)))</f>
        <v/>
      </c>
      <c r="BK131" s="8" t="str">
        <f>IF($B131="","",IF(COUNTIF('Competency Event Log'!$U$4:$U$803,$B131&amp;"|"&amp;BK$5)=0,"",SUMIF('Competency Event Log'!$U$4:$U$803,$B131&amp;"|"&amp;BK$5,'Competency Event Log'!$D$4:$D$803)))</f>
        <v/>
      </c>
      <c r="BL131" s="8" t="str">
        <f>IF($B131="","",IF(COUNTIF('Competency Event Log'!$U$4:$U$803,$B131&amp;"|"&amp;BL$5)=0,"",SUMIF('Competency Event Log'!$U$4:$U$803,$B131&amp;"|"&amp;BL$5,'Competency Event Log'!$D$4:$D$803)))</f>
        <v/>
      </c>
      <c r="BM131" s="8" t="str">
        <f>IF($B131="","",IF(COUNTIF('Competency Event Log'!$U$4:$U$803,$B131&amp;"|"&amp;BM$5)=0,"",SUMIF('Competency Event Log'!$U$4:$U$803,$B131&amp;"|"&amp;BM$5,'Competency Event Log'!$D$4:$D$803)))</f>
        <v/>
      </c>
      <c r="BN131" s="8" t="str">
        <f>IF($B131="","",IF(COUNTIF('Competency Event Log'!$U$4:$U$803,$B131&amp;"|"&amp;BN$5)=0,"",SUMIF('Competency Event Log'!$U$4:$U$803,$B131&amp;"|"&amp;BN$5,'Competency Event Log'!$D$4:$D$803)))</f>
        <v/>
      </c>
      <c r="BO131" s="8" t="str">
        <f>IF($B131="","",IF(COUNTIF('Competency Event Log'!$U$4:$U$803,$B131&amp;"|"&amp;BO$5)=0,"",SUMIF('Competency Event Log'!$U$4:$U$803,$B131&amp;"|"&amp;BO$5,'Competency Event Log'!$D$4:$D$803)))</f>
        <v/>
      </c>
      <c r="BP131" s="8" t="str">
        <f>IF($B131="","",IF(COUNTIF('Competency Event Log'!$U$4:$U$803,$B131&amp;"|"&amp;BP$5)=0,"",SUMIF('Competency Event Log'!$U$4:$U$803,$B131&amp;"|"&amp;BP$5,'Competency Event Log'!$D$4:$D$803)))</f>
        <v/>
      </c>
      <c r="BQ131" s="8" t="str">
        <f>IF($B131="","",IF(COUNTIF('Competency Event Log'!$U$4:$U$803,$B131&amp;"|"&amp;BQ$5)=0,"",SUMIF('Competency Event Log'!$U$4:$U$803,$B131&amp;"|"&amp;BQ$5,'Competency Event Log'!$D$4:$D$803)))</f>
        <v/>
      </c>
      <c r="BR131" s="8" t="str">
        <f>IF($B131="","",IF(COUNTIF('Competency Event Log'!$U$4:$U$803,$B131&amp;"|"&amp;BR$5)=0,"",SUMIF('Competency Event Log'!$U$4:$U$803,$B131&amp;"|"&amp;BR$5,'Competency Event Log'!$D$4:$D$803)))</f>
        <v/>
      </c>
      <c r="BS131" s="8" t="str">
        <f>IF($B131="","",IF(COUNTIF('Competency Event Log'!$U$4:$U$803,$B131&amp;"|"&amp;BS$5)=0,"",SUMIF('Competency Event Log'!$U$4:$U$803,$B131&amp;"|"&amp;BS$5,'Competency Event Log'!$D$4:$D$803)))</f>
        <v/>
      </c>
      <c r="BT131" s="8" t="str">
        <f>IF($B131="","",IF(COUNTIF('Competency Event Log'!$U$4:$U$803,$B131&amp;"|"&amp;BT$5)=0,"",SUMIF('Competency Event Log'!$U$4:$U$803,$B131&amp;"|"&amp;BT$5,'Competency Event Log'!$D$4:$D$803)))</f>
        <v/>
      </c>
      <c r="BU131" s="8" t="str">
        <f>IF($B131="","",IF(COUNTIF('Competency Event Log'!$U$4:$U$803,$B131&amp;"|"&amp;BU$5)=0,"",SUMIF('Competency Event Log'!$U$4:$U$803,$B131&amp;"|"&amp;BU$5,'Competency Event Log'!$D$4:$D$803)))</f>
        <v/>
      </c>
      <c r="BV131" s="8" t="str">
        <f>IF($B131="","",IF(COUNTIF('Competency Event Log'!$U$4:$U$803,$B131&amp;"|"&amp;BV$5)=0,"",SUMIF('Competency Event Log'!$U$4:$U$803,$B131&amp;"|"&amp;BV$5,'Competency Event Log'!$D$4:$D$803)))</f>
        <v/>
      </c>
      <c r="BW131" s="8" t="str">
        <f>IF($B131="","",IF(COUNTIF('Competency Event Log'!$U$4:$U$803,$B131&amp;"|"&amp;BW$5)=0,"",SUMIF('Competency Event Log'!$U$4:$U$803,$B131&amp;"|"&amp;BW$5,'Competency Event Log'!$D$4:$D$803)))</f>
        <v/>
      </c>
      <c r="BX131" s="8" t="str">
        <f>IF($B131="","",IF(COUNTIF('Competency Event Log'!$U$4:$U$803,$B131&amp;"|"&amp;BX$5)=0,"",SUMIF('Competency Event Log'!$U$4:$U$803,$B131&amp;"|"&amp;BX$5,'Competency Event Log'!$D$4:$D$803)))</f>
        <v/>
      </c>
      <c r="BY131" s="8" t="str">
        <f>IF($B131="","",IF(COUNTIF('Competency Event Log'!$U$4:$U$803,$B131&amp;"|"&amp;BY$5)=0,"",SUMIF('Competency Event Log'!$U$4:$U$803,$B131&amp;"|"&amp;BY$5,'Competency Event Log'!$D$4:$D$803)))</f>
        <v/>
      </c>
      <c r="BZ131" s="8" t="str">
        <f>IF($B131="","",IF(COUNTIF('Competency Event Log'!$U$4:$U$803,$B131&amp;"|"&amp;BZ$5)=0,"",SUMIF('Competency Event Log'!$U$4:$U$803,$B131&amp;"|"&amp;BZ$5,'Competency Event Log'!$D$4:$D$803)))</f>
        <v/>
      </c>
      <c r="CA131" s="8" t="str">
        <f>IF($B131="","",IF(COUNTIF('Competency Event Log'!$U$4:$U$803,$B131&amp;"|"&amp;CA$5)=0,"",SUMIF('Competency Event Log'!$U$4:$U$803,$B131&amp;"|"&amp;CA$5,'Competency Event Log'!$D$4:$D$803)))</f>
        <v/>
      </c>
      <c r="CB131" s="8" t="str">
        <f>IF($B131="","",IF(COUNTIF('Competency Event Log'!$U$4:$U$803,$B131&amp;"|"&amp;CB$5)=0,"",SUMIF('Competency Event Log'!$U$4:$U$803,$B131&amp;"|"&amp;CB$5,'Competency Event Log'!$D$4:$D$803)))</f>
        <v/>
      </c>
      <c r="CC131" s="8" t="str">
        <f>IF($B131="","",IF(COUNTIF('Competency Event Log'!$U$4:$U$803,$B131&amp;"|"&amp;CC$5)=0,"",SUMIF('Competency Event Log'!$U$4:$U$803,$B131&amp;"|"&amp;CC$5,'Competency Event Log'!$D$4:$D$803)))</f>
        <v/>
      </c>
      <c r="CD131" s="8" t="str">
        <f>IF($B131="","",IF(COUNTIF('Competency Event Log'!$U$4:$U$803,$B131&amp;"|"&amp;CD$5)=0,"",SUMIF('Competency Event Log'!$U$4:$U$803,$B131&amp;"|"&amp;CD$5,'Competency Event Log'!$D$4:$D$803)))</f>
        <v/>
      </c>
      <c r="CE131" s="8" t="str">
        <f>IF($B131="","",IF(COUNTIF('Competency Event Log'!$U$4:$U$803,$B131&amp;"|"&amp;CE$5)=0,"",SUMIF('Competency Event Log'!$U$4:$U$803,$B131&amp;"|"&amp;CE$5,'Competency Event Log'!$D$4:$D$803)))</f>
        <v/>
      </c>
      <c r="CF131" s="8" t="str">
        <f>IF($B131="","",IF(COUNTIF('Competency Event Log'!$U$4:$U$803,$B131&amp;"|"&amp;CF$5)=0,"",SUMIF('Competency Event Log'!$U$4:$U$803,$B131&amp;"|"&amp;CF$5,'Competency Event Log'!$D$4:$D$803)))</f>
        <v/>
      </c>
      <c r="CG131" s="8" t="str">
        <f>IF($B131="","",IF(COUNTIF('Competency Event Log'!$U$4:$U$803,$B131&amp;"|"&amp;CG$5)=0,"",SUMIF('Competency Event Log'!$U$4:$U$803,$B131&amp;"|"&amp;CG$5,'Competency Event Log'!$D$4:$D$803)))</f>
        <v/>
      </c>
      <c r="CH131" s="8" t="str">
        <f>IF($B131="","",IF(COUNTIF('Competency Event Log'!$U$4:$U$803,$B131&amp;"|"&amp;CH$5)=0,"",SUMIF('Competency Event Log'!$U$4:$U$803,$B131&amp;"|"&amp;CH$5,'Competency Event Log'!$D$4:$D$803)))</f>
        <v/>
      </c>
      <c r="CI131" s="8" t="str">
        <f>IF($B131="","",IF(COUNTIF('Competency Event Log'!$U$4:$U$803,$B131&amp;"|"&amp;CI$5)=0,"",SUMIF('Competency Event Log'!$U$4:$U$803,$B131&amp;"|"&amp;CI$5,'Competency Event Log'!$D$4:$D$803)))</f>
        <v/>
      </c>
      <c r="CJ131" s="8" t="str">
        <f>IF($B131="","",IF(COUNTIF('Competency Event Log'!$U$4:$U$803,$B131&amp;"|"&amp;CJ$5)=0,"",SUMIF('Competency Event Log'!$U$4:$U$803,$B131&amp;"|"&amp;CJ$5,'Competency Event Log'!$D$4:$D$803)))</f>
        <v/>
      </c>
      <c r="CK131" s="8" t="str">
        <f>IF($B131="","",IF(COUNTIF('Competency Event Log'!$U$4:$U$803,$B131&amp;"|"&amp;CK$5)=0,"",SUMIF('Competency Event Log'!$U$4:$U$803,$B131&amp;"|"&amp;CK$5,'Competency Event Log'!$D$4:$D$803)))</f>
        <v/>
      </c>
      <c r="CL131" s="8" t="str">
        <f>IF($B131="","",IF(COUNTIF('Competency Event Log'!$U$4:$U$803,$B131&amp;"|"&amp;CL$5)=0,"",SUMIF('Competency Event Log'!$U$4:$U$803,$B131&amp;"|"&amp;CL$5,'Competency Event Log'!$D$4:$D$803)))</f>
        <v/>
      </c>
      <c r="CM131" s="8" t="str">
        <f>IF($B131="","",IF(COUNTIF('Competency Event Log'!$U$4:$U$803,$B131&amp;"|"&amp;CM$5)=0,"",SUMIF('Competency Event Log'!$U$4:$U$803,$B131&amp;"|"&amp;CM$5,'Competency Event Log'!$D$4:$D$803)))</f>
        <v/>
      </c>
      <c r="CN131" s="8" t="str">
        <f>IF($B131="","",IF(COUNTIF('Competency Event Log'!$U$4:$U$803,$B131&amp;"|"&amp;CN$5)=0,"",SUMIF('Competency Event Log'!$U$4:$U$803,$B131&amp;"|"&amp;CN$5,'Competency Event Log'!$D$4:$D$803)))</f>
        <v/>
      </c>
      <c r="CO131" s="8" t="str">
        <f>IF($B131="","",IF(COUNTIF('Competency Event Log'!$U$4:$U$803,$B131&amp;"|"&amp;CO$5)=0,"",SUMIF('Competency Event Log'!$U$4:$U$803,$B131&amp;"|"&amp;CO$5,'Competency Event Log'!$D$4:$D$803)))</f>
        <v/>
      </c>
      <c r="CP131" s="8" t="str">
        <f>IF($B131="","",IF(COUNTIF('Competency Event Log'!$U$4:$U$803,$B131&amp;"|"&amp;CP$5)=0,"",SUMIF('Competency Event Log'!$U$4:$U$803,$B131&amp;"|"&amp;CP$5,'Competency Event Log'!$D$4:$D$803)))</f>
        <v/>
      </c>
      <c r="CQ131" s="8" t="str">
        <f>IF($B131="","",IF(COUNTIF('Competency Event Log'!$U$4:$U$803,$B131&amp;"|"&amp;CQ$5)=0,"",SUMIF('Competency Event Log'!$U$4:$U$803,$B131&amp;"|"&amp;CQ$5,'Competency Event Log'!$D$4:$D$803)))</f>
        <v/>
      </c>
      <c r="CR131" s="8" t="str">
        <f>IF($B131="","",IF(COUNTIF('Competency Event Log'!$U$4:$U$803,$B131&amp;"|"&amp;CR$5)=0,"",SUMIF('Competency Event Log'!$U$4:$U$803,$B131&amp;"|"&amp;CR$5,'Competency Event Log'!$D$4:$D$803)))</f>
        <v/>
      </c>
      <c r="CS131" s="8" t="str">
        <f>IF($B131="","",IF(COUNTIF('Competency Event Log'!$U$4:$U$803,$B131&amp;"|"&amp;CS$5)=0,"",SUMIF('Competency Event Log'!$U$4:$U$803,$B131&amp;"|"&amp;CS$5,'Competency Event Log'!$D$4:$D$803)))</f>
        <v/>
      </c>
      <c r="CT131" s="8" t="str">
        <f>IF($B131="","",IF(COUNTIF('Competency Event Log'!$U$4:$U$803,$B131&amp;"|"&amp;CT$5)=0,"",SUMIF('Competency Event Log'!$U$4:$U$803,$B131&amp;"|"&amp;CT$5,'Competency Event Log'!$D$4:$D$803)))</f>
        <v/>
      </c>
      <c r="CU131" s="8" t="str">
        <f>IF($B131="","",IF(COUNTIF('Competency Event Log'!$U$4:$U$803,$B131&amp;"|"&amp;CU$5)=0,"",SUMIF('Competency Event Log'!$U$4:$U$803,$B131&amp;"|"&amp;CU$5,'Competency Event Log'!$D$4:$D$803)))</f>
        <v/>
      </c>
      <c r="CV131" s="8" t="str">
        <f>IF($B131="","",IF(COUNTIF('Competency Event Log'!$U$4:$U$803,$B131&amp;"|"&amp;CV$5)=0,"",SUMIF('Competency Event Log'!$U$4:$U$803,$B131&amp;"|"&amp;CV$5,'Competency Event Log'!$D$4:$D$803)))</f>
        <v/>
      </c>
      <c r="CW131" s="8" t="str">
        <f>IF($B131="","",IF(COUNTIF('Competency Event Log'!$U$4:$U$803,$B131&amp;"|"&amp;CW$5)=0,"",SUMIF('Competency Event Log'!$U$4:$U$803,$B131&amp;"|"&amp;CW$5,'Competency Event Log'!$D$4:$D$803)))</f>
        <v/>
      </c>
      <c r="CX131" s="8" t="str">
        <f>IF($B131="","",IF(COUNTIF('Competency Event Log'!$U$4:$U$803,$B131&amp;"|"&amp;CX$5)=0,"",SUMIF('Competency Event Log'!$U$4:$U$803,$B131&amp;"|"&amp;CX$5,'Competency Event Log'!$D$4:$D$803)))</f>
        <v/>
      </c>
      <c r="CY131" s="8" t="str">
        <f>IF($B131="","",IF(COUNTIF('Competency Event Log'!$U$4:$U$803,$B131&amp;"|"&amp;CY$5)=0,"",SUMIF('Competency Event Log'!$U$4:$U$803,$B131&amp;"|"&amp;CY$5,'Competency Event Log'!$D$4:$D$803)))</f>
        <v/>
      </c>
      <c r="CZ131" s="8" t="str">
        <f>IF($B131="","",IF(COUNTIF('Competency Event Log'!$U$4:$U$803,$B131&amp;"|"&amp;CZ$5)=0,"",SUMIF('Competency Event Log'!$U$4:$U$803,$B131&amp;"|"&amp;CZ$5,'Competency Event Log'!$D$4:$D$803)))</f>
        <v/>
      </c>
      <c r="DA131" s="8" t="str">
        <f>IF($B131="","",IF(COUNTIF('Competency Event Log'!$U$4:$U$803,$B131&amp;"|"&amp;DA$5)=0,"",SUMIF('Competency Event Log'!$U$4:$U$803,$B131&amp;"|"&amp;DA$5,'Competency Event Log'!$D$4:$D$803)))</f>
        <v/>
      </c>
      <c r="DB131" s="8" t="str">
        <f>IF($B131="","",IF(COUNTIF('Competency Event Log'!$U$4:$U$803,$B131&amp;"|"&amp;DB$5)=0,"",SUMIF('Competency Event Log'!$U$4:$U$803,$B131&amp;"|"&amp;DB$5,'Competency Event Log'!$D$4:$D$803)))</f>
        <v/>
      </c>
      <c r="DC131" s="8" t="str">
        <f>IF($B131="","",IF(COUNTIF('Competency Event Log'!$U$4:$U$803,$B131&amp;"|"&amp;DC$5)=0,"",SUMIF('Competency Event Log'!$U$4:$U$803,$B131&amp;"|"&amp;DC$5,'Competency Event Log'!$D$4:$D$803)))</f>
        <v/>
      </c>
      <c r="DD131" s="8" t="str">
        <f>IF($B131="","",IF(COUNTIF('Competency Event Log'!$U$4:$U$803,$B131&amp;"|"&amp;DD$5)=0,"",SUMIF('Competency Event Log'!$U$4:$U$803,$B131&amp;"|"&amp;DD$5,'Competency Event Log'!$D$4:$D$803)))</f>
        <v/>
      </c>
      <c r="DE131" s="8" t="str">
        <f>IF($B131="","",IF(COUNTIF('Competency Event Log'!$U$4:$U$803,$B131&amp;"|"&amp;DE$5)=0,"",SUMIF('Competency Event Log'!$U$4:$U$803,$B131&amp;"|"&amp;DE$5,'Competency Event Log'!$D$4:$D$803)))</f>
        <v/>
      </c>
      <c r="DF131" s="8" t="str">
        <f t="shared" si="12"/>
        <v/>
      </c>
      <c r="DG131" s="8" t="str">
        <f t="shared" si="13"/>
        <v/>
      </c>
      <c r="DH131" s="8" t="str">
        <f t="shared" si="14"/>
        <v/>
      </c>
      <c r="DI131" s="11" t="str">
        <f t="shared" si="15"/>
        <v/>
      </c>
    </row>
    <row r="132" spans="1:113">
      <c r="A132" s="7"/>
      <c r="B132" s="7"/>
      <c r="C132" s="8"/>
      <c r="D132" s="9"/>
      <c r="E132" s="10"/>
      <c r="F132" s="8"/>
      <c r="G132" s="8" t="str">
        <f>IF($B132="","",IF(COUNTIF('Competency Event Log'!$U$4:$U$803,$B132&amp;"|"&amp;G$5)=0,"",SUMIF('Competency Event Log'!$U$4:$U$803,$B132&amp;"|"&amp;G$5,'Competency Event Log'!$D$4:$D$803)))</f>
        <v/>
      </c>
      <c r="H132" s="8" t="str">
        <f>IF($B132="","",IF(COUNTIF('Competency Event Log'!$U$4:$U$803,$B132&amp;"|"&amp;H$5)=0,"",SUMIF('Competency Event Log'!$U$4:$U$803,$B132&amp;"|"&amp;H$5,'Competency Event Log'!$D$4:$D$803)))</f>
        <v/>
      </c>
      <c r="I132" s="8" t="str">
        <f>IF($B132="","",IF(COUNTIF('Competency Event Log'!$U$4:$U$803,$B132&amp;"|"&amp;I$5)=0,"",SUMIF('Competency Event Log'!$U$4:$U$803,$B132&amp;"|"&amp;I$5,'Competency Event Log'!$D$4:$D$803)))</f>
        <v/>
      </c>
      <c r="J132" s="8" t="str">
        <f>IF($B132="","",IF(COUNTIF('Competency Event Log'!$U$4:$U$803,$B132&amp;"|"&amp;J$5)=0,"",SUMIF('Competency Event Log'!$U$4:$U$803,$B132&amp;"|"&amp;J$5,'Competency Event Log'!$D$4:$D$803)))</f>
        <v/>
      </c>
      <c r="K132" s="8" t="str">
        <f>IF($B132="","",IF(COUNTIF('Competency Event Log'!$U$4:$U$803,$B132&amp;"|"&amp;K$5)=0,"",SUMIF('Competency Event Log'!$U$4:$U$803,$B132&amp;"|"&amp;K$5,'Competency Event Log'!$D$4:$D$803)))</f>
        <v/>
      </c>
      <c r="L132" s="8" t="str">
        <f>IF($B132="","",IF(COUNTIF('Competency Event Log'!$U$4:$U$803,$B132&amp;"|"&amp;L$5)=0,"",SUMIF('Competency Event Log'!$U$4:$U$803,$B132&amp;"|"&amp;L$5,'Competency Event Log'!$D$4:$D$803)))</f>
        <v/>
      </c>
      <c r="M132" s="8" t="str">
        <f>IF($B132="","",IF(COUNTIF('Competency Event Log'!$U$4:$U$803,$B132&amp;"|"&amp;M$5)=0,"",SUMIF('Competency Event Log'!$U$4:$U$803,$B132&amp;"|"&amp;M$5,'Competency Event Log'!$D$4:$D$803)))</f>
        <v/>
      </c>
      <c r="N132" s="8" t="str">
        <f>IF($B132="","",IF(COUNTIF('Competency Event Log'!$U$4:$U$803,$B132&amp;"|"&amp;N$5)=0,"",SUMIF('Competency Event Log'!$U$4:$U$803,$B132&amp;"|"&amp;N$5,'Competency Event Log'!$D$4:$D$803)))</f>
        <v/>
      </c>
      <c r="O132" s="8" t="str">
        <f>IF($B132="","",IF(COUNTIF('Competency Event Log'!$U$4:$U$803,$B132&amp;"|"&amp;O$5)=0,"",SUMIF('Competency Event Log'!$U$4:$U$803,$B132&amp;"|"&amp;O$5,'Competency Event Log'!$D$4:$D$803)))</f>
        <v/>
      </c>
      <c r="P132" s="8" t="str">
        <f>IF($B132="","",IF(COUNTIF('Competency Event Log'!$U$4:$U$803,$B132&amp;"|"&amp;P$5)=0,"",SUMIF('Competency Event Log'!$U$4:$U$803,$B132&amp;"|"&amp;P$5,'Competency Event Log'!$D$4:$D$803)))</f>
        <v/>
      </c>
      <c r="Q132" s="8" t="str">
        <f>IF($B132="","",IF(COUNTIF('Competency Event Log'!$U$4:$U$803,$B132&amp;"|"&amp;Q$5)=0,"",SUMIF('Competency Event Log'!$U$4:$U$803,$B132&amp;"|"&amp;Q$5,'Competency Event Log'!$D$4:$D$803)))</f>
        <v/>
      </c>
      <c r="R132" s="8" t="str">
        <f>IF($B132="","",IF(COUNTIF('Competency Event Log'!$U$4:$U$803,$B132&amp;"|"&amp;R$5)=0,"",SUMIF('Competency Event Log'!$U$4:$U$803,$B132&amp;"|"&amp;R$5,'Competency Event Log'!$D$4:$D$803)))</f>
        <v/>
      </c>
      <c r="S132" s="8" t="str">
        <f>IF($B132="","",IF(COUNTIF('Competency Event Log'!$U$4:$U$803,$B132&amp;"|"&amp;S$5)=0,"",SUMIF('Competency Event Log'!$U$4:$U$803,$B132&amp;"|"&amp;S$5,'Competency Event Log'!$D$4:$D$803)))</f>
        <v/>
      </c>
      <c r="T132" s="8" t="str">
        <f>IF($B132="","",IF(COUNTIF('Competency Event Log'!$U$4:$U$803,$B132&amp;"|"&amp;T$5)=0,"",SUMIF('Competency Event Log'!$U$4:$U$803,$B132&amp;"|"&amp;T$5,'Competency Event Log'!$D$4:$D$803)))</f>
        <v/>
      </c>
      <c r="U132" s="8" t="str">
        <f>IF($B132="","",IF(COUNTIF('Competency Event Log'!$U$4:$U$803,$B132&amp;"|"&amp;U$5)=0,"",SUMIF('Competency Event Log'!$U$4:$U$803,$B132&amp;"|"&amp;U$5,'Competency Event Log'!$D$4:$D$803)))</f>
        <v/>
      </c>
      <c r="V132" s="8" t="str">
        <f>IF($B132="","",IF(COUNTIF('Competency Event Log'!$U$4:$U$803,$B132&amp;"|"&amp;V$5)=0,"",SUMIF('Competency Event Log'!$U$4:$U$803,$B132&amp;"|"&amp;V$5,'Competency Event Log'!$D$4:$D$803)))</f>
        <v/>
      </c>
      <c r="W132" s="8" t="str">
        <f>IF($B132="","",IF(COUNTIF('Competency Event Log'!$U$4:$U$803,$B132&amp;"|"&amp;W$5)=0,"",SUMIF('Competency Event Log'!$U$4:$U$803,$B132&amp;"|"&amp;W$5,'Competency Event Log'!$D$4:$D$803)))</f>
        <v/>
      </c>
      <c r="X132" s="8" t="str">
        <f>IF($B132="","",IF(COUNTIF('Competency Event Log'!$U$4:$U$803,$B132&amp;"|"&amp;X$5)=0,"",SUMIF('Competency Event Log'!$U$4:$U$803,$B132&amp;"|"&amp;X$5,'Competency Event Log'!$D$4:$D$803)))</f>
        <v/>
      </c>
      <c r="Y132" s="8" t="str">
        <f>IF($B132="","",IF(COUNTIF('Competency Event Log'!$U$4:$U$803,$B132&amp;"|"&amp;Y$5)=0,"",SUMIF('Competency Event Log'!$U$4:$U$803,$B132&amp;"|"&amp;Y$5,'Competency Event Log'!$D$4:$D$803)))</f>
        <v/>
      </c>
      <c r="Z132" s="8" t="str">
        <f>IF($B132="","",IF(COUNTIF('Competency Event Log'!$U$4:$U$803,$B132&amp;"|"&amp;Z$5)=0,"",SUMIF('Competency Event Log'!$U$4:$U$803,$B132&amp;"|"&amp;Z$5,'Competency Event Log'!$D$4:$D$803)))</f>
        <v/>
      </c>
      <c r="AA132" s="8" t="str">
        <f>IF($B132="","",IF(COUNTIF('Competency Event Log'!$U$4:$U$803,$B132&amp;"|"&amp;AA$5)=0,"",SUMIF('Competency Event Log'!$U$4:$U$803,$B132&amp;"|"&amp;AA$5,'Competency Event Log'!$D$4:$D$803)))</f>
        <v/>
      </c>
      <c r="AB132" s="8" t="str">
        <f>IF($B132="","",IF(COUNTIF('Competency Event Log'!$U$4:$U$803,$B132&amp;"|"&amp;AB$5)=0,"",SUMIF('Competency Event Log'!$U$4:$U$803,$B132&amp;"|"&amp;AB$5,'Competency Event Log'!$D$4:$D$803)))</f>
        <v/>
      </c>
      <c r="AC132" s="8" t="str">
        <f>IF($B132="","",IF(COUNTIF('Competency Event Log'!$U$4:$U$803,$B132&amp;"|"&amp;AC$5)=0,"",SUMIF('Competency Event Log'!$U$4:$U$803,$B132&amp;"|"&amp;AC$5,'Competency Event Log'!$D$4:$D$803)))</f>
        <v/>
      </c>
      <c r="AD132" s="8" t="str">
        <f>IF($B132="","",IF(COUNTIF('Competency Event Log'!$U$4:$U$803,$B132&amp;"|"&amp;AD$5)=0,"",SUMIF('Competency Event Log'!$U$4:$U$803,$B132&amp;"|"&amp;AD$5,'Competency Event Log'!$D$4:$D$803)))</f>
        <v/>
      </c>
      <c r="AE132" s="8" t="str">
        <f>IF($B132="","",IF(COUNTIF('Competency Event Log'!$U$4:$U$803,$B132&amp;"|"&amp;AE$5)=0,"",SUMIF('Competency Event Log'!$U$4:$U$803,$B132&amp;"|"&amp;AE$5,'Competency Event Log'!$D$4:$D$803)))</f>
        <v/>
      </c>
      <c r="AF132" s="8" t="str">
        <f>IF($B132="","",IF(COUNTIF('Competency Event Log'!$U$4:$U$803,$B132&amp;"|"&amp;AF$5)=0,"",SUMIF('Competency Event Log'!$U$4:$U$803,$B132&amp;"|"&amp;AF$5,'Competency Event Log'!$D$4:$D$803)))</f>
        <v/>
      </c>
      <c r="AG132" s="8" t="str">
        <f>IF($B132="","",IF(COUNTIF('Competency Event Log'!$U$4:$U$803,$B132&amp;"|"&amp;AG$5)=0,"",SUMIF('Competency Event Log'!$U$4:$U$803,$B132&amp;"|"&amp;AG$5,'Competency Event Log'!$D$4:$D$803)))</f>
        <v/>
      </c>
      <c r="AH132" s="8" t="str">
        <f>IF($B132="","",IF(COUNTIF('Competency Event Log'!$U$4:$U$803,$B132&amp;"|"&amp;AH$5)=0,"",SUMIF('Competency Event Log'!$U$4:$U$803,$B132&amp;"|"&amp;AH$5,'Competency Event Log'!$D$4:$D$803)))</f>
        <v/>
      </c>
      <c r="AI132" s="8" t="str">
        <f>IF($B132="","",IF(COUNTIF('Competency Event Log'!$U$4:$U$803,$B132&amp;"|"&amp;AI$5)=0,"",SUMIF('Competency Event Log'!$U$4:$U$803,$B132&amp;"|"&amp;AI$5,'Competency Event Log'!$D$4:$D$803)))</f>
        <v/>
      </c>
      <c r="AJ132" s="8" t="str">
        <f>IF($B132="","",IF(COUNTIF('Competency Event Log'!$U$4:$U$803,$B132&amp;"|"&amp;AJ$5)=0,"",SUMIF('Competency Event Log'!$U$4:$U$803,$B132&amp;"|"&amp;AJ$5,'Competency Event Log'!$D$4:$D$803)))</f>
        <v/>
      </c>
      <c r="AK132" s="8" t="str">
        <f>IF($B132="","",IF(COUNTIF('Competency Event Log'!$U$4:$U$803,$B132&amp;"|"&amp;AK$5)=0,"",SUMIF('Competency Event Log'!$U$4:$U$803,$B132&amp;"|"&amp;AK$5,'Competency Event Log'!$D$4:$D$803)))</f>
        <v/>
      </c>
      <c r="AL132" s="8" t="str">
        <f>IF($B132="","",IF(COUNTIF('Competency Event Log'!$U$4:$U$803,$B132&amp;"|"&amp;AL$5)=0,"",SUMIF('Competency Event Log'!$U$4:$U$803,$B132&amp;"|"&amp;AL$5,'Competency Event Log'!$D$4:$D$803)))</f>
        <v/>
      </c>
      <c r="AM132" s="8" t="str">
        <f>IF($B132="","",IF(COUNTIF('Competency Event Log'!$U$4:$U$803,$B132&amp;"|"&amp;AM$5)=0,"",SUMIF('Competency Event Log'!$U$4:$U$803,$B132&amp;"|"&amp;AM$5,'Competency Event Log'!$D$4:$D$803)))</f>
        <v/>
      </c>
      <c r="AN132" s="8" t="str">
        <f>IF($B132="","",IF(COUNTIF('Competency Event Log'!$U$4:$U$803,$B132&amp;"|"&amp;AN$5)=0,"",SUMIF('Competency Event Log'!$U$4:$U$803,$B132&amp;"|"&amp;AN$5,'Competency Event Log'!$D$4:$D$803)))</f>
        <v/>
      </c>
      <c r="AO132" s="8" t="str">
        <f>IF($B132="","",IF(COUNTIF('Competency Event Log'!$U$4:$U$803,$B132&amp;"|"&amp;AO$5)=0,"",SUMIF('Competency Event Log'!$U$4:$U$803,$B132&amp;"|"&amp;AO$5,'Competency Event Log'!$D$4:$D$803)))</f>
        <v/>
      </c>
      <c r="AP132" s="8" t="str">
        <f>IF($B132="","",IF(COUNTIF('Competency Event Log'!$U$4:$U$803,$B132&amp;"|"&amp;AP$5)=0,"",SUMIF('Competency Event Log'!$U$4:$U$803,$B132&amp;"|"&amp;AP$5,'Competency Event Log'!$D$4:$D$803)))</f>
        <v/>
      </c>
      <c r="AQ132" s="8" t="str">
        <f>IF($B132="","",IF(COUNTIF('Competency Event Log'!$U$4:$U$803,$B132&amp;"|"&amp;AQ$5)=0,"",SUMIF('Competency Event Log'!$U$4:$U$803,$B132&amp;"|"&amp;AQ$5,'Competency Event Log'!$D$4:$D$803)))</f>
        <v/>
      </c>
      <c r="AR132" s="8" t="str">
        <f>IF($B132="","",IF(COUNTIF('Competency Event Log'!$U$4:$U$803,$B132&amp;"|"&amp;AR$5)=0,"",SUMIF('Competency Event Log'!$U$4:$U$803,$B132&amp;"|"&amp;AR$5,'Competency Event Log'!$D$4:$D$803)))</f>
        <v/>
      </c>
      <c r="AS132" s="8" t="str">
        <f>IF($B132="","",IF(COUNTIF('Competency Event Log'!$U$4:$U$803,$B132&amp;"|"&amp;AS$5)=0,"",SUMIF('Competency Event Log'!$U$4:$U$803,$B132&amp;"|"&amp;AS$5,'Competency Event Log'!$D$4:$D$803)))</f>
        <v/>
      </c>
      <c r="AT132" s="8" t="str">
        <f>IF($B132="","",IF(COUNTIF('Competency Event Log'!$U$4:$U$803,$B132&amp;"|"&amp;AT$5)=0,"",SUMIF('Competency Event Log'!$U$4:$U$803,$B132&amp;"|"&amp;AT$5,'Competency Event Log'!$D$4:$D$803)))</f>
        <v/>
      </c>
      <c r="AU132" s="8" t="str">
        <f>IF($B132="","",IF(COUNTIF('Competency Event Log'!$U$4:$U$803,$B132&amp;"|"&amp;AU$5)=0,"",SUMIF('Competency Event Log'!$U$4:$U$803,$B132&amp;"|"&amp;AU$5,'Competency Event Log'!$D$4:$D$803)))</f>
        <v/>
      </c>
      <c r="AV132" s="8" t="str">
        <f>IF($B132="","",IF(COUNTIF('Competency Event Log'!$U$4:$U$803,$B132&amp;"|"&amp;AV$5)=0,"",SUMIF('Competency Event Log'!$U$4:$U$803,$B132&amp;"|"&amp;AV$5,'Competency Event Log'!$D$4:$D$803)))</f>
        <v/>
      </c>
      <c r="AW132" s="8" t="str">
        <f>IF($B132="","",IF(COUNTIF('Competency Event Log'!$U$4:$U$803,$B132&amp;"|"&amp;AW$5)=0,"",SUMIF('Competency Event Log'!$U$4:$U$803,$B132&amp;"|"&amp;AW$5,'Competency Event Log'!$D$4:$D$803)))</f>
        <v/>
      </c>
      <c r="AX132" s="8" t="str">
        <f>IF($B132="","",IF(COUNTIF('Competency Event Log'!$U$4:$U$803,$B132&amp;"|"&amp;AX$5)=0,"",SUMIF('Competency Event Log'!$U$4:$U$803,$B132&amp;"|"&amp;AX$5,'Competency Event Log'!$D$4:$D$803)))</f>
        <v/>
      </c>
      <c r="AY132" s="8" t="str">
        <f>IF($B132="","",IF(COUNTIF('Competency Event Log'!$U$4:$U$803,$B132&amp;"|"&amp;AY$5)=0,"",SUMIF('Competency Event Log'!$U$4:$U$803,$B132&amp;"|"&amp;AY$5,'Competency Event Log'!$D$4:$D$803)))</f>
        <v/>
      </c>
      <c r="AZ132" s="8" t="str">
        <f>IF($B132="","",IF(COUNTIF('Competency Event Log'!$U$4:$U$803,$B132&amp;"|"&amp;AZ$5)=0,"",SUMIF('Competency Event Log'!$U$4:$U$803,$B132&amp;"|"&amp;AZ$5,'Competency Event Log'!$D$4:$D$803)))</f>
        <v/>
      </c>
      <c r="BA132" s="8" t="str">
        <f>IF($B132="","",IF(COUNTIF('Competency Event Log'!$U$4:$U$803,$B132&amp;"|"&amp;BA$5)=0,"",SUMIF('Competency Event Log'!$U$4:$U$803,$B132&amp;"|"&amp;BA$5,'Competency Event Log'!$D$4:$D$803)))</f>
        <v/>
      </c>
      <c r="BB132" s="8" t="str">
        <f>IF($B132="","",IF(COUNTIF('Competency Event Log'!$U$4:$U$803,$B132&amp;"|"&amp;BB$5)=0,"",SUMIF('Competency Event Log'!$U$4:$U$803,$B132&amp;"|"&amp;BB$5,'Competency Event Log'!$D$4:$D$803)))</f>
        <v/>
      </c>
      <c r="BC132" s="8" t="str">
        <f>IF($B132="","",IF(COUNTIF('Competency Event Log'!$U$4:$U$803,$B132&amp;"|"&amp;BC$5)=0,"",SUMIF('Competency Event Log'!$U$4:$U$803,$B132&amp;"|"&amp;BC$5,'Competency Event Log'!$D$4:$D$803)))</f>
        <v/>
      </c>
      <c r="BD132" s="8" t="str">
        <f>IF($B132="","",IF(COUNTIF('Competency Event Log'!$U$4:$U$803,$B132&amp;"|"&amp;BD$5)=0,"",SUMIF('Competency Event Log'!$U$4:$U$803,$B132&amp;"|"&amp;BD$5,'Competency Event Log'!$D$4:$D$803)))</f>
        <v/>
      </c>
      <c r="BE132" s="8" t="str">
        <f>IF($B132="","",IF(COUNTIF('Competency Event Log'!$U$4:$U$803,$B132&amp;"|"&amp;BE$5)=0,"",SUMIF('Competency Event Log'!$U$4:$U$803,$B132&amp;"|"&amp;BE$5,'Competency Event Log'!$D$4:$D$803)))</f>
        <v/>
      </c>
      <c r="BF132" s="8" t="str">
        <f>IF($B132="","",IF(COUNTIF('Competency Event Log'!$U$4:$U$803,$B132&amp;"|"&amp;BF$5)=0,"",SUMIF('Competency Event Log'!$U$4:$U$803,$B132&amp;"|"&amp;BF$5,'Competency Event Log'!$D$4:$D$803)))</f>
        <v/>
      </c>
      <c r="BG132" s="8" t="str">
        <f>IF($B132="","",IF(COUNTIF('Competency Event Log'!$U$4:$U$803,$B132&amp;"|"&amp;BG$5)=0,"",SUMIF('Competency Event Log'!$U$4:$U$803,$B132&amp;"|"&amp;BG$5,'Competency Event Log'!$D$4:$D$803)))</f>
        <v/>
      </c>
      <c r="BH132" s="8" t="str">
        <f>IF($B132="","",IF(COUNTIF('Competency Event Log'!$U$4:$U$803,$B132&amp;"|"&amp;BH$5)=0,"",SUMIF('Competency Event Log'!$U$4:$U$803,$B132&amp;"|"&amp;BH$5,'Competency Event Log'!$D$4:$D$803)))</f>
        <v/>
      </c>
      <c r="BI132" s="8" t="str">
        <f>IF($B132="","",IF(COUNTIF('Competency Event Log'!$U$4:$U$803,$B132&amp;"|"&amp;BI$5)=0,"",SUMIF('Competency Event Log'!$U$4:$U$803,$B132&amp;"|"&amp;BI$5,'Competency Event Log'!$D$4:$D$803)))</f>
        <v/>
      </c>
      <c r="BJ132" s="8" t="str">
        <f>IF($B132="","",IF(COUNTIF('Competency Event Log'!$U$4:$U$803,$B132&amp;"|"&amp;BJ$5)=0,"",SUMIF('Competency Event Log'!$U$4:$U$803,$B132&amp;"|"&amp;BJ$5,'Competency Event Log'!$D$4:$D$803)))</f>
        <v/>
      </c>
      <c r="BK132" s="8" t="str">
        <f>IF($B132="","",IF(COUNTIF('Competency Event Log'!$U$4:$U$803,$B132&amp;"|"&amp;BK$5)=0,"",SUMIF('Competency Event Log'!$U$4:$U$803,$B132&amp;"|"&amp;BK$5,'Competency Event Log'!$D$4:$D$803)))</f>
        <v/>
      </c>
      <c r="BL132" s="8" t="str">
        <f>IF($B132="","",IF(COUNTIF('Competency Event Log'!$U$4:$U$803,$B132&amp;"|"&amp;BL$5)=0,"",SUMIF('Competency Event Log'!$U$4:$U$803,$B132&amp;"|"&amp;BL$5,'Competency Event Log'!$D$4:$D$803)))</f>
        <v/>
      </c>
      <c r="BM132" s="8" t="str">
        <f>IF($B132="","",IF(COUNTIF('Competency Event Log'!$U$4:$U$803,$B132&amp;"|"&amp;BM$5)=0,"",SUMIF('Competency Event Log'!$U$4:$U$803,$B132&amp;"|"&amp;BM$5,'Competency Event Log'!$D$4:$D$803)))</f>
        <v/>
      </c>
      <c r="BN132" s="8" t="str">
        <f>IF($B132="","",IF(COUNTIF('Competency Event Log'!$U$4:$U$803,$B132&amp;"|"&amp;BN$5)=0,"",SUMIF('Competency Event Log'!$U$4:$U$803,$B132&amp;"|"&amp;BN$5,'Competency Event Log'!$D$4:$D$803)))</f>
        <v/>
      </c>
      <c r="BO132" s="8" t="str">
        <f>IF($B132="","",IF(COUNTIF('Competency Event Log'!$U$4:$U$803,$B132&amp;"|"&amp;BO$5)=0,"",SUMIF('Competency Event Log'!$U$4:$U$803,$B132&amp;"|"&amp;BO$5,'Competency Event Log'!$D$4:$D$803)))</f>
        <v/>
      </c>
      <c r="BP132" s="8" t="str">
        <f>IF($B132="","",IF(COUNTIF('Competency Event Log'!$U$4:$U$803,$B132&amp;"|"&amp;BP$5)=0,"",SUMIF('Competency Event Log'!$U$4:$U$803,$B132&amp;"|"&amp;BP$5,'Competency Event Log'!$D$4:$D$803)))</f>
        <v/>
      </c>
      <c r="BQ132" s="8" t="str">
        <f>IF($B132="","",IF(COUNTIF('Competency Event Log'!$U$4:$U$803,$B132&amp;"|"&amp;BQ$5)=0,"",SUMIF('Competency Event Log'!$U$4:$U$803,$B132&amp;"|"&amp;BQ$5,'Competency Event Log'!$D$4:$D$803)))</f>
        <v/>
      </c>
      <c r="BR132" s="8" t="str">
        <f>IF($B132="","",IF(COUNTIF('Competency Event Log'!$U$4:$U$803,$B132&amp;"|"&amp;BR$5)=0,"",SUMIF('Competency Event Log'!$U$4:$U$803,$B132&amp;"|"&amp;BR$5,'Competency Event Log'!$D$4:$D$803)))</f>
        <v/>
      </c>
      <c r="BS132" s="8" t="str">
        <f>IF($B132="","",IF(COUNTIF('Competency Event Log'!$U$4:$U$803,$B132&amp;"|"&amp;BS$5)=0,"",SUMIF('Competency Event Log'!$U$4:$U$803,$B132&amp;"|"&amp;BS$5,'Competency Event Log'!$D$4:$D$803)))</f>
        <v/>
      </c>
      <c r="BT132" s="8" t="str">
        <f>IF($B132="","",IF(COUNTIF('Competency Event Log'!$U$4:$U$803,$B132&amp;"|"&amp;BT$5)=0,"",SUMIF('Competency Event Log'!$U$4:$U$803,$B132&amp;"|"&amp;BT$5,'Competency Event Log'!$D$4:$D$803)))</f>
        <v/>
      </c>
      <c r="BU132" s="8" t="str">
        <f>IF($B132="","",IF(COUNTIF('Competency Event Log'!$U$4:$U$803,$B132&amp;"|"&amp;BU$5)=0,"",SUMIF('Competency Event Log'!$U$4:$U$803,$B132&amp;"|"&amp;BU$5,'Competency Event Log'!$D$4:$D$803)))</f>
        <v/>
      </c>
      <c r="BV132" s="8" t="str">
        <f>IF($B132="","",IF(COUNTIF('Competency Event Log'!$U$4:$U$803,$B132&amp;"|"&amp;BV$5)=0,"",SUMIF('Competency Event Log'!$U$4:$U$803,$B132&amp;"|"&amp;BV$5,'Competency Event Log'!$D$4:$D$803)))</f>
        <v/>
      </c>
      <c r="BW132" s="8" t="str">
        <f>IF($B132="","",IF(COUNTIF('Competency Event Log'!$U$4:$U$803,$B132&amp;"|"&amp;BW$5)=0,"",SUMIF('Competency Event Log'!$U$4:$U$803,$B132&amp;"|"&amp;BW$5,'Competency Event Log'!$D$4:$D$803)))</f>
        <v/>
      </c>
      <c r="BX132" s="8" t="str">
        <f>IF($B132="","",IF(COUNTIF('Competency Event Log'!$U$4:$U$803,$B132&amp;"|"&amp;BX$5)=0,"",SUMIF('Competency Event Log'!$U$4:$U$803,$B132&amp;"|"&amp;BX$5,'Competency Event Log'!$D$4:$D$803)))</f>
        <v/>
      </c>
      <c r="BY132" s="8" t="str">
        <f>IF($B132="","",IF(COUNTIF('Competency Event Log'!$U$4:$U$803,$B132&amp;"|"&amp;BY$5)=0,"",SUMIF('Competency Event Log'!$U$4:$U$803,$B132&amp;"|"&amp;BY$5,'Competency Event Log'!$D$4:$D$803)))</f>
        <v/>
      </c>
      <c r="BZ132" s="8" t="str">
        <f>IF($B132="","",IF(COUNTIF('Competency Event Log'!$U$4:$U$803,$B132&amp;"|"&amp;BZ$5)=0,"",SUMIF('Competency Event Log'!$U$4:$U$803,$B132&amp;"|"&amp;BZ$5,'Competency Event Log'!$D$4:$D$803)))</f>
        <v/>
      </c>
      <c r="CA132" s="8" t="str">
        <f>IF($B132="","",IF(COUNTIF('Competency Event Log'!$U$4:$U$803,$B132&amp;"|"&amp;CA$5)=0,"",SUMIF('Competency Event Log'!$U$4:$U$803,$B132&amp;"|"&amp;CA$5,'Competency Event Log'!$D$4:$D$803)))</f>
        <v/>
      </c>
      <c r="CB132" s="8" t="str">
        <f>IF($B132="","",IF(COUNTIF('Competency Event Log'!$U$4:$U$803,$B132&amp;"|"&amp;CB$5)=0,"",SUMIF('Competency Event Log'!$U$4:$U$803,$B132&amp;"|"&amp;CB$5,'Competency Event Log'!$D$4:$D$803)))</f>
        <v/>
      </c>
      <c r="CC132" s="8" t="str">
        <f>IF($B132="","",IF(COUNTIF('Competency Event Log'!$U$4:$U$803,$B132&amp;"|"&amp;CC$5)=0,"",SUMIF('Competency Event Log'!$U$4:$U$803,$B132&amp;"|"&amp;CC$5,'Competency Event Log'!$D$4:$D$803)))</f>
        <v/>
      </c>
      <c r="CD132" s="8" t="str">
        <f>IF($B132="","",IF(COUNTIF('Competency Event Log'!$U$4:$U$803,$B132&amp;"|"&amp;CD$5)=0,"",SUMIF('Competency Event Log'!$U$4:$U$803,$B132&amp;"|"&amp;CD$5,'Competency Event Log'!$D$4:$D$803)))</f>
        <v/>
      </c>
      <c r="CE132" s="8" t="str">
        <f>IF($B132="","",IF(COUNTIF('Competency Event Log'!$U$4:$U$803,$B132&amp;"|"&amp;CE$5)=0,"",SUMIF('Competency Event Log'!$U$4:$U$803,$B132&amp;"|"&amp;CE$5,'Competency Event Log'!$D$4:$D$803)))</f>
        <v/>
      </c>
      <c r="CF132" s="8" t="str">
        <f>IF($B132="","",IF(COUNTIF('Competency Event Log'!$U$4:$U$803,$B132&amp;"|"&amp;CF$5)=0,"",SUMIF('Competency Event Log'!$U$4:$U$803,$B132&amp;"|"&amp;CF$5,'Competency Event Log'!$D$4:$D$803)))</f>
        <v/>
      </c>
      <c r="CG132" s="8" t="str">
        <f>IF($B132="","",IF(COUNTIF('Competency Event Log'!$U$4:$U$803,$B132&amp;"|"&amp;CG$5)=0,"",SUMIF('Competency Event Log'!$U$4:$U$803,$B132&amp;"|"&amp;CG$5,'Competency Event Log'!$D$4:$D$803)))</f>
        <v/>
      </c>
      <c r="CH132" s="8" t="str">
        <f>IF($B132="","",IF(COUNTIF('Competency Event Log'!$U$4:$U$803,$B132&amp;"|"&amp;CH$5)=0,"",SUMIF('Competency Event Log'!$U$4:$U$803,$B132&amp;"|"&amp;CH$5,'Competency Event Log'!$D$4:$D$803)))</f>
        <v/>
      </c>
      <c r="CI132" s="8" t="str">
        <f>IF($B132="","",IF(COUNTIF('Competency Event Log'!$U$4:$U$803,$B132&amp;"|"&amp;CI$5)=0,"",SUMIF('Competency Event Log'!$U$4:$U$803,$B132&amp;"|"&amp;CI$5,'Competency Event Log'!$D$4:$D$803)))</f>
        <v/>
      </c>
      <c r="CJ132" s="8" t="str">
        <f>IF($B132="","",IF(COUNTIF('Competency Event Log'!$U$4:$U$803,$B132&amp;"|"&amp;CJ$5)=0,"",SUMIF('Competency Event Log'!$U$4:$U$803,$B132&amp;"|"&amp;CJ$5,'Competency Event Log'!$D$4:$D$803)))</f>
        <v/>
      </c>
      <c r="CK132" s="8" t="str">
        <f>IF($B132="","",IF(COUNTIF('Competency Event Log'!$U$4:$U$803,$B132&amp;"|"&amp;CK$5)=0,"",SUMIF('Competency Event Log'!$U$4:$U$803,$B132&amp;"|"&amp;CK$5,'Competency Event Log'!$D$4:$D$803)))</f>
        <v/>
      </c>
      <c r="CL132" s="8" t="str">
        <f>IF($B132="","",IF(COUNTIF('Competency Event Log'!$U$4:$U$803,$B132&amp;"|"&amp;CL$5)=0,"",SUMIF('Competency Event Log'!$U$4:$U$803,$B132&amp;"|"&amp;CL$5,'Competency Event Log'!$D$4:$D$803)))</f>
        <v/>
      </c>
      <c r="CM132" s="8" t="str">
        <f>IF($B132="","",IF(COUNTIF('Competency Event Log'!$U$4:$U$803,$B132&amp;"|"&amp;CM$5)=0,"",SUMIF('Competency Event Log'!$U$4:$U$803,$B132&amp;"|"&amp;CM$5,'Competency Event Log'!$D$4:$D$803)))</f>
        <v/>
      </c>
      <c r="CN132" s="8" t="str">
        <f>IF($B132="","",IF(COUNTIF('Competency Event Log'!$U$4:$U$803,$B132&amp;"|"&amp;CN$5)=0,"",SUMIF('Competency Event Log'!$U$4:$U$803,$B132&amp;"|"&amp;CN$5,'Competency Event Log'!$D$4:$D$803)))</f>
        <v/>
      </c>
      <c r="CO132" s="8" t="str">
        <f>IF($B132="","",IF(COUNTIF('Competency Event Log'!$U$4:$U$803,$B132&amp;"|"&amp;CO$5)=0,"",SUMIF('Competency Event Log'!$U$4:$U$803,$B132&amp;"|"&amp;CO$5,'Competency Event Log'!$D$4:$D$803)))</f>
        <v/>
      </c>
      <c r="CP132" s="8" t="str">
        <f>IF($B132="","",IF(COUNTIF('Competency Event Log'!$U$4:$U$803,$B132&amp;"|"&amp;CP$5)=0,"",SUMIF('Competency Event Log'!$U$4:$U$803,$B132&amp;"|"&amp;CP$5,'Competency Event Log'!$D$4:$D$803)))</f>
        <v/>
      </c>
      <c r="CQ132" s="8" t="str">
        <f>IF($B132="","",IF(COUNTIF('Competency Event Log'!$U$4:$U$803,$B132&amp;"|"&amp;CQ$5)=0,"",SUMIF('Competency Event Log'!$U$4:$U$803,$B132&amp;"|"&amp;CQ$5,'Competency Event Log'!$D$4:$D$803)))</f>
        <v/>
      </c>
      <c r="CR132" s="8" t="str">
        <f>IF($B132="","",IF(COUNTIF('Competency Event Log'!$U$4:$U$803,$B132&amp;"|"&amp;CR$5)=0,"",SUMIF('Competency Event Log'!$U$4:$U$803,$B132&amp;"|"&amp;CR$5,'Competency Event Log'!$D$4:$D$803)))</f>
        <v/>
      </c>
      <c r="CS132" s="8" t="str">
        <f>IF($B132="","",IF(COUNTIF('Competency Event Log'!$U$4:$U$803,$B132&amp;"|"&amp;CS$5)=0,"",SUMIF('Competency Event Log'!$U$4:$U$803,$B132&amp;"|"&amp;CS$5,'Competency Event Log'!$D$4:$D$803)))</f>
        <v/>
      </c>
      <c r="CT132" s="8" t="str">
        <f>IF($B132="","",IF(COUNTIF('Competency Event Log'!$U$4:$U$803,$B132&amp;"|"&amp;CT$5)=0,"",SUMIF('Competency Event Log'!$U$4:$U$803,$B132&amp;"|"&amp;CT$5,'Competency Event Log'!$D$4:$D$803)))</f>
        <v/>
      </c>
      <c r="CU132" s="8" t="str">
        <f>IF($B132="","",IF(COUNTIF('Competency Event Log'!$U$4:$U$803,$B132&amp;"|"&amp;CU$5)=0,"",SUMIF('Competency Event Log'!$U$4:$U$803,$B132&amp;"|"&amp;CU$5,'Competency Event Log'!$D$4:$D$803)))</f>
        <v/>
      </c>
      <c r="CV132" s="8" t="str">
        <f>IF($B132="","",IF(COUNTIF('Competency Event Log'!$U$4:$U$803,$B132&amp;"|"&amp;CV$5)=0,"",SUMIF('Competency Event Log'!$U$4:$U$803,$B132&amp;"|"&amp;CV$5,'Competency Event Log'!$D$4:$D$803)))</f>
        <v/>
      </c>
      <c r="CW132" s="8" t="str">
        <f>IF($B132="","",IF(COUNTIF('Competency Event Log'!$U$4:$U$803,$B132&amp;"|"&amp;CW$5)=0,"",SUMIF('Competency Event Log'!$U$4:$U$803,$B132&amp;"|"&amp;CW$5,'Competency Event Log'!$D$4:$D$803)))</f>
        <v/>
      </c>
      <c r="CX132" s="8" t="str">
        <f>IF($B132="","",IF(COUNTIF('Competency Event Log'!$U$4:$U$803,$B132&amp;"|"&amp;CX$5)=0,"",SUMIF('Competency Event Log'!$U$4:$U$803,$B132&amp;"|"&amp;CX$5,'Competency Event Log'!$D$4:$D$803)))</f>
        <v/>
      </c>
      <c r="CY132" s="8" t="str">
        <f>IF($B132="","",IF(COUNTIF('Competency Event Log'!$U$4:$U$803,$B132&amp;"|"&amp;CY$5)=0,"",SUMIF('Competency Event Log'!$U$4:$U$803,$B132&amp;"|"&amp;CY$5,'Competency Event Log'!$D$4:$D$803)))</f>
        <v/>
      </c>
      <c r="CZ132" s="8" t="str">
        <f>IF($B132="","",IF(COUNTIF('Competency Event Log'!$U$4:$U$803,$B132&amp;"|"&amp;CZ$5)=0,"",SUMIF('Competency Event Log'!$U$4:$U$803,$B132&amp;"|"&amp;CZ$5,'Competency Event Log'!$D$4:$D$803)))</f>
        <v/>
      </c>
      <c r="DA132" s="8" t="str">
        <f>IF($B132="","",IF(COUNTIF('Competency Event Log'!$U$4:$U$803,$B132&amp;"|"&amp;DA$5)=0,"",SUMIF('Competency Event Log'!$U$4:$U$803,$B132&amp;"|"&amp;DA$5,'Competency Event Log'!$D$4:$D$803)))</f>
        <v/>
      </c>
      <c r="DB132" s="8" t="str">
        <f>IF($B132="","",IF(COUNTIF('Competency Event Log'!$U$4:$U$803,$B132&amp;"|"&amp;DB$5)=0,"",SUMIF('Competency Event Log'!$U$4:$U$803,$B132&amp;"|"&amp;DB$5,'Competency Event Log'!$D$4:$D$803)))</f>
        <v/>
      </c>
      <c r="DC132" s="8" t="str">
        <f>IF($B132="","",IF(COUNTIF('Competency Event Log'!$U$4:$U$803,$B132&amp;"|"&amp;DC$5)=0,"",SUMIF('Competency Event Log'!$U$4:$U$803,$B132&amp;"|"&amp;DC$5,'Competency Event Log'!$D$4:$D$803)))</f>
        <v/>
      </c>
      <c r="DD132" s="8" t="str">
        <f>IF($B132="","",IF(COUNTIF('Competency Event Log'!$U$4:$U$803,$B132&amp;"|"&amp;DD$5)=0,"",SUMIF('Competency Event Log'!$U$4:$U$803,$B132&amp;"|"&amp;DD$5,'Competency Event Log'!$D$4:$D$803)))</f>
        <v/>
      </c>
      <c r="DE132" s="8" t="str">
        <f>IF($B132="","",IF(COUNTIF('Competency Event Log'!$U$4:$U$803,$B132&amp;"|"&amp;DE$5)=0,"",SUMIF('Competency Event Log'!$U$4:$U$803,$B132&amp;"|"&amp;DE$5,'Competency Event Log'!$D$4:$D$803)))</f>
        <v/>
      </c>
      <c r="DF132" s="8" t="str">
        <f t="shared" si="12"/>
        <v/>
      </c>
      <c r="DG132" s="8" t="str">
        <f t="shared" si="13"/>
        <v/>
      </c>
      <c r="DH132" s="8" t="str">
        <f t="shared" si="14"/>
        <v/>
      </c>
      <c r="DI132" s="11" t="str">
        <f t="shared" si="15"/>
        <v/>
      </c>
    </row>
    <row r="133" spans="1:113">
      <c r="A133" s="7"/>
      <c r="B133" s="7"/>
      <c r="C133" s="8"/>
      <c r="D133" s="9"/>
      <c r="E133" s="10"/>
      <c r="F133" s="8"/>
      <c r="G133" s="8" t="str">
        <f>IF($B133="","",IF(COUNTIF('Competency Event Log'!$U$4:$U$803,$B133&amp;"|"&amp;G$5)=0,"",SUMIF('Competency Event Log'!$U$4:$U$803,$B133&amp;"|"&amp;G$5,'Competency Event Log'!$D$4:$D$803)))</f>
        <v/>
      </c>
      <c r="H133" s="8" t="str">
        <f>IF($B133="","",IF(COUNTIF('Competency Event Log'!$U$4:$U$803,$B133&amp;"|"&amp;H$5)=0,"",SUMIF('Competency Event Log'!$U$4:$U$803,$B133&amp;"|"&amp;H$5,'Competency Event Log'!$D$4:$D$803)))</f>
        <v/>
      </c>
      <c r="I133" s="8" t="str">
        <f>IF($B133="","",IF(COUNTIF('Competency Event Log'!$U$4:$U$803,$B133&amp;"|"&amp;I$5)=0,"",SUMIF('Competency Event Log'!$U$4:$U$803,$B133&amp;"|"&amp;I$5,'Competency Event Log'!$D$4:$D$803)))</f>
        <v/>
      </c>
      <c r="J133" s="8" t="str">
        <f>IF($B133="","",IF(COUNTIF('Competency Event Log'!$U$4:$U$803,$B133&amp;"|"&amp;J$5)=0,"",SUMIF('Competency Event Log'!$U$4:$U$803,$B133&amp;"|"&amp;J$5,'Competency Event Log'!$D$4:$D$803)))</f>
        <v/>
      </c>
      <c r="K133" s="8" t="str">
        <f>IF($B133="","",IF(COUNTIF('Competency Event Log'!$U$4:$U$803,$B133&amp;"|"&amp;K$5)=0,"",SUMIF('Competency Event Log'!$U$4:$U$803,$B133&amp;"|"&amp;K$5,'Competency Event Log'!$D$4:$D$803)))</f>
        <v/>
      </c>
      <c r="L133" s="8" t="str">
        <f>IF($B133="","",IF(COUNTIF('Competency Event Log'!$U$4:$U$803,$B133&amp;"|"&amp;L$5)=0,"",SUMIF('Competency Event Log'!$U$4:$U$803,$B133&amp;"|"&amp;L$5,'Competency Event Log'!$D$4:$D$803)))</f>
        <v/>
      </c>
      <c r="M133" s="8" t="str">
        <f>IF($B133="","",IF(COUNTIF('Competency Event Log'!$U$4:$U$803,$B133&amp;"|"&amp;M$5)=0,"",SUMIF('Competency Event Log'!$U$4:$U$803,$B133&amp;"|"&amp;M$5,'Competency Event Log'!$D$4:$D$803)))</f>
        <v/>
      </c>
      <c r="N133" s="8" t="str">
        <f>IF($B133="","",IF(COUNTIF('Competency Event Log'!$U$4:$U$803,$B133&amp;"|"&amp;N$5)=0,"",SUMIF('Competency Event Log'!$U$4:$U$803,$B133&amp;"|"&amp;N$5,'Competency Event Log'!$D$4:$D$803)))</f>
        <v/>
      </c>
      <c r="O133" s="8" t="str">
        <f>IF($B133="","",IF(COUNTIF('Competency Event Log'!$U$4:$U$803,$B133&amp;"|"&amp;O$5)=0,"",SUMIF('Competency Event Log'!$U$4:$U$803,$B133&amp;"|"&amp;O$5,'Competency Event Log'!$D$4:$D$803)))</f>
        <v/>
      </c>
      <c r="P133" s="8" t="str">
        <f>IF($B133="","",IF(COUNTIF('Competency Event Log'!$U$4:$U$803,$B133&amp;"|"&amp;P$5)=0,"",SUMIF('Competency Event Log'!$U$4:$U$803,$B133&amp;"|"&amp;P$5,'Competency Event Log'!$D$4:$D$803)))</f>
        <v/>
      </c>
      <c r="Q133" s="8" t="str">
        <f>IF($B133="","",IF(COUNTIF('Competency Event Log'!$U$4:$U$803,$B133&amp;"|"&amp;Q$5)=0,"",SUMIF('Competency Event Log'!$U$4:$U$803,$B133&amp;"|"&amp;Q$5,'Competency Event Log'!$D$4:$D$803)))</f>
        <v/>
      </c>
      <c r="R133" s="8" t="str">
        <f>IF($B133="","",IF(COUNTIF('Competency Event Log'!$U$4:$U$803,$B133&amp;"|"&amp;R$5)=0,"",SUMIF('Competency Event Log'!$U$4:$U$803,$B133&amp;"|"&amp;R$5,'Competency Event Log'!$D$4:$D$803)))</f>
        <v/>
      </c>
      <c r="S133" s="8" t="str">
        <f>IF($B133="","",IF(COUNTIF('Competency Event Log'!$U$4:$U$803,$B133&amp;"|"&amp;S$5)=0,"",SUMIF('Competency Event Log'!$U$4:$U$803,$B133&amp;"|"&amp;S$5,'Competency Event Log'!$D$4:$D$803)))</f>
        <v/>
      </c>
      <c r="T133" s="8" t="str">
        <f>IF($B133="","",IF(COUNTIF('Competency Event Log'!$U$4:$U$803,$B133&amp;"|"&amp;T$5)=0,"",SUMIF('Competency Event Log'!$U$4:$U$803,$B133&amp;"|"&amp;T$5,'Competency Event Log'!$D$4:$D$803)))</f>
        <v/>
      </c>
      <c r="U133" s="8" t="str">
        <f>IF($B133="","",IF(COUNTIF('Competency Event Log'!$U$4:$U$803,$B133&amp;"|"&amp;U$5)=0,"",SUMIF('Competency Event Log'!$U$4:$U$803,$B133&amp;"|"&amp;U$5,'Competency Event Log'!$D$4:$D$803)))</f>
        <v/>
      </c>
      <c r="V133" s="8" t="str">
        <f>IF($B133="","",IF(COUNTIF('Competency Event Log'!$U$4:$U$803,$B133&amp;"|"&amp;V$5)=0,"",SUMIF('Competency Event Log'!$U$4:$U$803,$B133&amp;"|"&amp;V$5,'Competency Event Log'!$D$4:$D$803)))</f>
        <v/>
      </c>
      <c r="W133" s="8" t="str">
        <f>IF($B133="","",IF(COUNTIF('Competency Event Log'!$U$4:$U$803,$B133&amp;"|"&amp;W$5)=0,"",SUMIF('Competency Event Log'!$U$4:$U$803,$B133&amp;"|"&amp;W$5,'Competency Event Log'!$D$4:$D$803)))</f>
        <v/>
      </c>
      <c r="X133" s="8" t="str">
        <f>IF($B133="","",IF(COUNTIF('Competency Event Log'!$U$4:$U$803,$B133&amp;"|"&amp;X$5)=0,"",SUMIF('Competency Event Log'!$U$4:$U$803,$B133&amp;"|"&amp;X$5,'Competency Event Log'!$D$4:$D$803)))</f>
        <v/>
      </c>
      <c r="Y133" s="8" t="str">
        <f>IF($B133="","",IF(COUNTIF('Competency Event Log'!$U$4:$U$803,$B133&amp;"|"&amp;Y$5)=0,"",SUMIF('Competency Event Log'!$U$4:$U$803,$B133&amp;"|"&amp;Y$5,'Competency Event Log'!$D$4:$D$803)))</f>
        <v/>
      </c>
      <c r="Z133" s="8" t="str">
        <f>IF($B133="","",IF(COUNTIF('Competency Event Log'!$U$4:$U$803,$B133&amp;"|"&amp;Z$5)=0,"",SUMIF('Competency Event Log'!$U$4:$U$803,$B133&amp;"|"&amp;Z$5,'Competency Event Log'!$D$4:$D$803)))</f>
        <v/>
      </c>
      <c r="AA133" s="8" t="str">
        <f>IF($B133="","",IF(COUNTIF('Competency Event Log'!$U$4:$U$803,$B133&amp;"|"&amp;AA$5)=0,"",SUMIF('Competency Event Log'!$U$4:$U$803,$B133&amp;"|"&amp;AA$5,'Competency Event Log'!$D$4:$D$803)))</f>
        <v/>
      </c>
      <c r="AB133" s="8" t="str">
        <f>IF($B133="","",IF(COUNTIF('Competency Event Log'!$U$4:$U$803,$B133&amp;"|"&amp;AB$5)=0,"",SUMIF('Competency Event Log'!$U$4:$U$803,$B133&amp;"|"&amp;AB$5,'Competency Event Log'!$D$4:$D$803)))</f>
        <v/>
      </c>
      <c r="AC133" s="8" t="str">
        <f>IF($B133="","",IF(COUNTIF('Competency Event Log'!$U$4:$U$803,$B133&amp;"|"&amp;AC$5)=0,"",SUMIF('Competency Event Log'!$U$4:$U$803,$B133&amp;"|"&amp;AC$5,'Competency Event Log'!$D$4:$D$803)))</f>
        <v/>
      </c>
      <c r="AD133" s="8" t="str">
        <f>IF($B133="","",IF(COUNTIF('Competency Event Log'!$U$4:$U$803,$B133&amp;"|"&amp;AD$5)=0,"",SUMIF('Competency Event Log'!$U$4:$U$803,$B133&amp;"|"&amp;AD$5,'Competency Event Log'!$D$4:$D$803)))</f>
        <v/>
      </c>
      <c r="AE133" s="8" t="str">
        <f>IF($B133="","",IF(COUNTIF('Competency Event Log'!$U$4:$U$803,$B133&amp;"|"&amp;AE$5)=0,"",SUMIF('Competency Event Log'!$U$4:$U$803,$B133&amp;"|"&amp;AE$5,'Competency Event Log'!$D$4:$D$803)))</f>
        <v/>
      </c>
      <c r="AF133" s="8" t="str">
        <f>IF($B133="","",IF(COUNTIF('Competency Event Log'!$U$4:$U$803,$B133&amp;"|"&amp;AF$5)=0,"",SUMIF('Competency Event Log'!$U$4:$U$803,$B133&amp;"|"&amp;AF$5,'Competency Event Log'!$D$4:$D$803)))</f>
        <v/>
      </c>
      <c r="AG133" s="8" t="str">
        <f>IF($B133="","",IF(COUNTIF('Competency Event Log'!$U$4:$U$803,$B133&amp;"|"&amp;AG$5)=0,"",SUMIF('Competency Event Log'!$U$4:$U$803,$B133&amp;"|"&amp;AG$5,'Competency Event Log'!$D$4:$D$803)))</f>
        <v/>
      </c>
      <c r="AH133" s="8" t="str">
        <f>IF($B133="","",IF(COUNTIF('Competency Event Log'!$U$4:$U$803,$B133&amp;"|"&amp;AH$5)=0,"",SUMIF('Competency Event Log'!$U$4:$U$803,$B133&amp;"|"&amp;AH$5,'Competency Event Log'!$D$4:$D$803)))</f>
        <v/>
      </c>
      <c r="AI133" s="8" t="str">
        <f>IF($B133="","",IF(COUNTIF('Competency Event Log'!$U$4:$U$803,$B133&amp;"|"&amp;AI$5)=0,"",SUMIF('Competency Event Log'!$U$4:$U$803,$B133&amp;"|"&amp;AI$5,'Competency Event Log'!$D$4:$D$803)))</f>
        <v/>
      </c>
      <c r="AJ133" s="8" t="str">
        <f>IF($B133="","",IF(COUNTIF('Competency Event Log'!$U$4:$U$803,$B133&amp;"|"&amp;AJ$5)=0,"",SUMIF('Competency Event Log'!$U$4:$U$803,$B133&amp;"|"&amp;AJ$5,'Competency Event Log'!$D$4:$D$803)))</f>
        <v/>
      </c>
      <c r="AK133" s="8" t="str">
        <f>IF($B133="","",IF(COUNTIF('Competency Event Log'!$U$4:$U$803,$B133&amp;"|"&amp;AK$5)=0,"",SUMIF('Competency Event Log'!$U$4:$U$803,$B133&amp;"|"&amp;AK$5,'Competency Event Log'!$D$4:$D$803)))</f>
        <v/>
      </c>
      <c r="AL133" s="8" t="str">
        <f>IF($B133="","",IF(COUNTIF('Competency Event Log'!$U$4:$U$803,$B133&amp;"|"&amp;AL$5)=0,"",SUMIF('Competency Event Log'!$U$4:$U$803,$B133&amp;"|"&amp;AL$5,'Competency Event Log'!$D$4:$D$803)))</f>
        <v/>
      </c>
      <c r="AM133" s="8" t="str">
        <f>IF($B133="","",IF(COUNTIF('Competency Event Log'!$U$4:$U$803,$B133&amp;"|"&amp;AM$5)=0,"",SUMIF('Competency Event Log'!$U$4:$U$803,$B133&amp;"|"&amp;AM$5,'Competency Event Log'!$D$4:$D$803)))</f>
        <v/>
      </c>
      <c r="AN133" s="8" t="str">
        <f>IF($B133="","",IF(COUNTIF('Competency Event Log'!$U$4:$U$803,$B133&amp;"|"&amp;AN$5)=0,"",SUMIF('Competency Event Log'!$U$4:$U$803,$B133&amp;"|"&amp;AN$5,'Competency Event Log'!$D$4:$D$803)))</f>
        <v/>
      </c>
      <c r="AO133" s="8" t="str">
        <f>IF($B133="","",IF(COUNTIF('Competency Event Log'!$U$4:$U$803,$B133&amp;"|"&amp;AO$5)=0,"",SUMIF('Competency Event Log'!$U$4:$U$803,$B133&amp;"|"&amp;AO$5,'Competency Event Log'!$D$4:$D$803)))</f>
        <v/>
      </c>
      <c r="AP133" s="8" t="str">
        <f>IF($B133="","",IF(COUNTIF('Competency Event Log'!$U$4:$U$803,$B133&amp;"|"&amp;AP$5)=0,"",SUMIF('Competency Event Log'!$U$4:$U$803,$B133&amp;"|"&amp;AP$5,'Competency Event Log'!$D$4:$D$803)))</f>
        <v/>
      </c>
      <c r="AQ133" s="8" t="str">
        <f>IF($B133="","",IF(COUNTIF('Competency Event Log'!$U$4:$U$803,$B133&amp;"|"&amp;AQ$5)=0,"",SUMIF('Competency Event Log'!$U$4:$U$803,$B133&amp;"|"&amp;AQ$5,'Competency Event Log'!$D$4:$D$803)))</f>
        <v/>
      </c>
      <c r="AR133" s="8" t="str">
        <f>IF($B133="","",IF(COUNTIF('Competency Event Log'!$U$4:$U$803,$B133&amp;"|"&amp;AR$5)=0,"",SUMIF('Competency Event Log'!$U$4:$U$803,$B133&amp;"|"&amp;AR$5,'Competency Event Log'!$D$4:$D$803)))</f>
        <v/>
      </c>
      <c r="AS133" s="8" t="str">
        <f>IF($B133="","",IF(COUNTIF('Competency Event Log'!$U$4:$U$803,$B133&amp;"|"&amp;AS$5)=0,"",SUMIF('Competency Event Log'!$U$4:$U$803,$B133&amp;"|"&amp;AS$5,'Competency Event Log'!$D$4:$D$803)))</f>
        <v/>
      </c>
      <c r="AT133" s="8" t="str">
        <f>IF($B133="","",IF(COUNTIF('Competency Event Log'!$U$4:$U$803,$B133&amp;"|"&amp;AT$5)=0,"",SUMIF('Competency Event Log'!$U$4:$U$803,$B133&amp;"|"&amp;AT$5,'Competency Event Log'!$D$4:$D$803)))</f>
        <v/>
      </c>
      <c r="AU133" s="8" t="str">
        <f>IF($B133="","",IF(COUNTIF('Competency Event Log'!$U$4:$U$803,$B133&amp;"|"&amp;AU$5)=0,"",SUMIF('Competency Event Log'!$U$4:$U$803,$B133&amp;"|"&amp;AU$5,'Competency Event Log'!$D$4:$D$803)))</f>
        <v/>
      </c>
      <c r="AV133" s="8" t="str">
        <f>IF($B133="","",IF(COUNTIF('Competency Event Log'!$U$4:$U$803,$B133&amp;"|"&amp;AV$5)=0,"",SUMIF('Competency Event Log'!$U$4:$U$803,$B133&amp;"|"&amp;AV$5,'Competency Event Log'!$D$4:$D$803)))</f>
        <v/>
      </c>
      <c r="AW133" s="8" t="str">
        <f>IF($B133="","",IF(COUNTIF('Competency Event Log'!$U$4:$U$803,$B133&amp;"|"&amp;AW$5)=0,"",SUMIF('Competency Event Log'!$U$4:$U$803,$B133&amp;"|"&amp;AW$5,'Competency Event Log'!$D$4:$D$803)))</f>
        <v/>
      </c>
      <c r="AX133" s="8" t="str">
        <f>IF($B133="","",IF(COUNTIF('Competency Event Log'!$U$4:$U$803,$B133&amp;"|"&amp;AX$5)=0,"",SUMIF('Competency Event Log'!$U$4:$U$803,$B133&amp;"|"&amp;AX$5,'Competency Event Log'!$D$4:$D$803)))</f>
        <v/>
      </c>
      <c r="AY133" s="8" t="str">
        <f>IF($B133="","",IF(COUNTIF('Competency Event Log'!$U$4:$U$803,$B133&amp;"|"&amp;AY$5)=0,"",SUMIF('Competency Event Log'!$U$4:$U$803,$B133&amp;"|"&amp;AY$5,'Competency Event Log'!$D$4:$D$803)))</f>
        <v/>
      </c>
      <c r="AZ133" s="8" t="str">
        <f>IF($B133="","",IF(COUNTIF('Competency Event Log'!$U$4:$U$803,$B133&amp;"|"&amp;AZ$5)=0,"",SUMIF('Competency Event Log'!$U$4:$U$803,$B133&amp;"|"&amp;AZ$5,'Competency Event Log'!$D$4:$D$803)))</f>
        <v/>
      </c>
      <c r="BA133" s="8" t="str">
        <f>IF($B133="","",IF(COUNTIF('Competency Event Log'!$U$4:$U$803,$B133&amp;"|"&amp;BA$5)=0,"",SUMIF('Competency Event Log'!$U$4:$U$803,$B133&amp;"|"&amp;BA$5,'Competency Event Log'!$D$4:$D$803)))</f>
        <v/>
      </c>
      <c r="BB133" s="8" t="str">
        <f>IF($B133="","",IF(COUNTIF('Competency Event Log'!$U$4:$U$803,$B133&amp;"|"&amp;BB$5)=0,"",SUMIF('Competency Event Log'!$U$4:$U$803,$B133&amp;"|"&amp;BB$5,'Competency Event Log'!$D$4:$D$803)))</f>
        <v/>
      </c>
      <c r="BC133" s="8" t="str">
        <f>IF($B133="","",IF(COUNTIF('Competency Event Log'!$U$4:$U$803,$B133&amp;"|"&amp;BC$5)=0,"",SUMIF('Competency Event Log'!$U$4:$U$803,$B133&amp;"|"&amp;BC$5,'Competency Event Log'!$D$4:$D$803)))</f>
        <v/>
      </c>
      <c r="BD133" s="8" t="str">
        <f>IF($B133="","",IF(COUNTIF('Competency Event Log'!$U$4:$U$803,$B133&amp;"|"&amp;BD$5)=0,"",SUMIF('Competency Event Log'!$U$4:$U$803,$B133&amp;"|"&amp;BD$5,'Competency Event Log'!$D$4:$D$803)))</f>
        <v/>
      </c>
      <c r="BE133" s="8" t="str">
        <f>IF($B133="","",IF(COUNTIF('Competency Event Log'!$U$4:$U$803,$B133&amp;"|"&amp;BE$5)=0,"",SUMIF('Competency Event Log'!$U$4:$U$803,$B133&amp;"|"&amp;BE$5,'Competency Event Log'!$D$4:$D$803)))</f>
        <v/>
      </c>
      <c r="BF133" s="8" t="str">
        <f>IF($B133="","",IF(COUNTIF('Competency Event Log'!$U$4:$U$803,$B133&amp;"|"&amp;BF$5)=0,"",SUMIF('Competency Event Log'!$U$4:$U$803,$B133&amp;"|"&amp;BF$5,'Competency Event Log'!$D$4:$D$803)))</f>
        <v/>
      </c>
      <c r="BG133" s="8" t="str">
        <f>IF($B133="","",IF(COUNTIF('Competency Event Log'!$U$4:$U$803,$B133&amp;"|"&amp;BG$5)=0,"",SUMIF('Competency Event Log'!$U$4:$U$803,$B133&amp;"|"&amp;BG$5,'Competency Event Log'!$D$4:$D$803)))</f>
        <v/>
      </c>
      <c r="BH133" s="8" t="str">
        <f>IF($B133="","",IF(COUNTIF('Competency Event Log'!$U$4:$U$803,$B133&amp;"|"&amp;BH$5)=0,"",SUMIF('Competency Event Log'!$U$4:$U$803,$B133&amp;"|"&amp;BH$5,'Competency Event Log'!$D$4:$D$803)))</f>
        <v/>
      </c>
      <c r="BI133" s="8" t="str">
        <f>IF($B133="","",IF(COUNTIF('Competency Event Log'!$U$4:$U$803,$B133&amp;"|"&amp;BI$5)=0,"",SUMIF('Competency Event Log'!$U$4:$U$803,$B133&amp;"|"&amp;BI$5,'Competency Event Log'!$D$4:$D$803)))</f>
        <v/>
      </c>
      <c r="BJ133" s="8" t="str">
        <f>IF($B133="","",IF(COUNTIF('Competency Event Log'!$U$4:$U$803,$B133&amp;"|"&amp;BJ$5)=0,"",SUMIF('Competency Event Log'!$U$4:$U$803,$B133&amp;"|"&amp;BJ$5,'Competency Event Log'!$D$4:$D$803)))</f>
        <v/>
      </c>
      <c r="BK133" s="8" t="str">
        <f>IF($B133="","",IF(COUNTIF('Competency Event Log'!$U$4:$U$803,$B133&amp;"|"&amp;BK$5)=0,"",SUMIF('Competency Event Log'!$U$4:$U$803,$B133&amp;"|"&amp;BK$5,'Competency Event Log'!$D$4:$D$803)))</f>
        <v/>
      </c>
      <c r="BL133" s="8" t="str">
        <f>IF($B133="","",IF(COUNTIF('Competency Event Log'!$U$4:$U$803,$B133&amp;"|"&amp;BL$5)=0,"",SUMIF('Competency Event Log'!$U$4:$U$803,$B133&amp;"|"&amp;BL$5,'Competency Event Log'!$D$4:$D$803)))</f>
        <v/>
      </c>
      <c r="BM133" s="8" t="str">
        <f>IF($B133="","",IF(COUNTIF('Competency Event Log'!$U$4:$U$803,$B133&amp;"|"&amp;BM$5)=0,"",SUMIF('Competency Event Log'!$U$4:$U$803,$B133&amp;"|"&amp;BM$5,'Competency Event Log'!$D$4:$D$803)))</f>
        <v/>
      </c>
      <c r="BN133" s="8" t="str">
        <f>IF($B133="","",IF(COUNTIF('Competency Event Log'!$U$4:$U$803,$B133&amp;"|"&amp;BN$5)=0,"",SUMIF('Competency Event Log'!$U$4:$U$803,$B133&amp;"|"&amp;BN$5,'Competency Event Log'!$D$4:$D$803)))</f>
        <v/>
      </c>
      <c r="BO133" s="8" t="str">
        <f>IF($B133="","",IF(COUNTIF('Competency Event Log'!$U$4:$U$803,$B133&amp;"|"&amp;BO$5)=0,"",SUMIF('Competency Event Log'!$U$4:$U$803,$B133&amp;"|"&amp;BO$5,'Competency Event Log'!$D$4:$D$803)))</f>
        <v/>
      </c>
      <c r="BP133" s="8" t="str">
        <f>IF($B133="","",IF(COUNTIF('Competency Event Log'!$U$4:$U$803,$B133&amp;"|"&amp;BP$5)=0,"",SUMIF('Competency Event Log'!$U$4:$U$803,$B133&amp;"|"&amp;BP$5,'Competency Event Log'!$D$4:$D$803)))</f>
        <v/>
      </c>
      <c r="BQ133" s="8" t="str">
        <f>IF($B133="","",IF(COUNTIF('Competency Event Log'!$U$4:$U$803,$B133&amp;"|"&amp;BQ$5)=0,"",SUMIF('Competency Event Log'!$U$4:$U$803,$B133&amp;"|"&amp;BQ$5,'Competency Event Log'!$D$4:$D$803)))</f>
        <v/>
      </c>
      <c r="BR133" s="8" t="str">
        <f>IF($B133="","",IF(COUNTIF('Competency Event Log'!$U$4:$U$803,$B133&amp;"|"&amp;BR$5)=0,"",SUMIF('Competency Event Log'!$U$4:$U$803,$B133&amp;"|"&amp;BR$5,'Competency Event Log'!$D$4:$D$803)))</f>
        <v/>
      </c>
      <c r="BS133" s="8" t="str">
        <f>IF($B133="","",IF(COUNTIF('Competency Event Log'!$U$4:$U$803,$B133&amp;"|"&amp;BS$5)=0,"",SUMIF('Competency Event Log'!$U$4:$U$803,$B133&amp;"|"&amp;BS$5,'Competency Event Log'!$D$4:$D$803)))</f>
        <v/>
      </c>
      <c r="BT133" s="8" t="str">
        <f>IF($B133="","",IF(COUNTIF('Competency Event Log'!$U$4:$U$803,$B133&amp;"|"&amp;BT$5)=0,"",SUMIF('Competency Event Log'!$U$4:$U$803,$B133&amp;"|"&amp;BT$5,'Competency Event Log'!$D$4:$D$803)))</f>
        <v/>
      </c>
      <c r="BU133" s="8" t="str">
        <f>IF($B133="","",IF(COUNTIF('Competency Event Log'!$U$4:$U$803,$B133&amp;"|"&amp;BU$5)=0,"",SUMIF('Competency Event Log'!$U$4:$U$803,$B133&amp;"|"&amp;BU$5,'Competency Event Log'!$D$4:$D$803)))</f>
        <v/>
      </c>
      <c r="BV133" s="8" t="str">
        <f>IF($B133="","",IF(COUNTIF('Competency Event Log'!$U$4:$U$803,$B133&amp;"|"&amp;BV$5)=0,"",SUMIF('Competency Event Log'!$U$4:$U$803,$B133&amp;"|"&amp;BV$5,'Competency Event Log'!$D$4:$D$803)))</f>
        <v/>
      </c>
      <c r="BW133" s="8" t="str">
        <f>IF($B133="","",IF(COUNTIF('Competency Event Log'!$U$4:$U$803,$B133&amp;"|"&amp;BW$5)=0,"",SUMIF('Competency Event Log'!$U$4:$U$803,$B133&amp;"|"&amp;BW$5,'Competency Event Log'!$D$4:$D$803)))</f>
        <v/>
      </c>
      <c r="BX133" s="8" t="str">
        <f>IF($B133="","",IF(COUNTIF('Competency Event Log'!$U$4:$U$803,$B133&amp;"|"&amp;BX$5)=0,"",SUMIF('Competency Event Log'!$U$4:$U$803,$B133&amp;"|"&amp;BX$5,'Competency Event Log'!$D$4:$D$803)))</f>
        <v/>
      </c>
      <c r="BY133" s="8" t="str">
        <f>IF($B133="","",IF(COUNTIF('Competency Event Log'!$U$4:$U$803,$B133&amp;"|"&amp;BY$5)=0,"",SUMIF('Competency Event Log'!$U$4:$U$803,$B133&amp;"|"&amp;BY$5,'Competency Event Log'!$D$4:$D$803)))</f>
        <v/>
      </c>
      <c r="BZ133" s="8" t="str">
        <f>IF($B133="","",IF(COUNTIF('Competency Event Log'!$U$4:$U$803,$B133&amp;"|"&amp;BZ$5)=0,"",SUMIF('Competency Event Log'!$U$4:$U$803,$B133&amp;"|"&amp;BZ$5,'Competency Event Log'!$D$4:$D$803)))</f>
        <v/>
      </c>
      <c r="CA133" s="8" t="str">
        <f>IF($B133="","",IF(COUNTIF('Competency Event Log'!$U$4:$U$803,$B133&amp;"|"&amp;CA$5)=0,"",SUMIF('Competency Event Log'!$U$4:$U$803,$B133&amp;"|"&amp;CA$5,'Competency Event Log'!$D$4:$D$803)))</f>
        <v/>
      </c>
      <c r="CB133" s="8" t="str">
        <f>IF($B133="","",IF(COUNTIF('Competency Event Log'!$U$4:$U$803,$B133&amp;"|"&amp;CB$5)=0,"",SUMIF('Competency Event Log'!$U$4:$U$803,$B133&amp;"|"&amp;CB$5,'Competency Event Log'!$D$4:$D$803)))</f>
        <v/>
      </c>
      <c r="CC133" s="8" t="str">
        <f>IF($B133="","",IF(COUNTIF('Competency Event Log'!$U$4:$U$803,$B133&amp;"|"&amp;CC$5)=0,"",SUMIF('Competency Event Log'!$U$4:$U$803,$B133&amp;"|"&amp;CC$5,'Competency Event Log'!$D$4:$D$803)))</f>
        <v/>
      </c>
      <c r="CD133" s="8" t="str">
        <f>IF($B133="","",IF(COUNTIF('Competency Event Log'!$U$4:$U$803,$B133&amp;"|"&amp;CD$5)=0,"",SUMIF('Competency Event Log'!$U$4:$U$803,$B133&amp;"|"&amp;CD$5,'Competency Event Log'!$D$4:$D$803)))</f>
        <v/>
      </c>
      <c r="CE133" s="8" t="str">
        <f>IF($B133="","",IF(COUNTIF('Competency Event Log'!$U$4:$U$803,$B133&amp;"|"&amp;CE$5)=0,"",SUMIF('Competency Event Log'!$U$4:$U$803,$B133&amp;"|"&amp;CE$5,'Competency Event Log'!$D$4:$D$803)))</f>
        <v/>
      </c>
      <c r="CF133" s="8" t="str">
        <f>IF($B133="","",IF(COUNTIF('Competency Event Log'!$U$4:$U$803,$B133&amp;"|"&amp;CF$5)=0,"",SUMIF('Competency Event Log'!$U$4:$U$803,$B133&amp;"|"&amp;CF$5,'Competency Event Log'!$D$4:$D$803)))</f>
        <v/>
      </c>
      <c r="CG133" s="8" t="str">
        <f>IF($B133="","",IF(COUNTIF('Competency Event Log'!$U$4:$U$803,$B133&amp;"|"&amp;CG$5)=0,"",SUMIF('Competency Event Log'!$U$4:$U$803,$B133&amp;"|"&amp;CG$5,'Competency Event Log'!$D$4:$D$803)))</f>
        <v/>
      </c>
      <c r="CH133" s="8" t="str">
        <f>IF($B133="","",IF(COUNTIF('Competency Event Log'!$U$4:$U$803,$B133&amp;"|"&amp;CH$5)=0,"",SUMIF('Competency Event Log'!$U$4:$U$803,$B133&amp;"|"&amp;CH$5,'Competency Event Log'!$D$4:$D$803)))</f>
        <v/>
      </c>
      <c r="CI133" s="8" t="str">
        <f>IF($B133="","",IF(COUNTIF('Competency Event Log'!$U$4:$U$803,$B133&amp;"|"&amp;CI$5)=0,"",SUMIF('Competency Event Log'!$U$4:$U$803,$B133&amp;"|"&amp;CI$5,'Competency Event Log'!$D$4:$D$803)))</f>
        <v/>
      </c>
      <c r="CJ133" s="8" t="str">
        <f>IF($B133="","",IF(COUNTIF('Competency Event Log'!$U$4:$U$803,$B133&amp;"|"&amp;CJ$5)=0,"",SUMIF('Competency Event Log'!$U$4:$U$803,$B133&amp;"|"&amp;CJ$5,'Competency Event Log'!$D$4:$D$803)))</f>
        <v/>
      </c>
      <c r="CK133" s="8" t="str">
        <f>IF($B133="","",IF(COUNTIF('Competency Event Log'!$U$4:$U$803,$B133&amp;"|"&amp;CK$5)=0,"",SUMIF('Competency Event Log'!$U$4:$U$803,$B133&amp;"|"&amp;CK$5,'Competency Event Log'!$D$4:$D$803)))</f>
        <v/>
      </c>
      <c r="CL133" s="8" t="str">
        <f>IF($B133="","",IF(COUNTIF('Competency Event Log'!$U$4:$U$803,$B133&amp;"|"&amp;CL$5)=0,"",SUMIF('Competency Event Log'!$U$4:$U$803,$B133&amp;"|"&amp;CL$5,'Competency Event Log'!$D$4:$D$803)))</f>
        <v/>
      </c>
      <c r="CM133" s="8" t="str">
        <f>IF($B133="","",IF(COUNTIF('Competency Event Log'!$U$4:$U$803,$B133&amp;"|"&amp;CM$5)=0,"",SUMIF('Competency Event Log'!$U$4:$U$803,$B133&amp;"|"&amp;CM$5,'Competency Event Log'!$D$4:$D$803)))</f>
        <v/>
      </c>
      <c r="CN133" s="8" t="str">
        <f>IF($B133="","",IF(COUNTIF('Competency Event Log'!$U$4:$U$803,$B133&amp;"|"&amp;CN$5)=0,"",SUMIF('Competency Event Log'!$U$4:$U$803,$B133&amp;"|"&amp;CN$5,'Competency Event Log'!$D$4:$D$803)))</f>
        <v/>
      </c>
      <c r="CO133" s="8" t="str">
        <f>IF($B133="","",IF(COUNTIF('Competency Event Log'!$U$4:$U$803,$B133&amp;"|"&amp;CO$5)=0,"",SUMIF('Competency Event Log'!$U$4:$U$803,$B133&amp;"|"&amp;CO$5,'Competency Event Log'!$D$4:$D$803)))</f>
        <v/>
      </c>
      <c r="CP133" s="8" t="str">
        <f>IF($B133="","",IF(COUNTIF('Competency Event Log'!$U$4:$U$803,$B133&amp;"|"&amp;CP$5)=0,"",SUMIF('Competency Event Log'!$U$4:$U$803,$B133&amp;"|"&amp;CP$5,'Competency Event Log'!$D$4:$D$803)))</f>
        <v/>
      </c>
      <c r="CQ133" s="8" t="str">
        <f>IF($B133="","",IF(COUNTIF('Competency Event Log'!$U$4:$U$803,$B133&amp;"|"&amp;CQ$5)=0,"",SUMIF('Competency Event Log'!$U$4:$U$803,$B133&amp;"|"&amp;CQ$5,'Competency Event Log'!$D$4:$D$803)))</f>
        <v/>
      </c>
      <c r="CR133" s="8" t="str">
        <f>IF($B133="","",IF(COUNTIF('Competency Event Log'!$U$4:$U$803,$B133&amp;"|"&amp;CR$5)=0,"",SUMIF('Competency Event Log'!$U$4:$U$803,$B133&amp;"|"&amp;CR$5,'Competency Event Log'!$D$4:$D$803)))</f>
        <v/>
      </c>
      <c r="CS133" s="8" t="str">
        <f>IF($B133="","",IF(COUNTIF('Competency Event Log'!$U$4:$U$803,$B133&amp;"|"&amp;CS$5)=0,"",SUMIF('Competency Event Log'!$U$4:$U$803,$B133&amp;"|"&amp;CS$5,'Competency Event Log'!$D$4:$D$803)))</f>
        <v/>
      </c>
      <c r="CT133" s="8" t="str">
        <f>IF($B133="","",IF(COUNTIF('Competency Event Log'!$U$4:$U$803,$B133&amp;"|"&amp;CT$5)=0,"",SUMIF('Competency Event Log'!$U$4:$U$803,$B133&amp;"|"&amp;CT$5,'Competency Event Log'!$D$4:$D$803)))</f>
        <v/>
      </c>
      <c r="CU133" s="8" t="str">
        <f>IF($B133="","",IF(COUNTIF('Competency Event Log'!$U$4:$U$803,$B133&amp;"|"&amp;CU$5)=0,"",SUMIF('Competency Event Log'!$U$4:$U$803,$B133&amp;"|"&amp;CU$5,'Competency Event Log'!$D$4:$D$803)))</f>
        <v/>
      </c>
      <c r="CV133" s="8" t="str">
        <f>IF($B133="","",IF(COUNTIF('Competency Event Log'!$U$4:$U$803,$B133&amp;"|"&amp;CV$5)=0,"",SUMIF('Competency Event Log'!$U$4:$U$803,$B133&amp;"|"&amp;CV$5,'Competency Event Log'!$D$4:$D$803)))</f>
        <v/>
      </c>
      <c r="CW133" s="8" t="str">
        <f>IF($B133="","",IF(COUNTIF('Competency Event Log'!$U$4:$U$803,$B133&amp;"|"&amp;CW$5)=0,"",SUMIF('Competency Event Log'!$U$4:$U$803,$B133&amp;"|"&amp;CW$5,'Competency Event Log'!$D$4:$D$803)))</f>
        <v/>
      </c>
      <c r="CX133" s="8" t="str">
        <f>IF($B133="","",IF(COUNTIF('Competency Event Log'!$U$4:$U$803,$B133&amp;"|"&amp;CX$5)=0,"",SUMIF('Competency Event Log'!$U$4:$U$803,$B133&amp;"|"&amp;CX$5,'Competency Event Log'!$D$4:$D$803)))</f>
        <v/>
      </c>
      <c r="CY133" s="8" t="str">
        <f>IF($B133="","",IF(COUNTIF('Competency Event Log'!$U$4:$U$803,$B133&amp;"|"&amp;CY$5)=0,"",SUMIF('Competency Event Log'!$U$4:$U$803,$B133&amp;"|"&amp;CY$5,'Competency Event Log'!$D$4:$D$803)))</f>
        <v/>
      </c>
      <c r="CZ133" s="8" t="str">
        <f>IF($B133="","",IF(COUNTIF('Competency Event Log'!$U$4:$U$803,$B133&amp;"|"&amp;CZ$5)=0,"",SUMIF('Competency Event Log'!$U$4:$U$803,$B133&amp;"|"&amp;CZ$5,'Competency Event Log'!$D$4:$D$803)))</f>
        <v/>
      </c>
      <c r="DA133" s="8" t="str">
        <f>IF($B133="","",IF(COUNTIF('Competency Event Log'!$U$4:$U$803,$B133&amp;"|"&amp;DA$5)=0,"",SUMIF('Competency Event Log'!$U$4:$U$803,$B133&amp;"|"&amp;DA$5,'Competency Event Log'!$D$4:$D$803)))</f>
        <v/>
      </c>
      <c r="DB133" s="8" t="str">
        <f>IF($B133="","",IF(COUNTIF('Competency Event Log'!$U$4:$U$803,$B133&amp;"|"&amp;DB$5)=0,"",SUMIF('Competency Event Log'!$U$4:$U$803,$B133&amp;"|"&amp;DB$5,'Competency Event Log'!$D$4:$D$803)))</f>
        <v/>
      </c>
      <c r="DC133" s="8" t="str">
        <f>IF($B133="","",IF(COUNTIF('Competency Event Log'!$U$4:$U$803,$B133&amp;"|"&amp;DC$5)=0,"",SUMIF('Competency Event Log'!$U$4:$U$803,$B133&amp;"|"&amp;DC$5,'Competency Event Log'!$D$4:$D$803)))</f>
        <v/>
      </c>
      <c r="DD133" s="8" t="str">
        <f>IF($B133="","",IF(COUNTIF('Competency Event Log'!$U$4:$U$803,$B133&amp;"|"&amp;DD$5)=0,"",SUMIF('Competency Event Log'!$U$4:$U$803,$B133&amp;"|"&amp;DD$5,'Competency Event Log'!$D$4:$D$803)))</f>
        <v/>
      </c>
      <c r="DE133" s="8" t="str">
        <f>IF($B133="","",IF(COUNTIF('Competency Event Log'!$U$4:$U$803,$B133&amp;"|"&amp;DE$5)=0,"",SUMIF('Competency Event Log'!$U$4:$U$803,$B133&amp;"|"&amp;DE$5,'Competency Event Log'!$D$4:$D$803)))</f>
        <v/>
      </c>
      <c r="DF133" s="8" t="str">
        <f t="shared" si="12"/>
        <v/>
      </c>
      <c r="DG133" s="8" t="str">
        <f t="shared" si="13"/>
        <v/>
      </c>
      <c r="DH133" s="8" t="str">
        <f t="shared" si="14"/>
        <v/>
      </c>
      <c r="DI133" s="11" t="str">
        <f t="shared" si="15"/>
        <v/>
      </c>
    </row>
    <row r="134" spans="1:113">
      <c r="A134" s="7"/>
      <c r="B134" s="7"/>
      <c r="C134" s="8"/>
      <c r="D134" s="9"/>
      <c r="E134" s="10"/>
      <c r="F134" s="8"/>
      <c r="G134" s="8" t="str">
        <f>IF($B134="","",IF(COUNTIF('Competency Event Log'!$U$4:$U$803,$B134&amp;"|"&amp;G$5)=0,"",SUMIF('Competency Event Log'!$U$4:$U$803,$B134&amp;"|"&amp;G$5,'Competency Event Log'!$D$4:$D$803)))</f>
        <v/>
      </c>
      <c r="H134" s="8" t="str">
        <f>IF($B134="","",IF(COUNTIF('Competency Event Log'!$U$4:$U$803,$B134&amp;"|"&amp;H$5)=0,"",SUMIF('Competency Event Log'!$U$4:$U$803,$B134&amp;"|"&amp;H$5,'Competency Event Log'!$D$4:$D$803)))</f>
        <v/>
      </c>
      <c r="I134" s="8" t="str">
        <f>IF($B134="","",IF(COUNTIF('Competency Event Log'!$U$4:$U$803,$B134&amp;"|"&amp;I$5)=0,"",SUMIF('Competency Event Log'!$U$4:$U$803,$B134&amp;"|"&amp;I$5,'Competency Event Log'!$D$4:$D$803)))</f>
        <v/>
      </c>
      <c r="J134" s="8" t="str">
        <f>IF($B134="","",IF(COUNTIF('Competency Event Log'!$U$4:$U$803,$B134&amp;"|"&amp;J$5)=0,"",SUMIF('Competency Event Log'!$U$4:$U$803,$B134&amp;"|"&amp;J$5,'Competency Event Log'!$D$4:$D$803)))</f>
        <v/>
      </c>
      <c r="K134" s="8" t="str">
        <f>IF($B134="","",IF(COUNTIF('Competency Event Log'!$U$4:$U$803,$B134&amp;"|"&amp;K$5)=0,"",SUMIF('Competency Event Log'!$U$4:$U$803,$B134&amp;"|"&amp;K$5,'Competency Event Log'!$D$4:$D$803)))</f>
        <v/>
      </c>
      <c r="L134" s="8" t="str">
        <f>IF($B134="","",IF(COUNTIF('Competency Event Log'!$U$4:$U$803,$B134&amp;"|"&amp;L$5)=0,"",SUMIF('Competency Event Log'!$U$4:$U$803,$B134&amp;"|"&amp;L$5,'Competency Event Log'!$D$4:$D$803)))</f>
        <v/>
      </c>
      <c r="M134" s="8" t="str">
        <f>IF($B134="","",IF(COUNTIF('Competency Event Log'!$U$4:$U$803,$B134&amp;"|"&amp;M$5)=0,"",SUMIF('Competency Event Log'!$U$4:$U$803,$B134&amp;"|"&amp;M$5,'Competency Event Log'!$D$4:$D$803)))</f>
        <v/>
      </c>
      <c r="N134" s="8" t="str">
        <f>IF($B134="","",IF(COUNTIF('Competency Event Log'!$U$4:$U$803,$B134&amp;"|"&amp;N$5)=0,"",SUMIF('Competency Event Log'!$U$4:$U$803,$B134&amp;"|"&amp;N$5,'Competency Event Log'!$D$4:$D$803)))</f>
        <v/>
      </c>
      <c r="O134" s="8" t="str">
        <f>IF($B134="","",IF(COUNTIF('Competency Event Log'!$U$4:$U$803,$B134&amp;"|"&amp;O$5)=0,"",SUMIF('Competency Event Log'!$U$4:$U$803,$B134&amp;"|"&amp;O$5,'Competency Event Log'!$D$4:$D$803)))</f>
        <v/>
      </c>
      <c r="P134" s="8" t="str">
        <f>IF($B134="","",IF(COUNTIF('Competency Event Log'!$U$4:$U$803,$B134&amp;"|"&amp;P$5)=0,"",SUMIF('Competency Event Log'!$U$4:$U$803,$B134&amp;"|"&amp;P$5,'Competency Event Log'!$D$4:$D$803)))</f>
        <v/>
      </c>
      <c r="Q134" s="8" t="str">
        <f>IF($B134="","",IF(COUNTIF('Competency Event Log'!$U$4:$U$803,$B134&amp;"|"&amp;Q$5)=0,"",SUMIF('Competency Event Log'!$U$4:$U$803,$B134&amp;"|"&amp;Q$5,'Competency Event Log'!$D$4:$D$803)))</f>
        <v/>
      </c>
      <c r="R134" s="8" t="str">
        <f>IF($B134="","",IF(COUNTIF('Competency Event Log'!$U$4:$U$803,$B134&amp;"|"&amp;R$5)=0,"",SUMIF('Competency Event Log'!$U$4:$U$803,$B134&amp;"|"&amp;R$5,'Competency Event Log'!$D$4:$D$803)))</f>
        <v/>
      </c>
      <c r="S134" s="8" t="str">
        <f>IF($B134="","",IF(COUNTIF('Competency Event Log'!$U$4:$U$803,$B134&amp;"|"&amp;S$5)=0,"",SUMIF('Competency Event Log'!$U$4:$U$803,$B134&amp;"|"&amp;S$5,'Competency Event Log'!$D$4:$D$803)))</f>
        <v/>
      </c>
      <c r="T134" s="8" t="str">
        <f>IF($B134="","",IF(COUNTIF('Competency Event Log'!$U$4:$U$803,$B134&amp;"|"&amp;T$5)=0,"",SUMIF('Competency Event Log'!$U$4:$U$803,$B134&amp;"|"&amp;T$5,'Competency Event Log'!$D$4:$D$803)))</f>
        <v/>
      </c>
      <c r="U134" s="8" t="str">
        <f>IF($B134="","",IF(COUNTIF('Competency Event Log'!$U$4:$U$803,$B134&amp;"|"&amp;U$5)=0,"",SUMIF('Competency Event Log'!$U$4:$U$803,$B134&amp;"|"&amp;U$5,'Competency Event Log'!$D$4:$D$803)))</f>
        <v/>
      </c>
      <c r="V134" s="8" t="str">
        <f>IF($B134="","",IF(COUNTIF('Competency Event Log'!$U$4:$U$803,$B134&amp;"|"&amp;V$5)=0,"",SUMIF('Competency Event Log'!$U$4:$U$803,$B134&amp;"|"&amp;V$5,'Competency Event Log'!$D$4:$D$803)))</f>
        <v/>
      </c>
      <c r="W134" s="8" t="str">
        <f>IF($B134="","",IF(COUNTIF('Competency Event Log'!$U$4:$U$803,$B134&amp;"|"&amp;W$5)=0,"",SUMIF('Competency Event Log'!$U$4:$U$803,$B134&amp;"|"&amp;W$5,'Competency Event Log'!$D$4:$D$803)))</f>
        <v/>
      </c>
      <c r="X134" s="8" t="str">
        <f>IF($B134="","",IF(COUNTIF('Competency Event Log'!$U$4:$U$803,$B134&amp;"|"&amp;X$5)=0,"",SUMIF('Competency Event Log'!$U$4:$U$803,$B134&amp;"|"&amp;X$5,'Competency Event Log'!$D$4:$D$803)))</f>
        <v/>
      </c>
      <c r="Y134" s="8" t="str">
        <f>IF($B134="","",IF(COUNTIF('Competency Event Log'!$U$4:$U$803,$B134&amp;"|"&amp;Y$5)=0,"",SUMIF('Competency Event Log'!$U$4:$U$803,$B134&amp;"|"&amp;Y$5,'Competency Event Log'!$D$4:$D$803)))</f>
        <v/>
      </c>
      <c r="Z134" s="8" t="str">
        <f>IF($B134="","",IF(COUNTIF('Competency Event Log'!$U$4:$U$803,$B134&amp;"|"&amp;Z$5)=0,"",SUMIF('Competency Event Log'!$U$4:$U$803,$B134&amp;"|"&amp;Z$5,'Competency Event Log'!$D$4:$D$803)))</f>
        <v/>
      </c>
      <c r="AA134" s="8" t="str">
        <f>IF($B134="","",IF(COUNTIF('Competency Event Log'!$U$4:$U$803,$B134&amp;"|"&amp;AA$5)=0,"",SUMIF('Competency Event Log'!$U$4:$U$803,$B134&amp;"|"&amp;AA$5,'Competency Event Log'!$D$4:$D$803)))</f>
        <v/>
      </c>
      <c r="AB134" s="8" t="str">
        <f>IF($B134="","",IF(COUNTIF('Competency Event Log'!$U$4:$U$803,$B134&amp;"|"&amp;AB$5)=0,"",SUMIF('Competency Event Log'!$U$4:$U$803,$B134&amp;"|"&amp;AB$5,'Competency Event Log'!$D$4:$D$803)))</f>
        <v/>
      </c>
      <c r="AC134" s="8" t="str">
        <f>IF($B134="","",IF(COUNTIF('Competency Event Log'!$U$4:$U$803,$B134&amp;"|"&amp;AC$5)=0,"",SUMIF('Competency Event Log'!$U$4:$U$803,$B134&amp;"|"&amp;AC$5,'Competency Event Log'!$D$4:$D$803)))</f>
        <v/>
      </c>
      <c r="AD134" s="8" t="str">
        <f>IF($B134="","",IF(COUNTIF('Competency Event Log'!$U$4:$U$803,$B134&amp;"|"&amp;AD$5)=0,"",SUMIF('Competency Event Log'!$U$4:$U$803,$B134&amp;"|"&amp;AD$5,'Competency Event Log'!$D$4:$D$803)))</f>
        <v/>
      </c>
      <c r="AE134" s="8" t="str">
        <f>IF($B134="","",IF(COUNTIF('Competency Event Log'!$U$4:$U$803,$B134&amp;"|"&amp;AE$5)=0,"",SUMIF('Competency Event Log'!$U$4:$U$803,$B134&amp;"|"&amp;AE$5,'Competency Event Log'!$D$4:$D$803)))</f>
        <v/>
      </c>
      <c r="AF134" s="8" t="str">
        <f>IF($B134="","",IF(COUNTIF('Competency Event Log'!$U$4:$U$803,$B134&amp;"|"&amp;AF$5)=0,"",SUMIF('Competency Event Log'!$U$4:$U$803,$B134&amp;"|"&amp;AF$5,'Competency Event Log'!$D$4:$D$803)))</f>
        <v/>
      </c>
      <c r="AG134" s="8" t="str">
        <f>IF($B134="","",IF(COUNTIF('Competency Event Log'!$U$4:$U$803,$B134&amp;"|"&amp;AG$5)=0,"",SUMIF('Competency Event Log'!$U$4:$U$803,$B134&amp;"|"&amp;AG$5,'Competency Event Log'!$D$4:$D$803)))</f>
        <v/>
      </c>
      <c r="AH134" s="8" t="str">
        <f>IF($B134="","",IF(COUNTIF('Competency Event Log'!$U$4:$U$803,$B134&amp;"|"&amp;AH$5)=0,"",SUMIF('Competency Event Log'!$U$4:$U$803,$B134&amp;"|"&amp;AH$5,'Competency Event Log'!$D$4:$D$803)))</f>
        <v/>
      </c>
      <c r="AI134" s="8" t="str">
        <f>IF($B134="","",IF(COUNTIF('Competency Event Log'!$U$4:$U$803,$B134&amp;"|"&amp;AI$5)=0,"",SUMIF('Competency Event Log'!$U$4:$U$803,$B134&amp;"|"&amp;AI$5,'Competency Event Log'!$D$4:$D$803)))</f>
        <v/>
      </c>
      <c r="AJ134" s="8" t="str">
        <f>IF($B134="","",IF(COUNTIF('Competency Event Log'!$U$4:$U$803,$B134&amp;"|"&amp;AJ$5)=0,"",SUMIF('Competency Event Log'!$U$4:$U$803,$B134&amp;"|"&amp;AJ$5,'Competency Event Log'!$D$4:$D$803)))</f>
        <v/>
      </c>
      <c r="AK134" s="8" t="str">
        <f>IF($B134="","",IF(COUNTIF('Competency Event Log'!$U$4:$U$803,$B134&amp;"|"&amp;AK$5)=0,"",SUMIF('Competency Event Log'!$U$4:$U$803,$B134&amp;"|"&amp;AK$5,'Competency Event Log'!$D$4:$D$803)))</f>
        <v/>
      </c>
      <c r="AL134" s="8" t="str">
        <f>IF($B134="","",IF(COUNTIF('Competency Event Log'!$U$4:$U$803,$B134&amp;"|"&amp;AL$5)=0,"",SUMIF('Competency Event Log'!$U$4:$U$803,$B134&amp;"|"&amp;AL$5,'Competency Event Log'!$D$4:$D$803)))</f>
        <v/>
      </c>
      <c r="AM134" s="8" t="str">
        <f>IF($B134="","",IF(COUNTIF('Competency Event Log'!$U$4:$U$803,$B134&amp;"|"&amp;AM$5)=0,"",SUMIF('Competency Event Log'!$U$4:$U$803,$B134&amp;"|"&amp;AM$5,'Competency Event Log'!$D$4:$D$803)))</f>
        <v/>
      </c>
      <c r="AN134" s="8" t="str">
        <f>IF($B134="","",IF(COUNTIF('Competency Event Log'!$U$4:$U$803,$B134&amp;"|"&amp;AN$5)=0,"",SUMIF('Competency Event Log'!$U$4:$U$803,$B134&amp;"|"&amp;AN$5,'Competency Event Log'!$D$4:$D$803)))</f>
        <v/>
      </c>
      <c r="AO134" s="8" t="str">
        <f>IF($B134="","",IF(COUNTIF('Competency Event Log'!$U$4:$U$803,$B134&amp;"|"&amp;AO$5)=0,"",SUMIF('Competency Event Log'!$U$4:$U$803,$B134&amp;"|"&amp;AO$5,'Competency Event Log'!$D$4:$D$803)))</f>
        <v/>
      </c>
      <c r="AP134" s="8" t="str">
        <f>IF($B134="","",IF(COUNTIF('Competency Event Log'!$U$4:$U$803,$B134&amp;"|"&amp;AP$5)=0,"",SUMIF('Competency Event Log'!$U$4:$U$803,$B134&amp;"|"&amp;AP$5,'Competency Event Log'!$D$4:$D$803)))</f>
        <v/>
      </c>
      <c r="AQ134" s="8" t="str">
        <f>IF($B134="","",IF(COUNTIF('Competency Event Log'!$U$4:$U$803,$B134&amp;"|"&amp;AQ$5)=0,"",SUMIF('Competency Event Log'!$U$4:$U$803,$B134&amp;"|"&amp;AQ$5,'Competency Event Log'!$D$4:$D$803)))</f>
        <v/>
      </c>
      <c r="AR134" s="8" t="str">
        <f>IF($B134="","",IF(COUNTIF('Competency Event Log'!$U$4:$U$803,$B134&amp;"|"&amp;AR$5)=0,"",SUMIF('Competency Event Log'!$U$4:$U$803,$B134&amp;"|"&amp;AR$5,'Competency Event Log'!$D$4:$D$803)))</f>
        <v/>
      </c>
      <c r="AS134" s="8" t="str">
        <f>IF($B134="","",IF(COUNTIF('Competency Event Log'!$U$4:$U$803,$B134&amp;"|"&amp;AS$5)=0,"",SUMIF('Competency Event Log'!$U$4:$U$803,$B134&amp;"|"&amp;AS$5,'Competency Event Log'!$D$4:$D$803)))</f>
        <v/>
      </c>
      <c r="AT134" s="8" t="str">
        <f>IF($B134="","",IF(COUNTIF('Competency Event Log'!$U$4:$U$803,$B134&amp;"|"&amp;AT$5)=0,"",SUMIF('Competency Event Log'!$U$4:$U$803,$B134&amp;"|"&amp;AT$5,'Competency Event Log'!$D$4:$D$803)))</f>
        <v/>
      </c>
      <c r="AU134" s="8" t="str">
        <f>IF($B134="","",IF(COUNTIF('Competency Event Log'!$U$4:$U$803,$B134&amp;"|"&amp;AU$5)=0,"",SUMIF('Competency Event Log'!$U$4:$U$803,$B134&amp;"|"&amp;AU$5,'Competency Event Log'!$D$4:$D$803)))</f>
        <v/>
      </c>
      <c r="AV134" s="8" t="str">
        <f>IF($B134="","",IF(COUNTIF('Competency Event Log'!$U$4:$U$803,$B134&amp;"|"&amp;AV$5)=0,"",SUMIF('Competency Event Log'!$U$4:$U$803,$B134&amp;"|"&amp;AV$5,'Competency Event Log'!$D$4:$D$803)))</f>
        <v/>
      </c>
      <c r="AW134" s="8" t="str">
        <f>IF($B134="","",IF(COUNTIF('Competency Event Log'!$U$4:$U$803,$B134&amp;"|"&amp;AW$5)=0,"",SUMIF('Competency Event Log'!$U$4:$U$803,$B134&amp;"|"&amp;AW$5,'Competency Event Log'!$D$4:$D$803)))</f>
        <v/>
      </c>
      <c r="AX134" s="8" t="str">
        <f>IF($B134="","",IF(COUNTIF('Competency Event Log'!$U$4:$U$803,$B134&amp;"|"&amp;AX$5)=0,"",SUMIF('Competency Event Log'!$U$4:$U$803,$B134&amp;"|"&amp;AX$5,'Competency Event Log'!$D$4:$D$803)))</f>
        <v/>
      </c>
      <c r="AY134" s="8" t="str">
        <f>IF($B134="","",IF(COUNTIF('Competency Event Log'!$U$4:$U$803,$B134&amp;"|"&amp;AY$5)=0,"",SUMIF('Competency Event Log'!$U$4:$U$803,$B134&amp;"|"&amp;AY$5,'Competency Event Log'!$D$4:$D$803)))</f>
        <v/>
      </c>
      <c r="AZ134" s="8" t="str">
        <f>IF($B134="","",IF(COUNTIF('Competency Event Log'!$U$4:$U$803,$B134&amp;"|"&amp;AZ$5)=0,"",SUMIF('Competency Event Log'!$U$4:$U$803,$B134&amp;"|"&amp;AZ$5,'Competency Event Log'!$D$4:$D$803)))</f>
        <v/>
      </c>
      <c r="BA134" s="8" t="str">
        <f>IF($B134="","",IF(COUNTIF('Competency Event Log'!$U$4:$U$803,$B134&amp;"|"&amp;BA$5)=0,"",SUMIF('Competency Event Log'!$U$4:$U$803,$B134&amp;"|"&amp;BA$5,'Competency Event Log'!$D$4:$D$803)))</f>
        <v/>
      </c>
      <c r="BB134" s="8" t="str">
        <f>IF($B134="","",IF(COUNTIF('Competency Event Log'!$U$4:$U$803,$B134&amp;"|"&amp;BB$5)=0,"",SUMIF('Competency Event Log'!$U$4:$U$803,$B134&amp;"|"&amp;BB$5,'Competency Event Log'!$D$4:$D$803)))</f>
        <v/>
      </c>
      <c r="BC134" s="8" t="str">
        <f>IF($B134="","",IF(COUNTIF('Competency Event Log'!$U$4:$U$803,$B134&amp;"|"&amp;BC$5)=0,"",SUMIF('Competency Event Log'!$U$4:$U$803,$B134&amp;"|"&amp;BC$5,'Competency Event Log'!$D$4:$D$803)))</f>
        <v/>
      </c>
      <c r="BD134" s="8" t="str">
        <f>IF($B134="","",IF(COUNTIF('Competency Event Log'!$U$4:$U$803,$B134&amp;"|"&amp;BD$5)=0,"",SUMIF('Competency Event Log'!$U$4:$U$803,$B134&amp;"|"&amp;BD$5,'Competency Event Log'!$D$4:$D$803)))</f>
        <v/>
      </c>
      <c r="BE134" s="8" t="str">
        <f>IF($B134="","",IF(COUNTIF('Competency Event Log'!$U$4:$U$803,$B134&amp;"|"&amp;BE$5)=0,"",SUMIF('Competency Event Log'!$U$4:$U$803,$B134&amp;"|"&amp;BE$5,'Competency Event Log'!$D$4:$D$803)))</f>
        <v/>
      </c>
      <c r="BF134" s="8" t="str">
        <f>IF($B134="","",IF(COUNTIF('Competency Event Log'!$U$4:$U$803,$B134&amp;"|"&amp;BF$5)=0,"",SUMIF('Competency Event Log'!$U$4:$U$803,$B134&amp;"|"&amp;BF$5,'Competency Event Log'!$D$4:$D$803)))</f>
        <v/>
      </c>
      <c r="BG134" s="8" t="str">
        <f>IF($B134="","",IF(COUNTIF('Competency Event Log'!$U$4:$U$803,$B134&amp;"|"&amp;BG$5)=0,"",SUMIF('Competency Event Log'!$U$4:$U$803,$B134&amp;"|"&amp;BG$5,'Competency Event Log'!$D$4:$D$803)))</f>
        <v/>
      </c>
      <c r="BH134" s="8" t="str">
        <f>IF($B134="","",IF(COUNTIF('Competency Event Log'!$U$4:$U$803,$B134&amp;"|"&amp;BH$5)=0,"",SUMIF('Competency Event Log'!$U$4:$U$803,$B134&amp;"|"&amp;BH$5,'Competency Event Log'!$D$4:$D$803)))</f>
        <v/>
      </c>
      <c r="BI134" s="8" t="str">
        <f>IF($B134="","",IF(COUNTIF('Competency Event Log'!$U$4:$U$803,$B134&amp;"|"&amp;BI$5)=0,"",SUMIF('Competency Event Log'!$U$4:$U$803,$B134&amp;"|"&amp;BI$5,'Competency Event Log'!$D$4:$D$803)))</f>
        <v/>
      </c>
      <c r="BJ134" s="8" t="str">
        <f>IF($B134="","",IF(COUNTIF('Competency Event Log'!$U$4:$U$803,$B134&amp;"|"&amp;BJ$5)=0,"",SUMIF('Competency Event Log'!$U$4:$U$803,$B134&amp;"|"&amp;BJ$5,'Competency Event Log'!$D$4:$D$803)))</f>
        <v/>
      </c>
      <c r="BK134" s="8" t="str">
        <f>IF($B134="","",IF(COUNTIF('Competency Event Log'!$U$4:$U$803,$B134&amp;"|"&amp;BK$5)=0,"",SUMIF('Competency Event Log'!$U$4:$U$803,$B134&amp;"|"&amp;BK$5,'Competency Event Log'!$D$4:$D$803)))</f>
        <v/>
      </c>
      <c r="BL134" s="8" t="str">
        <f>IF($B134="","",IF(COUNTIF('Competency Event Log'!$U$4:$U$803,$B134&amp;"|"&amp;BL$5)=0,"",SUMIF('Competency Event Log'!$U$4:$U$803,$B134&amp;"|"&amp;BL$5,'Competency Event Log'!$D$4:$D$803)))</f>
        <v/>
      </c>
      <c r="BM134" s="8" t="str">
        <f>IF($B134="","",IF(COUNTIF('Competency Event Log'!$U$4:$U$803,$B134&amp;"|"&amp;BM$5)=0,"",SUMIF('Competency Event Log'!$U$4:$U$803,$B134&amp;"|"&amp;BM$5,'Competency Event Log'!$D$4:$D$803)))</f>
        <v/>
      </c>
      <c r="BN134" s="8" t="str">
        <f>IF($B134="","",IF(COUNTIF('Competency Event Log'!$U$4:$U$803,$B134&amp;"|"&amp;BN$5)=0,"",SUMIF('Competency Event Log'!$U$4:$U$803,$B134&amp;"|"&amp;BN$5,'Competency Event Log'!$D$4:$D$803)))</f>
        <v/>
      </c>
      <c r="BO134" s="8" t="str">
        <f>IF($B134="","",IF(COUNTIF('Competency Event Log'!$U$4:$U$803,$B134&amp;"|"&amp;BO$5)=0,"",SUMIF('Competency Event Log'!$U$4:$U$803,$B134&amp;"|"&amp;BO$5,'Competency Event Log'!$D$4:$D$803)))</f>
        <v/>
      </c>
      <c r="BP134" s="8" t="str">
        <f>IF($B134="","",IF(COUNTIF('Competency Event Log'!$U$4:$U$803,$B134&amp;"|"&amp;BP$5)=0,"",SUMIF('Competency Event Log'!$U$4:$U$803,$B134&amp;"|"&amp;BP$5,'Competency Event Log'!$D$4:$D$803)))</f>
        <v/>
      </c>
      <c r="BQ134" s="8" t="str">
        <f>IF($B134="","",IF(COUNTIF('Competency Event Log'!$U$4:$U$803,$B134&amp;"|"&amp;BQ$5)=0,"",SUMIF('Competency Event Log'!$U$4:$U$803,$B134&amp;"|"&amp;BQ$5,'Competency Event Log'!$D$4:$D$803)))</f>
        <v/>
      </c>
      <c r="BR134" s="8" t="str">
        <f>IF($B134="","",IF(COUNTIF('Competency Event Log'!$U$4:$U$803,$B134&amp;"|"&amp;BR$5)=0,"",SUMIF('Competency Event Log'!$U$4:$U$803,$B134&amp;"|"&amp;BR$5,'Competency Event Log'!$D$4:$D$803)))</f>
        <v/>
      </c>
      <c r="BS134" s="8" t="str">
        <f>IF($B134="","",IF(COUNTIF('Competency Event Log'!$U$4:$U$803,$B134&amp;"|"&amp;BS$5)=0,"",SUMIF('Competency Event Log'!$U$4:$U$803,$B134&amp;"|"&amp;BS$5,'Competency Event Log'!$D$4:$D$803)))</f>
        <v/>
      </c>
      <c r="BT134" s="8" t="str">
        <f>IF($B134="","",IF(COUNTIF('Competency Event Log'!$U$4:$U$803,$B134&amp;"|"&amp;BT$5)=0,"",SUMIF('Competency Event Log'!$U$4:$U$803,$B134&amp;"|"&amp;BT$5,'Competency Event Log'!$D$4:$D$803)))</f>
        <v/>
      </c>
      <c r="BU134" s="8" t="str">
        <f>IF($B134="","",IF(COUNTIF('Competency Event Log'!$U$4:$U$803,$B134&amp;"|"&amp;BU$5)=0,"",SUMIF('Competency Event Log'!$U$4:$U$803,$B134&amp;"|"&amp;BU$5,'Competency Event Log'!$D$4:$D$803)))</f>
        <v/>
      </c>
      <c r="BV134" s="8" t="str">
        <f>IF($B134="","",IF(COUNTIF('Competency Event Log'!$U$4:$U$803,$B134&amp;"|"&amp;BV$5)=0,"",SUMIF('Competency Event Log'!$U$4:$U$803,$B134&amp;"|"&amp;BV$5,'Competency Event Log'!$D$4:$D$803)))</f>
        <v/>
      </c>
      <c r="BW134" s="8" t="str">
        <f>IF($B134="","",IF(COUNTIF('Competency Event Log'!$U$4:$U$803,$B134&amp;"|"&amp;BW$5)=0,"",SUMIF('Competency Event Log'!$U$4:$U$803,$B134&amp;"|"&amp;BW$5,'Competency Event Log'!$D$4:$D$803)))</f>
        <v/>
      </c>
      <c r="BX134" s="8" t="str">
        <f>IF($B134="","",IF(COUNTIF('Competency Event Log'!$U$4:$U$803,$B134&amp;"|"&amp;BX$5)=0,"",SUMIF('Competency Event Log'!$U$4:$U$803,$B134&amp;"|"&amp;BX$5,'Competency Event Log'!$D$4:$D$803)))</f>
        <v/>
      </c>
      <c r="BY134" s="8" t="str">
        <f>IF($B134="","",IF(COUNTIF('Competency Event Log'!$U$4:$U$803,$B134&amp;"|"&amp;BY$5)=0,"",SUMIF('Competency Event Log'!$U$4:$U$803,$B134&amp;"|"&amp;BY$5,'Competency Event Log'!$D$4:$D$803)))</f>
        <v/>
      </c>
      <c r="BZ134" s="8" t="str">
        <f>IF($B134="","",IF(COUNTIF('Competency Event Log'!$U$4:$U$803,$B134&amp;"|"&amp;BZ$5)=0,"",SUMIF('Competency Event Log'!$U$4:$U$803,$B134&amp;"|"&amp;BZ$5,'Competency Event Log'!$D$4:$D$803)))</f>
        <v/>
      </c>
      <c r="CA134" s="8" t="str">
        <f>IF($B134="","",IF(COUNTIF('Competency Event Log'!$U$4:$U$803,$B134&amp;"|"&amp;CA$5)=0,"",SUMIF('Competency Event Log'!$U$4:$U$803,$B134&amp;"|"&amp;CA$5,'Competency Event Log'!$D$4:$D$803)))</f>
        <v/>
      </c>
      <c r="CB134" s="8" t="str">
        <f>IF($B134="","",IF(COUNTIF('Competency Event Log'!$U$4:$U$803,$B134&amp;"|"&amp;CB$5)=0,"",SUMIF('Competency Event Log'!$U$4:$U$803,$B134&amp;"|"&amp;CB$5,'Competency Event Log'!$D$4:$D$803)))</f>
        <v/>
      </c>
      <c r="CC134" s="8" t="str">
        <f>IF($B134="","",IF(COUNTIF('Competency Event Log'!$U$4:$U$803,$B134&amp;"|"&amp;CC$5)=0,"",SUMIF('Competency Event Log'!$U$4:$U$803,$B134&amp;"|"&amp;CC$5,'Competency Event Log'!$D$4:$D$803)))</f>
        <v/>
      </c>
      <c r="CD134" s="8" t="str">
        <f>IF($B134="","",IF(COUNTIF('Competency Event Log'!$U$4:$U$803,$B134&amp;"|"&amp;CD$5)=0,"",SUMIF('Competency Event Log'!$U$4:$U$803,$B134&amp;"|"&amp;CD$5,'Competency Event Log'!$D$4:$D$803)))</f>
        <v/>
      </c>
      <c r="CE134" s="8" t="str">
        <f>IF($B134="","",IF(COUNTIF('Competency Event Log'!$U$4:$U$803,$B134&amp;"|"&amp;CE$5)=0,"",SUMIF('Competency Event Log'!$U$4:$U$803,$B134&amp;"|"&amp;CE$5,'Competency Event Log'!$D$4:$D$803)))</f>
        <v/>
      </c>
      <c r="CF134" s="8" t="str">
        <f>IF($B134="","",IF(COUNTIF('Competency Event Log'!$U$4:$U$803,$B134&amp;"|"&amp;CF$5)=0,"",SUMIF('Competency Event Log'!$U$4:$U$803,$B134&amp;"|"&amp;CF$5,'Competency Event Log'!$D$4:$D$803)))</f>
        <v/>
      </c>
      <c r="CG134" s="8" t="str">
        <f>IF($B134="","",IF(COUNTIF('Competency Event Log'!$U$4:$U$803,$B134&amp;"|"&amp;CG$5)=0,"",SUMIF('Competency Event Log'!$U$4:$U$803,$B134&amp;"|"&amp;CG$5,'Competency Event Log'!$D$4:$D$803)))</f>
        <v/>
      </c>
      <c r="CH134" s="8" t="str">
        <f>IF($B134="","",IF(COUNTIF('Competency Event Log'!$U$4:$U$803,$B134&amp;"|"&amp;CH$5)=0,"",SUMIF('Competency Event Log'!$U$4:$U$803,$B134&amp;"|"&amp;CH$5,'Competency Event Log'!$D$4:$D$803)))</f>
        <v/>
      </c>
      <c r="CI134" s="8" t="str">
        <f>IF($B134="","",IF(COUNTIF('Competency Event Log'!$U$4:$U$803,$B134&amp;"|"&amp;CI$5)=0,"",SUMIF('Competency Event Log'!$U$4:$U$803,$B134&amp;"|"&amp;CI$5,'Competency Event Log'!$D$4:$D$803)))</f>
        <v/>
      </c>
      <c r="CJ134" s="8" t="str">
        <f>IF($B134="","",IF(COUNTIF('Competency Event Log'!$U$4:$U$803,$B134&amp;"|"&amp;CJ$5)=0,"",SUMIF('Competency Event Log'!$U$4:$U$803,$B134&amp;"|"&amp;CJ$5,'Competency Event Log'!$D$4:$D$803)))</f>
        <v/>
      </c>
      <c r="CK134" s="8" t="str">
        <f>IF($B134="","",IF(COUNTIF('Competency Event Log'!$U$4:$U$803,$B134&amp;"|"&amp;CK$5)=0,"",SUMIF('Competency Event Log'!$U$4:$U$803,$B134&amp;"|"&amp;CK$5,'Competency Event Log'!$D$4:$D$803)))</f>
        <v/>
      </c>
      <c r="CL134" s="8" t="str">
        <f>IF($B134="","",IF(COUNTIF('Competency Event Log'!$U$4:$U$803,$B134&amp;"|"&amp;CL$5)=0,"",SUMIF('Competency Event Log'!$U$4:$U$803,$B134&amp;"|"&amp;CL$5,'Competency Event Log'!$D$4:$D$803)))</f>
        <v/>
      </c>
      <c r="CM134" s="8" t="str">
        <f>IF($B134="","",IF(COUNTIF('Competency Event Log'!$U$4:$U$803,$B134&amp;"|"&amp;CM$5)=0,"",SUMIF('Competency Event Log'!$U$4:$U$803,$B134&amp;"|"&amp;CM$5,'Competency Event Log'!$D$4:$D$803)))</f>
        <v/>
      </c>
      <c r="CN134" s="8" t="str">
        <f>IF($B134="","",IF(COUNTIF('Competency Event Log'!$U$4:$U$803,$B134&amp;"|"&amp;CN$5)=0,"",SUMIF('Competency Event Log'!$U$4:$U$803,$B134&amp;"|"&amp;CN$5,'Competency Event Log'!$D$4:$D$803)))</f>
        <v/>
      </c>
      <c r="CO134" s="8" t="str">
        <f>IF($B134="","",IF(COUNTIF('Competency Event Log'!$U$4:$U$803,$B134&amp;"|"&amp;CO$5)=0,"",SUMIF('Competency Event Log'!$U$4:$U$803,$B134&amp;"|"&amp;CO$5,'Competency Event Log'!$D$4:$D$803)))</f>
        <v/>
      </c>
      <c r="CP134" s="8" t="str">
        <f>IF($B134="","",IF(COUNTIF('Competency Event Log'!$U$4:$U$803,$B134&amp;"|"&amp;CP$5)=0,"",SUMIF('Competency Event Log'!$U$4:$U$803,$B134&amp;"|"&amp;CP$5,'Competency Event Log'!$D$4:$D$803)))</f>
        <v/>
      </c>
      <c r="CQ134" s="8" t="str">
        <f>IF($B134="","",IF(COUNTIF('Competency Event Log'!$U$4:$U$803,$B134&amp;"|"&amp;CQ$5)=0,"",SUMIF('Competency Event Log'!$U$4:$U$803,$B134&amp;"|"&amp;CQ$5,'Competency Event Log'!$D$4:$D$803)))</f>
        <v/>
      </c>
      <c r="CR134" s="8" t="str">
        <f>IF($B134="","",IF(COUNTIF('Competency Event Log'!$U$4:$U$803,$B134&amp;"|"&amp;CR$5)=0,"",SUMIF('Competency Event Log'!$U$4:$U$803,$B134&amp;"|"&amp;CR$5,'Competency Event Log'!$D$4:$D$803)))</f>
        <v/>
      </c>
      <c r="CS134" s="8" t="str">
        <f>IF($B134="","",IF(COUNTIF('Competency Event Log'!$U$4:$U$803,$B134&amp;"|"&amp;CS$5)=0,"",SUMIF('Competency Event Log'!$U$4:$U$803,$B134&amp;"|"&amp;CS$5,'Competency Event Log'!$D$4:$D$803)))</f>
        <v/>
      </c>
      <c r="CT134" s="8" t="str">
        <f>IF($B134="","",IF(COUNTIF('Competency Event Log'!$U$4:$U$803,$B134&amp;"|"&amp;CT$5)=0,"",SUMIF('Competency Event Log'!$U$4:$U$803,$B134&amp;"|"&amp;CT$5,'Competency Event Log'!$D$4:$D$803)))</f>
        <v/>
      </c>
      <c r="CU134" s="8" t="str">
        <f>IF($B134="","",IF(COUNTIF('Competency Event Log'!$U$4:$U$803,$B134&amp;"|"&amp;CU$5)=0,"",SUMIF('Competency Event Log'!$U$4:$U$803,$B134&amp;"|"&amp;CU$5,'Competency Event Log'!$D$4:$D$803)))</f>
        <v/>
      </c>
      <c r="CV134" s="8" t="str">
        <f>IF($B134="","",IF(COUNTIF('Competency Event Log'!$U$4:$U$803,$B134&amp;"|"&amp;CV$5)=0,"",SUMIF('Competency Event Log'!$U$4:$U$803,$B134&amp;"|"&amp;CV$5,'Competency Event Log'!$D$4:$D$803)))</f>
        <v/>
      </c>
      <c r="CW134" s="8" t="str">
        <f>IF($B134="","",IF(COUNTIF('Competency Event Log'!$U$4:$U$803,$B134&amp;"|"&amp;CW$5)=0,"",SUMIF('Competency Event Log'!$U$4:$U$803,$B134&amp;"|"&amp;CW$5,'Competency Event Log'!$D$4:$D$803)))</f>
        <v/>
      </c>
      <c r="CX134" s="8" t="str">
        <f>IF($B134="","",IF(COUNTIF('Competency Event Log'!$U$4:$U$803,$B134&amp;"|"&amp;CX$5)=0,"",SUMIF('Competency Event Log'!$U$4:$U$803,$B134&amp;"|"&amp;CX$5,'Competency Event Log'!$D$4:$D$803)))</f>
        <v/>
      </c>
      <c r="CY134" s="8" t="str">
        <f>IF($B134="","",IF(COUNTIF('Competency Event Log'!$U$4:$U$803,$B134&amp;"|"&amp;CY$5)=0,"",SUMIF('Competency Event Log'!$U$4:$U$803,$B134&amp;"|"&amp;CY$5,'Competency Event Log'!$D$4:$D$803)))</f>
        <v/>
      </c>
      <c r="CZ134" s="8" t="str">
        <f>IF($B134="","",IF(COUNTIF('Competency Event Log'!$U$4:$U$803,$B134&amp;"|"&amp;CZ$5)=0,"",SUMIF('Competency Event Log'!$U$4:$U$803,$B134&amp;"|"&amp;CZ$5,'Competency Event Log'!$D$4:$D$803)))</f>
        <v/>
      </c>
      <c r="DA134" s="8" t="str">
        <f>IF($B134="","",IF(COUNTIF('Competency Event Log'!$U$4:$U$803,$B134&amp;"|"&amp;DA$5)=0,"",SUMIF('Competency Event Log'!$U$4:$U$803,$B134&amp;"|"&amp;DA$5,'Competency Event Log'!$D$4:$D$803)))</f>
        <v/>
      </c>
      <c r="DB134" s="8" t="str">
        <f>IF($B134="","",IF(COUNTIF('Competency Event Log'!$U$4:$U$803,$B134&amp;"|"&amp;DB$5)=0,"",SUMIF('Competency Event Log'!$U$4:$U$803,$B134&amp;"|"&amp;DB$5,'Competency Event Log'!$D$4:$D$803)))</f>
        <v/>
      </c>
      <c r="DC134" s="8" t="str">
        <f>IF($B134="","",IF(COUNTIF('Competency Event Log'!$U$4:$U$803,$B134&amp;"|"&amp;DC$5)=0,"",SUMIF('Competency Event Log'!$U$4:$U$803,$B134&amp;"|"&amp;DC$5,'Competency Event Log'!$D$4:$D$803)))</f>
        <v/>
      </c>
      <c r="DD134" s="8" t="str">
        <f>IF($B134="","",IF(COUNTIF('Competency Event Log'!$U$4:$U$803,$B134&amp;"|"&amp;DD$5)=0,"",SUMIF('Competency Event Log'!$U$4:$U$803,$B134&amp;"|"&amp;DD$5,'Competency Event Log'!$D$4:$D$803)))</f>
        <v/>
      </c>
      <c r="DE134" s="8" t="str">
        <f>IF($B134="","",IF(COUNTIF('Competency Event Log'!$U$4:$U$803,$B134&amp;"|"&amp;DE$5)=0,"",SUMIF('Competency Event Log'!$U$4:$U$803,$B134&amp;"|"&amp;DE$5,'Competency Event Log'!$D$4:$D$803)))</f>
        <v/>
      </c>
      <c r="DF134" s="8" t="str">
        <f t="shared" ref="DF134:DF165" si="16">IF($B134="","",SUM($G134:$DE134))</f>
        <v/>
      </c>
      <c r="DG134" s="8" t="str">
        <f t="shared" ref="DG134:DG165" si="17">IF($B134="","",COUNT($G134:$DE134))</f>
        <v/>
      </c>
      <c r="DH134" s="8" t="str">
        <f t="shared" ref="DH134:DH165" si="18">IF($B134="","",COUNTIF($G134:$DE134,3))</f>
        <v/>
      </c>
      <c r="DI134" s="11" t="str">
        <f t="shared" ref="DI134:DI165" si="19">IF($B134="","",IFERROR(SUMPRODUCT(--(($G$4:$DE$4=$A134)+($G$4:$DE$4="All Departments")&gt;0),--($G134:$DE134&lt;&gt;""))/(COUNTIF($G$4:$DE$4,$A134)+COUNTIF($G$4:$DE$4,"All Departments")),0))</f>
        <v/>
      </c>
    </row>
    <row r="135" spans="1:113">
      <c r="A135" s="7"/>
      <c r="B135" s="7"/>
      <c r="C135" s="8"/>
      <c r="D135" s="9"/>
      <c r="E135" s="10"/>
      <c r="F135" s="8"/>
      <c r="G135" s="8" t="str">
        <f>IF($B135="","",IF(COUNTIF('Competency Event Log'!$U$4:$U$803,$B135&amp;"|"&amp;G$5)=0,"",SUMIF('Competency Event Log'!$U$4:$U$803,$B135&amp;"|"&amp;G$5,'Competency Event Log'!$D$4:$D$803)))</f>
        <v/>
      </c>
      <c r="H135" s="8" t="str">
        <f>IF($B135="","",IF(COUNTIF('Competency Event Log'!$U$4:$U$803,$B135&amp;"|"&amp;H$5)=0,"",SUMIF('Competency Event Log'!$U$4:$U$803,$B135&amp;"|"&amp;H$5,'Competency Event Log'!$D$4:$D$803)))</f>
        <v/>
      </c>
      <c r="I135" s="8" t="str">
        <f>IF($B135="","",IF(COUNTIF('Competency Event Log'!$U$4:$U$803,$B135&amp;"|"&amp;I$5)=0,"",SUMIF('Competency Event Log'!$U$4:$U$803,$B135&amp;"|"&amp;I$5,'Competency Event Log'!$D$4:$D$803)))</f>
        <v/>
      </c>
      <c r="J135" s="8" t="str">
        <f>IF($B135="","",IF(COUNTIF('Competency Event Log'!$U$4:$U$803,$B135&amp;"|"&amp;J$5)=0,"",SUMIF('Competency Event Log'!$U$4:$U$803,$B135&amp;"|"&amp;J$5,'Competency Event Log'!$D$4:$D$803)))</f>
        <v/>
      </c>
      <c r="K135" s="8" t="str">
        <f>IF($B135="","",IF(COUNTIF('Competency Event Log'!$U$4:$U$803,$B135&amp;"|"&amp;K$5)=0,"",SUMIF('Competency Event Log'!$U$4:$U$803,$B135&amp;"|"&amp;K$5,'Competency Event Log'!$D$4:$D$803)))</f>
        <v/>
      </c>
      <c r="L135" s="8" t="str">
        <f>IF($B135="","",IF(COUNTIF('Competency Event Log'!$U$4:$U$803,$B135&amp;"|"&amp;L$5)=0,"",SUMIF('Competency Event Log'!$U$4:$U$803,$B135&amp;"|"&amp;L$5,'Competency Event Log'!$D$4:$D$803)))</f>
        <v/>
      </c>
      <c r="M135" s="8" t="str">
        <f>IF($B135="","",IF(COUNTIF('Competency Event Log'!$U$4:$U$803,$B135&amp;"|"&amp;M$5)=0,"",SUMIF('Competency Event Log'!$U$4:$U$803,$B135&amp;"|"&amp;M$5,'Competency Event Log'!$D$4:$D$803)))</f>
        <v/>
      </c>
      <c r="N135" s="8" t="str">
        <f>IF($B135="","",IF(COUNTIF('Competency Event Log'!$U$4:$U$803,$B135&amp;"|"&amp;N$5)=0,"",SUMIF('Competency Event Log'!$U$4:$U$803,$B135&amp;"|"&amp;N$5,'Competency Event Log'!$D$4:$D$803)))</f>
        <v/>
      </c>
      <c r="O135" s="8" t="str">
        <f>IF($B135="","",IF(COUNTIF('Competency Event Log'!$U$4:$U$803,$B135&amp;"|"&amp;O$5)=0,"",SUMIF('Competency Event Log'!$U$4:$U$803,$B135&amp;"|"&amp;O$5,'Competency Event Log'!$D$4:$D$803)))</f>
        <v/>
      </c>
      <c r="P135" s="8" t="str">
        <f>IF($B135="","",IF(COUNTIF('Competency Event Log'!$U$4:$U$803,$B135&amp;"|"&amp;P$5)=0,"",SUMIF('Competency Event Log'!$U$4:$U$803,$B135&amp;"|"&amp;P$5,'Competency Event Log'!$D$4:$D$803)))</f>
        <v/>
      </c>
      <c r="Q135" s="8" t="str">
        <f>IF($B135="","",IF(COUNTIF('Competency Event Log'!$U$4:$U$803,$B135&amp;"|"&amp;Q$5)=0,"",SUMIF('Competency Event Log'!$U$4:$U$803,$B135&amp;"|"&amp;Q$5,'Competency Event Log'!$D$4:$D$803)))</f>
        <v/>
      </c>
      <c r="R135" s="8" t="str">
        <f>IF($B135="","",IF(COUNTIF('Competency Event Log'!$U$4:$U$803,$B135&amp;"|"&amp;R$5)=0,"",SUMIF('Competency Event Log'!$U$4:$U$803,$B135&amp;"|"&amp;R$5,'Competency Event Log'!$D$4:$D$803)))</f>
        <v/>
      </c>
      <c r="S135" s="8" t="str">
        <f>IF($B135="","",IF(COUNTIF('Competency Event Log'!$U$4:$U$803,$B135&amp;"|"&amp;S$5)=0,"",SUMIF('Competency Event Log'!$U$4:$U$803,$B135&amp;"|"&amp;S$5,'Competency Event Log'!$D$4:$D$803)))</f>
        <v/>
      </c>
      <c r="T135" s="8" t="str">
        <f>IF($B135="","",IF(COUNTIF('Competency Event Log'!$U$4:$U$803,$B135&amp;"|"&amp;T$5)=0,"",SUMIF('Competency Event Log'!$U$4:$U$803,$B135&amp;"|"&amp;T$5,'Competency Event Log'!$D$4:$D$803)))</f>
        <v/>
      </c>
      <c r="U135" s="8" t="str">
        <f>IF($B135="","",IF(COUNTIF('Competency Event Log'!$U$4:$U$803,$B135&amp;"|"&amp;U$5)=0,"",SUMIF('Competency Event Log'!$U$4:$U$803,$B135&amp;"|"&amp;U$5,'Competency Event Log'!$D$4:$D$803)))</f>
        <v/>
      </c>
      <c r="V135" s="8" t="str">
        <f>IF($B135="","",IF(COUNTIF('Competency Event Log'!$U$4:$U$803,$B135&amp;"|"&amp;V$5)=0,"",SUMIF('Competency Event Log'!$U$4:$U$803,$B135&amp;"|"&amp;V$5,'Competency Event Log'!$D$4:$D$803)))</f>
        <v/>
      </c>
      <c r="W135" s="8" t="str">
        <f>IF($B135="","",IF(COUNTIF('Competency Event Log'!$U$4:$U$803,$B135&amp;"|"&amp;W$5)=0,"",SUMIF('Competency Event Log'!$U$4:$U$803,$B135&amp;"|"&amp;W$5,'Competency Event Log'!$D$4:$D$803)))</f>
        <v/>
      </c>
      <c r="X135" s="8" t="str">
        <f>IF($B135="","",IF(COUNTIF('Competency Event Log'!$U$4:$U$803,$B135&amp;"|"&amp;X$5)=0,"",SUMIF('Competency Event Log'!$U$4:$U$803,$B135&amp;"|"&amp;X$5,'Competency Event Log'!$D$4:$D$803)))</f>
        <v/>
      </c>
      <c r="Y135" s="8" t="str">
        <f>IF($B135="","",IF(COUNTIF('Competency Event Log'!$U$4:$U$803,$B135&amp;"|"&amp;Y$5)=0,"",SUMIF('Competency Event Log'!$U$4:$U$803,$B135&amp;"|"&amp;Y$5,'Competency Event Log'!$D$4:$D$803)))</f>
        <v/>
      </c>
      <c r="Z135" s="8" t="str">
        <f>IF($B135="","",IF(COUNTIF('Competency Event Log'!$U$4:$U$803,$B135&amp;"|"&amp;Z$5)=0,"",SUMIF('Competency Event Log'!$U$4:$U$803,$B135&amp;"|"&amp;Z$5,'Competency Event Log'!$D$4:$D$803)))</f>
        <v/>
      </c>
      <c r="AA135" s="8" t="str">
        <f>IF($B135="","",IF(COUNTIF('Competency Event Log'!$U$4:$U$803,$B135&amp;"|"&amp;AA$5)=0,"",SUMIF('Competency Event Log'!$U$4:$U$803,$B135&amp;"|"&amp;AA$5,'Competency Event Log'!$D$4:$D$803)))</f>
        <v/>
      </c>
      <c r="AB135" s="8" t="str">
        <f>IF($B135="","",IF(COUNTIF('Competency Event Log'!$U$4:$U$803,$B135&amp;"|"&amp;AB$5)=0,"",SUMIF('Competency Event Log'!$U$4:$U$803,$B135&amp;"|"&amp;AB$5,'Competency Event Log'!$D$4:$D$803)))</f>
        <v/>
      </c>
      <c r="AC135" s="8" t="str">
        <f>IF($B135="","",IF(COUNTIF('Competency Event Log'!$U$4:$U$803,$B135&amp;"|"&amp;AC$5)=0,"",SUMIF('Competency Event Log'!$U$4:$U$803,$B135&amp;"|"&amp;AC$5,'Competency Event Log'!$D$4:$D$803)))</f>
        <v/>
      </c>
      <c r="AD135" s="8" t="str">
        <f>IF($B135="","",IF(COUNTIF('Competency Event Log'!$U$4:$U$803,$B135&amp;"|"&amp;AD$5)=0,"",SUMIF('Competency Event Log'!$U$4:$U$803,$B135&amp;"|"&amp;AD$5,'Competency Event Log'!$D$4:$D$803)))</f>
        <v/>
      </c>
      <c r="AE135" s="8" t="str">
        <f>IF($B135="","",IF(COUNTIF('Competency Event Log'!$U$4:$U$803,$B135&amp;"|"&amp;AE$5)=0,"",SUMIF('Competency Event Log'!$U$4:$U$803,$B135&amp;"|"&amp;AE$5,'Competency Event Log'!$D$4:$D$803)))</f>
        <v/>
      </c>
      <c r="AF135" s="8" t="str">
        <f>IF($B135="","",IF(COUNTIF('Competency Event Log'!$U$4:$U$803,$B135&amp;"|"&amp;AF$5)=0,"",SUMIF('Competency Event Log'!$U$4:$U$803,$B135&amp;"|"&amp;AF$5,'Competency Event Log'!$D$4:$D$803)))</f>
        <v/>
      </c>
      <c r="AG135" s="8" t="str">
        <f>IF($B135="","",IF(COUNTIF('Competency Event Log'!$U$4:$U$803,$B135&amp;"|"&amp;AG$5)=0,"",SUMIF('Competency Event Log'!$U$4:$U$803,$B135&amp;"|"&amp;AG$5,'Competency Event Log'!$D$4:$D$803)))</f>
        <v/>
      </c>
      <c r="AH135" s="8" t="str">
        <f>IF($B135="","",IF(COUNTIF('Competency Event Log'!$U$4:$U$803,$B135&amp;"|"&amp;AH$5)=0,"",SUMIF('Competency Event Log'!$U$4:$U$803,$B135&amp;"|"&amp;AH$5,'Competency Event Log'!$D$4:$D$803)))</f>
        <v/>
      </c>
      <c r="AI135" s="8" t="str">
        <f>IF($B135="","",IF(COUNTIF('Competency Event Log'!$U$4:$U$803,$B135&amp;"|"&amp;AI$5)=0,"",SUMIF('Competency Event Log'!$U$4:$U$803,$B135&amp;"|"&amp;AI$5,'Competency Event Log'!$D$4:$D$803)))</f>
        <v/>
      </c>
      <c r="AJ135" s="8" t="str">
        <f>IF($B135="","",IF(COUNTIF('Competency Event Log'!$U$4:$U$803,$B135&amp;"|"&amp;AJ$5)=0,"",SUMIF('Competency Event Log'!$U$4:$U$803,$B135&amp;"|"&amp;AJ$5,'Competency Event Log'!$D$4:$D$803)))</f>
        <v/>
      </c>
      <c r="AK135" s="8" t="str">
        <f>IF($B135="","",IF(COUNTIF('Competency Event Log'!$U$4:$U$803,$B135&amp;"|"&amp;AK$5)=0,"",SUMIF('Competency Event Log'!$U$4:$U$803,$B135&amp;"|"&amp;AK$5,'Competency Event Log'!$D$4:$D$803)))</f>
        <v/>
      </c>
      <c r="AL135" s="8" t="str">
        <f>IF($B135="","",IF(COUNTIF('Competency Event Log'!$U$4:$U$803,$B135&amp;"|"&amp;AL$5)=0,"",SUMIF('Competency Event Log'!$U$4:$U$803,$B135&amp;"|"&amp;AL$5,'Competency Event Log'!$D$4:$D$803)))</f>
        <v/>
      </c>
      <c r="AM135" s="8" t="str">
        <f>IF($B135="","",IF(COUNTIF('Competency Event Log'!$U$4:$U$803,$B135&amp;"|"&amp;AM$5)=0,"",SUMIF('Competency Event Log'!$U$4:$U$803,$B135&amp;"|"&amp;AM$5,'Competency Event Log'!$D$4:$D$803)))</f>
        <v/>
      </c>
      <c r="AN135" s="8" t="str">
        <f>IF($B135="","",IF(COUNTIF('Competency Event Log'!$U$4:$U$803,$B135&amp;"|"&amp;AN$5)=0,"",SUMIF('Competency Event Log'!$U$4:$U$803,$B135&amp;"|"&amp;AN$5,'Competency Event Log'!$D$4:$D$803)))</f>
        <v/>
      </c>
      <c r="AO135" s="8" t="str">
        <f>IF($B135="","",IF(COUNTIF('Competency Event Log'!$U$4:$U$803,$B135&amp;"|"&amp;AO$5)=0,"",SUMIF('Competency Event Log'!$U$4:$U$803,$B135&amp;"|"&amp;AO$5,'Competency Event Log'!$D$4:$D$803)))</f>
        <v/>
      </c>
      <c r="AP135" s="8" t="str">
        <f>IF($B135="","",IF(COUNTIF('Competency Event Log'!$U$4:$U$803,$B135&amp;"|"&amp;AP$5)=0,"",SUMIF('Competency Event Log'!$U$4:$U$803,$B135&amp;"|"&amp;AP$5,'Competency Event Log'!$D$4:$D$803)))</f>
        <v/>
      </c>
      <c r="AQ135" s="8" t="str">
        <f>IF($B135="","",IF(COUNTIF('Competency Event Log'!$U$4:$U$803,$B135&amp;"|"&amp;AQ$5)=0,"",SUMIF('Competency Event Log'!$U$4:$U$803,$B135&amp;"|"&amp;AQ$5,'Competency Event Log'!$D$4:$D$803)))</f>
        <v/>
      </c>
      <c r="AR135" s="8" t="str">
        <f>IF($B135="","",IF(COUNTIF('Competency Event Log'!$U$4:$U$803,$B135&amp;"|"&amp;AR$5)=0,"",SUMIF('Competency Event Log'!$U$4:$U$803,$B135&amp;"|"&amp;AR$5,'Competency Event Log'!$D$4:$D$803)))</f>
        <v/>
      </c>
      <c r="AS135" s="8" t="str">
        <f>IF($B135="","",IF(COUNTIF('Competency Event Log'!$U$4:$U$803,$B135&amp;"|"&amp;AS$5)=0,"",SUMIF('Competency Event Log'!$U$4:$U$803,$B135&amp;"|"&amp;AS$5,'Competency Event Log'!$D$4:$D$803)))</f>
        <v/>
      </c>
      <c r="AT135" s="8" t="str">
        <f>IF($B135="","",IF(COUNTIF('Competency Event Log'!$U$4:$U$803,$B135&amp;"|"&amp;AT$5)=0,"",SUMIF('Competency Event Log'!$U$4:$U$803,$B135&amp;"|"&amp;AT$5,'Competency Event Log'!$D$4:$D$803)))</f>
        <v/>
      </c>
      <c r="AU135" s="8" t="str">
        <f>IF($B135="","",IF(COUNTIF('Competency Event Log'!$U$4:$U$803,$B135&amp;"|"&amp;AU$5)=0,"",SUMIF('Competency Event Log'!$U$4:$U$803,$B135&amp;"|"&amp;AU$5,'Competency Event Log'!$D$4:$D$803)))</f>
        <v/>
      </c>
      <c r="AV135" s="8" t="str">
        <f>IF($B135="","",IF(COUNTIF('Competency Event Log'!$U$4:$U$803,$B135&amp;"|"&amp;AV$5)=0,"",SUMIF('Competency Event Log'!$U$4:$U$803,$B135&amp;"|"&amp;AV$5,'Competency Event Log'!$D$4:$D$803)))</f>
        <v/>
      </c>
      <c r="AW135" s="8" t="str">
        <f>IF($B135="","",IF(COUNTIF('Competency Event Log'!$U$4:$U$803,$B135&amp;"|"&amp;AW$5)=0,"",SUMIF('Competency Event Log'!$U$4:$U$803,$B135&amp;"|"&amp;AW$5,'Competency Event Log'!$D$4:$D$803)))</f>
        <v/>
      </c>
      <c r="AX135" s="8" t="str">
        <f>IF($B135="","",IF(COUNTIF('Competency Event Log'!$U$4:$U$803,$B135&amp;"|"&amp;AX$5)=0,"",SUMIF('Competency Event Log'!$U$4:$U$803,$B135&amp;"|"&amp;AX$5,'Competency Event Log'!$D$4:$D$803)))</f>
        <v/>
      </c>
      <c r="AY135" s="8" t="str">
        <f>IF($B135="","",IF(COUNTIF('Competency Event Log'!$U$4:$U$803,$B135&amp;"|"&amp;AY$5)=0,"",SUMIF('Competency Event Log'!$U$4:$U$803,$B135&amp;"|"&amp;AY$5,'Competency Event Log'!$D$4:$D$803)))</f>
        <v/>
      </c>
      <c r="AZ135" s="8" t="str">
        <f>IF($B135="","",IF(COUNTIF('Competency Event Log'!$U$4:$U$803,$B135&amp;"|"&amp;AZ$5)=0,"",SUMIF('Competency Event Log'!$U$4:$U$803,$B135&amp;"|"&amp;AZ$5,'Competency Event Log'!$D$4:$D$803)))</f>
        <v/>
      </c>
      <c r="BA135" s="8" t="str">
        <f>IF($B135="","",IF(COUNTIF('Competency Event Log'!$U$4:$U$803,$B135&amp;"|"&amp;BA$5)=0,"",SUMIF('Competency Event Log'!$U$4:$U$803,$B135&amp;"|"&amp;BA$5,'Competency Event Log'!$D$4:$D$803)))</f>
        <v/>
      </c>
      <c r="BB135" s="8" t="str">
        <f>IF($B135="","",IF(COUNTIF('Competency Event Log'!$U$4:$U$803,$B135&amp;"|"&amp;BB$5)=0,"",SUMIF('Competency Event Log'!$U$4:$U$803,$B135&amp;"|"&amp;BB$5,'Competency Event Log'!$D$4:$D$803)))</f>
        <v/>
      </c>
      <c r="BC135" s="8" t="str">
        <f>IF($B135="","",IF(COUNTIF('Competency Event Log'!$U$4:$U$803,$B135&amp;"|"&amp;BC$5)=0,"",SUMIF('Competency Event Log'!$U$4:$U$803,$B135&amp;"|"&amp;BC$5,'Competency Event Log'!$D$4:$D$803)))</f>
        <v/>
      </c>
      <c r="BD135" s="8" t="str">
        <f>IF($B135="","",IF(COUNTIF('Competency Event Log'!$U$4:$U$803,$B135&amp;"|"&amp;BD$5)=0,"",SUMIF('Competency Event Log'!$U$4:$U$803,$B135&amp;"|"&amp;BD$5,'Competency Event Log'!$D$4:$D$803)))</f>
        <v/>
      </c>
      <c r="BE135" s="8" t="str">
        <f>IF($B135="","",IF(COUNTIF('Competency Event Log'!$U$4:$U$803,$B135&amp;"|"&amp;BE$5)=0,"",SUMIF('Competency Event Log'!$U$4:$U$803,$B135&amp;"|"&amp;BE$5,'Competency Event Log'!$D$4:$D$803)))</f>
        <v/>
      </c>
      <c r="BF135" s="8" t="str">
        <f>IF($B135="","",IF(COUNTIF('Competency Event Log'!$U$4:$U$803,$B135&amp;"|"&amp;BF$5)=0,"",SUMIF('Competency Event Log'!$U$4:$U$803,$B135&amp;"|"&amp;BF$5,'Competency Event Log'!$D$4:$D$803)))</f>
        <v/>
      </c>
      <c r="BG135" s="8" t="str">
        <f>IF($B135="","",IF(COUNTIF('Competency Event Log'!$U$4:$U$803,$B135&amp;"|"&amp;BG$5)=0,"",SUMIF('Competency Event Log'!$U$4:$U$803,$B135&amp;"|"&amp;BG$5,'Competency Event Log'!$D$4:$D$803)))</f>
        <v/>
      </c>
      <c r="BH135" s="8" t="str">
        <f>IF($B135="","",IF(COUNTIF('Competency Event Log'!$U$4:$U$803,$B135&amp;"|"&amp;BH$5)=0,"",SUMIF('Competency Event Log'!$U$4:$U$803,$B135&amp;"|"&amp;BH$5,'Competency Event Log'!$D$4:$D$803)))</f>
        <v/>
      </c>
      <c r="BI135" s="8" t="str">
        <f>IF($B135="","",IF(COUNTIF('Competency Event Log'!$U$4:$U$803,$B135&amp;"|"&amp;BI$5)=0,"",SUMIF('Competency Event Log'!$U$4:$U$803,$B135&amp;"|"&amp;BI$5,'Competency Event Log'!$D$4:$D$803)))</f>
        <v/>
      </c>
      <c r="BJ135" s="8" t="str">
        <f>IF($B135="","",IF(COUNTIF('Competency Event Log'!$U$4:$U$803,$B135&amp;"|"&amp;BJ$5)=0,"",SUMIF('Competency Event Log'!$U$4:$U$803,$B135&amp;"|"&amp;BJ$5,'Competency Event Log'!$D$4:$D$803)))</f>
        <v/>
      </c>
      <c r="BK135" s="8" t="str">
        <f>IF($B135="","",IF(COUNTIF('Competency Event Log'!$U$4:$U$803,$B135&amp;"|"&amp;BK$5)=0,"",SUMIF('Competency Event Log'!$U$4:$U$803,$B135&amp;"|"&amp;BK$5,'Competency Event Log'!$D$4:$D$803)))</f>
        <v/>
      </c>
      <c r="BL135" s="8" t="str">
        <f>IF($B135="","",IF(COUNTIF('Competency Event Log'!$U$4:$U$803,$B135&amp;"|"&amp;BL$5)=0,"",SUMIF('Competency Event Log'!$U$4:$U$803,$B135&amp;"|"&amp;BL$5,'Competency Event Log'!$D$4:$D$803)))</f>
        <v/>
      </c>
      <c r="BM135" s="8" t="str">
        <f>IF($B135="","",IF(COUNTIF('Competency Event Log'!$U$4:$U$803,$B135&amp;"|"&amp;BM$5)=0,"",SUMIF('Competency Event Log'!$U$4:$U$803,$B135&amp;"|"&amp;BM$5,'Competency Event Log'!$D$4:$D$803)))</f>
        <v/>
      </c>
      <c r="BN135" s="8" t="str">
        <f>IF($B135="","",IF(COUNTIF('Competency Event Log'!$U$4:$U$803,$B135&amp;"|"&amp;BN$5)=0,"",SUMIF('Competency Event Log'!$U$4:$U$803,$B135&amp;"|"&amp;BN$5,'Competency Event Log'!$D$4:$D$803)))</f>
        <v/>
      </c>
      <c r="BO135" s="8" t="str">
        <f>IF($B135="","",IF(COUNTIF('Competency Event Log'!$U$4:$U$803,$B135&amp;"|"&amp;BO$5)=0,"",SUMIF('Competency Event Log'!$U$4:$U$803,$B135&amp;"|"&amp;BO$5,'Competency Event Log'!$D$4:$D$803)))</f>
        <v/>
      </c>
      <c r="BP135" s="8" t="str">
        <f>IF($B135="","",IF(COUNTIF('Competency Event Log'!$U$4:$U$803,$B135&amp;"|"&amp;BP$5)=0,"",SUMIF('Competency Event Log'!$U$4:$U$803,$B135&amp;"|"&amp;BP$5,'Competency Event Log'!$D$4:$D$803)))</f>
        <v/>
      </c>
      <c r="BQ135" s="8" t="str">
        <f>IF($B135="","",IF(COUNTIF('Competency Event Log'!$U$4:$U$803,$B135&amp;"|"&amp;BQ$5)=0,"",SUMIF('Competency Event Log'!$U$4:$U$803,$B135&amp;"|"&amp;BQ$5,'Competency Event Log'!$D$4:$D$803)))</f>
        <v/>
      </c>
      <c r="BR135" s="8" t="str">
        <f>IF($B135="","",IF(COUNTIF('Competency Event Log'!$U$4:$U$803,$B135&amp;"|"&amp;BR$5)=0,"",SUMIF('Competency Event Log'!$U$4:$U$803,$B135&amp;"|"&amp;BR$5,'Competency Event Log'!$D$4:$D$803)))</f>
        <v/>
      </c>
      <c r="BS135" s="8" t="str">
        <f>IF($B135="","",IF(COUNTIF('Competency Event Log'!$U$4:$U$803,$B135&amp;"|"&amp;BS$5)=0,"",SUMIF('Competency Event Log'!$U$4:$U$803,$B135&amp;"|"&amp;BS$5,'Competency Event Log'!$D$4:$D$803)))</f>
        <v/>
      </c>
      <c r="BT135" s="8" t="str">
        <f>IF($B135="","",IF(COUNTIF('Competency Event Log'!$U$4:$U$803,$B135&amp;"|"&amp;BT$5)=0,"",SUMIF('Competency Event Log'!$U$4:$U$803,$B135&amp;"|"&amp;BT$5,'Competency Event Log'!$D$4:$D$803)))</f>
        <v/>
      </c>
      <c r="BU135" s="8" t="str">
        <f>IF($B135="","",IF(COUNTIF('Competency Event Log'!$U$4:$U$803,$B135&amp;"|"&amp;BU$5)=0,"",SUMIF('Competency Event Log'!$U$4:$U$803,$B135&amp;"|"&amp;BU$5,'Competency Event Log'!$D$4:$D$803)))</f>
        <v/>
      </c>
      <c r="BV135" s="8" t="str">
        <f>IF($B135="","",IF(COUNTIF('Competency Event Log'!$U$4:$U$803,$B135&amp;"|"&amp;BV$5)=0,"",SUMIF('Competency Event Log'!$U$4:$U$803,$B135&amp;"|"&amp;BV$5,'Competency Event Log'!$D$4:$D$803)))</f>
        <v/>
      </c>
      <c r="BW135" s="8" t="str">
        <f>IF($B135="","",IF(COUNTIF('Competency Event Log'!$U$4:$U$803,$B135&amp;"|"&amp;BW$5)=0,"",SUMIF('Competency Event Log'!$U$4:$U$803,$B135&amp;"|"&amp;BW$5,'Competency Event Log'!$D$4:$D$803)))</f>
        <v/>
      </c>
      <c r="BX135" s="8" t="str">
        <f>IF($B135="","",IF(COUNTIF('Competency Event Log'!$U$4:$U$803,$B135&amp;"|"&amp;BX$5)=0,"",SUMIF('Competency Event Log'!$U$4:$U$803,$B135&amp;"|"&amp;BX$5,'Competency Event Log'!$D$4:$D$803)))</f>
        <v/>
      </c>
      <c r="BY135" s="8" t="str">
        <f>IF($B135="","",IF(COUNTIF('Competency Event Log'!$U$4:$U$803,$B135&amp;"|"&amp;BY$5)=0,"",SUMIF('Competency Event Log'!$U$4:$U$803,$B135&amp;"|"&amp;BY$5,'Competency Event Log'!$D$4:$D$803)))</f>
        <v/>
      </c>
      <c r="BZ135" s="8" t="str">
        <f>IF($B135="","",IF(COUNTIF('Competency Event Log'!$U$4:$U$803,$B135&amp;"|"&amp;BZ$5)=0,"",SUMIF('Competency Event Log'!$U$4:$U$803,$B135&amp;"|"&amp;BZ$5,'Competency Event Log'!$D$4:$D$803)))</f>
        <v/>
      </c>
      <c r="CA135" s="8" t="str">
        <f>IF($B135="","",IF(COUNTIF('Competency Event Log'!$U$4:$U$803,$B135&amp;"|"&amp;CA$5)=0,"",SUMIF('Competency Event Log'!$U$4:$U$803,$B135&amp;"|"&amp;CA$5,'Competency Event Log'!$D$4:$D$803)))</f>
        <v/>
      </c>
      <c r="CB135" s="8" t="str">
        <f>IF($B135="","",IF(COUNTIF('Competency Event Log'!$U$4:$U$803,$B135&amp;"|"&amp;CB$5)=0,"",SUMIF('Competency Event Log'!$U$4:$U$803,$B135&amp;"|"&amp;CB$5,'Competency Event Log'!$D$4:$D$803)))</f>
        <v/>
      </c>
      <c r="CC135" s="8" t="str">
        <f>IF($B135="","",IF(COUNTIF('Competency Event Log'!$U$4:$U$803,$B135&amp;"|"&amp;CC$5)=0,"",SUMIF('Competency Event Log'!$U$4:$U$803,$B135&amp;"|"&amp;CC$5,'Competency Event Log'!$D$4:$D$803)))</f>
        <v/>
      </c>
      <c r="CD135" s="8" t="str">
        <f>IF($B135="","",IF(COUNTIF('Competency Event Log'!$U$4:$U$803,$B135&amp;"|"&amp;CD$5)=0,"",SUMIF('Competency Event Log'!$U$4:$U$803,$B135&amp;"|"&amp;CD$5,'Competency Event Log'!$D$4:$D$803)))</f>
        <v/>
      </c>
      <c r="CE135" s="8" t="str">
        <f>IF($B135="","",IF(COUNTIF('Competency Event Log'!$U$4:$U$803,$B135&amp;"|"&amp;CE$5)=0,"",SUMIF('Competency Event Log'!$U$4:$U$803,$B135&amp;"|"&amp;CE$5,'Competency Event Log'!$D$4:$D$803)))</f>
        <v/>
      </c>
      <c r="CF135" s="8" t="str">
        <f>IF($B135="","",IF(COUNTIF('Competency Event Log'!$U$4:$U$803,$B135&amp;"|"&amp;CF$5)=0,"",SUMIF('Competency Event Log'!$U$4:$U$803,$B135&amp;"|"&amp;CF$5,'Competency Event Log'!$D$4:$D$803)))</f>
        <v/>
      </c>
      <c r="CG135" s="8" t="str">
        <f>IF($B135="","",IF(COUNTIF('Competency Event Log'!$U$4:$U$803,$B135&amp;"|"&amp;CG$5)=0,"",SUMIF('Competency Event Log'!$U$4:$U$803,$B135&amp;"|"&amp;CG$5,'Competency Event Log'!$D$4:$D$803)))</f>
        <v/>
      </c>
      <c r="CH135" s="8" t="str">
        <f>IF($B135="","",IF(COUNTIF('Competency Event Log'!$U$4:$U$803,$B135&amp;"|"&amp;CH$5)=0,"",SUMIF('Competency Event Log'!$U$4:$U$803,$B135&amp;"|"&amp;CH$5,'Competency Event Log'!$D$4:$D$803)))</f>
        <v/>
      </c>
      <c r="CI135" s="8" t="str">
        <f>IF($B135="","",IF(COUNTIF('Competency Event Log'!$U$4:$U$803,$B135&amp;"|"&amp;CI$5)=0,"",SUMIF('Competency Event Log'!$U$4:$U$803,$B135&amp;"|"&amp;CI$5,'Competency Event Log'!$D$4:$D$803)))</f>
        <v/>
      </c>
      <c r="CJ135" s="8" t="str">
        <f>IF($B135="","",IF(COUNTIF('Competency Event Log'!$U$4:$U$803,$B135&amp;"|"&amp;CJ$5)=0,"",SUMIF('Competency Event Log'!$U$4:$U$803,$B135&amp;"|"&amp;CJ$5,'Competency Event Log'!$D$4:$D$803)))</f>
        <v/>
      </c>
      <c r="CK135" s="8" t="str">
        <f>IF($B135="","",IF(COUNTIF('Competency Event Log'!$U$4:$U$803,$B135&amp;"|"&amp;CK$5)=0,"",SUMIF('Competency Event Log'!$U$4:$U$803,$B135&amp;"|"&amp;CK$5,'Competency Event Log'!$D$4:$D$803)))</f>
        <v/>
      </c>
      <c r="CL135" s="8" t="str">
        <f>IF($B135="","",IF(COUNTIF('Competency Event Log'!$U$4:$U$803,$B135&amp;"|"&amp;CL$5)=0,"",SUMIF('Competency Event Log'!$U$4:$U$803,$B135&amp;"|"&amp;CL$5,'Competency Event Log'!$D$4:$D$803)))</f>
        <v/>
      </c>
      <c r="CM135" s="8" t="str">
        <f>IF($B135="","",IF(COUNTIF('Competency Event Log'!$U$4:$U$803,$B135&amp;"|"&amp;CM$5)=0,"",SUMIF('Competency Event Log'!$U$4:$U$803,$B135&amp;"|"&amp;CM$5,'Competency Event Log'!$D$4:$D$803)))</f>
        <v/>
      </c>
      <c r="CN135" s="8" t="str">
        <f>IF($B135="","",IF(COUNTIF('Competency Event Log'!$U$4:$U$803,$B135&amp;"|"&amp;CN$5)=0,"",SUMIF('Competency Event Log'!$U$4:$U$803,$B135&amp;"|"&amp;CN$5,'Competency Event Log'!$D$4:$D$803)))</f>
        <v/>
      </c>
      <c r="CO135" s="8" t="str">
        <f>IF($B135="","",IF(COUNTIF('Competency Event Log'!$U$4:$U$803,$B135&amp;"|"&amp;CO$5)=0,"",SUMIF('Competency Event Log'!$U$4:$U$803,$B135&amp;"|"&amp;CO$5,'Competency Event Log'!$D$4:$D$803)))</f>
        <v/>
      </c>
      <c r="CP135" s="8" t="str">
        <f>IF($B135="","",IF(COUNTIF('Competency Event Log'!$U$4:$U$803,$B135&amp;"|"&amp;CP$5)=0,"",SUMIF('Competency Event Log'!$U$4:$U$803,$B135&amp;"|"&amp;CP$5,'Competency Event Log'!$D$4:$D$803)))</f>
        <v/>
      </c>
      <c r="CQ135" s="8" t="str">
        <f>IF($B135="","",IF(COUNTIF('Competency Event Log'!$U$4:$U$803,$B135&amp;"|"&amp;CQ$5)=0,"",SUMIF('Competency Event Log'!$U$4:$U$803,$B135&amp;"|"&amp;CQ$5,'Competency Event Log'!$D$4:$D$803)))</f>
        <v/>
      </c>
      <c r="CR135" s="8" t="str">
        <f>IF($B135="","",IF(COUNTIF('Competency Event Log'!$U$4:$U$803,$B135&amp;"|"&amp;CR$5)=0,"",SUMIF('Competency Event Log'!$U$4:$U$803,$B135&amp;"|"&amp;CR$5,'Competency Event Log'!$D$4:$D$803)))</f>
        <v/>
      </c>
      <c r="CS135" s="8" t="str">
        <f>IF($B135="","",IF(COUNTIF('Competency Event Log'!$U$4:$U$803,$B135&amp;"|"&amp;CS$5)=0,"",SUMIF('Competency Event Log'!$U$4:$U$803,$B135&amp;"|"&amp;CS$5,'Competency Event Log'!$D$4:$D$803)))</f>
        <v/>
      </c>
      <c r="CT135" s="8" t="str">
        <f>IF($B135="","",IF(COUNTIF('Competency Event Log'!$U$4:$U$803,$B135&amp;"|"&amp;CT$5)=0,"",SUMIF('Competency Event Log'!$U$4:$U$803,$B135&amp;"|"&amp;CT$5,'Competency Event Log'!$D$4:$D$803)))</f>
        <v/>
      </c>
      <c r="CU135" s="8" t="str">
        <f>IF($B135="","",IF(COUNTIF('Competency Event Log'!$U$4:$U$803,$B135&amp;"|"&amp;CU$5)=0,"",SUMIF('Competency Event Log'!$U$4:$U$803,$B135&amp;"|"&amp;CU$5,'Competency Event Log'!$D$4:$D$803)))</f>
        <v/>
      </c>
      <c r="CV135" s="8" t="str">
        <f>IF($B135="","",IF(COUNTIF('Competency Event Log'!$U$4:$U$803,$B135&amp;"|"&amp;CV$5)=0,"",SUMIF('Competency Event Log'!$U$4:$U$803,$B135&amp;"|"&amp;CV$5,'Competency Event Log'!$D$4:$D$803)))</f>
        <v/>
      </c>
      <c r="CW135" s="8" t="str">
        <f>IF($B135="","",IF(COUNTIF('Competency Event Log'!$U$4:$U$803,$B135&amp;"|"&amp;CW$5)=0,"",SUMIF('Competency Event Log'!$U$4:$U$803,$B135&amp;"|"&amp;CW$5,'Competency Event Log'!$D$4:$D$803)))</f>
        <v/>
      </c>
      <c r="CX135" s="8" t="str">
        <f>IF($B135="","",IF(COUNTIF('Competency Event Log'!$U$4:$U$803,$B135&amp;"|"&amp;CX$5)=0,"",SUMIF('Competency Event Log'!$U$4:$U$803,$B135&amp;"|"&amp;CX$5,'Competency Event Log'!$D$4:$D$803)))</f>
        <v/>
      </c>
      <c r="CY135" s="8" t="str">
        <f>IF($B135="","",IF(COUNTIF('Competency Event Log'!$U$4:$U$803,$B135&amp;"|"&amp;CY$5)=0,"",SUMIF('Competency Event Log'!$U$4:$U$803,$B135&amp;"|"&amp;CY$5,'Competency Event Log'!$D$4:$D$803)))</f>
        <v/>
      </c>
      <c r="CZ135" s="8" t="str">
        <f>IF($B135="","",IF(COUNTIF('Competency Event Log'!$U$4:$U$803,$B135&amp;"|"&amp;CZ$5)=0,"",SUMIF('Competency Event Log'!$U$4:$U$803,$B135&amp;"|"&amp;CZ$5,'Competency Event Log'!$D$4:$D$803)))</f>
        <v/>
      </c>
      <c r="DA135" s="8" t="str">
        <f>IF($B135="","",IF(COUNTIF('Competency Event Log'!$U$4:$U$803,$B135&amp;"|"&amp;DA$5)=0,"",SUMIF('Competency Event Log'!$U$4:$U$803,$B135&amp;"|"&amp;DA$5,'Competency Event Log'!$D$4:$D$803)))</f>
        <v/>
      </c>
      <c r="DB135" s="8" t="str">
        <f>IF($B135="","",IF(COUNTIF('Competency Event Log'!$U$4:$U$803,$B135&amp;"|"&amp;DB$5)=0,"",SUMIF('Competency Event Log'!$U$4:$U$803,$B135&amp;"|"&amp;DB$5,'Competency Event Log'!$D$4:$D$803)))</f>
        <v/>
      </c>
      <c r="DC135" s="8" t="str">
        <f>IF($B135="","",IF(COUNTIF('Competency Event Log'!$U$4:$U$803,$B135&amp;"|"&amp;DC$5)=0,"",SUMIF('Competency Event Log'!$U$4:$U$803,$B135&amp;"|"&amp;DC$5,'Competency Event Log'!$D$4:$D$803)))</f>
        <v/>
      </c>
      <c r="DD135" s="8" t="str">
        <f>IF($B135="","",IF(COUNTIF('Competency Event Log'!$U$4:$U$803,$B135&amp;"|"&amp;DD$5)=0,"",SUMIF('Competency Event Log'!$U$4:$U$803,$B135&amp;"|"&amp;DD$5,'Competency Event Log'!$D$4:$D$803)))</f>
        <v/>
      </c>
      <c r="DE135" s="8" t="str">
        <f>IF($B135="","",IF(COUNTIF('Competency Event Log'!$U$4:$U$803,$B135&amp;"|"&amp;DE$5)=0,"",SUMIF('Competency Event Log'!$U$4:$U$803,$B135&amp;"|"&amp;DE$5,'Competency Event Log'!$D$4:$D$803)))</f>
        <v/>
      </c>
      <c r="DF135" s="8" t="str">
        <f t="shared" si="16"/>
        <v/>
      </c>
      <c r="DG135" s="8" t="str">
        <f t="shared" si="17"/>
        <v/>
      </c>
      <c r="DH135" s="8" t="str">
        <f t="shared" si="18"/>
        <v/>
      </c>
      <c r="DI135" s="11" t="str">
        <f t="shared" si="19"/>
        <v/>
      </c>
    </row>
    <row r="136" spans="1:113">
      <c r="A136" s="7"/>
      <c r="B136" s="7"/>
      <c r="C136" s="8"/>
      <c r="D136" s="9"/>
      <c r="E136" s="10"/>
      <c r="F136" s="8"/>
      <c r="G136" s="8" t="str">
        <f>IF($B136="","",IF(COUNTIF('Competency Event Log'!$U$4:$U$803,$B136&amp;"|"&amp;G$5)=0,"",SUMIF('Competency Event Log'!$U$4:$U$803,$B136&amp;"|"&amp;G$5,'Competency Event Log'!$D$4:$D$803)))</f>
        <v/>
      </c>
      <c r="H136" s="8" t="str">
        <f>IF($B136="","",IF(COUNTIF('Competency Event Log'!$U$4:$U$803,$B136&amp;"|"&amp;H$5)=0,"",SUMIF('Competency Event Log'!$U$4:$U$803,$B136&amp;"|"&amp;H$5,'Competency Event Log'!$D$4:$D$803)))</f>
        <v/>
      </c>
      <c r="I136" s="8" t="str">
        <f>IF($B136="","",IF(COUNTIF('Competency Event Log'!$U$4:$U$803,$B136&amp;"|"&amp;I$5)=0,"",SUMIF('Competency Event Log'!$U$4:$U$803,$B136&amp;"|"&amp;I$5,'Competency Event Log'!$D$4:$D$803)))</f>
        <v/>
      </c>
      <c r="J136" s="8" t="str">
        <f>IF($B136="","",IF(COUNTIF('Competency Event Log'!$U$4:$U$803,$B136&amp;"|"&amp;J$5)=0,"",SUMIF('Competency Event Log'!$U$4:$U$803,$B136&amp;"|"&amp;J$5,'Competency Event Log'!$D$4:$D$803)))</f>
        <v/>
      </c>
      <c r="K136" s="8" t="str">
        <f>IF($B136="","",IF(COUNTIF('Competency Event Log'!$U$4:$U$803,$B136&amp;"|"&amp;K$5)=0,"",SUMIF('Competency Event Log'!$U$4:$U$803,$B136&amp;"|"&amp;K$5,'Competency Event Log'!$D$4:$D$803)))</f>
        <v/>
      </c>
      <c r="L136" s="8" t="str">
        <f>IF($B136="","",IF(COUNTIF('Competency Event Log'!$U$4:$U$803,$B136&amp;"|"&amp;L$5)=0,"",SUMIF('Competency Event Log'!$U$4:$U$803,$B136&amp;"|"&amp;L$5,'Competency Event Log'!$D$4:$D$803)))</f>
        <v/>
      </c>
      <c r="M136" s="8" t="str">
        <f>IF($B136="","",IF(COUNTIF('Competency Event Log'!$U$4:$U$803,$B136&amp;"|"&amp;M$5)=0,"",SUMIF('Competency Event Log'!$U$4:$U$803,$B136&amp;"|"&amp;M$5,'Competency Event Log'!$D$4:$D$803)))</f>
        <v/>
      </c>
      <c r="N136" s="8" t="str">
        <f>IF($B136="","",IF(COUNTIF('Competency Event Log'!$U$4:$U$803,$B136&amp;"|"&amp;N$5)=0,"",SUMIF('Competency Event Log'!$U$4:$U$803,$B136&amp;"|"&amp;N$5,'Competency Event Log'!$D$4:$D$803)))</f>
        <v/>
      </c>
      <c r="O136" s="8" t="str">
        <f>IF($B136="","",IF(COUNTIF('Competency Event Log'!$U$4:$U$803,$B136&amp;"|"&amp;O$5)=0,"",SUMIF('Competency Event Log'!$U$4:$U$803,$B136&amp;"|"&amp;O$5,'Competency Event Log'!$D$4:$D$803)))</f>
        <v/>
      </c>
      <c r="P136" s="8" t="str">
        <f>IF($B136="","",IF(COUNTIF('Competency Event Log'!$U$4:$U$803,$B136&amp;"|"&amp;P$5)=0,"",SUMIF('Competency Event Log'!$U$4:$U$803,$B136&amp;"|"&amp;P$5,'Competency Event Log'!$D$4:$D$803)))</f>
        <v/>
      </c>
      <c r="Q136" s="8" t="str">
        <f>IF($B136="","",IF(COUNTIF('Competency Event Log'!$U$4:$U$803,$B136&amp;"|"&amp;Q$5)=0,"",SUMIF('Competency Event Log'!$U$4:$U$803,$B136&amp;"|"&amp;Q$5,'Competency Event Log'!$D$4:$D$803)))</f>
        <v/>
      </c>
      <c r="R136" s="8" t="str">
        <f>IF($B136="","",IF(COUNTIF('Competency Event Log'!$U$4:$U$803,$B136&amp;"|"&amp;R$5)=0,"",SUMIF('Competency Event Log'!$U$4:$U$803,$B136&amp;"|"&amp;R$5,'Competency Event Log'!$D$4:$D$803)))</f>
        <v/>
      </c>
      <c r="S136" s="8" t="str">
        <f>IF($B136="","",IF(COUNTIF('Competency Event Log'!$U$4:$U$803,$B136&amp;"|"&amp;S$5)=0,"",SUMIF('Competency Event Log'!$U$4:$U$803,$B136&amp;"|"&amp;S$5,'Competency Event Log'!$D$4:$D$803)))</f>
        <v/>
      </c>
      <c r="T136" s="8" t="str">
        <f>IF($B136="","",IF(COUNTIF('Competency Event Log'!$U$4:$U$803,$B136&amp;"|"&amp;T$5)=0,"",SUMIF('Competency Event Log'!$U$4:$U$803,$B136&amp;"|"&amp;T$5,'Competency Event Log'!$D$4:$D$803)))</f>
        <v/>
      </c>
      <c r="U136" s="8" t="str">
        <f>IF($B136="","",IF(COUNTIF('Competency Event Log'!$U$4:$U$803,$B136&amp;"|"&amp;U$5)=0,"",SUMIF('Competency Event Log'!$U$4:$U$803,$B136&amp;"|"&amp;U$5,'Competency Event Log'!$D$4:$D$803)))</f>
        <v/>
      </c>
      <c r="V136" s="8" t="str">
        <f>IF($B136="","",IF(COUNTIF('Competency Event Log'!$U$4:$U$803,$B136&amp;"|"&amp;V$5)=0,"",SUMIF('Competency Event Log'!$U$4:$U$803,$B136&amp;"|"&amp;V$5,'Competency Event Log'!$D$4:$D$803)))</f>
        <v/>
      </c>
      <c r="W136" s="8" t="str">
        <f>IF($B136="","",IF(COUNTIF('Competency Event Log'!$U$4:$U$803,$B136&amp;"|"&amp;W$5)=0,"",SUMIF('Competency Event Log'!$U$4:$U$803,$B136&amp;"|"&amp;W$5,'Competency Event Log'!$D$4:$D$803)))</f>
        <v/>
      </c>
      <c r="X136" s="8" t="str">
        <f>IF($B136="","",IF(COUNTIF('Competency Event Log'!$U$4:$U$803,$B136&amp;"|"&amp;X$5)=0,"",SUMIF('Competency Event Log'!$U$4:$U$803,$B136&amp;"|"&amp;X$5,'Competency Event Log'!$D$4:$D$803)))</f>
        <v/>
      </c>
      <c r="Y136" s="8" t="str">
        <f>IF($B136="","",IF(COUNTIF('Competency Event Log'!$U$4:$U$803,$B136&amp;"|"&amp;Y$5)=0,"",SUMIF('Competency Event Log'!$U$4:$U$803,$B136&amp;"|"&amp;Y$5,'Competency Event Log'!$D$4:$D$803)))</f>
        <v/>
      </c>
      <c r="Z136" s="8" t="str">
        <f>IF($B136="","",IF(COUNTIF('Competency Event Log'!$U$4:$U$803,$B136&amp;"|"&amp;Z$5)=0,"",SUMIF('Competency Event Log'!$U$4:$U$803,$B136&amp;"|"&amp;Z$5,'Competency Event Log'!$D$4:$D$803)))</f>
        <v/>
      </c>
      <c r="AA136" s="8" t="str">
        <f>IF($B136="","",IF(COUNTIF('Competency Event Log'!$U$4:$U$803,$B136&amp;"|"&amp;AA$5)=0,"",SUMIF('Competency Event Log'!$U$4:$U$803,$B136&amp;"|"&amp;AA$5,'Competency Event Log'!$D$4:$D$803)))</f>
        <v/>
      </c>
      <c r="AB136" s="8" t="str">
        <f>IF($B136="","",IF(COUNTIF('Competency Event Log'!$U$4:$U$803,$B136&amp;"|"&amp;AB$5)=0,"",SUMIF('Competency Event Log'!$U$4:$U$803,$B136&amp;"|"&amp;AB$5,'Competency Event Log'!$D$4:$D$803)))</f>
        <v/>
      </c>
      <c r="AC136" s="8" t="str">
        <f>IF($B136="","",IF(COUNTIF('Competency Event Log'!$U$4:$U$803,$B136&amp;"|"&amp;AC$5)=0,"",SUMIF('Competency Event Log'!$U$4:$U$803,$B136&amp;"|"&amp;AC$5,'Competency Event Log'!$D$4:$D$803)))</f>
        <v/>
      </c>
      <c r="AD136" s="8" t="str">
        <f>IF($B136="","",IF(COUNTIF('Competency Event Log'!$U$4:$U$803,$B136&amp;"|"&amp;AD$5)=0,"",SUMIF('Competency Event Log'!$U$4:$U$803,$B136&amp;"|"&amp;AD$5,'Competency Event Log'!$D$4:$D$803)))</f>
        <v/>
      </c>
      <c r="AE136" s="8" t="str">
        <f>IF($B136="","",IF(COUNTIF('Competency Event Log'!$U$4:$U$803,$B136&amp;"|"&amp;AE$5)=0,"",SUMIF('Competency Event Log'!$U$4:$U$803,$B136&amp;"|"&amp;AE$5,'Competency Event Log'!$D$4:$D$803)))</f>
        <v/>
      </c>
      <c r="AF136" s="8" t="str">
        <f>IF($B136="","",IF(COUNTIF('Competency Event Log'!$U$4:$U$803,$B136&amp;"|"&amp;AF$5)=0,"",SUMIF('Competency Event Log'!$U$4:$U$803,$B136&amp;"|"&amp;AF$5,'Competency Event Log'!$D$4:$D$803)))</f>
        <v/>
      </c>
      <c r="AG136" s="8" t="str">
        <f>IF($B136="","",IF(COUNTIF('Competency Event Log'!$U$4:$U$803,$B136&amp;"|"&amp;AG$5)=0,"",SUMIF('Competency Event Log'!$U$4:$U$803,$B136&amp;"|"&amp;AG$5,'Competency Event Log'!$D$4:$D$803)))</f>
        <v/>
      </c>
      <c r="AH136" s="8" t="str">
        <f>IF($B136="","",IF(COUNTIF('Competency Event Log'!$U$4:$U$803,$B136&amp;"|"&amp;AH$5)=0,"",SUMIF('Competency Event Log'!$U$4:$U$803,$B136&amp;"|"&amp;AH$5,'Competency Event Log'!$D$4:$D$803)))</f>
        <v/>
      </c>
      <c r="AI136" s="8" t="str">
        <f>IF($B136="","",IF(COUNTIF('Competency Event Log'!$U$4:$U$803,$B136&amp;"|"&amp;AI$5)=0,"",SUMIF('Competency Event Log'!$U$4:$U$803,$B136&amp;"|"&amp;AI$5,'Competency Event Log'!$D$4:$D$803)))</f>
        <v/>
      </c>
      <c r="AJ136" s="8" t="str">
        <f>IF($B136="","",IF(COUNTIF('Competency Event Log'!$U$4:$U$803,$B136&amp;"|"&amp;AJ$5)=0,"",SUMIF('Competency Event Log'!$U$4:$U$803,$B136&amp;"|"&amp;AJ$5,'Competency Event Log'!$D$4:$D$803)))</f>
        <v/>
      </c>
      <c r="AK136" s="8" t="str">
        <f>IF($B136="","",IF(COUNTIF('Competency Event Log'!$U$4:$U$803,$B136&amp;"|"&amp;AK$5)=0,"",SUMIF('Competency Event Log'!$U$4:$U$803,$B136&amp;"|"&amp;AK$5,'Competency Event Log'!$D$4:$D$803)))</f>
        <v/>
      </c>
      <c r="AL136" s="8" t="str">
        <f>IF($B136="","",IF(COUNTIF('Competency Event Log'!$U$4:$U$803,$B136&amp;"|"&amp;AL$5)=0,"",SUMIF('Competency Event Log'!$U$4:$U$803,$B136&amp;"|"&amp;AL$5,'Competency Event Log'!$D$4:$D$803)))</f>
        <v/>
      </c>
      <c r="AM136" s="8" t="str">
        <f>IF($B136="","",IF(COUNTIF('Competency Event Log'!$U$4:$U$803,$B136&amp;"|"&amp;AM$5)=0,"",SUMIF('Competency Event Log'!$U$4:$U$803,$B136&amp;"|"&amp;AM$5,'Competency Event Log'!$D$4:$D$803)))</f>
        <v/>
      </c>
      <c r="AN136" s="8" t="str">
        <f>IF($B136="","",IF(COUNTIF('Competency Event Log'!$U$4:$U$803,$B136&amp;"|"&amp;AN$5)=0,"",SUMIF('Competency Event Log'!$U$4:$U$803,$B136&amp;"|"&amp;AN$5,'Competency Event Log'!$D$4:$D$803)))</f>
        <v/>
      </c>
      <c r="AO136" s="8" t="str">
        <f>IF($B136="","",IF(COUNTIF('Competency Event Log'!$U$4:$U$803,$B136&amp;"|"&amp;AO$5)=0,"",SUMIF('Competency Event Log'!$U$4:$U$803,$B136&amp;"|"&amp;AO$5,'Competency Event Log'!$D$4:$D$803)))</f>
        <v/>
      </c>
      <c r="AP136" s="8" t="str">
        <f>IF($B136="","",IF(COUNTIF('Competency Event Log'!$U$4:$U$803,$B136&amp;"|"&amp;AP$5)=0,"",SUMIF('Competency Event Log'!$U$4:$U$803,$B136&amp;"|"&amp;AP$5,'Competency Event Log'!$D$4:$D$803)))</f>
        <v/>
      </c>
      <c r="AQ136" s="8" t="str">
        <f>IF($B136="","",IF(COUNTIF('Competency Event Log'!$U$4:$U$803,$B136&amp;"|"&amp;AQ$5)=0,"",SUMIF('Competency Event Log'!$U$4:$U$803,$B136&amp;"|"&amp;AQ$5,'Competency Event Log'!$D$4:$D$803)))</f>
        <v/>
      </c>
      <c r="AR136" s="8" t="str">
        <f>IF($B136="","",IF(COUNTIF('Competency Event Log'!$U$4:$U$803,$B136&amp;"|"&amp;AR$5)=0,"",SUMIF('Competency Event Log'!$U$4:$U$803,$B136&amp;"|"&amp;AR$5,'Competency Event Log'!$D$4:$D$803)))</f>
        <v/>
      </c>
      <c r="AS136" s="8" t="str">
        <f>IF($B136="","",IF(COUNTIF('Competency Event Log'!$U$4:$U$803,$B136&amp;"|"&amp;AS$5)=0,"",SUMIF('Competency Event Log'!$U$4:$U$803,$B136&amp;"|"&amp;AS$5,'Competency Event Log'!$D$4:$D$803)))</f>
        <v/>
      </c>
      <c r="AT136" s="8" t="str">
        <f>IF($B136="","",IF(COUNTIF('Competency Event Log'!$U$4:$U$803,$B136&amp;"|"&amp;AT$5)=0,"",SUMIF('Competency Event Log'!$U$4:$U$803,$B136&amp;"|"&amp;AT$5,'Competency Event Log'!$D$4:$D$803)))</f>
        <v/>
      </c>
      <c r="AU136" s="8" t="str">
        <f>IF($B136="","",IF(COUNTIF('Competency Event Log'!$U$4:$U$803,$B136&amp;"|"&amp;AU$5)=0,"",SUMIF('Competency Event Log'!$U$4:$U$803,$B136&amp;"|"&amp;AU$5,'Competency Event Log'!$D$4:$D$803)))</f>
        <v/>
      </c>
      <c r="AV136" s="8" t="str">
        <f>IF($B136="","",IF(COUNTIF('Competency Event Log'!$U$4:$U$803,$B136&amp;"|"&amp;AV$5)=0,"",SUMIF('Competency Event Log'!$U$4:$U$803,$B136&amp;"|"&amp;AV$5,'Competency Event Log'!$D$4:$D$803)))</f>
        <v/>
      </c>
      <c r="AW136" s="8" t="str">
        <f>IF($B136="","",IF(COUNTIF('Competency Event Log'!$U$4:$U$803,$B136&amp;"|"&amp;AW$5)=0,"",SUMIF('Competency Event Log'!$U$4:$U$803,$B136&amp;"|"&amp;AW$5,'Competency Event Log'!$D$4:$D$803)))</f>
        <v/>
      </c>
      <c r="AX136" s="8" t="str">
        <f>IF($B136="","",IF(COUNTIF('Competency Event Log'!$U$4:$U$803,$B136&amp;"|"&amp;AX$5)=0,"",SUMIF('Competency Event Log'!$U$4:$U$803,$B136&amp;"|"&amp;AX$5,'Competency Event Log'!$D$4:$D$803)))</f>
        <v/>
      </c>
      <c r="AY136" s="8" t="str">
        <f>IF($B136="","",IF(COUNTIF('Competency Event Log'!$U$4:$U$803,$B136&amp;"|"&amp;AY$5)=0,"",SUMIF('Competency Event Log'!$U$4:$U$803,$B136&amp;"|"&amp;AY$5,'Competency Event Log'!$D$4:$D$803)))</f>
        <v/>
      </c>
      <c r="AZ136" s="8" t="str">
        <f>IF($B136="","",IF(COUNTIF('Competency Event Log'!$U$4:$U$803,$B136&amp;"|"&amp;AZ$5)=0,"",SUMIF('Competency Event Log'!$U$4:$U$803,$B136&amp;"|"&amp;AZ$5,'Competency Event Log'!$D$4:$D$803)))</f>
        <v/>
      </c>
      <c r="BA136" s="8" t="str">
        <f>IF($B136="","",IF(COUNTIF('Competency Event Log'!$U$4:$U$803,$B136&amp;"|"&amp;BA$5)=0,"",SUMIF('Competency Event Log'!$U$4:$U$803,$B136&amp;"|"&amp;BA$5,'Competency Event Log'!$D$4:$D$803)))</f>
        <v/>
      </c>
      <c r="BB136" s="8" t="str">
        <f>IF($B136="","",IF(COUNTIF('Competency Event Log'!$U$4:$U$803,$B136&amp;"|"&amp;BB$5)=0,"",SUMIF('Competency Event Log'!$U$4:$U$803,$B136&amp;"|"&amp;BB$5,'Competency Event Log'!$D$4:$D$803)))</f>
        <v/>
      </c>
      <c r="BC136" s="8" t="str">
        <f>IF($B136="","",IF(COUNTIF('Competency Event Log'!$U$4:$U$803,$B136&amp;"|"&amp;BC$5)=0,"",SUMIF('Competency Event Log'!$U$4:$U$803,$B136&amp;"|"&amp;BC$5,'Competency Event Log'!$D$4:$D$803)))</f>
        <v/>
      </c>
      <c r="BD136" s="8" t="str">
        <f>IF($B136="","",IF(COUNTIF('Competency Event Log'!$U$4:$U$803,$B136&amp;"|"&amp;BD$5)=0,"",SUMIF('Competency Event Log'!$U$4:$U$803,$B136&amp;"|"&amp;BD$5,'Competency Event Log'!$D$4:$D$803)))</f>
        <v/>
      </c>
      <c r="BE136" s="8" t="str">
        <f>IF($B136="","",IF(COUNTIF('Competency Event Log'!$U$4:$U$803,$B136&amp;"|"&amp;BE$5)=0,"",SUMIF('Competency Event Log'!$U$4:$U$803,$B136&amp;"|"&amp;BE$5,'Competency Event Log'!$D$4:$D$803)))</f>
        <v/>
      </c>
      <c r="BF136" s="8" t="str">
        <f>IF($B136="","",IF(COUNTIF('Competency Event Log'!$U$4:$U$803,$B136&amp;"|"&amp;BF$5)=0,"",SUMIF('Competency Event Log'!$U$4:$U$803,$B136&amp;"|"&amp;BF$5,'Competency Event Log'!$D$4:$D$803)))</f>
        <v/>
      </c>
      <c r="BG136" s="8" t="str">
        <f>IF($B136="","",IF(COUNTIF('Competency Event Log'!$U$4:$U$803,$B136&amp;"|"&amp;BG$5)=0,"",SUMIF('Competency Event Log'!$U$4:$U$803,$B136&amp;"|"&amp;BG$5,'Competency Event Log'!$D$4:$D$803)))</f>
        <v/>
      </c>
      <c r="BH136" s="8" t="str">
        <f>IF($B136="","",IF(COUNTIF('Competency Event Log'!$U$4:$U$803,$B136&amp;"|"&amp;BH$5)=0,"",SUMIF('Competency Event Log'!$U$4:$U$803,$B136&amp;"|"&amp;BH$5,'Competency Event Log'!$D$4:$D$803)))</f>
        <v/>
      </c>
      <c r="BI136" s="8" t="str">
        <f>IF($B136="","",IF(COUNTIF('Competency Event Log'!$U$4:$U$803,$B136&amp;"|"&amp;BI$5)=0,"",SUMIF('Competency Event Log'!$U$4:$U$803,$B136&amp;"|"&amp;BI$5,'Competency Event Log'!$D$4:$D$803)))</f>
        <v/>
      </c>
      <c r="BJ136" s="8" t="str">
        <f>IF($B136="","",IF(COUNTIF('Competency Event Log'!$U$4:$U$803,$B136&amp;"|"&amp;BJ$5)=0,"",SUMIF('Competency Event Log'!$U$4:$U$803,$B136&amp;"|"&amp;BJ$5,'Competency Event Log'!$D$4:$D$803)))</f>
        <v/>
      </c>
      <c r="BK136" s="8" t="str">
        <f>IF($B136="","",IF(COUNTIF('Competency Event Log'!$U$4:$U$803,$B136&amp;"|"&amp;BK$5)=0,"",SUMIF('Competency Event Log'!$U$4:$U$803,$B136&amp;"|"&amp;BK$5,'Competency Event Log'!$D$4:$D$803)))</f>
        <v/>
      </c>
      <c r="BL136" s="8" t="str">
        <f>IF($B136="","",IF(COUNTIF('Competency Event Log'!$U$4:$U$803,$B136&amp;"|"&amp;BL$5)=0,"",SUMIF('Competency Event Log'!$U$4:$U$803,$B136&amp;"|"&amp;BL$5,'Competency Event Log'!$D$4:$D$803)))</f>
        <v/>
      </c>
      <c r="BM136" s="8" t="str">
        <f>IF($B136="","",IF(COUNTIF('Competency Event Log'!$U$4:$U$803,$B136&amp;"|"&amp;BM$5)=0,"",SUMIF('Competency Event Log'!$U$4:$U$803,$B136&amp;"|"&amp;BM$5,'Competency Event Log'!$D$4:$D$803)))</f>
        <v/>
      </c>
      <c r="BN136" s="8" t="str">
        <f>IF($B136="","",IF(COUNTIF('Competency Event Log'!$U$4:$U$803,$B136&amp;"|"&amp;BN$5)=0,"",SUMIF('Competency Event Log'!$U$4:$U$803,$B136&amp;"|"&amp;BN$5,'Competency Event Log'!$D$4:$D$803)))</f>
        <v/>
      </c>
      <c r="BO136" s="8" t="str">
        <f>IF($B136="","",IF(COUNTIF('Competency Event Log'!$U$4:$U$803,$B136&amp;"|"&amp;BO$5)=0,"",SUMIF('Competency Event Log'!$U$4:$U$803,$B136&amp;"|"&amp;BO$5,'Competency Event Log'!$D$4:$D$803)))</f>
        <v/>
      </c>
      <c r="BP136" s="8" t="str">
        <f>IF($B136="","",IF(COUNTIF('Competency Event Log'!$U$4:$U$803,$B136&amp;"|"&amp;BP$5)=0,"",SUMIF('Competency Event Log'!$U$4:$U$803,$B136&amp;"|"&amp;BP$5,'Competency Event Log'!$D$4:$D$803)))</f>
        <v/>
      </c>
      <c r="BQ136" s="8" t="str">
        <f>IF($B136="","",IF(COUNTIF('Competency Event Log'!$U$4:$U$803,$B136&amp;"|"&amp;BQ$5)=0,"",SUMIF('Competency Event Log'!$U$4:$U$803,$B136&amp;"|"&amp;BQ$5,'Competency Event Log'!$D$4:$D$803)))</f>
        <v/>
      </c>
      <c r="BR136" s="8" t="str">
        <f>IF($B136="","",IF(COUNTIF('Competency Event Log'!$U$4:$U$803,$B136&amp;"|"&amp;BR$5)=0,"",SUMIF('Competency Event Log'!$U$4:$U$803,$B136&amp;"|"&amp;BR$5,'Competency Event Log'!$D$4:$D$803)))</f>
        <v/>
      </c>
      <c r="BS136" s="8" t="str">
        <f>IF($B136="","",IF(COUNTIF('Competency Event Log'!$U$4:$U$803,$B136&amp;"|"&amp;BS$5)=0,"",SUMIF('Competency Event Log'!$U$4:$U$803,$B136&amp;"|"&amp;BS$5,'Competency Event Log'!$D$4:$D$803)))</f>
        <v/>
      </c>
      <c r="BT136" s="8" t="str">
        <f>IF($B136="","",IF(COUNTIF('Competency Event Log'!$U$4:$U$803,$B136&amp;"|"&amp;BT$5)=0,"",SUMIF('Competency Event Log'!$U$4:$U$803,$B136&amp;"|"&amp;BT$5,'Competency Event Log'!$D$4:$D$803)))</f>
        <v/>
      </c>
      <c r="BU136" s="8" t="str">
        <f>IF($B136="","",IF(COUNTIF('Competency Event Log'!$U$4:$U$803,$B136&amp;"|"&amp;BU$5)=0,"",SUMIF('Competency Event Log'!$U$4:$U$803,$B136&amp;"|"&amp;BU$5,'Competency Event Log'!$D$4:$D$803)))</f>
        <v/>
      </c>
      <c r="BV136" s="8" t="str">
        <f>IF($B136="","",IF(COUNTIF('Competency Event Log'!$U$4:$U$803,$B136&amp;"|"&amp;BV$5)=0,"",SUMIF('Competency Event Log'!$U$4:$U$803,$B136&amp;"|"&amp;BV$5,'Competency Event Log'!$D$4:$D$803)))</f>
        <v/>
      </c>
      <c r="BW136" s="8" t="str">
        <f>IF($B136="","",IF(COUNTIF('Competency Event Log'!$U$4:$U$803,$B136&amp;"|"&amp;BW$5)=0,"",SUMIF('Competency Event Log'!$U$4:$U$803,$B136&amp;"|"&amp;BW$5,'Competency Event Log'!$D$4:$D$803)))</f>
        <v/>
      </c>
      <c r="BX136" s="8" t="str">
        <f>IF($B136="","",IF(COUNTIF('Competency Event Log'!$U$4:$U$803,$B136&amp;"|"&amp;BX$5)=0,"",SUMIF('Competency Event Log'!$U$4:$U$803,$B136&amp;"|"&amp;BX$5,'Competency Event Log'!$D$4:$D$803)))</f>
        <v/>
      </c>
      <c r="BY136" s="8" t="str">
        <f>IF($B136="","",IF(COUNTIF('Competency Event Log'!$U$4:$U$803,$B136&amp;"|"&amp;BY$5)=0,"",SUMIF('Competency Event Log'!$U$4:$U$803,$B136&amp;"|"&amp;BY$5,'Competency Event Log'!$D$4:$D$803)))</f>
        <v/>
      </c>
      <c r="BZ136" s="8" t="str">
        <f>IF($B136="","",IF(COUNTIF('Competency Event Log'!$U$4:$U$803,$B136&amp;"|"&amp;BZ$5)=0,"",SUMIF('Competency Event Log'!$U$4:$U$803,$B136&amp;"|"&amp;BZ$5,'Competency Event Log'!$D$4:$D$803)))</f>
        <v/>
      </c>
      <c r="CA136" s="8" t="str">
        <f>IF($B136="","",IF(COUNTIF('Competency Event Log'!$U$4:$U$803,$B136&amp;"|"&amp;CA$5)=0,"",SUMIF('Competency Event Log'!$U$4:$U$803,$B136&amp;"|"&amp;CA$5,'Competency Event Log'!$D$4:$D$803)))</f>
        <v/>
      </c>
      <c r="CB136" s="8" t="str">
        <f>IF($B136="","",IF(COUNTIF('Competency Event Log'!$U$4:$U$803,$B136&amp;"|"&amp;CB$5)=0,"",SUMIF('Competency Event Log'!$U$4:$U$803,$B136&amp;"|"&amp;CB$5,'Competency Event Log'!$D$4:$D$803)))</f>
        <v/>
      </c>
      <c r="CC136" s="8" t="str">
        <f>IF($B136="","",IF(COUNTIF('Competency Event Log'!$U$4:$U$803,$B136&amp;"|"&amp;CC$5)=0,"",SUMIF('Competency Event Log'!$U$4:$U$803,$B136&amp;"|"&amp;CC$5,'Competency Event Log'!$D$4:$D$803)))</f>
        <v/>
      </c>
      <c r="CD136" s="8" t="str">
        <f>IF($B136="","",IF(COUNTIF('Competency Event Log'!$U$4:$U$803,$B136&amp;"|"&amp;CD$5)=0,"",SUMIF('Competency Event Log'!$U$4:$U$803,$B136&amp;"|"&amp;CD$5,'Competency Event Log'!$D$4:$D$803)))</f>
        <v/>
      </c>
      <c r="CE136" s="8" t="str">
        <f>IF($B136="","",IF(COUNTIF('Competency Event Log'!$U$4:$U$803,$B136&amp;"|"&amp;CE$5)=0,"",SUMIF('Competency Event Log'!$U$4:$U$803,$B136&amp;"|"&amp;CE$5,'Competency Event Log'!$D$4:$D$803)))</f>
        <v/>
      </c>
      <c r="CF136" s="8" t="str">
        <f>IF($B136="","",IF(COUNTIF('Competency Event Log'!$U$4:$U$803,$B136&amp;"|"&amp;CF$5)=0,"",SUMIF('Competency Event Log'!$U$4:$U$803,$B136&amp;"|"&amp;CF$5,'Competency Event Log'!$D$4:$D$803)))</f>
        <v/>
      </c>
      <c r="CG136" s="8" t="str">
        <f>IF($B136="","",IF(COUNTIF('Competency Event Log'!$U$4:$U$803,$B136&amp;"|"&amp;CG$5)=0,"",SUMIF('Competency Event Log'!$U$4:$U$803,$B136&amp;"|"&amp;CG$5,'Competency Event Log'!$D$4:$D$803)))</f>
        <v/>
      </c>
      <c r="CH136" s="8" t="str">
        <f>IF($B136="","",IF(COUNTIF('Competency Event Log'!$U$4:$U$803,$B136&amp;"|"&amp;CH$5)=0,"",SUMIF('Competency Event Log'!$U$4:$U$803,$B136&amp;"|"&amp;CH$5,'Competency Event Log'!$D$4:$D$803)))</f>
        <v/>
      </c>
      <c r="CI136" s="8" t="str">
        <f>IF($B136="","",IF(COUNTIF('Competency Event Log'!$U$4:$U$803,$B136&amp;"|"&amp;CI$5)=0,"",SUMIF('Competency Event Log'!$U$4:$U$803,$B136&amp;"|"&amp;CI$5,'Competency Event Log'!$D$4:$D$803)))</f>
        <v/>
      </c>
      <c r="CJ136" s="8" t="str">
        <f>IF($B136="","",IF(COUNTIF('Competency Event Log'!$U$4:$U$803,$B136&amp;"|"&amp;CJ$5)=0,"",SUMIF('Competency Event Log'!$U$4:$U$803,$B136&amp;"|"&amp;CJ$5,'Competency Event Log'!$D$4:$D$803)))</f>
        <v/>
      </c>
      <c r="CK136" s="8" t="str">
        <f>IF($B136="","",IF(COUNTIF('Competency Event Log'!$U$4:$U$803,$B136&amp;"|"&amp;CK$5)=0,"",SUMIF('Competency Event Log'!$U$4:$U$803,$B136&amp;"|"&amp;CK$5,'Competency Event Log'!$D$4:$D$803)))</f>
        <v/>
      </c>
      <c r="CL136" s="8" t="str">
        <f>IF($B136="","",IF(COUNTIF('Competency Event Log'!$U$4:$U$803,$B136&amp;"|"&amp;CL$5)=0,"",SUMIF('Competency Event Log'!$U$4:$U$803,$B136&amp;"|"&amp;CL$5,'Competency Event Log'!$D$4:$D$803)))</f>
        <v/>
      </c>
      <c r="CM136" s="8" t="str">
        <f>IF($B136="","",IF(COUNTIF('Competency Event Log'!$U$4:$U$803,$B136&amp;"|"&amp;CM$5)=0,"",SUMIF('Competency Event Log'!$U$4:$U$803,$B136&amp;"|"&amp;CM$5,'Competency Event Log'!$D$4:$D$803)))</f>
        <v/>
      </c>
      <c r="CN136" s="8" t="str">
        <f>IF($B136="","",IF(COUNTIF('Competency Event Log'!$U$4:$U$803,$B136&amp;"|"&amp;CN$5)=0,"",SUMIF('Competency Event Log'!$U$4:$U$803,$B136&amp;"|"&amp;CN$5,'Competency Event Log'!$D$4:$D$803)))</f>
        <v/>
      </c>
      <c r="CO136" s="8" t="str">
        <f>IF($B136="","",IF(COUNTIF('Competency Event Log'!$U$4:$U$803,$B136&amp;"|"&amp;CO$5)=0,"",SUMIF('Competency Event Log'!$U$4:$U$803,$B136&amp;"|"&amp;CO$5,'Competency Event Log'!$D$4:$D$803)))</f>
        <v/>
      </c>
      <c r="CP136" s="8" t="str">
        <f>IF($B136="","",IF(COUNTIF('Competency Event Log'!$U$4:$U$803,$B136&amp;"|"&amp;CP$5)=0,"",SUMIF('Competency Event Log'!$U$4:$U$803,$B136&amp;"|"&amp;CP$5,'Competency Event Log'!$D$4:$D$803)))</f>
        <v/>
      </c>
      <c r="CQ136" s="8" t="str">
        <f>IF($B136="","",IF(COUNTIF('Competency Event Log'!$U$4:$U$803,$B136&amp;"|"&amp;CQ$5)=0,"",SUMIF('Competency Event Log'!$U$4:$U$803,$B136&amp;"|"&amp;CQ$5,'Competency Event Log'!$D$4:$D$803)))</f>
        <v/>
      </c>
      <c r="CR136" s="8" t="str">
        <f>IF($B136="","",IF(COUNTIF('Competency Event Log'!$U$4:$U$803,$B136&amp;"|"&amp;CR$5)=0,"",SUMIF('Competency Event Log'!$U$4:$U$803,$B136&amp;"|"&amp;CR$5,'Competency Event Log'!$D$4:$D$803)))</f>
        <v/>
      </c>
      <c r="CS136" s="8" t="str">
        <f>IF($B136="","",IF(COUNTIF('Competency Event Log'!$U$4:$U$803,$B136&amp;"|"&amp;CS$5)=0,"",SUMIF('Competency Event Log'!$U$4:$U$803,$B136&amp;"|"&amp;CS$5,'Competency Event Log'!$D$4:$D$803)))</f>
        <v/>
      </c>
      <c r="CT136" s="8" t="str">
        <f>IF($B136="","",IF(COUNTIF('Competency Event Log'!$U$4:$U$803,$B136&amp;"|"&amp;CT$5)=0,"",SUMIF('Competency Event Log'!$U$4:$U$803,$B136&amp;"|"&amp;CT$5,'Competency Event Log'!$D$4:$D$803)))</f>
        <v/>
      </c>
      <c r="CU136" s="8" t="str">
        <f>IF($B136="","",IF(COUNTIF('Competency Event Log'!$U$4:$U$803,$B136&amp;"|"&amp;CU$5)=0,"",SUMIF('Competency Event Log'!$U$4:$U$803,$B136&amp;"|"&amp;CU$5,'Competency Event Log'!$D$4:$D$803)))</f>
        <v/>
      </c>
      <c r="CV136" s="8" t="str">
        <f>IF($B136="","",IF(COUNTIF('Competency Event Log'!$U$4:$U$803,$B136&amp;"|"&amp;CV$5)=0,"",SUMIF('Competency Event Log'!$U$4:$U$803,$B136&amp;"|"&amp;CV$5,'Competency Event Log'!$D$4:$D$803)))</f>
        <v/>
      </c>
      <c r="CW136" s="8" t="str">
        <f>IF($B136="","",IF(COUNTIF('Competency Event Log'!$U$4:$U$803,$B136&amp;"|"&amp;CW$5)=0,"",SUMIF('Competency Event Log'!$U$4:$U$803,$B136&amp;"|"&amp;CW$5,'Competency Event Log'!$D$4:$D$803)))</f>
        <v/>
      </c>
      <c r="CX136" s="8" t="str">
        <f>IF($B136="","",IF(COUNTIF('Competency Event Log'!$U$4:$U$803,$B136&amp;"|"&amp;CX$5)=0,"",SUMIF('Competency Event Log'!$U$4:$U$803,$B136&amp;"|"&amp;CX$5,'Competency Event Log'!$D$4:$D$803)))</f>
        <v/>
      </c>
      <c r="CY136" s="8" t="str">
        <f>IF($B136="","",IF(COUNTIF('Competency Event Log'!$U$4:$U$803,$B136&amp;"|"&amp;CY$5)=0,"",SUMIF('Competency Event Log'!$U$4:$U$803,$B136&amp;"|"&amp;CY$5,'Competency Event Log'!$D$4:$D$803)))</f>
        <v/>
      </c>
      <c r="CZ136" s="8" t="str">
        <f>IF($B136="","",IF(COUNTIF('Competency Event Log'!$U$4:$U$803,$B136&amp;"|"&amp;CZ$5)=0,"",SUMIF('Competency Event Log'!$U$4:$U$803,$B136&amp;"|"&amp;CZ$5,'Competency Event Log'!$D$4:$D$803)))</f>
        <v/>
      </c>
      <c r="DA136" s="8" t="str">
        <f>IF($B136="","",IF(COUNTIF('Competency Event Log'!$U$4:$U$803,$B136&amp;"|"&amp;DA$5)=0,"",SUMIF('Competency Event Log'!$U$4:$U$803,$B136&amp;"|"&amp;DA$5,'Competency Event Log'!$D$4:$D$803)))</f>
        <v/>
      </c>
      <c r="DB136" s="8" t="str">
        <f>IF($B136="","",IF(COUNTIF('Competency Event Log'!$U$4:$U$803,$B136&amp;"|"&amp;DB$5)=0,"",SUMIF('Competency Event Log'!$U$4:$U$803,$B136&amp;"|"&amp;DB$5,'Competency Event Log'!$D$4:$D$803)))</f>
        <v/>
      </c>
      <c r="DC136" s="8" t="str">
        <f>IF($B136="","",IF(COUNTIF('Competency Event Log'!$U$4:$U$803,$B136&amp;"|"&amp;DC$5)=0,"",SUMIF('Competency Event Log'!$U$4:$U$803,$B136&amp;"|"&amp;DC$5,'Competency Event Log'!$D$4:$D$803)))</f>
        <v/>
      </c>
      <c r="DD136" s="8" t="str">
        <f>IF($B136="","",IF(COUNTIF('Competency Event Log'!$U$4:$U$803,$B136&amp;"|"&amp;DD$5)=0,"",SUMIF('Competency Event Log'!$U$4:$U$803,$B136&amp;"|"&amp;DD$5,'Competency Event Log'!$D$4:$D$803)))</f>
        <v/>
      </c>
      <c r="DE136" s="8" t="str">
        <f>IF($B136="","",IF(COUNTIF('Competency Event Log'!$U$4:$U$803,$B136&amp;"|"&amp;DE$5)=0,"",SUMIF('Competency Event Log'!$U$4:$U$803,$B136&amp;"|"&amp;DE$5,'Competency Event Log'!$D$4:$D$803)))</f>
        <v/>
      </c>
      <c r="DF136" s="8" t="str">
        <f t="shared" si="16"/>
        <v/>
      </c>
      <c r="DG136" s="8" t="str">
        <f t="shared" si="17"/>
        <v/>
      </c>
      <c r="DH136" s="8" t="str">
        <f t="shared" si="18"/>
        <v/>
      </c>
      <c r="DI136" s="11" t="str">
        <f t="shared" si="19"/>
        <v/>
      </c>
    </row>
    <row r="137" spans="1:113">
      <c r="A137" s="7"/>
      <c r="B137" s="7"/>
      <c r="C137" s="8"/>
      <c r="D137" s="9"/>
      <c r="E137" s="10"/>
      <c r="F137" s="8"/>
      <c r="G137" s="8" t="str">
        <f>IF($B137="","",IF(COUNTIF('Competency Event Log'!$U$4:$U$803,$B137&amp;"|"&amp;G$5)=0,"",SUMIF('Competency Event Log'!$U$4:$U$803,$B137&amp;"|"&amp;G$5,'Competency Event Log'!$D$4:$D$803)))</f>
        <v/>
      </c>
      <c r="H137" s="8" t="str">
        <f>IF($B137="","",IF(COUNTIF('Competency Event Log'!$U$4:$U$803,$B137&amp;"|"&amp;H$5)=0,"",SUMIF('Competency Event Log'!$U$4:$U$803,$B137&amp;"|"&amp;H$5,'Competency Event Log'!$D$4:$D$803)))</f>
        <v/>
      </c>
      <c r="I137" s="8" t="str">
        <f>IF($B137="","",IF(COUNTIF('Competency Event Log'!$U$4:$U$803,$B137&amp;"|"&amp;I$5)=0,"",SUMIF('Competency Event Log'!$U$4:$U$803,$B137&amp;"|"&amp;I$5,'Competency Event Log'!$D$4:$D$803)))</f>
        <v/>
      </c>
      <c r="J137" s="8" t="str">
        <f>IF($B137="","",IF(COUNTIF('Competency Event Log'!$U$4:$U$803,$B137&amp;"|"&amp;J$5)=0,"",SUMIF('Competency Event Log'!$U$4:$U$803,$B137&amp;"|"&amp;J$5,'Competency Event Log'!$D$4:$D$803)))</f>
        <v/>
      </c>
      <c r="K137" s="8" t="str">
        <f>IF($B137="","",IF(COUNTIF('Competency Event Log'!$U$4:$U$803,$B137&amp;"|"&amp;K$5)=0,"",SUMIF('Competency Event Log'!$U$4:$U$803,$B137&amp;"|"&amp;K$5,'Competency Event Log'!$D$4:$D$803)))</f>
        <v/>
      </c>
      <c r="L137" s="8" t="str">
        <f>IF($B137="","",IF(COUNTIF('Competency Event Log'!$U$4:$U$803,$B137&amp;"|"&amp;L$5)=0,"",SUMIF('Competency Event Log'!$U$4:$U$803,$B137&amp;"|"&amp;L$5,'Competency Event Log'!$D$4:$D$803)))</f>
        <v/>
      </c>
      <c r="M137" s="8" t="str">
        <f>IF($B137="","",IF(COUNTIF('Competency Event Log'!$U$4:$U$803,$B137&amp;"|"&amp;M$5)=0,"",SUMIF('Competency Event Log'!$U$4:$U$803,$B137&amp;"|"&amp;M$5,'Competency Event Log'!$D$4:$D$803)))</f>
        <v/>
      </c>
      <c r="N137" s="8" t="str">
        <f>IF($B137="","",IF(COUNTIF('Competency Event Log'!$U$4:$U$803,$B137&amp;"|"&amp;N$5)=0,"",SUMIF('Competency Event Log'!$U$4:$U$803,$B137&amp;"|"&amp;N$5,'Competency Event Log'!$D$4:$D$803)))</f>
        <v/>
      </c>
      <c r="O137" s="8" t="str">
        <f>IF($B137="","",IF(COUNTIF('Competency Event Log'!$U$4:$U$803,$B137&amp;"|"&amp;O$5)=0,"",SUMIF('Competency Event Log'!$U$4:$U$803,$B137&amp;"|"&amp;O$5,'Competency Event Log'!$D$4:$D$803)))</f>
        <v/>
      </c>
      <c r="P137" s="8" t="str">
        <f>IF($B137="","",IF(COUNTIF('Competency Event Log'!$U$4:$U$803,$B137&amp;"|"&amp;P$5)=0,"",SUMIF('Competency Event Log'!$U$4:$U$803,$B137&amp;"|"&amp;P$5,'Competency Event Log'!$D$4:$D$803)))</f>
        <v/>
      </c>
      <c r="Q137" s="8" t="str">
        <f>IF($B137="","",IF(COUNTIF('Competency Event Log'!$U$4:$U$803,$B137&amp;"|"&amp;Q$5)=0,"",SUMIF('Competency Event Log'!$U$4:$U$803,$B137&amp;"|"&amp;Q$5,'Competency Event Log'!$D$4:$D$803)))</f>
        <v/>
      </c>
      <c r="R137" s="8" t="str">
        <f>IF($B137="","",IF(COUNTIF('Competency Event Log'!$U$4:$U$803,$B137&amp;"|"&amp;R$5)=0,"",SUMIF('Competency Event Log'!$U$4:$U$803,$B137&amp;"|"&amp;R$5,'Competency Event Log'!$D$4:$D$803)))</f>
        <v/>
      </c>
      <c r="S137" s="8" t="str">
        <f>IF($B137="","",IF(COUNTIF('Competency Event Log'!$U$4:$U$803,$B137&amp;"|"&amp;S$5)=0,"",SUMIF('Competency Event Log'!$U$4:$U$803,$B137&amp;"|"&amp;S$5,'Competency Event Log'!$D$4:$D$803)))</f>
        <v/>
      </c>
      <c r="T137" s="8" t="str">
        <f>IF($B137="","",IF(COUNTIF('Competency Event Log'!$U$4:$U$803,$B137&amp;"|"&amp;T$5)=0,"",SUMIF('Competency Event Log'!$U$4:$U$803,$B137&amp;"|"&amp;T$5,'Competency Event Log'!$D$4:$D$803)))</f>
        <v/>
      </c>
      <c r="U137" s="8" t="str">
        <f>IF($B137="","",IF(COUNTIF('Competency Event Log'!$U$4:$U$803,$B137&amp;"|"&amp;U$5)=0,"",SUMIF('Competency Event Log'!$U$4:$U$803,$B137&amp;"|"&amp;U$5,'Competency Event Log'!$D$4:$D$803)))</f>
        <v/>
      </c>
      <c r="V137" s="8" t="str">
        <f>IF($B137="","",IF(COUNTIF('Competency Event Log'!$U$4:$U$803,$B137&amp;"|"&amp;V$5)=0,"",SUMIF('Competency Event Log'!$U$4:$U$803,$B137&amp;"|"&amp;V$5,'Competency Event Log'!$D$4:$D$803)))</f>
        <v/>
      </c>
      <c r="W137" s="8" t="str">
        <f>IF($B137="","",IF(COUNTIF('Competency Event Log'!$U$4:$U$803,$B137&amp;"|"&amp;W$5)=0,"",SUMIF('Competency Event Log'!$U$4:$U$803,$B137&amp;"|"&amp;W$5,'Competency Event Log'!$D$4:$D$803)))</f>
        <v/>
      </c>
      <c r="X137" s="8" t="str">
        <f>IF($B137="","",IF(COUNTIF('Competency Event Log'!$U$4:$U$803,$B137&amp;"|"&amp;X$5)=0,"",SUMIF('Competency Event Log'!$U$4:$U$803,$B137&amp;"|"&amp;X$5,'Competency Event Log'!$D$4:$D$803)))</f>
        <v/>
      </c>
      <c r="Y137" s="8" t="str">
        <f>IF($B137="","",IF(COUNTIF('Competency Event Log'!$U$4:$U$803,$B137&amp;"|"&amp;Y$5)=0,"",SUMIF('Competency Event Log'!$U$4:$U$803,$B137&amp;"|"&amp;Y$5,'Competency Event Log'!$D$4:$D$803)))</f>
        <v/>
      </c>
      <c r="Z137" s="8" t="str">
        <f>IF($B137="","",IF(COUNTIF('Competency Event Log'!$U$4:$U$803,$B137&amp;"|"&amp;Z$5)=0,"",SUMIF('Competency Event Log'!$U$4:$U$803,$B137&amp;"|"&amp;Z$5,'Competency Event Log'!$D$4:$D$803)))</f>
        <v/>
      </c>
      <c r="AA137" s="8" t="str">
        <f>IF($B137="","",IF(COUNTIF('Competency Event Log'!$U$4:$U$803,$B137&amp;"|"&amp;AA$5)=0,"",SUMIF('Competency Event Log'!$U$4:$U$803,$B137&amp;"|"&amp;AA$5,'Competency Event Log'!$D$4:$D$803)))</f>
        <v/>
      </c>
      <c r="AB137" s="8" t="str">
        <f>IF($B137="","",IF(COUNTIF('Competency Event Log'!$U$4:$U$803,$B137&amp;"|"&amp;AB$5)=0,"",SUMIF('Competency Event Log'!$U$4:$U$803,$B137&amp;"|"&amp;AB$5,'Competency Event Log'!$D$4:$D$803)))</f>
        <v/>
      </c>
      <c r="AC137" s="8" t="str">
        <f>IF($B137="","",IF(COUNTIF('Competency Event Log'!$U$4:$U$803,$B137&amp;"|"&amp;AC$5)=0,"",SUMIF('Competency Event Log'!$U$4:$U$803,$B137&amp;"|"&amp;AC$5,'Competency Event Log'!$D$4:$D$803)))</f>
        <v/>
      </c>
      <c r="AD137" s="8" t="str">
        <f>IF($B137="","",IF(COUNTIF('Competency Event Log'!$U$4:$U$803,$B137&amp;"|"&amp;AD$5)=0,"",SUMIF('Competency Event Log'!$U$4:$U$803,$B137&amp;"|"&amp;AD$5,'Competency Event Log'!$D$4:$D$803)))</f>
        <v/>
      </c>
      <c r="AE137" s="8" t="str">
        <f>IF($B137="","",IF(COUNTIF('Competency Event Log'!$U$4:$U$803,$B137&amp;"|"&amp;AE$5)=0,"",SUMIF('Competency Event Log'!$U$4:$U$803,$B137&amp;"|"&amp;AE$5,'Competency Event Log'!$D$4:$D$803)))</f>
        <v/>
      </c>
      <c r="AF137" s="8" t="str">
        <f>IF($B137="","",IF(COUNTIF('Competency Event Log'!$U$4:$U$803,$B137&amp;"|"&amp;AF$5)=0,"",SUMIF('Competency Event Log'!$U$4:$U$803,$B137&amp;"|"&amp;AF$5,'Competency Event Log'!$D$4:$D$803)))</f>
        <v/>
      </c>
      <c r="AG137" s="8" t="str">
        <f>IF($B137="","",IF(COUNTIF('Competency Event Log'!$U$4:$U$803,$B137&amp;"|"&amp;AG$5)=0,"",SUMIF('Competency Event Log'!$U$4:$U$803,$B137&amp;"|"&amp;AG$5,'Competency Event Log'!$D$4:$D$803)))</f>
        <v/>
      </c>
      <c r="AH137" s="8" t="str">
        <f>IF($B137="","",IF(COUNTIF('Competency Event Log'!$U$4:$U$803,$B137&amp;"|"&amp;AH$5)=0,"",SUMIF('Competency Event Log'!$U$4:$U$803,$B137&amp;"|"&amp;AH$5,'Competency Event Log'!$D$4:$D$803)))</f>
        <v/>
      </c>
      <c r="AI137" s="8" t="str">
        <f>IF($B137="","",IF(COUNTIF('Competency Event Log'!$U$4:$U$803,$B137&amp;"|"&amp;AI$5)=0,"",SUMIF('Competency Event Log'!$U$4:$U$803,$B137&amp;"|"&amp;AI$5,'Competency Event Log'!$D$4:$D$803)))</f>
        <v/>
      </c>
      <c r="AJ137" s="8" t="str">
        <f>IF($B137="","",IF(COUNTIF('Competency Event Log'!$U$4:$U$803,$B137&amp;"|"&amp;AJ$5)=0,"",SUMIF('Competency Event Log'!$U$4:$U$803,$B137&amp;"|"&amp;AJ$5,'Competency Event Log'!$D$4:$D$803)))</f>
        <v/>
      </c>
      <c r="AK137" s="8" t="str">
        <f>IF($B137="","",IF(COUNTIF('Competency Event Log'!$U$4:$U$803,$B137&amp;"|"&amp;AK$5)=0,"",SUMIF('Competency Event Log'!$U$4:$U$803,$B137&amp;"|"&amp;AK$5,'Competency Event Log'!$D$4:$D$803)))</f>
        <v/>
      </c>
      <c r="AL137" s="8" t="str">
        <f>IF($B137="","",IF(COUNTIF('Competency Event Log'!$U$4:$U$803,$B137&amp;"|"&amp;AL$5)=0,"",SUMIF('Competency Event Log'!$U$4:$U$803,$B137&amp;"|"&amp;AL$5,'Competency Event Log'!$D$4:$D$803)))</f>
        <v/>
      </c>
      <c r="AM137" s="8" t="str">
        <f>IF($B137="","",IF(COUNTIF('Competency Event Log'!$U$4:$U$803,$B137&amp;"|"&amp;AM$5)=0,"",SUMIF('Competency Event Log'!$U$4:$U$803,$B137&amp;"|"&amp;AM$5,'Competency Event Log'!$D$4:$D$803)))</f>
        <v/>
      </c>
      <c r="AN137" s="8" t="str">
        <f>IF($B137="","",IF(COUNTIF('Competency Event Log'!$U$4:$U$803,$B137&amp;"|"&amp;AN$5)=0,"",SUMIF('Competency Event Log'!$U$4:$U$803,$B137&amp;"|"&amp;AN$5,'Competency Event Log'!$D$4:$D$803)))</f>
        <v/>
      </c>
      <c r="AO137" s="8" t="str">
        <f>IF($B137="","",IF(COUNTIF('Competency Event Log'!$U$4:$U$803,$B137&amp;"|"&amp;AO$5)=0,"",SUMIF('Competency Event Log'!$U$4:$U$803,$B137&amp;"|"&amp;AO$5,'Competency Event Log'!$D$4:$D$803)))</f>
        <v/>
      </c>
      <c r="AP137" s="8" t="str">
        <f>IF($B137="","",IF(COUNTIF('Competency Event Log'!$U$4:$U$803,$B137&amp;"|"&amp;AP$5)=0,"",SUMIF('Competency Event Log'!$U$4:$U$803,$B137&amp;"|"&amp;AP$5,'Competency Event Log'!$D$4:$D$803)))</f>
        <v/>
      </c>
      <c r="AQ137" s="8" t="str">
        <f>IF($B137="","",IF(COUNTIF('Competency Event Log'!$U$4:$U$803,$B137&amp;"|"&amp;AQ$5)=0,"",SUMIF('Competency Event Log'!$U$4:$U$803,$B137&amp;"|"&amp;AQ$5,'Competency Event Log'!$D$4:$D$803)))</f>
        <v/>
      </c>
      <c r="AR137" s="8" t="str">
        <f>IF($B137="","",IF(COUNTIF('Competency Event Log'!$U$4:$U$803,$B137&amp;"|"&amp;AR$5)=0,"",SUMIF('Competency Event Log'!$U$4:$U$803,$B137&amp;"|"&amp;AR$5,'Competency Event Log'!$D$4:$D$803)))</f>
        <v/>
      </c>
      <c r="AS137" s="8" t="str">
        <f>IF($B137="","",IF(COUNTIF('Competency Event Log'!$U$4:$U$803,$B137&amp;"|"&amp;AS$5)=0,"",SUMIF('Competency Event Log'!$U$4:$U$803,$B137&amp;"|"&amp;AS$5,'Competency Event Log'!$D$4:$D$803)))</f>
        <v/>
      </c>
      <c r="AT137" s="8" t="str">
        <f>IF($B137="","",IF(COUNTIF('Competency Event Log'!$U$4:$U$803,$B137&amp;"|"&amp;AT$5)=0,"",SUMIF('Competency Event Log'!$U$4:$U$803,$B137&amp;"|"&amp;AT$5,'Competency Event Log'!$D$4:$D$803)))</f>
        <v/>
      </c>
      <c r="AU137" s="8" t="str">
        <f>IF($B137="","",IF(COUNTIF('Competency Event Log'!$U$4:$U$803,$B137&amp;"|"&amp;AU$5)=0,"",SUMIF('Competency Event Log'!$U$4:$U$803,$B137&amp;"|"&amp;AU$5,'Competency Event Log'!$D$4:$D$803)))</f>
        <v/>
      </c>
      <c r="AV137" s="8" t="str">
        <f>IF($B137="","",IF(COUNTIF('Competency Event Log'!$U$4:$U$803,$B137&amp;"|"&amp;AV$5)=0,"",SUMIF('Competency Event Log'!$U$4:$U$803,$B137&amp;"|"&amp;AV$5,'Competency Event Log'!$D$4:$D$803)))</f>
        <v/>
      </c>
      <c r="AW137" s="8" t="str">
        <f>IF($B137="","",IF(COUNTIF('Competency Event Log'!$U$4:$U$803,$B137&amp;"|"&amp;AW$5)=0,"",SUMIF('Competency Event Log'!$U$4:$U$803,$B137&amp;"|"&amp;AW$5,'Competency Event Log'!$D$4:$D$803)))</f>
        <v/>
      </c>
      <c r="AX137" s="8" t="str">
        <f>IF($B137="","",IF(COUNTIF('Competency Event Log'!$U$4:$U$803,$B137&amp;"|"&amp;AX$5)=0,"",SUMIF('Competency Event Log'!$U$4:$U$803,$B137&amp;"|"&amp;AX$5,'Competency Event Log'!$D$4:$D$803)))</f>
        <v/>
      </c>
      <c r="AY137" s="8" t="str">
        <f>IF($B137="","",IF(COUNTIF('Competency Event Log'!$U$4:$U$803,$B137&amp;"|"&amp;AY$5)=0,"",SUMIF('Competency Event Log'!$U$4:$U$803,$B137&amp;"|"&amp;AY$5,'Competency Event Log'!$D$4:$D$803)))</f>
        <v/>
      </c>
      <c r="AZ137" s="8" t="str">
        <f>IF($B137="","",IF(COUNTIF('Competency Event Log'!$U$4:$U$803,$B137&amp;"|"&amp;AZ$5)=0,"",SUMIF('Competency Event Log'!$U$4:$U$803,$B137&amp;"|"&amp;AZ$5,'Competency Event Log'!$D$4:$D$803)))</f>
        <v/>
      </c>
      <c r="BA137" s="8" t="str">
        <f>IF($B137="","",IF(COUNTIF('Competency Event Log'!$U$4:$U$803,$B137&amp;"|"&amp;BA$5)=0,"",SUMIF('Competency Event Log'!$U$4:$U$803,$B137&amp;"|"&amp;BA$5,'Competency Event Log'!$D$4:$D$803)))</f>
        <v/>
      </c>
      <c r="BB137" s="8" t="str">
        <f>IF($B137="","",IF(COUNTIF('Competency Event Log'!$U$4:$U$803,$B137&amp;"|"&amp;BB$5)=0,"",SUMIF('Competency Event Log'!$U$4:$U$803,$B137&amp;"|"&amp;BB$5,'Competency Event Log'!$D$4:$D$803)))</f>
        <v/>
      </c>
      <c r="BC137" s="8" t="str">
        <f>IF($B137="","",IF(COUNTIF('Competency Event Log'!$U$4:$U$803,$B137&amp;"|"&amp;BC$5)=0,"",SUMIF('Competency Event Log'!$U$4:$U$803,$B137&amp;"|"&amp;BC$5,'Competency Event Log'!$D$4:$D$803)))</f>
        <v/>
      </c>
      <c r="BD137" s="8" t="str">
        <f>IF($B137="","",IF(COUNTIF('Competency Event Log'!$U$4:$U$803,$B137&amp;"|"&amp;BD$5)=0,"",SUMIF('Competency Event Log'!$U$4:$U$803,$B137&amp;"|"&amp;BD$5,'Competency Event Log'!$D$4:$D$803)))</f>
        <v/>
      </c>
      <c r="BE137" s="8" t="str">
        <f>IF($B137="","",IF(COUNTIF('Competency Event Log'!$U$4:$U$803,$B137&amp;"|"&amp;BE$5)=0,"",SUMIF('Competency Event Log'!$U$4:$U$803,$B137&amp;"|"&amp;BE$5,'Competency Event Log'!$D$4:$D$803)))</f>
        <v/>
      </c>
      <c r="BF137" s="8" t="str">
        <f>IF($B137="","",IF(COUNTIF('Competency Event Log'!$U$4:$U$803,$B137&amp;"|"&amp;BF$5)=0,"",SUMIF('Competency Event Log'!$U$4:$U$803,$B137&amp;"|"&amp;BF$5,'Competency Event Log'!$D$4:$D$803)))</f>
        <v/>
      </c>
      <c r="BG137" s="8" t="str">
        <f>IF($B137="","",IF(COUNTIF('Competency Event Log'!$U$4:$U$803,$B137&amp;"|"&amp;BG$5)=0,"",SUMIF('Competency Event Log'!$U$4:$U$803,$B137&amp;"|"&amp;BG$5,'Competency Event Log'!$D$4:$D$803)))</f>
        <v/>
      </c>
      <c r="BH137" s="8" t="str">
        <f>IF($B137="","",IF(COUNTIF('Competency Event Log'!$U$4:$U$803,$B137&amp;"|"&amp;BH$5)=0,"",SUMIF('Competency Event Log'!$U$4:$U$803,$B137&amp;"|"&amp;BH$5,'Competency Event Log'!$D$4:$D$803)))</f>
        <v/>
      </c>
      <c r="BI137" s="8" t="str">
        <f>IF($B137="","",IF(COUNTIF('Competency Event Log'!$U$4:$U$803,$B137&amp;"|"&amp;BI$5)=0,"",SUMIF('Competency Event Log'!$U$4:$U$803,$B137&amp;"|"&amp;BI$5,'Competency Event Log'!$D$4:$D$803)))</f>
        <v/>
      </c>
      <c r="BJ137" s="8" t="str">
        <f>IF($B137="","",IF(COUNTIF('Competency Event Log'!$U$4:$U$803,$B137&amp;"|"&amp;BJ$5)=0,"",SUMIF('Competency Event Log'!$U$4:$U$803,$B137&amp;"|"&amp;BJ$5,'Competency Event Log'!$D$4:$D$803)))</f>
        <v/>
      </c>
      <c r="BK137" s="8" t="str">
        <f>IF($B137="","",IF(COUNTIF('Competency Event Log'!$U$4:$U$803,$B137&amp;"|"&amp;BK$5)=0,"",SUMIF('Competency Event Log'!$U$4:$U$803,$B137&amp;"|"&amp;BK$5,'Competency Event Log'!$D$4:$D$803)))</f>
        <v/>
      </c>
      <c r="BL137" s="8" t="str">
        <f>IF($B137="","",IF(COUNTIF('Competency Event Log'!$U$4:$U$803,$B137&amp;"|"&amp;BL$5)=0,"",SUMIF('Competency Event Log'!$U$4:$U$803,$B137&amp;"|"&amp;BL$5,'Competency Event Log'!$D$4:$D$803)))</f>
        <v/>
      </c>
      <c r="BM137" s="8" t="str">
        <f>IF($B137="","",IF(COUNTIF('Competency Event Log'!$U$4:$U$803,$B137&amp;"|"&amp;BM$5)=0,"",SUMIF('Competency Event Log'!$U$4:$U$803,$B137&amp;"|"&amp;BM$5,'Competency Event Log'!$D$4:$D$803)))</f>
        <v/>
      </c>
      <c r="BN137" s="8" t="str">
        <f>IF($B137="","",IF(COUNTIF('Competency Event Log'!$U$4:$U$803,$B137&amp;"|"&amp;BN$5)=0,"",SUMIF('Competency Event Log'!$U$4:$U$803,$B137&amp;"|"&amp;BN$5,'Competency Event Log'!$D$4:$D$803)))</f>
        <v/>
      </c>
      <c r="BO137" s="8" t="str">
        <f>IF($B137="","",IF(COUNTIF('Competency Event Log'!$U$4:$U$803,$B137&amp;"|"&amp;BO$5)=0,"",SUMIF('Competency Event Log'!$U$4:$U$803,$B137&amp;"|"&amp;BO$5,'Competency Event Log'!$D$4:$D$803)))</f>
        <v/>
      </c>
      <c r="BP137" s="8" t="str">
        <f>IF($B137="","",IF(COUNTIF('Competency Event Log'!$U$4:$U$803,$B137&amp;"|"&amp;BP$5)=0,"",SUMIF('Competency Event Log'!$U$4:$U$803,$B137&amp;"|"&amp;BP$5,'Competency Event Log'!$D$4:$D$803)))</f>
        <v/>
      </c>
      <c r="BQ137" s="8" t="str">
        <f>IF($B137="","",IF(COUNTIF('Competency Event Log'!$U$4:$U$803,$B137&amp;"|"&amp;BQ$5)=0,"",SUMIF('Competency Event Log'!$U$4:$U$803,$B137&amp;"|"&amp;BQ$5,'Competency Event Log'!$D$4:$D$803)))</f>
        <v/>
      </c>
      <c r="BR137" s="8" t="str">
        <f>IF($B137="","",IF(COUNTIF('Competency Event Log'!$U$4:$U$803,$B137&amp;"|"&amp;BR$5)=0,"",SUMIF('Competency Event Log'!$U$4:$U$803,$B137&amp;"|"&amp;BR$5,'Competency Event Log'!$D$4:$D$803)))</f>
        <v/>
      </c>
      <c r="BS137" s="8" t="str">
        <f>IF($B137="","",IF(COUNTIF('Competency Event Log'!$U$4:$U$803,$B137&amp;"|"&amp;BS$5)=0,"",SUMIF('Competency Event Log'!$U$4:$U$803,$B137&amp;"|"&amp;BS$5,'Competency Event Log'!$D$4:$D$803)))</f>
        <v/>
      </c>
      <c r="BT137" s="8" t="str">
        <f>IF($B137="","",IF(COUNTIF('Competency Event Log'!$U$4:$U$803,$B137&amp;"|"&amp;BT$5)=0,"",SUMIF('Competency Event Log'!$U$4:$U$803,$B137&amp;"|"&amp;BT$5,'Competency Event Log'!$D$4:$D$803)))</f>
        <v/>
      </c>
      <c r="BU137" s="8" t="str">
        <f>IF($B137="","",IF(COUNTIF('Competency Event Log'!$U$4:$U$803,$B137&amp;"|"&amp;BU$5)=0,"",SUMIF('Competency Event Log'!$U$4:$U$803,$B137&amp;"|"&amp;BU$5,'Competency Event Log'!$D$4:$D$803)))</f>
        <v/>
      </c>
      <c r="BV137" s="8" t="str">
        <f>IF($B137="","",IF(COUNTIF('Competency Event Log'!$U$4:$U$803,$B137&amp;"|"&amp;BV$5)=0,"",SUMIF('Competency Event Log'!$U$4:$U$803,$B137&amp;"|"&amp;BV$5,'Competency Event Log'!$D$4:$D$803)))</f>
        <v/>
      </c>
      <c r="BW137" s="8" t="str">
        <f>IF($B137="","",IF(COUNTIF('Competency Event Log'!$U$4:$U$803,$B137&amp;"|"&amp;BW$5)=0,"",SUMIF('Competency Event Log'!$U$4:$U$803,$B137&amp;"|"&amp;BW$5,'Competency Event Log'!$D$4:$D$803)))</f>
        <v/>
      </c>
      <c r="BX137" s="8" t="str">
        <f>IF($B137="","",IF(COUNTIF('Competency Event Log'!$U$4:$U$803,$B137&amp;"|"&amp;BX$5)=0,"",SUMIF('Competency Event Log'!$U$4:$U$803,$B137&amp;"|"&amp;BX$5,'Competency Event Log'!$D$4:$D$803)))</f>
        <v/>
      </c>
      <c r="BY137" s="8" t="str">
        <f>IF($B137="","",IF(COUNTIF('Competency Event Log'!$U$4:$U$803,$B137&amp;"|"&amp;BY$5)=0,"",SUMIF('Competency Event Log'!$U$4:$U$803,$B137&amp;"|"&amp;BY$5,'Competency Event Log'!$D$4:$D$803)))</f>
        <v/>
      </c>
      <c r="BZ137" s="8" t="str">
        <f>IF($B137="","",IF(COUNTIF('Competency Event Log'!$U$4:$U$803,$B137&amp;"|"&amp;BZ$5)=0,"",SUMIF('Competency Event Log'!$U$4:$U$803,$B137&amp;"|"&amp;BZ$5,'Competency Event Log'!$D$4:$D$803)))</f>
        <v/>
      </c>
      <c r="CA137" s="8" t="str">
        <f>IF($B137="","",IF(COUNTIF('Competency Event Log'!$U$4:$U$803,$B137&amp;"|"&amp;CA$5)=0,"",SUMIF('Competency Event Log'!$U$4:$U$803,$B137&amp;"|"&amp;CA$5,'Competency Event Log'!$D$4:$D$803)))</f>
        <v/>
      </c>
      <c r="CB137" s="8" t="str">
        <f>IF($B137="","",IF(COUNTIF('Competency Event Log'!$U$4:$U$803,$B137&amp;"|"&amp;CB$5)=0,"",SUMIF('Competency Event Log'!$U$4:$U$803,$B137&amp;"|"&amp;CB$5,'Competency Event Log'!$D$4:$D$803)))</f>
        <v/>
      </c>
      <c r="CC137" s="8" t="str">
        <f>IF($B137="","",IF(COUNTIF('Competency Event Log'!$U$4:$U$803,$B137&amp;"|"&amp;CC$5)=0,"",SUMIF('Competency Event Log'!$U$4:$U$803,$B137&amp;"|"&amp;CC$5,'Competency Event Log'!$D$4:$D$803)))</f>
        <v/>
      </c>
      <c r="CD137" s="8" t="str">
        <f>IF($B137="","",IF(COUNTIF('Competency Event Log'!$U$4:$U$803,$B137&amp;"|"&amp;CD$5)=0,"",SUMIF('Competency Event Log'!$U$4:$U$803,$B137&amp;"|"&amp;CD$5,'Competency Event Log'!$D$4:$D$803)))</f>
        <v/>
      </c>
      <c r="CE137" s="8" t="str">
        <f>IF($B137="","",IF(COUNTIF('Competency Event Log'!$U$4:$U$803,$B137&amp;"|"&amp;CE$5)=0,"",SUMIF('Competency Event Log'!$U$4:$U$803,$B137&amp;"|"&amp;CE$5,'Competency Event Log'!$D$4:$D$803)))</f>
        <v/>
      </c>
      <c r="CF137" s="8" t="str">
        <f>IF($B137="","",IF(COUNTIF('Competency Event Log'!$U$4:$U$803,$B137&amp;"|"&amp;CF$5)=0,"",SUMIF('Competency Event Log'!$U$4:$U$803,$B137&amp;"|"&amp;CF$5,'Competency Event Log'!$D$4:$D$803)))</f>
        <v/>
      </c>
      <c r="CG137" s="8" t="str">
        <f>IF($B137="","",IF(COUNTIF('Competency Event Log'!$U$4:$U$803,$B137&amp;"|"&amp;CG$5)=0,"",SUMIF('Competency Event Log'!$U$4:$U$803,$B137&amp;"|"&amp;CG$5,'Competency Event Log'!$D$4:$D$803)))</f>
        <v/>
      </c>
      <c r="CH137" s="8" t="str">
        <f>IF($B137="","",IF(COUNTIF('Competency Event Log'!$U$4:$U$803,$B137&amp;"|"&amp;CH$5)=0,"",SUMIF('Competency Event Log'!$U$4:$U$803,$B137&amp;"|"&amp;CH$5,'Competency Event Log'!$D$4:$D$803)))</f>
        <v/>
      </c>
      <c r="CI137" s="8" t="str">
        <f>IF($B137="","",IF(COUNTIF('Competency Event Log'!$U$4:$U$803,$B137&amp;"|"&amp;CI$5)=0,"",SUMIF('Competency Event Log'!$U$4:$U$803,$B137&amp;"|"&amp;CI$5,'Competency Event Log'!$D$4:$D$803)))</f>
        <v/>
      </c>
      <c r="CJ137" s="8" t="str">
        <f>IF($B137="","",IF(COUNTIF('Competency Event Log'!$U$4:$U$803,$B137&amp;"|"&amp;CJ$5)=0,"",SUMIF('Competency Event Log'!$U$4:$U$803,$B137&amp;"|"&amp;CJ$5,'Competency Event Log'!$D$4:$D$803)))</f>
        <v/>
      </c>
      <c r="CK137" s="8" t="str">
        <f>IF($B137="","",IF(COUNTIF('Competency Event Log'!$U$4:$U$803,$B137&amp;"|"&amp;CK$5)=0,"",SUMIF('Competency Event Log'!$U$4:$U$803,$B137&amp;"|"&amp;CK$5,'Competency Event Log'!$D$4:$D$803)))</f>
        <v/>
      </c>
      <c r="CL137" s="8" t="str">
        <f>IF($B137="","",IF(COUNTIF('Competency Event Log'!$U$4:$U$803,$B137&amp;"|"&amp;CL$5)=0,"",SUMIF('Competency Event Log'!$U$4:$U$803,$B137&amp;"|"&amp;CL$5,'Competency Event Log'!$D$4:$D$803)))</f>
        <v/>
      </c>
      <c r="CM137" s="8" t="str">
        <f>IF($B137="","",IF(COUNTIF('Competency Event Log'!$U$4:$U$803,$B137&amp;"|"&amp;CM$5)=0,"",SUMIF('Competency Event Log'!$U$4:$U$803,$B137&amp;"|"&amp;CM$5,'Competency Event Log'!$D$4:$D$803)))</f>
        <v/>
      </c>
      <c r="CN137" s="8" t="str">
        <f>IF($B137="","",IF(COUNTIF('Competency Event Log'!$U$4:$U$803,$B137&amp;"|"&amp;CN$5)=0,"",SUMIF('Competency Event Log'!$U$4:$U$803,$B137&amp;"|"&amp;CN$5,'Competency Event Log'!$D$4:$D$803)))</f>
        <v/>
      </c>
      <c r="CO137" s="8" t="str">
        <f>IF($B137="","",IF(COUNTIF('Competency Event Log'!$U$4:$U$803,$B137&amp;"|"&amp;CO$5)=0,"",SUMIF('Competency Event Log'!$U$4:$U$803,$B137&amp;"|"&amp;CO$5,'Competency Event Log'!$D$4:$D$803)))</f>
        <v/>
      </c>
      <c r="CP137" s="8" t="str">
        <f>IF($B137="","",IF(COUNTIF('Competency Event Log'!$U$4:$U$803,$B137&amp;"|"&amp;CP$5)=0,"",SUMIF('Competency Event Log'!$U$4:$U$803,$B137&amp;"|"&amp;CP$5,'Competency Event Log'!$D$4:$D$803)))</f>
        <v/>
      </c>
      <c r="CQ137" s="8" t="str">
        <f>IF($B137="","",IF(COUNTIF('Competency Event Log'!$U$4:$U$803,$B137&amp;"|"&amp;CQ$5)=0,"",SUMIF('Competency Event Log'!$U$4:$U$803,$B137&amp;"|"&amp;CQ$5,'Competency Event Log'!$D$4:$D$803)))</f>
        <v/>
      </c>
      <c r="CR137" s="8" t="str">
        <f>IF($B137="","",IF(COUNTIF('Competency Event Log'!$U$4:$U$803,$B137&amp;"|"&amp;CR$5)=0,"",SUMIF('Competency Event Log'!$U$4:$U$803,$B137&amp;"|"&amp;CR$5,'Competency Event Log'!$D$4:$D$803)))</f>
        <v/>
      </c>
      <c r="CS137" s="8" t="str">
        <f>IF($B137="","",IF(COUNTIF('Competency Event Log'!$U$4:$U$803,$B137&amp;"|"&amp;CS$5)=0,"",SUMIF('Competency Event Log'!$U$4:$U$803,$B137&amp;"|"&amp;CS$5,'Competency Event Log'!$D$4:$D$803)))</f>
        <v/>
      </c>
      <c r="CT137" s="8" t="str">
        <f>IF($B137="","",IF(COUNTIF('Competency Event Log'!$U$4:$U$803,$B137&amp;"|"&amp;CT$5)=0,"",SUMIF('Competency Event Log'!$U$4:$U$803,$B137&amp;"|"&amp;CT$5,'Competency Event Log'!$D$4:$D$803)))</f>
        <v/>
      </c>
      <c r="CU137" s="8" t="str">
        <f>IF($B137="","",IF(COUNTIF('Competency Event Log'!$U$4:$U$803,$B137&amp;"|"&amp;CU$5)=0,"",SUMIF('Competency Event Log'!$U$4:$U$803,$B137&amp;"|"&amp;CU$5,'Competency Event Log'!$D$4:$D$803)))</f>
        <v/>
      </c>
      <c r="CV137" s="8" t="str">
        <f>IF($B137="","",IF(COUNTIF('Competency Event Log'!$U$4:$U$803,$B137&amp;"|"&amp;CV$5)=0,"",SUMIF('Competency Event Log'!$U$4:$U$803,$B137&amp;"|"&amp;CV$5,'Competency Event Log'!$D$4:$D$803)))</f>
        <v/>
      </c>
      <c r="CW137" s="8" t="str">
        <f>IF($B137="","",IF(COUNTIF('Competency Event Log'!$U$4:$U$803,$B137&amp;"|"&amp;CW$5)=0,"",SUMIF('Competency Event Log'!$U$4:$U$803,$B137&amp;"|"&amp;CW$5,'Competency Event Log'!$D$4:$D$803)))</f>
        <v/>
      </c>
      <c r="CX137" s="8" t="str">
        <f>IF($B137="","",IF(COUNTIF('Competency Event Log'!$U$4:$U$803,$B137&amp;"|"&amp;CX$5)=0,"",SUMIF('Competency Event Log'!$U$4:$U$803,$B137&amp;"|"&amp;CX$5,'Competency Event Log'!$D$4:$D$803)))</f>
        <v/>
      </c>
      <c r="CY137" s="8" t="str">
        <f>IF($B137="","",IF(COUNTIF('Competency Event Log'!$U$4:$U$803,$B137&amp;"|"&amp;CY$5)=0,"",SUMIF('Competency Event Log'!$U$4:$U$803,$B137&amp;"|"&amp;CY$5,'Competency Event Log'!$D$4:$D$803)))</f>
        <v/>
      </c>
      <c r="CZ137" s="8" t="str">
        <f>IF($B137="","",IF(COUNTIF('Competency Event Log'!$U$4:$U$803,$B137&amp;"|"&amp;CZ$5)=0,"",SUMIF('Competency Event Log'!$U$4:$U$803,$B137&amp;"|"&amp;CZ$5,'Competency Event Log'!$D$4:$D$803)))</f>
        <v/>
      </c>
      <c r="DA137" s="8" t="str">
        <f>IF($B137="","",IF(COUNTIF('Competency Event Log'!$U$4:$U$803,$B137&amp;"|"&amp;DA$5)=0,"",SUMIF('Competency Event Log'!$U$4:$U$803,$B137&amp;"|"&amp;DA$5,'Competency Event Log'!$D$4:$D$803)))</f>
        <v/>
      </c>
      <c r="DB137" s="8" t="str">
        <f>IF($B137="","",IF(COUNTIF('Competency Event Log'!$U$4:$U$803,$B137&amp;"|"&amp;DB$5)=0,"",SUMIF('Competency Event Log'!$U$4:$U$803,$B137&amp;"|"&amp;DB$5,'Competency Event Log'!$D$4:$D$803)))</f>
        <v/>
      </c>
      <c r="DC137" s="8" t="str">
        <f>IF($B137="","",IF(COUNTIF('Competency Event Log'!$U$4:$U$803,$B137&amp;"|"&amp;DC$5)=0,"",SUMIF('Competency Event Log'!$U$4:$U$803,$B137&amp;"|"&amp;DC$5,'Competency Event Log'!$D$4:$D$803)))</f>
        <v/>
      </c>
      <c r="DD137" s="8" t="str">
        <f>IF($B137="","",IF(COUNTIF('Competency Event Log'!$U$4:$U$803,$B137&amp;"|"&amp;DD$5)=0,"",SUMIF('Competency Event Log'!$U$4:$U$803,$B137&amp;"|"&amp;DD$5,'Competency Event Log'!$D$4:$D$803)))</f>
        <v/>
      </c>
      <c r="DE137" s="8" t="str">
        <f>IF($B137="","",IF(COUNTIF('Competency Event Log'!$U$4:$U$803,$B137&amp;"|"&amp;DE$5)=0,"",SUMIF('Competency Event Log'!$U$4:$U$803,$B137&amp;"|"&amp;DE$5,'Competency Event Log'!$D$4:$D$803)))</f>
        <v/>
      </c>
      <c r="DF137" s="8" t="str">
        <f t="shared" si="16"/>
        <v/>
      </c>
      <c r="DG137" s="8" t="str">
        <f t="shared" si="17"/>
        <v/>
      </c>
      <c r="DH137" s="8" t="str">
        <f t="shared" si="18"/>
        <v/>
      </c>
      <c r="DI137" s="11" t="str">
        <f t="shared" si="19"/>
        <v/>
      </c>
    </row>
    <row r="138" spans="1:113">
      <c r="A138" s="7"/>
      <c r="B138" s="7"/>
      <c r="C138" s="8"/>
      <c r="D138" s="9"/>
      <c r="E138" s="10"/>
      <c r="F138" s="8"/>
      <c r="G138" s="8" t="str">
        <f>IF($B138="","",IF(COUNTIF('Competency Event Log'!$U$4:$U$803,$B138&amp;"|"&amp;G$5)=0,"",SUMIF('Competency Event Log'!$U$4:$U$803,$B138&amp;"|"&amp;G$5,'Competency Event Log'!$D$4:$D$803)))</f>
        <v/>
      </c>
      <c r="H138" s="8" t="str">
        <f>IF($B138="","",IF(COUNTIF('Competency Event Log'!$U$4:$U$803,$B138&amp;"|"&amp;H$5)=0,"",SUMIF('Competency Event Log'!$U$4:$U$803,$B138&amp;"|"&amp;H$5,'Competency Event Log'!$D$4:$D$803)))</f>
        <v/>
      </c>
      <c r="I138" s="8" t="str">
        <f>IF($B138="","",IF(COUNTIF('Competency Event Log'!$U$4:$U$803,$B138&amp;"|"&amp;I$5)=0,"",SUMIF('Competency Event Log'!$U$4:$U$803,$B138&amp;"|"&amp;I$5,'Competency Event Log'!$D$4:$D$803)))</f>
        <v/>
      </c>
      <c r="J138" s="8" t="str">
        <f>IF($B138="","",IF(COUNTIF('Competency Event Log'!$U$4:$U$803,$B138&amp;"|"&amp;J$5)=0,"",SUMIF('Competency Event Log'!$U$4:$U$803,$B138&amp;"|"&amp;J$5,'Competency Event Log'!$D$4:$D$803)))</f>
        <v/>
      </c>
      <c r="K138" s="8" t="str">
        <f>IF($B138="","",IF(COUNTIF('Competency Event Log'!$U$4:$U$803,$B138&amp;"|"&amp;K$5)=0,"",SUMIF('Competency Event Log'!$U$4:$U$803,$B138&amp;"|"&amp;K$5,'Competency Event Log'!$D$4:$D$803)))</f>
        <v/>
      </c>
      <c r="L138" s="8" t="str">
        <f>IF($B138="","",IF(COUNTIF('Competency Event Log'!$U$4:$U$803,$B138&amp;"|"&amp;L$5)=0,"",SUMIF('Competency Event Log'!$U$4:$U$803,$B138&amp;"|"&amp;L$5,'Competency Event Log'!$D$4:$D$803)))</f>
        <v/>
      </c>
      <c r="M138" s="8" t="str">
        <f>IF($B138="","",IF(COUNTIF('Competency Event Log'!$U$4:$U$803,$B138&amp;"|"&amp;M$5)=0,"",SUMIF('Competency Event Log'!$U$4:$U$803,$B138&amp;"|"&amp;M$5,'Competency Event Log'!$D$4:$D$803)))</f>
        <v/>
      </c>
      <c r="N138" s="8" t="str">
        <f>IF($B138="","",IF(COUNTIF('Competency Event Log'!$U$4:$U$803,$B138&amp;"|"&amp;N$5)=0,"",SUMIF('Competency Event Log'!$U$4:$U$803,$B138&amp;"|"&amp;N$5,'Competency Event Log'!$D$4:$D$803)))</f>
        <v/>
      </c>
      <c r="O138" s="8" t="str">
        <f>IF($B138="","",IF(COUNTIF('Competency Event Log'!$U$4:$U$803,$B138&amp;"|"&amp;O$5)=0,"",SUMIF('Competency Event Log'!$U$4:$U$803,$B138&amp;"|"&amp;O$5,'Competency Event Log'!$D$4:$D$803)))</f>
        <v/>
      </c>
      <c r="P138" s="8" t="str">
        <f>IF($B138="","",IF(COUNTIF('Competency Event Log'!$U$4:$U$803,$B138&amp;"|"&amp;P$5)=0,"",SUMIF('Competency Event Log'!$U$4:$U$803,$B138&amp;"|"&amp;P$5,'Competency Event Log'!$D$4:$D$803)))</f>
        <v/>
      </c>
      <c r="Q138" s="8" t="str">
        <f>IF($B138="","",IF(COUNTIF('Competency Event Log'!$U$4:$U$803,$B138&amp;"|"&amp;Q$5)=0,"",SUMIF('Competency Event Log'!$U$4:$U$803,$B138&amp;"|"&amp;Q$5,'Competency Event Log'!$D$4:$D$803)))</f>
        <v/>
      </c>
      <c r="R138" s="8" t="str">
        <f>IF($B138="","",IF(COUNTIF('Competency Event Log'!$U$4:$U$803,$B138&amp;"|"&amp;R$5)=0,"",SUMIF('Competency Event Log'!$U$4:$U$803,$B138&amp;"|"&amp;R$5,'Competency Event Log'!$D$4:$D$803)))</f>
        <v/>
      </c>
      <c r="S138" s="8" t="str">
        <f>IF($B138="","",IF(COUNTIF('Competency Event Log'!$U$4:$U$803,$B138&amp;"|"&amp;S$5)=0,"",SUMIF('Competency Event Log'!$U$4:$U$803,$B138&amp;"|"&amp;S$5,'Competency Event Log'!$D$4:$D$803)))</f>
        <v/>
      </c>
      <c r="T138" s="8" t="str">
        <f>IF($B138="","",IF(COUNTIF('Competency Event Log'!$U$4:$U$803,$B138&amp;"|"&amp;T$5)=0,"",SUMIF('Competency Event Log'!$U$4:$U$803,$B138&amp;"|"&amp;T$5,'Competency Event Log'!$D$4:$D$803)))</f>
        <v/>
      </c>
      <c r="U138" s="8" t="str">
        <f>IF($B138="","",IF(COUNTIF('Competency Event Log'!$U$4:$U$803,$B138&amp;"|"&amp;U$5)=0,"",SUMIF('Competency Event Log'!$U$4:$U$803,$B138&amp;"|"&amp;U$5,'Competency Event Log'!$D$4:$D$803)))</f>
        <v/>
      </c>
      <c r="V138" s="8" t="str">
        <f>IF($B138="","",IF(COUNTIF('Competency Event Log'!$U$4:$U$803,$B138&amp;"|"&amp;V$5)=0,"",SUMIF('Competency Event Log'!$U$4:$U$803,$B138&amp;"|"&amp;V$5,'Competency Event Log'!$D$4:$D$803)))</f>
        <v/>
      </c>
      <c r="W138" s="8" t="str">
        <f>IF($B138="","",IF(COUNTIF('Competency Event Log'!$U$4:$U$803,$B138&amp;"|"&amp;W$5)=0,"",SUMIF('Competency Event Log'!$U$4:$U$803,$B138&amp;"|"&amp;W$5,'Competency Event Log'!$D$4:$D$803)))</f>
        <v/>
      </c>
      <c r="X138" s="8" t="str">
        <f>IF($B138="","",IF(COUNTIF('Competency Event Log'!$U$4:$U$803,$B138&amp;"|"&amp;X$5)=0,"",SUMIF('Competency Event Log'!$U$4:$U$803,$B138&amp;"|"&amp;X$5,'Competency Event Log'!$D$4:$D$803)))</f>
        <v/>
      </c>
      <c r="Y138" s="8" t="str">
        <f>IF($B138="","",IF(COUNTIF('Competency Event Log'!$U$4:$U$803,$B138&amp;"|"&amp;Y$5)=0,"",SUMIF('Competency Event Log'!$U$4:$U$803,$B138&amp;"|"&amp;Y$5,'Competency Event Log'!$D$4:$D$803)))</f>
        <v/>
      </c>
      <c r="Z138" s="8" t="str">
        <f>IF($B138="","",IF(COUNTIF('Competency Event Log'!$U$4:$U$803,$B138&amp;"|"&amp;Z$5)=0,"",SUMIF('Competency Event Log'!$U$4:$U$803,$B138&amp;"|"&amp;Z$5,'Competency Event Log'!$D$4:$D$803)))</f>
        <v/>
      </c>
      <c r="AA138" s="8" t="str">
        <f>IF($B138="","",IF(COUNTIF('Competency Event Log'!$U$4:$U$803,$B138&amp;"|"&amp;AA$5)=0,"",SUMIF('Competency Event Log'!$U$4:$U$803,$B138&amp;"|"&amp;AA$5,'Competency Event Log'!$D$4:$D$803)))</f>
        <v/>
      </c>
      <c r="AB138" s="8" t="str">
        <f>IF($B138="","",IF(COUNTIF('Competency Event Log'!$U$4:$U$803,$B138&amp;"|"&amp;AB$5)=0,"",SUMIF('Competency Event Log'!$U$4:$U$803,$B138&amp;"|"&amp;AB$5,'Competency Event Log'!$D$4:$D$803)))</f>
        <v/>
      </c>
      <c r="AC138" s="8" t="str">
        <f>IF($B138="","",IF(COUNTIF('Competency Event Log'!$U$4:$U$803,$B138&amp;"|"&amp;AC$5)=0,"",SUMIF('Competency Event Log'!$U$4:$U$803,$B138&amp;"|"&amp;AC$5,'Competency Event Log'!$D$4:$D$803)))</f>
        <v/>
      </c>
      <c r="AD138" s="8" t="str">
        <f>IF($B138="","",IF(COUNTIF('Competency Event Log'!$U$4:$U$803,$B138&amp;"|"&amp;AD$5)=0,"",SUMIF('Competency Event Log'!$U$4:$U$803,$B138&amp;"|"&amp;AD$5,'Competency Event Log'!$D$4:$D$803)))</f>
        <v/>
      </c>
      <c r="AE138" s="8" t="str">
        <f>IF($B138="","",IF(COUNTIF('Competency Event Log'!$U$4:$U$803,$B138&amp;"|"&amp;AE$5)=0,"",SUMIF('Competency Event Log'!$U$4:$U$803,$B138&amp;"|"&amp;AE$5,'Competency Event Log'!$D$4:$D$803)))</f>
        <v/>
      </c>
      <c r="AF138" s="8" t="str">
        <f>IF($B138="","",IF(COUNTIF('Competency Event Log'!$U$4:$U$803,$B138&amp;"|"&amp;AF$5)=0,"",SUMIF('Competency Event Log'!$U$4:$U$803,$B138&amp;"|"&amp;AF$5,'Competency Event Log'!$D$4:$D$803)))</f>
        <v/>
      </c>
      <c r="AG138" s="8" t="str">
        <f>IF($B138="","",IF(COUNTIF('Competency Event Log'!$U$4:$U$803,$B138&amp;"|"&amp;AG$5)=0,"",SUMIF('Competency Event Log'!$U$4:$U$803,$B138&amp;"|"&amp;AG$5,'Competency Event Log'!$D$4:$D$803)))</f>
        <v/>
      </c>
      <c r="AH138" s="8" t="str">
        <f>IF($B138="","",IF(COUNTIF('Competency Event Log'!$U$4:$U$803,$B138&amp;"|"&amp;AH$5)=0,"",SUMIF('Competency Event Log'!$U$4:$U$803,$B138&amp;"|"&amp;AH$5,'Competency Event Log'!$D$4:$D$803)))</f>
        <v/>
      </c>
      <c r="AI138" s="8" t="str">
        <f>IF($B138="","",IF(COUNTIF('Competency Event Log'!$U$4:$U$803,$B138&amp;"|"&amp;AI$5)=0,"",SUMIF('Competency Event Log'!$U$4:$U$803,$B138&amp;"|"&amp;AI$5,'Competency Event Log'!$D$4:$D$803)))</f>
        <v/>
      </c>
      <c r="AJ138" s="8" t="str">
        <f>IF($B138="","",IF(COUNTIF('Competency Event Log'!$U$4:$U$803,$B138&amp;"|"&amp;AJ$5)=0,"",SUMIF('Competency Event Log'!$U$4:$U$803,$B138&amp;"|"&amp;AJ$5,'Competency Event Log'!$D$4:$D$803)))</f>
        <v/>
      </c>
      <c r="AK138" s="8" t="str">
        <f>IF($B138="","",IF(COUNTIF('Competency Event Log'!$U$4:$U$803,$B138&amp;"|"&amp;AK$5)=0,"",SUMIF('Competency Event Log'!$U$4:$U$803,$B138&amp;"|"&amp;AK$5,'Competency Event Log'!$D$4:$D$803)))</f>
        <v/>
      </c>
      <c r="AL138" s="8" t="str">
        <f>IF($B138="","",IF(COUNTIF('Competency Event Log'!$U$4:$U$803,$B138&amp;"|"&amp;AL$5)=0,"",SUMIF('Competency Event Log'!$U$4:$U$803,$B138&amp;"|"&amp;AL$5,'Competency Event Log'!$D$4:$D$803)))</f>
        <v/>
      </c>
      <c r="AM138" s="8" t="str">
        <f>IF($B138="","",IF(COUNTIF('Competency Event Log'!$U$4:$U$803,$B138&amp;"|"&amp;AM$5)=0,"",SUMIF('Competency Event Log'!$U$4:$U$803,$B138&amp;"|"&amp;AM$5,'Competency Event Log'!$D$4:$D$803)))</f>
        <v/>
      </c>
      <c r="AN138" s="8" t="str">
        <f>IF($B138="","",IF(COUNTIF('Competency Event Log'!$U$4:$U$803,$B138&amp;"|"&amp;AN$5)=0,"",SUMIF('Competency Event Log'!$U$4:$U$803,$B138&amp;"|"&amp;AN$5,'Competency Event Log'!$D$4:$D$803)))</f>
        <v/>
      </c>
      <c r="AO138" s="8" t="str">
        <f>IF($B138="","",IF(COUNTIF('Competency Event Log'!$U$4:$U$803,$B138&amp;"|"&amp;AO$5)=0,"",SUMIF('Competency Event Log'!$U$4:$U$803,$B138&amp;"|"&amp;AO$5,'Competency Event Log'!$D$4:$D$803)))</f>
        <v/>
      </c>
      <c r="AP138" s="8" t="str">
        <f>IF($B138="","",IF(COUNTIF('Competency Event Log'!$U$4:$U$803,$B138&amp;"|"&amp;AP$5)=0,"",SUMIF('Competency Event Log'!$U$4:$U$803,$B138&amp;"|"&amp;AP$5,'Competency Event Log'!$D$4:$D$803)))</f>
        <v/>
      </c>
      <c r="AQ138" s="8" t="str">
        <f>IF($B138="","",IF(COUNTIF('Competency Event Log'!$U$4:$U$803,$B138&amp;"|"&amp;AQ$5)=0,"",SUMIF('Competency Event Log'!$U$4:$U$803,$B138&amp;"|"&amp;AQ$5,'Competency Event Log'!$D$4:$D$803)))</f>
        <v/>
      </c>
      <c r="AR138" s="8" t="str">
        <f>IF($B138="","",IF(COUNTIF('Competency Event Log'!$U$4:$U$803,$B138&amp;"|"&amp;AR$5)=0,"",SUMIF('Competency Event Log'!$U$4:$U$803,$B138&amp;"|"&amp;AR$5,'Competency Event Log'!$D$4:$D$803)))</f>
        <v/>
      </c>
      <c r="AS138" s="8" t="str">
        <f>IF($B138="","",IF(COUNTIF('Competency Event Log'!$U$4:$U$803,$B138&amp;"|"&amp;AS$5)=0,"",SUMIF('Competency Event Log'!$U$4:$U$803,$B138&amp;"|"&amp;AS$5,'Competency Event Log'!$D$4:$D$803)))</f>
        <v/>
      </c>
      <c r="AT138" s="8" t="str">
        <f>IF($B138="","",IF(COUNTIF('Competency Event Log'!$U$4:$U$803,$B138&amp;"|"&amp;AT$5)=0,"",SUMIF('Competency Event Log'!$U$4:$U$803,$B138&amp;"|"&amp;AT$5,'Competency Event Log'!$D$4:$D$803)))</f>
        <v/>
      </c>
      <c r="AU138" s="8" t="str">
        <f>IF($B138="","",IF(COUNTIF('Competency Event Log'!$U$4:$U$803,$B138&amp;"|"&amp;AU$5)=0,"",SUMIF('Competency Event Log'!$U$4:$U$803,$B138&amp;"|"&amp;AU$5,'Competency Event Log'!$D$4:$D$803)))</f>
        <v/>
      </c>
      <c r="AV138" s="8" t="str">
        <f>IF($B138="","",IF(COUNTIF('Competency Event Log'!$U$4:$U$803,$B138&amp;"|"&amp;AV$5)=0,"",SUMIF('Competency Event Log'!$U$4:$U$803,$B138&amp;"|"&amp;AV$5,'Competency Event Log'!$D$4:$D$803)))</f>
        <v/>
      </c>
      <c r="AW138" s="8" t="str">
        <f>IF($B138="","",IF(COUNTIF('Competency Event Log'!$U$4:$U$803,$B138&amp;"|"&amp;AW$5)=0,"",SUMIF('Competency Event Log'!$U$4:$U$803,$B138&amp;"|"&amp;AW$5,'Competency Event Log'!$D$4:$D$803)))</f>
        <v/>
      </c>
      <c r="AX138" s="8" t="str">
        <f>IF($B138="","",IF(COUNTIF('Competency Event Log'!$U$4:$U$803,$B138&amp;"|"&amp;AX$5)=0,"",SUMIF('Competency Event Log'!$U$4:$U$803,$B138&amp;"|"&amp;AX$5,'Competency Event Log'!$D$4:$D$803)))</f>
        <v/>
      </c>
      <c r="AY138" s="8" t="str">
        <f>IF($B138="","",IF(COUNTIF('Competency Event Log'!$U$4:$U$803,$B138&amp;"|"&amp;AY$5)=0,"",SUMIF('Competency Event Log'!$U$4:$U$803,$B138&amp;"|"&amp;AY$5,'Competency Event Log'!$D$4:$D$803)))</f>
        <v/>
      </c>
      <c r="AZ138" s="8" t="str">
        <f>IF($B138="","",IF(COUNTIF('Competency Event Log'!$U$4:$U$803,$B138&amp;"|"&amp;AZ$5)=0,"",SUMIF('Competency Event Log'!$U$4:$U$803,$B138&amp;"|"&amp;AZ$5,'Competency Event Log'!$D$4:$D$803)))</f>
        <v/>
      </c>
      <c r="BA138" s="8" t="str">
        <f>IF($B138="","",IF(COUNTIF('Competency Event Log'!$U$4:$U$803,$B138&amp;"|"&amp;BA$5)=0,"",SUMIF('Competency Event Log'!$U$4:$U$803,$B138&amp;"|"&amp;BA$5,'Competency Event Log'!$D$4:$D$803)))</f>
        <v/>
      </c>
      <c r="BB138" s="8" t="str">
        <f>IF($B138="","",IF(COUNTIF('Competency Event Log'!$U$4:$U$803,$B138&amp;"|"&amp;BB$5)=0,"",SUMIF('Competency Event Log'!$U$4:$U$803,$B138&amp;"|"&amp;BB$5,'Competency Event Log'!$D$4:$D$803)))</f>
        <v/>
      </c>
      <c r="BC138" s="8" t="str">
        <f>IF($B138="","",IF(COUNTIF('Competency Event Log'!$U$4:$U$803,$B138&amp;"|"&amp;BC$5)=0,"",SUMIF('Competency Event Log'!$U$4:$U$803,$B138&amp;"|"&amp;BC$5,'Competency Event Log'!$D$4:$D$803)))</f>
        <v/>
      </c>
      <c r="BD138" s="8" t="str">
        <f>IF($B138="","",IF(COUNTIF('Competency Event Log'!$U$4:$U$803,$B138&amp;"|"&amp;BD$5)=0,"",SUMIF('Competency Event Log'!$U$4:$U$803,$B138&amp;"|"&amp;BD$5,'Competency Event Log'!$D$4:$D$803)))</f>
        <v/>
      </c>
      <c r="BE138" s="8" t="str">
        <f>IF($B138="","",IF(COUNTIF('Competency Event Log'!$U$4:$U$803,$B138&amp;"|"&amp;BE$5)=0,"",SUMIF('Competency Event Log'!$U$4:$U$803,$B138&amp;"|"&amp;BE$5,'Competency Event Log'!$D$4:$D$803)))</f>
        <v/>
      </c>
      <c r="BF138" s="8" t="str">
        <f>IF($B138="","",IF(COUNTIF('Competency Event Log'!$U$4:$U$803,$B138&amp;"|"&amp;BF$5)=0,"",SUMIF('Competency Event Log'!$U$4:$U$803,$B138&amp;"|"&amp;BF$5,'Competency Event Log'!$D$4:$D$803)))</f>
        <v/>
      </c>
      <c r="BG138" s="8" t="str">
        <f>IF($B138="","",IF(COUNTIF('Competency Event Log'!$U$4:$U$803,$B138&amp;"|"&amp;BG$5)=0,"",SUMIF('Competency Event Log'!$U$4:$U$803,$B138&amp;"|"&amp;BG$5,'Competency Event Log'!$D$4:$D$803)))</f>
        <v/>
      </c>
      <c r="BH138" s="8" t="str">
        <f>IF($B138="","",IF(COUNTIF('Competency Event Log'!$U$4:$U$803,$B138&amp;"|"&amp;BH$5)=0,"",SUMIF('Competency Event Log'!$U$4:$U$803,$B138&amp;"|"&amp;BH$5,'Competency Event Log'!$D$4:$D$803)))</f>
        <v/>
      </c>
      <c r="BI138" s="8" t="str">
        <f>IF($B138="","",IF(COUNTIF('Competency Event Log'!$U$4:$U$803,$B138&amp;"|"&amp;BI$5)=0,"",SUMIF('Competency Event Log'!$U$4:$U$803,$B138&amp;"|"&amp;BI$5,'Competency Event Log'!$D$4:$D$803)))</f>
        <v/>
      </c>
      <c r="BJ138" s="8" t="str">
        <f>IF($B138="","",IF(COUNTIF('Competency Event Log'!$U$4:$U$803,$B138&amp;"|"&amp;BJ$5)=0,"",SUMIF('Competency Event Log'!$U$4:$U$803,$B138&amp;"|"&amp;BJ$5,'Competency Event Log'!$D$4:$D$803)))</f>
        <v/>
      </c>
      <c r="BK138" s="8" t="str">
        <f>IF($B138="","",IF(COUNTIF('Competency Event Log'!$U$4:$U$803,$B138&amp;"|"&amp;BK$5)=0,"",SUMIF('Competency Event Log'!$U$4:$U$803,$B138&amp;"|"&amp;BK$5,'Competency Event Log'!$D$4:$D$803)))</f>
        <v/>
      </c>
      <c r="BL138" s="8" t="str">
        <f>IF($B138="","",IF(COUNTIF('Competency Event Log'!$U$4:$U$803,$B138&amp;"|"&amp;BL$5)=0,"",SUMIF('Competency Event Log'!$U$4:$U$803,$B138&amp;"|"&amp;BL$5,'Competency Event Log'!$D$4:$D$803)))</f>
        <v/>
      </c>
      <c r="BM138" s="8" t="str">
        <f>IF($B138="","",IF(COUNTIF('Competency Event Log'!$U$4:$U$803,$B138&amp;"|"&amp;BM$5)=0,"",SUMIF('Competency Event Log'!$U$4:$U$803,$B138&amp;"|"&amp;BM$5,'Competency Event Log'!$D$4:$D$803)))</f>
        <v/>
      </c>
      <c r="BN138" s="8" t="str">
        <f>IF($B138="","",IF(COUNTIF('Competency Event Log'!$U$4:$U$803,$B138&amp;"|"&amp;BN$5)=0,"",SUMIF('Competency Event Log'!$U$4:$U$803,$B138&amp;"|"&amp;BN$5,'Competency Event Log'!$D$4:$D$803)))</f>
        <v/>
      </c>
      <c r="BO138" s="8" t="str">
        <f>IF($B138="","",IF(COUNTIF('Competency Event Log'!$U$4:$U$803,$B138&amp;"|"&amp;BO$5)=0,"",SUMIF('Competency Event Log'!$U$4:$U$803,$B138&amp;"|"&amp;BO$5,'Competency Event Log'!$D$4:$D$803)))</f>
        <v/>
      </c>
      <c r="BP138" s="8" t="str">
        <f>IF($B138="","",IF(COUNTIF('Competency Event Log'!$U$4:$U$803,$B138&amp;"|"&amp;BP$5)=0,"",SUMIF('Competency Event Log'!$U$4:$U$803,$B138&amp;"|"&amp;BP$5,'Competency Event Log'!$D$4:$D$803)))</f>
        <v/>
      </c>
      <c r="BQ138" s="8" t="str">
        <f>IF($B138="","",IF(COUNTIF('Competency Event Log'!$U$4:$U$803,$B138&amp;"|"&amp;BQ$5)=0,"",SUMIF('Competency Event Log'!$U$4:$U$803,$B138&amp;"|"&amp;BQ$5,'Competency Event Log'!$D$4:$D$803)))</f>
        <v/>
      </c>
      <c r="BR138" s="8" t="str">
        <f>IF($B138="","",IF(COUNTIF('Competency Event Log'!$U$4:$U$803,$B138&amp;"|"&amp;BR$5)=0,"",SUMIF('Competency Event Log'!$U$4:$U$803,$B138&amp;"|"&amp;BR$5,'Competency Event Log'!$D$4:$D$803)))</f>
        <v/>
      </c>
      <c r="BS138" s="8" t="str">
        <f>IF($B138="","",IF(COUNTIF('Competency Event Log'!$U$4:$U$803,$B138&amp;"|"&amp;BS$5)=0,"",SUMIF('Competency Event Log'!$U$4:$U$803,$B138&amp;"|"&amp;BS$5,'Competency Event Log'!$D$4:$D$803)))</f>
        <v/>
      </c>
      <c r="BT138" s="8" t="str">
        <f>IF($B138="","",IF(COUNTIF('Competency Event Log'!$U$4:$U$803,$B138&amp;"|"&amp;BT$5)=0,"",SUMIF('Competency Event Log'!$U$4:$U$803,$B138&amp;"|"&amp;BT$5,'Competency Event Log'!$D$4:$D$803)))</f>
        <v/>
      </c>
      <c r="BU138" s="8" t="str">
        <f>IF($B138="","",IF(COUNTIF('Competency Event Log'!$U$4:$U$803,$B138&amp;"|"&amp;BU$5)=0,"",SUMIF('Competency Event Log'!$U$4:$U$803,$B138&amp;"|"&amp;BU$5,'Competency Event Log'!$D$4:$D$803)))</f>
        <v/>
      </c>
      <c r="BV138" s="8" t="str">
        <f>IF($B138="","",IF(COUNTIF('Competency Event Log'!$U$4:$U$803,$B138&amp;"|"&amp;BV$5)=0,"",SUMIF('Competency Event Log'!$U$4:$U$803,$B138&amp;"|"&amp;BV$5,'Competency Event Log'!$D$4:$D$803)))</f>
        <v/>
      </c>
      <c r="BW138" s="8" t="str">
        <f>IF($B138="","",IF(COUNTIF('Competency Event Log'!$U$4:$U$803,$B138&amp;"|"&amp;BW$5)=0,"",SUMIF('Competency Event Log'!$U$4:$U$803,$B138&amp;"|"&amp;BW$5,'Competency Event Log'!$D$4:$D$803)))</f>
        <v/>
      </c>
      <c r="BX138" s="8" t="str">
        <f>IF($B138="","",IF(COUNTIF('Competency Event Log'!$U$4:$U$803,$B138&amp;"|"&amp;BX$5)=0,"",SUMIF('Competency Event Log'!$U$4:$U$803,$B138&amp;"|"&amp;BX$5,'Competency Event Log'!$D$4:$D$803)))</f>
        <v/>
      </c>
      <c r="BY138" s="8" t="str">
        <f>IF($B138="","",IF(COUNTIF('Competency Event Log'!$U$4:$U$803,$B138&amp;"|"&amp;BY$5)=0,"",SUMIF('Competency Event Log'!$U$4:$U$803,$B138&amp;"|"&amp;BY$5,'Competency Event Log'!$D$4:$D$803)))</f>
        <v/>
      </c>
      <c r="BZ138" s="8" t="str">
        <f>IF($B138="","",IF(COUNTIF('Competency Event Log'!$U$4:$U$803,$B138&amp;"|"&amp;BZ$5)=0,"",SUMIF('Competency Event Log'!$U$4:$U$803,$B138&amp;"|"&amp;BZ$5,'Competency Event Log'!$D$4:$D$803)))</f>
        <v/>
      </c>
      <c r="CA138" s="8" t="str">
        <f>IF($B138="","",IF(COUNTIF('Competency Event Log'!$U$4:$U$803,$B138&amp;"|"&amp;CA$5)=0,"",SUMIF('Competency Event Log'!$U$4:$U$803,$B138&amp;"|"&amp;CA$5,'Competency Event Log'!$D$4:$D$803)))</f>
        <v/>
      </c>
      <c r="CB138" s="8" t="str">
        <f>IF($B138="","",IF(COUNTIF('Competency Event Log'!$U$4:$U$803,$B138&amp;"|"&amp;CB$5)=0,"",SUMIF('Competency Event Log'!$U$4:$U$803,$B138&amp;"|"&amp;CB$5,'Competency Event Log'!$D$4:$D$803)))</f>
        <v/>
      </c>
      <c r="CC138" s="8" t="str">
        <f>IF($B138="","",IF(COUNTIF('Competency Event Log'!$U$4:$U$803,$B138&amp;"|"&amp;CC$5)=0,"",SUMIF('Competency Event Log'!$U$4:$U$803,$B138&amp;"|"&amp;CC$5,'Competency Event Log'!$D$4:$D$803)))</f>
        <v/>
      </c>
      <c r="CD138" s="8" t="str">
        <f>IF($B138="","",IF(COUNTIF('Competency Event Log'!$U$4:$U$803,$B138&amp;"|"&amp;CD$5)=0,"",SUMIF('Competency Event Log'!$U$4:$U$803,$B138&amp;"|"&amp;CD$5,'Competency Event Log'!$D$4:$D$803)))</f>
        <v/>
      </c>
      <c r="CE138" s="8" t="str">
        <f>IF($B138="","",IF(COUNTIF('Competency Event Log'!$U$4:$U$803,$B138&amp;"|"&amp;CE$5)=0,"",SUMIF('Competency Event Log'!$U$4:$U$803,$B138&amp;"|"&amp;CE$5,'Competency Event Log'!$D$4:$D$803)))</f>
        <v/>
      </c>
      <c r="CF138" s="8" t="str">
        <f>IF($B138="","",IF(COUNTIF('Competency Event Log'!$U$4:$U$803,$B138&amp;"|"&amp;CF$5)=0,"",SUMIF('Competency Event Log'!$U$4:$U$803,$B138&amp;"|"&amp;CF$5,'Competency Event Log'!$D$4:$D$803)))</f>
        <v/>
      </c>
      <c r="CG138" s="8" t="str">
        <f>IF($B138="","",IF(COUNTIF('Competency Event Log'!$U$4:$U$803,$B138&amp;"|"&amp;CG$5)=0,"",SUMIF('Competency Event Log'!$U$4:$U$803,$B138&amp;"|"&amp;CG$5,'Competency Event Log'!$D$4:$D$803)))</f>
        <v/>
      </c>
      <c r="CH138" s="8" t="str">
        <f>IF($B138="","",IF(COUNTIF('Competency Event Log'!$U$4:$U$803,$B138&amp;"|"&amp;CH$5)=0,"",SUMIF('Competency Event Log'!$U$4:$U$803,$B138&amp;"|"&amp;CH$5,'Competency Event Log'!$D$4:$D$803)))</f>
        <v/>
      </c>
      <c r="CI138" s="8" t="str">
        <f>IF($B138="","",IF(COUNTIF('Competency Event Log'!$U$4:$U$803,$B138&amp;"|"&amp;CI$5)=0,"",SUMIF('Competency Event Log'!$U$4:$U$803,$B138&amp;"|"&amp;CI$5,'Competency Event Log'!$D$4:$D$803)))</f>
        <v/>
      </c>
      <c r="CJ138" s="8" t="str">
        <f>IF($B138="","",IF(COUNTIF('Competency Event Log'!$U$4:$U$803,$B138&amp;"|"&amp;CJ$5)=0,"",SUMIF('Competency Event Log'!$U$4:$U$803,$B138&amp;"|"&amp;CJ$5,'Competency Event Log'!$D$4:$D$803)))</f>
        <v/>
      </c>
      <c r="CK138" s="8" t="str">
        <f>IF($B138="","",IF(COUNTIF('Competency Event Log'!$U$4:$U$803,$B138&amp;"|"&amp;CK$5)=0,"",SUMIF('Competency Event Log'!$U$4:$U$803,$B138&amp;"|"&amp;CK$5,'Competency Event Log'!$D$4:$D$803)))</f>
        <v/>
      </c>
      <c r="CL138" s="8" t="str">
        <f>IF($B138="","",IF(COUNTIF('Competency Event Log'!$U$4:$U$803,$B138&amp;"|"&amp;CL$5)=0,"",SUMIF('Competency Event Log'!$U$4:$U$803,$B138&amp;"|"&amp;CL$5,'Competency Event Log'!$D$4:$D$803)))</f>
        <v/>
      </c>
      <c r="CM138" s="8" t="str">
        <f>IF($B138="","",IF(COUNTIF('Competency Event Log'!$U$4:$U$803,$B138&amp;"|"&amp;CM$5)=0,"",SUMIF('Competency Event Log'!$U$4:$U$803,$B138&amp;"|"&amp;CM$5,'Competency Event Log'!$D$4:$D$803)))</f>
        <v/>
      </c>
      <c r="CN138" s="8" t="str">
        <f>IF($B138="","",IF(COUNTIF('Competency Event Log'!$U$4:$U$803,$B138&amp;"|"&amp;CN$5)=0,"",SUMIF('Competency Event Log'!$U$4:$U$803,$B138&amp;"|"&amp;CN$5,'Competency Event Log'!$D$4:$D$803)))</f>
        <v/>
      </c>
      <c r="CO138" s="8" t="str">
        <f>IF($B138="","",IF(COUNTIF('Competency Event Log'!$U$4:$U$803,$B138&amp;"|"&amp;CO$5)=0,"",SUMIF('Competency Event Log'!$U$4:$U$803,$B138&amp;"|"&amp;CO$5,'Competency Event Log'!$D$4:$D$803)))</f>
        <v/>
      </c>
      <c r="CP138" s="8" t="str">
        <f>IF($B138="","",IF(COUNTIF('Competency Event Log'!$U$4:$U$803,$B138&amp;"|"&amp;CP$5)=0,"",SUMIF('Competency Event Log'!$U$4:$U$803,$B138&amp;"|"&amp;CP$5,'Competency Event Log'!$D$4:$D$803)))</f>
        <v/>
      </c>
      <c r="CQ138" s="8" t="str">
        <f>IF($B138="","",IF(COUNTIF('Competency Event Log'!$U$4:$U$803,$B138&amp;"|"&amp;CQ$5)=0,"",SUMIF('Competency Event Log'!$U$4:$U$803,$B138&amp;"|"&amp;CQ$5,'Competency Event Log'!$D$4:$D$803)))</f>
        <v/>
      </c>
      <c r="CR138" s="8" t="str">
        <f>IF($B138="","",IF(COUNTIF('Competency Event Log'!$U$4:$U$803,$B138&amp;"|"&amp;CR$5)=0,"",SUMIF('Competency Event Log'!$U$4:$U$803,$B138&amp;"|"&amp;CR$5,'Competency Event Log'!$D$4:$D$803)))</f>
        <v/>
      </c>
      <c r="CS138" s="8" t="str">
        <f>IF($B138="","",IF(COUNTIF('Competency Event Log'!$U$4:$U$803,$B138&amp;"|"&amp;CS$5)=0,"",SUMIF('Competency Event Log'!$U$4:$U$803,$B138&amp;"|"&amp;CS$5,'Competency Event Log'!$D$4:$D$803)))</f>
        <v/>
      </c>
      <c r="CT138" s="8" t="str">
        <f>IF($B138="","",IF(COUNTIF('Competency Event Log'!$U$4:$U$803,$B138&amp;"|"&amp;CT$5)=0,"",SUMIF('Competency Event Log'!$U$4:$U$803,$B138&amp;"|"&amp;CT$5,'Competency Event Log'!$D$4:$D$803)))</f>
        <v/>
      </c>
      <c r="CU138" s="8" t="str">
        <f>IF($B138="","",IF(COUNTIF('Competency Event Log'!$U$4:$U$803,$B138&amp;"|"&amp;CU$5)=0,"",SUMIF('Competency Event Log'!$U$4:$U$803,$B138&amp;"|"&amp;CU$5,'Competency Event Log'!$D$4:$D$803)))</f>
        <v/>
      </c>
      <c r="CV138" s="8" t="str">
        <f>IF($B138="","",IF(COUNTIF('Competency Event Log'!$U$4:$U$803,$B138&amp;"|"&amp;CV$5)=0,"",SUMIF('Competency Event Log'!$U$4:$U$803,$B138&amp;"|"&amp;CV$5,'Competency Event Log'!$D$4:$D$803)))</f>
        <v/>
      </c>
      <c r="CW138" s="8" t="str">
        <f>IF($B138="","",IF(COUNTIF('Competency Event Log'!$U$4:$U$803,$B138&amp;"|"&amp;CW$5)=0,"",SUMIF('Competency Event Log'!$U$4:$U$803,$B138&amp;"|"&amp;CW$5,'Competency Event Log'!$D$4:$D$803)))</f>
        <v/>
      </c>
      <c r="CX138" s="8" t="str">
        <f>IF($B138="","",IF(COUNTIF('Competency Event Log'!$U$4:$U$803,$B138&amp;"|"&amp;CX$5)=0,"",SUMIF('Competency Event Log'!$U$4:$U$803,$B138&amp;"|"&amp;CX$5,'Competency Event Log'!$D$4:$D$803)))</f>
        <v/>
      </c>
      <c r="CY138" s="8" t="str">
        <f>IF($B138="","",IF(COUNTIF('Competency Event Log'!$U$4:$U$803,$B138&amp;"|"&amp;CY$5)=0,"",SUMIF('Competency Event Log'!$U$4:$U$803,$B138&amp;"|"&amp;CY$5,'Competency Event Log'!$D$4:$D$803)))</f>
        <v/>
      </c>
      <c r="CZ138" s="8" t="str">
        <f>IF($B138="","",IF(COUNTIF('Competency Event Log'!$U$4:$U$803,$B138&amp;"|"&amp;CZ$5)=0,"",SUMIF('Competency Event Log'!$U$4:$U$803,$B138&amp;"|"&amp;CZ$5,'Competency Event Log'!$D$4:$D$803)))</f>
        <v/>
      </c>
      <c r="DA138" s="8" t="str">
        <f>IF($B138="","",IF(COUNTIF('Competency Event Log'!$U$4:$U$803,$B138&amp;"|"&amp;DA$5)=0,"",SUMIF('Competency Event Log'!$U$4:$U$803,$B138&amp;"|"&amp;DA$5,'Competency Event Log'!$D$4:$D$803)))</f>
        <v/>
      </c>
      <c r="DB138" s="8" t="str">
        <f>IF($B138="","",IF(COUNTIF('Competency Event Log'!$U$4:$U$803,$B138&amp;"|"&amp;DB$5)=0,"",SUMIF('Competency Event Log'!$U$4:$U$803,$B138&amp;"|"&amp;DB$5,'Competency Event Log'!$D$4:$D$803)))</f>
        <v/>
      </c>
      <c r="DC138" s="8" t="str">
        <f>IF($B138="","",IF(COUNTIF('Competency Event Log'!$U$4:$U$803,$B138&amp;"|"&amp;DC$5)=0,"",SUMIF('Competency Event Log'!$U$4:$U$803,$B138&amp;"|"&amp;DC$5,'Competency Event Log'!$D$4:$D$803)))</f>
        <v/>
      </c>
      <c r="DD138" s="8" t="str">
        <f>IF($B138="","",IF(COUNTIF('Competency Event Log'!$U$4:$U$803,$B138&amp;"|"&amp;DD$5)=0,"",SUMIF('Competency Event Log'!$U$4:$U$803,$B138&amp;"|"&amp;DD$5,'Competency Event Log'!$D$4:$D$803)))</f>
        <v/>
      </c>
      <c r="DE138" s="8" t="str">
        <f>IF($B138="","",IF(COUNTIF('Competency Event Log'!$U$4:$U$803,$B138&amp;"|"&amp;DE$5)=0,"",SUMIF('Competency Event Log'!$U$4:$U$803,$B138&amp;"|"&amp;DE$5,'Competency Event Log'!$D$4:$D$803)))</f>
        <v/>
      </c>
      <c r="DF138" s="8" t="str">
        <f t="shared" si="16"/>
        <v/>
      </c>
      <c r="DG138" s="8" t="str">
        <f t="shared" si="17"/>
        <v/>
      </c>
      <c r="DH138" s="8" t="str">
        <f t="shared" si="18"/>
        <v/>
      </c>
      <c r="DI138" s="11" t="str">
        <f t="shared" si="19"/>
        <v/>
      </c>
    </row>
    <row r="139" spans="1:113">
      <c r="A139" s="7"/>
      <c r="B139" s="7"/>
      <c r="C139" s="8"/>
      <c r="D139" s="9"/>
      <c r="E139" s="10"/>
      <c r="F139" s="8"/>
      <c r="G139" s="8" t="str">
        <f>IF($B139="","",IF(COUNTIF('Competency Event Log'!$U$4:$U$803,$B139&amp;"|"&amp;G$5)=0,"",SUMIF('Competency Event Log'!$U$4:$U$803,$B139&amp;"|"&amp;G$5,'Competency Event Log'!$D$4:$D$803)))</f>
        <v/>
      </c>
      <c r="H139" s="8" t="str">
        <f>IF($B139="","",IF(COUNTIF('Competency Event Log'!$U$4:$U$803,$B139&amp;"|"&amp;H$5)=0,"",SUMIF('Competency Event Log'!$U$4:$U$803,$B139&amp;"|"&amp;H$5,'Competency Event Log'!$D$4:$D$803)))</f>
        <v/>
      </c>
      <c r="I139" s="8" t="str">
        <f>IF($B139="","",IF(COUNTIF('Competency Event Log'!$U$4:$U$803,$B139&amp;"|"&amp;I$5)=0,"",SUMIF('Competency Event Log'!$U$4:$U$803,$B139&amp;"|"&amp;I$5,'Competency Event Log'!$D$4:$D$803)))</f>
        <v/>
      </c>
      <c r="J139" s="8" t="str">
        <f>IF($B139="","",IF(COUNTIF('Competency Event Log'!$U$4:$U$803,$B139&amp;"|"&amp;J$5)=0,"",SUMIF('Competency Event Log'!$U$4:$U$803,$B139&amp;"|"&amp;J$5,'Competency Event Log'!$D$4:$D$803)))</f>
        <v/>
      </c>
      <c r="K139" s="8" t="str">
        <f>IF($B139="","",IF(COUNTIF('Competency Event Log'!$U$4:$U$803,$B139&amp;"|"&amp;K$5)=0,"",SUMIF('Competency Event Log'!$U$4:$U$803,$B139&amp;"|"&amp;K$5,'Competency Event Log'!$D$4:$D$803)))</f>
        <v/>
      </c>
      <c r="L139" s="8" t="str">
        <f>IF($B139="","",IF(COUNTIF('Competency Event Log'!$U$4:$U$803,$B139&amp;"|"&amp;L$5)=0,"",SUMIF('Competency Event Log'!$U$4:$U$803,$B139&amp;"|"&amp;L$5,'Competency Event Log'!$D$4:$D$803)))</f>
        <v/>
      </c>
      <c r="M139" s="8" t="str">
        <f>IF($B139="","",IF(COUNTIF('Competency Event Log'!$U$4:$U$803,$B139&amp;"|"&amp;M$5)=0,"",SUMIF('Competency Event Log'!$U$4:$U$803,$B139&amp;"|"&amp;M$5,'Competency Event Log'!$D$4:$D$803)))</f>
        <v/>
      </c>
      <c r="N139" s="8" t="str">
        <f>IF($B139="","",IF(COUNTIF('Competency Event Log'!$U$4:$U$803,$B139&amp;"|"&amp;N$5)=0,"",SUMIF('Competency Event Log'!$U$4:$U$803,$B139&amp;"|"&amp;N$5,'Competency Event Log'!$D$4:$D$803)))</f>
        <v/>
      </c>
      <c r="O139" s="8" t="str">
        <f>IF($B139="","",IF(COUNTIF('Competency Event Log'!$U$4:$U$803,$B139&amp;"|"&amp;O$5)=0,"",SUMIF('Competency Event Log'!$U$4:$U$803,$B139&amp;"|"&amp;O$5,'Competency Event Log'!$D$4:$D$803)))</f>
        <v/>
      </c>
      <c r="P139" s="8" t="str">
        <f>IF($B139="","",IF(COUNTIF('Competency Event Log'!$U$4:$U$803,$B139&amp;"|"&amp;P$5)=0,"",SUMIF('Competency Event Log'!$U$4:$U$803,$B139&amp;"|"&amp;P$5,'Competency Event Log'!$D$4:$D$803)))</f>
        <v/>
      </c>
      <c r="Q139" s="8" t="str">
        <f>IF($B139="","",IF(COUNTIF('Competency Event Log'!$U$4:$U$803,$B139&amp;"|"&amp;Q$5)=0,"",SUMIF('Competency Event Log'!$U$4:$U$803,$B139&amp;"|"&amp;Q$5,'Competency Event Log'!$D$4:$D$803)))</f>
        <v/>
      </c>
      <c r="R139" s="8" t="str">
        <f>IF($B139="","",IF(COUNTIF('Competency Event Log'!$U$4:$U$803,$B139&amp;"|"&amp;R$5)=0,"",SUMIF('Competency Event Log'!$U$4:$U$803,$B139&amp;"|"&amp;R$5,'Competency Event Log'!$D$4:$D$803)))</f>
        <v/>
      </c>
      <c r="S139" s="8" t="str">
        <f>IF($B139="","",IF(COUNTIF('Competency Event Log'!$U$4:$U$803,$B139&amp;"|"&amp;S$5)=0,"",SUMIF('Competency Event Log'!$U$4:$U$803,$B139&amp;"|"&amp;S$5,'Competency Event Log'!$D$4:$D$803)))</f>
        <v/>
      </c>
      <c r="T139" s="8" t="str">
        <f>IF($B139="","",IF(COUNTIF('Competency Event Log'!$U$4:$U$803,$B139&amp;"|"&amp;T$5)=0,"",SUMIF('Competency Event Log'!$U$4:$U$803,$B139&amp;"|"&amp;T$5,'Competency Event Log'!$D$4:$D$803)))</f>
        <v/>
      </c>
      <c r="U139" s="8" t="str">
        <f>IF($B139="","",IF(COUNTIF('Competency Event Log'!$U$4:$U$803,$B139&amp;"|"&amp;U$5)=0,"",SUMIF('Competency Event Log'!$U$4:$U$803,$B139&amp;"|"&amp;U$5,'Competency Event Log'!$D$4:$D$803)))</f>
        <v/>
      </c>
      <c r="V139" s="8" t="str">
        <f>IF($B139="","",IF(COUNTIF('Competency Event Log'!$U$4:$U$803,$B139&amp;"|"&amp;V$5)=0,"",SUMIF('Competency Event Log'!$U$4:$U$803,$B139&amp;"|"&amp;V$5,'Competency Event Log'!$D$4:$D$803)))</f>
        <v/>
      </c>
      <c r="W139" s="8" t="str">
        <f>IF($B139="","",IF(COUNTIF('Competency Event Log'!$U$4:$U$803,$B139&amp;"|"&amp;W$5)=0,"",SUMIF('Competency Event Log'!$U$4:$U$803,$B139&amp;"|"&amp;W$5,'Competency Event Log'!$D$4:$D$803)))</f>
        <v/>
      </c>
      <c r="X139" s="8" t="str">
        <f>IF($B139="","",IF(COUNTIF('Competency Event Log'!$U$4:$U$803,$B139&amp;"|"&amp;X$5)=0,"",SUMIF('Competency Event Log'!$U$4:$U$803,$B139&amp;"|"&amp;X$5,'Competency Event Log'!$D$4:$D$803)))</f>
        <v/>
      </c>
      <c r="Y139" s="8" t="str">
        <f>IF($B139="","",IF(COUNTIF('Competency Event Log'!$U$4:$U$803,$B139&amp;"|"&amp;Y$5)=0,"",SUMIF('Competency Event Log'!$U$4:$U$803,$B139&amp;"|"&amp;Y$5,'Competency Event Log'!$D$4:$D$803)))</f>
        <v/>
      </c>
      <c r="Z139" s="8" t="str">
        <f>IF($B139="","",IF(COUNTIF('Competency Event Log'!$U$4:$U$803,$B139&amp;"|"&amp;Z$5)=0,"",SUMIF('Competency Event Log'!$U$4:$U$803,$B139&amp;"|"&amp;Z$5,'Competency Event Log'!$D$4:$D$803)))</f>
        <v/>
      </c>
      <c r="AA139" s="8" t="str">
        <f>IF($B139="","",IF(COUNTIF('Competency Event Log'!$U$4:$U$803,$B139&amp;"|"&amp;AA$5)=0,"",SUMIF('Competency Event Log'!$U$4:$U$803,$B139&amp;"|"&amp;AA$5,'Competency Event Log'!$D$4:$D$803)))</f>
        <v/>
      </c>
      <c r="AB139" s="8" t="str">
        <f>IF($B139="","",IF(COUNTIF('Competency Event Log'!$U$4:$U$803,$B139&amp;"|"&amp;AB$5)=0,"",SUMIF('Competency Event Log'!$U$4:$U$803,$B139&amp;"|"&amp;AB$5,'Competency Event Log'!$D$4:$D$803)))</f>
        <v/>
      </c>
      <c r="AC139" s="8" t="str">
        <f>IF($B139="","",IF(COUNTIF('Competency Event Log'!$U$4:$U$803,$B139&amp;"|"&amp;AC$5)=0,"",SUMIF('Competency Event Log'!$U$4:$U$803,$B139&amp;"|"&amp;AC$5,'Competency Event Log'!$D$4:$D$803)))</f>
        <v/>
      </c>
      <c r="AD139" s="8" t="str">
        <f>IF($B139="","",IF(COUNTIF('Competency Event Log'!$U$4:$U$803,$B139&amp;"|"&amp;AD$5)=0,"",SUMIF('Competency Event Log'!$U$4:$U$803,$B139&amp;"|"&amp;AD$5,'Competency Event Log'!$D$4:$D$803)))</f>
        <v/>
      </c>
      <c r="AE139" s="8" t="str">
        <f>IF($B139="","",IF(COUNTIF('Competency Event Log'!$U$4:$U$803,$B139&amp;"|"&amp;AE$5)=0,"",SUMIF('Competency Event Log'!$U$4:$U$803,$B139&amp;"|"&amp;AE$5,'Competency Event Log'!$D$4:$D$803)))</f>
        <v/>
      </c>
      <c r="AF139" s="8" t="str">
        <f>IF($B139="","",IF(COUNTIF('Competency Event Log'!$U$4:$U$803,$B139&amp;"|"&amp;AF$5)=0,"",SUMIF('Competency Event Log'!$U$4:$U$803,$B139&amp;"|"&amp;AF$5,'Competency Event Log'!$D$4:$D$803)))</f>
        <v/>
      </c>
      <c r="AG139" s="8" t="str">
        <f>IF($B139="","",IF(COUNTIF('Competency Event Log'!$U$4:$U$803,$B139&amp;"|"&amp;AG$5)=0,"",SUMIF('Competency Event Log'!$U$4:$U$803,$B139&amp;"|"&amp;AG$5,'Competency Event Log'!$D$4:$D$803)))</f>
        <v/>
      </c>
      <c r="AH139" s="8" t="str">
        <f>IF($B139="","",IF(COUNTIF('Competency Event Log'!$U$4:$U$803,$B139&amp;"|"&amp;AH$5)=0,"",SUMIF('Competency Event Log'!$U$4:$U$803,$B139&amp;"|"&amp;AH$5,'Competency Event Log'!$D$4:$D$803)))</f>
        <v/>
      </c>
      <c r="AI139" s="8" t="str">
        <f>IF($B139="","",IF(COUNTIF('Competency Event Log'!$U$4:$U$803,$B139&amp;"|"&amp;AI$5)=0,"",SUMIF('Competency Event Log'!$U$4:$U$803,$B139&amp;"|"&amp;AI$5,'Competency Event Log'!$D$4:$D$803)))</f>
        <v/>
      </c>
      <c r="AJ139" s="8" t="str">
        <f>IF($B139="","",IF(COUNTIF('Competency Event Log'!$U$4:$U$803,$B139&amp;"|"&amp;AJ$5)=0,"",SUMIF('Competency Event Log'!$U$4:$U$803,$B139&amp;"|"&amp;AJ$5,'Competency Event Log'!$D$4:$D$803)))</f>
        <v/>
      </c>
      <c r="AK139" s="8" t="str">
        <f>IF($B139="","",IF(COUNTIF('Competency Event Log'!$U$4:$U$803,$B139&amp;"|"&amp;AK$5)=0,"",SUMIF('Competency Event Log'!$U$4:$U$803,$B139&amp;"|"&amp;AK$5,'Competency Event Log'!$D$4:$D$803)))</f>
        <v/>
      </c>
      <c r="AL139" s="8" t="str">
        <f>IF($B139="","",IF(COUNTIF('Competency Event Log'!$U$4:$U$803,$B139&amp;"|"&amp;AL$5)=0,"",SUMIF('Competency Event Log'!$U$4:$U$803,$B139&amp;"|"&amp;AL$5,'Competency Event Log'!$D$4:$D$803)))</f>
        <v/>
      </c>
      <c r="AM139" s="8" t="str">
        <f>IF($B139="","",IF(COUNTIF('Competency Event Log'!$U$4:$U$803,$B139&amp;"|"&amp;AM$5)=0,"",SUMIF('Competency Event Log'!$U$4:$U$803,$B139&amp;"|"&amp;AM$5,'Competency Event Log'!$D$4:$D$803)))</f>
        <v/>
      </c>
      <c r="AN139" s="8" t="str">
        <f>IF($B139="","",IF(COUNTIF('Competency Event Log'!$U$4:$U$803,$B139&amp;"|"&amp;AN$5)=0,"",SUMIF('Competency Event Log'!$U$4:$U$803,$B139&amp;"|"&amp;AN$5,'Competency Event Log'!$D$4:$D$803)))</f>
        <v/>
      </c>
      <c r="AO139" s="8" t="str">
        <f>IF($B139="","",IF(COUNTIF('Competency Event Log'!$U$4:$U$803,$B139&amp;"|"&amp;AO$5)=0,"",SUMIF('Competency Event Log'!$U$4:$U$803,$B139&amp;"|"&amp;AO$5,'Competency Event Log'!$D$4:$D$803)))</f>
        <v/>
      </c>
      <c r="AP139" s="8" t="str">
        <f>IF($B139="","",IF(COUNTIF('Competency Event Log'!$U$4:$U$803,$B139&amp;"|"&amp;AP$5)=0,"",SUMIF('Competency Event Log'!$U$4:$U$803,$B139&amp;"|"&amp;AP$5,'Competency Event Log'!$D$4:$D$803)))</f>
        <v/>
      </c>
      <c r="AQ139" s="8" t="str">
        <f>IF($B139="","",IF(COUNTIF('Competency Event Log'!$U$4:$U$803,$B139&amp;"|"&amp;AQ$5)=0,"",SUMIF('Competency Event Log'!$U$4:$U$803,$B139&amp;"|"&amp;AQ$5,'Competency Event Log'!$D$4:$D$803)))</f>
        <v/>
      </c>
      <c r="AR139" s="8" t="str">
        <f>IF($B139="","",IF(COUNTIF('Competency Event Log'!$U$4:$U$803,$B139&amp;"|"&amp;AR$5)=0,"",SUMIF('Competency Event Log'!$U$4:$U$803,$B139&amp;"|"&amp;AR$5,'Competency Event Log'!$D$4:$D$803)))</f>
        <v/>
      </c>
      <c r="AS139" s="8" t="str">
        <f>IF($B139="","",IF(COUNTIF('Competency Event Log'!$U$4:$U$803,$B139&amp;"|"&amp;AS$5)=0,"",SUMIF('Competency Event Log'!$U$4:$U$803,$B139&amp;"|"&amp;AS$5,'Competency Event Log'!$D$4:$D$803)))</f>
        <v/>
      </c>
      <c r="AT139" s="8" t="str">
        <f>IF($B139="","",IF(COUNTIF('Competency Event Log'!$U$4:$U$803,$B139&amp;"|"&amp;AT$5)=0,"",SUMIF('Competency Event Log'!$U$4:$U$803,$B139&amp;"|"&amp;AT$5,'Competency Event Log'!$D$4:$D$803)))</f>
        <v/>
      </c>
      <c r="AU139" s="8" t="str">
        <f>IF($B139="","",IF(COUNTIF('Competency Event Log'!$U$4:$U$803,$B139&amp;"|"&amp;AU$5)=0,"",SUMIF('Competency Event Log'!$U$4:$U$803,$B139&amp;"|"&amp;AU$5,'Competency Event Log'!$D$4:$D$803)))</f>
        <v/>
      </c>
      <c r="AV139" s="8" t="str">
        <f>IF($B139="","",IF(COUNTIF('Competency Event Log'!$U$4:$U$803,$B139&amp;"|"&amp;AV$5)=0,"",SUMIF('Competency Event Log'!$U$4:$U$803,$B139&amp;"|"&amp;AV$5,'Competency Event Log'!$D$4:$D$803)))</f>
        <v/>
      </c>
      <c r="AW139" s="8" t="str">
        <f>IF($B139="","",IF(COUNTIF('Competency Event Log'!$U$4:$U$803,$B139&amp;"|"&amp;AW$5)=0,"",SUMIF('Competency Event Log'!$U$4:$U$803,$B139&amp;"|"&amp;AW$5,'Competency Event Log'!$D$4:$D$803)))</f>
        <v/>
      </c>
      <c r="AX139" s="8" t="str">
        <f>IF($B139="","",IF(COUNTIF('Competency Event Log'!$U$4:$U$803,$B139&amp;"|"&amp;AX$5)=0,"",SUMIF('Competency Event Log'!$U$4:$U$803,$B139&amp;"|"&amp;AX$5,'Competency Event Log'!$D$4:$D$803)))</f>
        <v/>
      </c>
      <c r="AY139" s="8" t="str">
        <f>IF($B139="","",IF(COUNTIF('Competency Event Log'!$U$4:$U$803,$B139&amp;"|"&amp;AY$5)=0,"",SUMIF('Competency Event Log'!$U$4:$U$803,$B139&amp;"|"&amp;AY$5,'Competency Event Log'!$D$4:$D$803)))</f>
        <v/>
      </c>
      <c r="AZ139" s="8" t="str">
        <f>IF($B139="","",IF(COUNTIF('Competency Event Log'!$U$4:$U$803,$B139&amp;"|"&amp;AZ$5)=0,"",SUMIF('Competency Event Log'!$U$4:$U$803,$B139&amp;"|"&amp;AZ$5,'Competency Event Log'!$D$4:$D$803)))</f>
        <v/>
      </c>
      <c r="BA139" s="8" t="str">
        <f>IF($B139="","",IF(COUNTIF('Competency Event Log'!$U$4:$U$803,$B139&amp;"|"&amp;BA$5)=0,"",SUMIF('Competency Event Log'!$U$4:$U$803,$B139&amp;"|"&amp;BA$5,'Competency Event Log'!$D$4:$D$803)))</f>
        <v/>
      </c>
      <c r="BB139" s="8" t="str">
        <f>IF($B139="","",IF(COUNTIF('Competency Event Log'!$U$4:$U$803,$B139&amp;"|"&amp;BB$5)=0,"",SUMIF('Competency Event Log'!$U$4:$U$803,$B139&amp;"|"&amp;BB$5,'Competency Event Log'!$D$4:$D$803)))</f>
        <v/>
      </c>
      <c r="BC139" s="8" t="str">
        <f>IF($B139="","",IF(COUNTIF('Competency Event Log'!$U$4:$U$803,$B139&amp;"|"&amp;BC$5)=0,"",SUMIF('Competency Event Log'!$U$4:$U$803,$B139&amp;"|"&amp;BC$5,'Competency Event Log'!$D$4:$D$803)))</f>
        <v/>
      </c>
      <c r="BD139" s="8" t="str">
        <f>IF($B139="","",IF(COUNTIF('Competency Event Log'!$U$4:$U$803,$B139&amp;"|"&amp;BD$5)=0,"",SUMIF('Competency Event Log'!$U$4:$U$803,$B139&amp;"|"&amp;BD$5,'Competency Event Log'!$D$4:$D$803)))</f>
        <v/>
      </c>
      <c r="BE139" s="8" t="str">
        <f>IF($B139="","",IF(COUNTIF('Competency Event Log'!$U$4:$U$803,$B139&amp;"|"&amp;BE$5)=0,"",SUMIF('Competency Event Log'!$U$4:$U$803,$B139&amp;"|"&amp;BE$5,'Competency Event Log'!$D$4:$D$803)))</f>
        <v/>
      </c>
      <c r="BF139" s="8" t="str">
        <f>IF($B139="","",IF(COUNTIF('Competency Event Log'!$U$4:$U$803,$B139&amp;"|"&amp;BF$5)=0,"",SUMIF('Competency Event Log'!$U$4:$U$803,$B139&amp;"|"&amp;BF$5,'Competency Event Log'!$D$4:$D$803)))</f>
        <v/>
      </c>
      <c r="BG139" s="8" t="str">
        <f>IF($B139="","",IF(COUNTIF('Competency Event Log'!$U$4:$U$803,$B139&amp;"|"&amp;BG$5)=0,"",SUMIF('Competency Event Log'!$U$4:$U$803,$B139&amp;"|"&amp;BG$5,'Competency Event Log'!$D$4:$D$803)))</f>
        <v/>
      </c>
      <c r="BH139" s="8" t="str">
        <f>IF($B139="","",IF(COUNTIF('Competency Event Log'!$U$4:$U$803,$B139&amp;"|"&amp;BH$5)=0,"",SUMIF('Competency Event Log'!$U$4:$U$803,$B139&amp;"|"&amp;BH$5,'Competency Event Log'!$D$4:$D$803)))</f>
        <v/>
      </c>
      <c r="BI139" s="8" t="str">
        <f>IF($B139="","",IF(COUNTIF('Competency Event Log'!$U$4:$U$803,$B139&amp;"|"&amp;BI$5)=0,"",SUMIF('Competency Event Log'!$U$4:$U$803,$B139&amp;"|"&amp;BI$5,'Competency Event Log'!$D$4:$D$803)))</f>
        <v/>
      </c>
      <c r="BJ139" s="8" t="str">
        <f>IF($B139="","",IF(COUNTIF('Competency Event Log'!$U$4:$U$803,$B139&amp;"|"&amp;BJ$5)=0,"",SUMIF('Competency Event Log'!$U$4:$U$803,$B139&amp;"|"&amp;BJ$5,'Competency Event Log'!$D$4:$D$803)))</f>
        <v/>
      </c>
      <c r="BK139" s="8" t="str">
        <f>IF($B139="","",IF(COUNTIF('Competency Event Log'!$U$4:$U$803,$B139&amp;"|"&amp;BK$5)=0,"",SUMIF('Competency Event Log'!$U$4:$U$803,$B139&amp;"|"&amp;BK$5,'Competency Event Log'!$D$4:$D$803)))</f>
        <v/>
      </c>
      <c r="BL139" s="8" t="str">
        <f>IF($B139="","",IF(COUNTIF('Competency Event Log'!$U$4:$U$803,$B139&amp;"|"&amp;BL$5)=0,"",SUMIF('Competency Event Log'!$U$4:$U$803,$B139&amp;"|"&amp;BL$5,'Competency Event Log'!$D$4:$D$803)))</f>
        <v/>
      </c>
      <c r="BM139" s="8" t="str">
        <f>IF($B139="","",IF(COUNTIF('Competency Event Log'!$U$4:$U$803,$B139&amp;"|"&amp;BM$5)=0,"",SUMIF('Competency Event Log'!$U$4:$U$803,$B139&amp;"|"&amp;BM$5,'Competency Event Log'!$D$4:$D$803)))</f>
        <v/>
      </c>
      <c r="BN139" s="8" t="str">
        <f>IF($B139="","",IF(COUNTIF('Competency Event Log'!$U$4:$U$803,$B139&amp;"|"&amp;BN$5)=0,"",SUMIF('Competency Event Log'!$U$4:$U$803,$B139&amp;"|"&amp;BN$5,'Competency Event Log'!$D$4:$D$803)))</f>
        <v/>
      </c>
      <c r="BO139" s="8" t="str">
        <f>IF($B139="","",IF(COUNTIF('Competency Event Log'!$U$4:$U$803,$B139&amp;"|"&amp;BO$5)=0,"",SUMIF('Competency Event Log'!$U$4:$U$803,$B139&amp;"|"&amp;BO$5,'Competency Event Log'!$D$4:$D$803)))</f>
        <v/>
      </c>
      <c r="BP139" s="8" t="str">
        <f>IF($B139="","",IF(COUNTIF('Competency Event Log'!$U$4:$U$803,$B139&amp;"|"&amp;BP$5)=0,"",SUMIF('Competency Event Log'!$U$4:$U$803,$B139&amp;"|"&amp;BP$5,'Competency Event Log'!$D$4:$D$803)))</f>
        <v/>
      </c>
      <c r="BQ139" s="8" t="str">
        <f>IF($B139="","",IF(COUNTIF('Competency Event Log'!$U$4:$U$803,$B139&amp;"|"&amp;BQ$5)=0,"",SUMIF('Competency Event Log'!$U$4:$U$803,$B139&amp;"|"&amp;BQ$5,'Competency Event Log'!$D$4:$D$803)))</f>
        <v/>
      </c>
      <c r="BR139" s="8" t="str">
        <f>IF($B139="","",IF(COUNTIF('Competency Event Log'!$U$4:$U$803,$B139&amp;"|"&amp;BR$5)=0,"",SUMIF('Competency Event Log'!$U$4:$U$803,$B139&amp;"|"&amp;BR$5,'Competency Event Log'!$D$4:$D$803)))</f>
        <v/>
      </c>
      <c r="BS139" s="8" t="str">
        <f>IF($B139="","",IF(COUNTIF('Competency Event Log'!$U$4:$U$803,$B139&amp;"|"&amp;BS$5)=0,"",SUMIF('Competency Event Log'!$U$4:$U$803,$B139&amp;"|"&amp;BS$5,'Competency Event Log'!$D$4:$D$803)))</f>
        <v/>
      </c>
      <c r="BT139" s="8" t="str">
        <f>IF($B139="","",IF(COUNTIF('Competency Event Log'!$U$4:$U$803,$B139&amp;"|"&amp;BT$5)=0,"",SUMIF('Competency Event Log'!$U$4:$U$803,$B139&amp;"|"&amp;BT$5,'Competency Event Log'!$D$4:$D$803)))</f>
        <v/>
      </c>
      <c r="BU139" s="8" t="str">
        <f>IF($B139="","",IF(COUNTIF('Competency Event Log'!$U$4:$U$803,$B139&amp;"|"&amp;BU$5)=0,"",SUMIF('Competency Event Log'!$U$4:$U$803,$B139&amp;"|"&amp;BU$5,'Competency Event Log'!$D$4:$D$803)))</f>
        <v/>
      </c>
      <c r="BV139" s="8" t="str">
        <f>IF($B139="","",IF(COUNTIF('Competency Event Log'!$U$4:$U$803,$B139&amp;"|"&amp;BV$5)=0,"",SUMIF('Competency Event Log'!$U$4:$U$803,$B139&amp;"|"&amp;BV$5,'Competency Event Log'!$D$4:$D$803)))</f>
        <v/>
      </c>
      <c r="BW139" s="8" t="str">
        <f>IF($B139="","",IF(COUNTIF('Competency Event Log'!$U$4:$U$803,$B139&amp;"|"&amp;BW$5)=0,"",SUMIF('Competency Event Log'!$U$4:$U$803,$B139&amp;"|"&amp;BW$5,'Competency Event Log'!$D$4:$D$803)))</f>
        <v/>
      </c>
      <c r="BX139" s="8" t="str">
        <f>IF($B139="","",IF(COUNTIF('Competency Event Log'!$U$4:$U$803,$B139&amp;"|"&amp;BX$5)=0,"",SUMIF('Competency Event Log'!$U$4:$U$803,$B139&amp;"|"&amp;BX$5,'Competency Event Log'!$D$4:$D$803)))</f>
        <v/>
      </c>
      <c r="BY139" s="8" t="str">
        <f>IF($B139="","",IF(COUNTIF('Competency Event Log'!$U$4:$U$803,$B139&amp;"|"&amp;BY$5)=0,"",SUMIF('Competency Event Log'!$U$4:$U$803,$B139&amp;"|"&amp;BY$5,'Competency Event Log'!$D$4:$D$803)))</f>
        <v/>
      </c>
      <c r="BZ139" s="8" t="str">
        <f>IF($B139="","",IF(COUNTIF('Competency Event Log'!$U$4:$U$803,$B139&amp;"|"&amp;BZ$5)=0,"",SUMIF('Competency Event Log'!$U$4:$U$803,$B139&amp;"|"&amp;BZ$5,'Competency Event Log'!$D$4:$D$803)))</f>
        <v/>
      </c>
      <c r="CA139" s="8" t="str">
        <f>IF($B139="","",IF(COUNTIF('Competency Event Log'!$U$4:$U$803,$B139&amp;"|"&amp;CA$5)=0,"",SUMIF('Competency Event Log'!$U$4:$U$803,$B139&amp;"|"&amp;CA$5,'Competency Event Log'!$D$4:$D$803)))</f>
        <v/>
      </c>
      <c r="CB139" s="8" t="str">
        <f>IF($B139="","",IF(COUNTIF('Competency Event Log'!$U$4:$U$803,$B139&amp;"|"&amp;CB$5)=0,"",SUMIF('Competency Event Log'!$U$4:$U$803,$B139&amp;"|"&amp;CB$5,'Competency Event Log'!$D$4:$D$803)))</f>
        <v/>
      </c>
      <c r="CC139" s="8" t="str">
        <f>IF($B139="","",IF(COUNTIF('Competency Event Log'!$U$4:$U$803,$B139&amp;"|"&amp;CC$5)=0,"",SUMIF('Competency Event Log'!$U$4:$U$803,$B139&amp;"|"&amp;CC$5,'Competency Event Log'!$D$4:$D$803)))</f>
        <v/>
      </c>
      <c r="CD139" s="8" t="str">
        <f>IF($B139="","",IF(COUNTIF('Competency Event Log'!$U$4:$U$803,$B139&amp;"|"&amp;CD$5)=0,"",SUMIF('Competency Event Log'!$U$4:$U$803,$B139&amp;"|"&amp;CD$5,'Competency Event Log'!$D$4:$D$803)))</f>
        <v/>
      </c>
      <c r="CE139" s="8" t="str">
        <f>IF($B139="","",IF(COUNTIF('Competency Event Log'!$U$4:$U$803,$B139&amp;"|"&amp;CE$5)=0,"",SUMIF('Competency Event Log'!$U$4:$U$803,$B139&amp;"|"&amp;CE$5,'Competency Event Log'!$D$4:$D$803)))</f>
        <v/>
      </c>
      <c r="CF139" s="8" t="str">
        <f>IF($B139="","",IF(COUNTIF('Competency Event Log'!$U$4:$U$803,$B139&amp;"|"&amp;CF$5)=0,"",SUMIF('Competency Event Log'!$U$4:$U$803,$B139&amp;"|"&amp;CF$5,'Competency Event Log'!$D$4:$D$803)))</f>
        <v/>
      </c>
      <c r="CG139" s="8" t="str">
        <f>IF($B139="","",IF(COUNTIF('Competency Event Log'!$U$4:$U$803,$B139&amp;"|"&amp;CG$5)=0,"",SUMIF('Competency Event Log'!$U$4:$U$803,$B139&amp;"|"&amp;CG$5,'Competency Event Log'!$D$4:$D$803)))</f>
        <v/>
      </c>
      <c r="CH139" s="8" t="str">
        <f>IF($B139="","",IF(COUNTIF('Competency Event Log'!$U$4:$U$803,$B139&amp;"|"&amp;CH$5)=0,"",SUMIF('Competency Event Log'!$U$4:$U$803,$B139&amp;"|"&amp;CH$5,'Competency Event Log'!$D$4:$D$803)))</f>
        <v/>
      </c>
      <c r="CI139" s="8" t="str">
        <f>IF($B139="","",IF(COUNTIF('Competency Event Log'!$U$4:$U$803,$B139&amp;"|"&amp;CI$5)=0,"",SUMIF('Competency Event Log'!$U$4:$U$803,$B139&amp;"|"&amp;CI$5,'Competency Event Log'!$D$4:$D$803)))</f>
        <v/>
      </c>
      <c r="CJ139" s="8" t="str">
        <f>IF($B139="","",IF(COUNTIF('Competency Event Log'!$U$4:$U$803,$B139&amp;"|"&amp;CJ$5)=0,"",SUMIF('Competency Event Log'!$U$4:$U$803,$B139&amp;"|"&amp;CJ$5,'Competency Event Log'!$D$4:$D$803)))</f>
        <v/>
      </c>
      <c r="CK139" s="8" t="str">
        <f>IF($B139="","",IF(COUNTIF('Competency Event Log'!$U$4:$U$803,$B139&amp;"|"&amp;CK$5)=0,"",SUMIF('Competency Event Log'!$U$4:$U$803,$B139&amp;"|"&amp;CK$5,'Competency Event Log'!$D$4:$D$803)))</f>
        <v/>
      </c>
      <c r="CL139" s="8" t="str">
        <f>IF($B139="","",IF(COUNTIF('Competency Event Log'!$U$4:$U$803,$B139&amp;"|"&amp;CL$5)=0,"",SUMIF('Competency Event Log'!$U$4:$U$803,$B139&amp;"|"&amp;CL$5,'Competency Event Log'!$D$4:$D$803)))</f>
        <v/>
      </c>
      <c r="CM139" s="8" t="str">
        <f>IF($B139="","",IF(COUNTIF('Competency Event Log'!$U$4:$U$803,$B139&amp;"|"&amp;CM$5)=0,"",SUMIF('Competency Event Log'!$U$4:$U$803,$B139&amp;"|"&amp;CM$5,'Competency Event Log'!$D$4:$D$803)))</f>
        <v/>
      </c>
      <c r="CN139" s="8" t="str">
        <f>IF($B139="","",IF(COUNTIF('Competency Event Log'!$U$4:$U$803,$B139&amp;"|"&amp;CN$5)=0,"",SUMIF('Competency Event Log'!$U$4:$U$803,$B139&amp;"|"&amp;CN$5,'Competency Event Log'!$D$4:$D$803)))</f>
        <v/>
      </c>
      <c r="CO139" s="8" t="str">
        <f>IF($B139="","",IF(COUNTIF('Competency Event Log'!$U$4:$U$803,$B139&amp;"|"&amp;CO$5)=0,"",SUMIF('Competency Event Log'!$U$4:$U$803,$B139&amp;"|"&amp;CO$5,'Competency Event Log'!$D$4:$D$803)))</f>
        <v/>
      </c>
      <c r="CP139" s="8" t="str">
        <f>IF($B139="","",IF(COUNTIF('Competency Event Log'!$U$4:$U$803,$B139&amp;"|"&amp;CP$5)=0,"",SUMIF('Competency Event Log'!$U$4:$U$803,$B139&amp;"|"&amp;CP$5,'Competency Event Log'!$D$4:$D$803)))</f>
        <v/>
      </c>
      <c r="CQ139" s="8" t="str">
        <f>IF($B139="","",IF(COUNTIF('Competency Event Log'!$U$4:$U$803,$B139&amp;"|"&amp;CQ$5)=0,"",SUMIF('Competency Event Log'!$U$4:$U$803,$B139&amp;"|"&amp;CQ$5,'Competency Event Log'!$D$4:$D$803)))</f>
        <v/>
      </c>
      <c r="CR139" s="8" t="str">
        <f>IF($B139="","",IF(COUNTIF('Competency Event Log'!$U$4:$U$803,$B139&amp;"|"&amp;CR$5)=0,"",SUMIF('Competency Event Log'!$U$4:$U$803,$B139&amp;"|"&amp;CR$5,'Competency Event Log'!$D$4:$D$803)))</f>
        <v/>
      </c>
      <c r="CS139" s="8" t="str">
        <f>IF($B139="","",IF(COUNTIF('Competency Event Log'!$U$4:$U$803,$B139&amp;"|"&amp;CS$5)=0,"",SUMIF('Competency Event Log'!$U$4:$U$803,$B139&amp;"|"&amp;CS$5,'Competency Event Log'!$D$4:$D$803)))</f>
        <v/>
      </c>
      <c r="CT139" s="8" t="str">
        <f>IF($B139="","",IF(COUNTIF('Competency Event Log'!$U$4:$U$803,$B139&amp;"|"&amp;CT$5)=0,"",SUMIF('Competency Event Log'!$U$4:$U$803,$B139&amp;"|"&amp;CT$5,'Competency Event Log'!$D$4:$D$803)))</f>
        <v/>
      </c>
      <c r="CU139" s="8" t="str">
        <f>IF($B139="","",IF(COUNTIF('Competency Event Log'!$U$4:$U$803,$B139&amp;"|"&amp;CU$5)=0,"",SUMIF('Competency Event Log'!$U$4:$U$803,$B139&amp;"|"&amp;CU$5,'Competency Event Log'!$D$4:$D$803)))</f>
        <v/>
      </c>
      <c r="CV139" s="8" t="str">
        <f>IF($B139="","",IF(COUNTIF('Competency Event Log'!$U$4:$U$803,$B139&amp;"|"&amp;CV$5)=0,"",SUMIF('Competency Event Log'!$U$4:$U$803,$B139&amp;"|"&amp;CV$5,'Competency Event Log'!$D$4:$D$803)))</f>
        <v/>
      </c>
      <c r="CW139" s="8" t="str">
        <f>IF($B139="","",IF(COUNTIF('Competency Event Log'!$U$4:$U$803,$B139&amp;"|"&amp;CW$5)=0,"",SUMIF('Competency Event Log'!$U$4:$U$803,$B139&amp;"|"&amp;CW$5,'Competency Event Log'!$D$4:$D$803)))</f>
        <v/>
      </c>
      <c r="CX139" s="8" t="str">
        <f>IF($B139="","",IF(COUNTIF('Competency Event Log'!$U$4:$U$803,$B139&amp;"|"&amp;CX$5)=0,"",SUMIF('Competency Event Log'!$U$4:$U$803,$B139&amp;"|"&amp;CX$5,'Competency Event Log'!$D$4:$D$803)))</f>
        <v/>
      </c>
      <c r="CY139" s="8" t="str">
        <f>IF($B139="","",IF(COUNTIF('Competency Event Log'!$U$4:$U$803,$B139&amp;"|"&amp;CY$5)=0,"",SUMIF('Competency Event Log'!$U$4:$U$803,$B139&amp;"|"&amp;CY$5,'Competency Event Log'!$D$4:$D$803)))</f>
        <v/>
      </c>
      <c r="CZ139" s="8" t="str">
        <f>IF($B139="","",IF(COUNTIF('Competency Event Log'!$U$4:$U$803,$B139&amp;"|"&amp;CZ$5)=0,"",SUMIF('Competency Event Log'!$U$4:$U$803,$B139&amp;"|"&amp;CZ$5,'Competency Event Log'!$D$4:$D$803)))</f>
        <v/>
      </c>
      <c r="DA139" s="8" t="str">
        <f>IF($B139="","",IF(COUNTIF('Competency Event Log'!$U$4:$U$803,$B139&amp;"|"&amp;DA$5)=0,"",SUMIF('Competency Event Log'!$U$4:$U$803,$B139&amp;"|"&amp;DA$5,'Competency Event Log'!$D$4:$D$803)))</f>
        <v/>
      </c>
      <c r="DB139" s="8" t="str">
        <f>IF($B139="","",IF(COUNTIF('Competency Event Log'!$U$4:$U$803,$B139&amp;"|"&amp;DB$5)=0,"",SUMIF('Competency Event Log'!$U$4:$U$803,$B139&amp;"|"&amp;DB$5,'Competency Event Log'!$D$4:$D$803)))</f>
        <v/>
      </c>
      <c r="DC139" s="8" t="str">
        <f>IF($B139="","",IF(COUNTIF('Competency Event Log'!$U$4:$U$803,$B139&amp;"|"&amp;DC$5)=0,"",SUMIF('Competency Event Log'!$U$4:$U$803,$B139&amp;"|"&amp;DC$5,'Competency Event Log'!$D$4:$D$803)))</f>
        <v/>
      </c>
      <c r="DD139" s="8" t="str">
        <f>IF($B139="","",IF(COUNTIF('Competency Event Log'!$U$4:$U$803,$B139&amp;"|"&amp;DD$5)=0,"",SUMIF('Competency Event Log'!$U$4:$U$803,$B139&amp;"|"&amp;DD$5,'Competency Event Log'!$D$4:$D$803)))</f>
        <v/>
      </c>
      <c r="DE139" s="8" t="str">
        <f>IF($B139="","",IF(COUNTIF('Competency Event Log'!$U$4:$U$803,$B139&amp;"|"&amp;DE$5)=0,"",SUMIF('Competency Event Log'!$U$4:$U$803,$B139&amp;"|"&amp;DE$5,'Competency Event Log'!$D$4:$D$803)))</f>
        <v/>
      </c>
      <c r="DF139" s="8" t="str">
        <f t="shared" si="16"/>
        <v/>
      </c>
      <c r="DG139" s="8" t="str">
        <f t="shared" si="17"/>
        <v/>
      </c>
      <c r="DH139" s="8" t="str">
        <f t="shared" si="18"/>
        <v/>
      </c>
      <c r="DI139" s="11" t="str">
        <f t="shared" si="19"/>
        <v/>
      </c>
    </row>
    <row r="140" spans="1:113">
      <c r="A140" s="7"/>
      <c r="B140" s="7"/>
      <c r="C140" s="8"/>
      <c r="D140" s="9"/>
      <c r="E140" s="10"/>
      <c r="F140" s="8"/>
      <c r="G140" s="8" t="str">
        <f>IF($B140="","",IF(COUNTIF('Competency Event Log'!$U$4:$U$803,$B140&amp;"|"&amp;G$5)=0,"",SUMIF('Competency Event Log'!$U$4:$U$803,$B140&amp;"|"&amp;G$5,'Competency Event Log'!$D$4:$D$803)))</f>
        <v/>
      </c>
      <c r="H140" s="8" t="str">
        <f>IF($B140="","",IF(COUNTIF('Competency Event Log'!$U$4:$U$803,$B140&amp;"|"&amp;H$5)=0,"",SUMIF('Competency Event Log'!$U$4:$U$803,$B140&amp;"|"&amp;H$5,'Competency Event Log'!$D$4:$D$803)))</f>
        <v/>
      </c>
      <c r="I140" s="8" t="str">
        <f>IF($B140="","",IF(COUNTIF('Competency Event Log'!$U$4:$U$803,$B140&amp;"|"&amp;I$5)=0,"",SUMIF('Competency Event Log'!$U$4:$U$803,$B140&amp;"|"&amp;I$5,'Competency Event Log'!$D$4:$D$803)))</f>
        <v/>
      </c>
      <c r="J140" s="8" t="str">
        <f>IF($B140="","",IF(COUNTIF('Competency Event Log'!$U$4:$U$803,$B140&amp;"|"&amp;J$5)=0,"",SUMIF('Competency Event Log'!$U$4:$U$803,$B140&amp;"|"&amp;J$5,'Competency Event Log'!$D$4:$D$803)))</f>
        <v/>
      </c>
      <c r="K140" s="8" t="str">
        <f>IF($B140="","",IF(COUNTIF('Competency Event Log'!$U$4:$U$803,$B140&amp;"|"&amp;K$5)=0,"",SUMIF('Competency Event Log'!$U$4:$U$803,$B140&amp;"|"&amp;K$5,'Competency Event Log'!$D$4:$D$803)))</f>
        <v/>
      </c>
      <c r="L140" s="8" t="str">
        <f>IF($B140="","",IF(COUNTIF('Competency Event Log'!$U$4:$U$803,$B140&amp;"|"&amp;L$5)=0,"",SUMIF('Competency Event Log'!$U$4:$U$803,$B140&amp;"|"&amp;L$5,'Competency Event Log'!$D$4:$D$803)))</f>
        <v/>
      </c>
      <c r="M140" s="8" t="str">
        <f>IF($B140="","",IF(COUNTIF('Competency Event Log'!$U$4:$U$803,$B140&amp;"|"&amp;M$5)=0,"",SUMIF('Competency Event Log'!$U$4:$U$803,$B140&amp;"|"&amp;M$5,'Competency Event Log'!$D$4:$D$803)))</f>
        <v/>
      </c>
      <c r="N140" s="8" t="str">
        <f>IF($B140="","",IF(COUNTIF('Competency Event Log'!$U$4:$U$803,$B140&amp;"|"&amp;N$5)=0,"",SUMIF('Competency Event Log'!$U$4:$U$803,$B140&amp;"|"&amp;N$5,'Competency Event Log'!$D$4:$D$803)))</f>
        <v/>
      </c>
      <c r="O140" s="8" t="str">
        <f>IF($B140="","",IF(COUNTIF('Competency Event Log'!$U$4:$U$803,$B140&amp;"|"&amp;O$5)=0,"",SUMIF('Competency Event Log'!$U$4:$U$803,$B140&amp;"|"&amp;O$5,'Competency Event Log'!$D$4:$D$803)))</f>
        <v/>
      </c>
      <c r="P140" s="8" t="str">
        <f>IF($B140="","",IF(COUNTIF('Competency Event Log'!$U$4:$U$803,$B140&amp;"|"&amp;P$5)=0,"",SUMIF('Competency Event Log'!$U$4:$U$803,$B140&amp;"|"&amp;P$5,'Competency Event Log'!$D$4:$D$803)))</f>
        <v/>
      </c>
      <c r="Q140" s="8" t="str">
        <f>IF($B140="","",IF(COUNTIF('Competency Event Log'!$U$4:$U$803,$B140&amp;"|"&amp;Q$5)=0,"",SUMIF('Competency Event Log'!$U$4:$U$803,$B140&amp;"|"&amp;Q$5,'Competency Event Log'!$D$4:$D$803)))</f>
        <v/>
      </c>
      <c r="R140" s="8" t="str">
        <f>IF($B140="","",IF(COUNTIF('Competency Event Log'!$U$4:$U$803,$B140&amp;"|"&amp;R$5)=0,"",SUMIF('Competency Event Log'!$U$4:$U$803,$B140&amp;"|"&amp;R$5,'Competency Event Log'!$D$4:$D$803)))</f>
        <v/>
      </c>
      <c r="S140" s="8" t="str">
        <f>IF($B140="","",IF(COUNTIF('Competency Event Log'!$U$4:$U$803,$B140&amp;"|"&amp;S$5)=0,"",SUMIF('Competency Event Log'!$U$4:$U$803,$B140&amp;"|"&amp;S$5,'Competency Event Log'!$D$4:$D$803)))</f>
        <v/>
      </c>
      <c r="T140" s="8" t="str">
        <f>IF($B140="","",IF(COUNTIF('Competency Event Log'!$U$4:$U$803,$B140&amp;"|"&amp;T$5)=0,"",SUMIF('Competency Event Log'!$U$4:$U$803,$B140&amp;"|"&amp;T$5,'Competency Event Log'!$D$4:$D$803)))</f>
        <v/>
      </c>
      <c r="U140" s="8" t="str">
        <f>IF($B140="","",IF(COUNTIF('Competency Event Log'!$U$4:$U$803,$B140&amp;"|"&amp;U$5)=0,"",SUMIF('Competency Event Log'!$U$4:$U$803,$B140&amp;"|"&amp;U$5,'Competency Event Log'!$D$4:$D$803)))</f>
        <v/>
      </c>
      <c r="V140" s="8" t="str">
        <f>IF($B140="","",IF(COUNTIF('Competency Event Log'!$U$4:$U$803,$B140&amp;"|"&amp;V$5)=0,"",SUMIF('Competency Event Log'!$U$4:$U$803,$B140&amp;"|"&amp;V$5,'Competency Event Log'!$D$4:$D$803)))</f>
        <v/>
      </c>
      <c r="W140" s="8" t="str">
        <f>IF($B140="","",IF(COUNTIF('Competency Event Log'!$U$4:$U$803,$B140&amp;"|"&amp;W$5)=0,"",SUMIF('Competency Event Log'!$U$4:$U$803,$B140&amp;"|"&amp;W$5,'Competency Event Log'!$D$4:$D$803)))</f>
        <v/>
      </c>
      <c r="X140" s="8" t="str">
        <f>IF($B140="","",IF(COUNTIF('Competency Event Log'!$U$4:$U$803,$B140&amp;"|"&amp;X$5)=0,"",SUMIF('Competency Event Log'!$U$4:$U$803,$B140&amp;"|"&amp;X$5,'Competency Event Log'!$D$4:$D$803)))</f>
        <v/>
      </c>
      <c r="Y140" s="8" t="str">
        <f>IF($B140="","",IF(COUNTIF('Competency Event Log'!$U$4:$U$803,$B140&amp;"|"&amp;Y$5)=0,"",SUMIF('Competency Event Log'!$U$4:$U$803,$B140&amp;"|"&amp;Y$5,'Competency Event Log'!$D$4:$D$803)))</f>
        <v/>
      </c>
      <c r="Z140" s="8" t="str">
        <f>IF($B140="","",IF(COUNTIF('Competency Event Log'!$U$4:$U$803,$B140&amp;"|"&amp;Z$5)=0,"",SUMIF('Competency Event Log'!$U$4:$U$803,$B140&amp;"|"&amp;Z$5,'Competency Event Log'!$D$4:$D$803)))</f>
        <v/>
      </c>
      <c r="AA140" s="8" t="str">
        <f>IF($B140="","",IF(COUNTIF('Competency Event Log'!$U$4:$U$803,$B140&amp;"|"&amp;AA$5)=0,"",SUMIF('Competency Event Log'!$U$4:$U$803,$B140&amp;"|"&amp;AA$5,'Competency Event Log'!$D$4:$D$803)))</f>
        <v/>
      </c>
      <c r="AB140" s="8" t="str">
        <f>IF($B140="","",IF(COUNTIF('Competency Event Log'!$U$4:$U$803,$B140&amp;"|"&amp;AB$5)=0,"",SUMIF('Competency Event Log'!$U$4:$U$803,$B140&amp;"|"&amp;AB$5,'Competency Event Log'!$D$4:$D$803)))</f>
        <v/>
      </c>
      <c r="AC140" s="8" t="str">
        <f>IF($B140="","",IF(COUNTIF('Competency Event Log'!$U$4:$U$803,$B140&amp;"|"&amp;AC$5)=0,"",SUMIF('Competency Event Log'!$U$4:$U$803,$B140&amp;"|"&amp;AC$5,'Competency Event Log'!$D$4:$D$803)))</f>
        <v/>
      </c>
      <c r="AD140" s="8" t="str">
        <f>IF($B140="","",IF(COUNTIF('Competency Event Log'!$U$4:$U$803,$B140&amp;"|"&amp;AD$5)=0,"",SUMIF('Competency Event Log'!$U$4:$U$803,$B140&amp;"|"&amp;AD$5,'Competency Event Log'!$D$4:$D$803)))</f>
        <v/>
      </c>
      <c r="AE140" s="8" t="str">
        <f>IF($B140="","",IF(COUNTIF('Competency Event Log'!$U$4:$U$803,$B140&amp;"|"&amp;AE$5)=0,"",SUMIF('Competency Event Log'!$U$4:$U$803,$B140&amp;"|"&amp;AE$5,'Competency Event Log'!$D$4:$D$803)))</f>
        <v/>
      </c>
      <c r="AF140" s="8" t="str">
        <f>IF($B140="","",IF(COUNTIF('Competency Event Log'!$U$4:$U$803,$B140&amp;"|"&amp;AF$5)=0,"",SUMIF('Competency Event Log'!$U$4:$U$803,$B140&amp;"|"&amp;AF$5,'Competency Event Log'!$D$4:$D$803)))</f>
        <v/>
      </c>
      <c r="AG140" s="8" t="str">
        <f>IF($B140="","",IF(COUNTIF('Competency Event Log'!$U$4:$U$803,$B140&amp;"|"&amp;AG$5)=0,"",SUMIF('Competency Event Log'!$U$4:$U$803,$B140&amp;"|"&amp;AG$5,'Competency Event Log'!$D$4:$D$803)))</f>
        <v/>
      </c>
      <c r="AH140" s="8" t="str">
        <f>IF($B140="","",IF(COUNTIF('Competency Event Log'!$U$4:$U$803,$B140&amp;"|"&amp;AH$5)=0,"",SUMIF('Competency Event Log'!$U$4:$U$803,$B140&amp;"|"&amp;AH$5,'Competency Event Log'!$D$4:$D$803)))</f>
        <v/>
      </c>
      <c r="AI140" s="8" t="str">
        <f>IF($B140="","",IF(COUNTIF('Competency Event Log'!$U$4:$U$803,$B140&amp;"|"&amp;AI$5)=0,"",SUMIF('Competency Event Log'!$U$4:$U$803,$B140&amp;"|"&amp;AI$5,'Competency Event Log'!$D$4:$D$803)))</f>
        <v/>
      </c>
      <c r="AJ140" s="8" t="str">
        <f>IF($B140="","",IF(COUNTIF('Competency Event Log'!$U$4:$U$803,$B140&amp;"|"&amp;AJ$5)=0,"",SUMIF('Competency Event Log'!$U$4:$U$803,$B140&amp;"|"&amp;AJ$5,'Competency Event Log'!$D$4:$D$803)))</f>
        <v/>
      </c>
      <c r="AK140" s="8" t="str">
        <f>IF($B140="","",IF(COUNTIF('Competency Event Log'!$U$4:$U$803,$B140&amp;"|"&amp;AK$5)=0,"",SUMIF('Competency Event Log'!$U$4:$U$803,$B140&amp;"|"&amp;AK$5,'Competency Event Log'!$D$4:$D$803)))</f>
        <v/>
      </c>
      <c r="AL140" s="8" t="str">
        <f>IF($B140="","",IF(COUNTIF('Competency Event Log'!$U$4:$U$803,$B140&amp;"|"&amp;AL$5)=0,"",SUMIF('Competency Event Log'!$U$4:$U$803,$B140&amp;"|"&amp;AL$5,'Competency Event Log'!$D$4:$D$803)))</f>
        <v/>
      </c>
      <c r="AM140" s="8" t="str">
        <f>IF($B140="","",IF(COUNTIF('Competency Event Log'!$U$4:$U$803,$B140&amp;"|"&amp;AM$5)=0,"",SUMIF('Competency Event Log'!$U$4:$U$803,$B140&amp;"|"&amp;AM$5,'Competency Event Log'!$D$4:$D$803)))</f>
        <v/>
      </c>
      <c r="AN140" s="8" t="str">
        <f>IF($B140="","",IF(COUNTIF('Competency Event Log'!$U$4:$U$803,$B140&amp;"|"&amp;AN$5)=0,"",SUMIF('Competency Event Log'!$U$4:$U$803,$B140&amp;"|"&amp;AN$5,'Competency Event Log'!$D$4:$D$803)))</f>
        <v/>
      </c>
      <c r="AO140" s="8" t="str">
        <f>IF($B140="","",IF(COUNTIF('Competency Event Log'!$U$4:$U$803,$B140&amp;"|"&amp;AO$5)=0,"",SUMIF('Competency Event Log'!$U$4:$U$803,$B140&amp;"|"&amp;AO$5,'Competency Event Log'!$D$4:$D$803)))</f>
        <v/>
      </c>
      <c r="AP140" s="8" t="str">
        <f>IF($B140="","",IF(COUNTIF('Competency Event Log'!$U$4:$U$803,$B140&amp;"|"&amp;AP$5)=0,"",SUMIF('Competency Event Log'!$U$4:$U$803,$B140&amp;"|"&amp;AP$5,'Competency Event Log'!$D$4:$D$803)))</f>
        <v/>
      </c>
      <c r="AQ140" s="8" t="str">
        <f>IF($B140="","",IF(COUNTIF('Competency Event Log'!$U$4:$U$803,$B140&amp;"|"&amp;AQ$5)=0,"",SUMIF('Competency Event Log'!$U$4:$U$803,$B140&amp;"|"&amp;AQ$5,'Competency Event Log'!$D$4:$D$803)))</f>
        <v/>
      </c>
      <c r="AR140" s="8" t="str">
        <f>IF($B140="","",IF(COUNTIF('Competency Event Log'!$U$4:$U$803,$B140&amp;"|"&amp;AR$5)=0,"",SUMIF('Competency Event Log'!$U$4:$U$803,$B140&amp;"|"&amp;AR$5,'Competency Event Log'!$D$4:$D$803)))</f>
        <v/>
      </c>
      <c r="AS140" s="8" t="str">
        <f>IF($B140="","",IF(COUNTIF('Competency Event Log'!$U$4:$U$803,$B140&amp;"|"&amp;AS$5)=0,"",SUMIF('Competency Event Log'!$U$4:$U$803,$B140&amp;"|"&amp;AS$5,'Competency Event Log'!$D$4:$D$803)))</f>
        <v/>
      </c>
      <c r="AT140" s="8" t="str">
        <f>IF($B140="","",IF(COUNTIF('Competency Event Log'!$U$4:$U$803,$B140&amp;"|"&amp;AT$5)=0,"",SUMIF('Competency Event Log'!$U$4:$U$803,$B140&amp;"|"&amp;AT$5,'Competency Event Log'!$D$4:$D$803)))</f>
        <v/>
      </c>
      <c r="AU140" s="8" t="str">
        <f>IF($B140="","",IF(COUNTIF('Competency Event Log'!$U$4:$U$803,$B140&amp;"|"&amp;AU$5)=0,"",SUMIF('Competency Event Log'!$U$4:$U$803,$B140&amp;"|"&amp;AU$5,'Competency Event Log'!$D$4:$D$803)))</f>
        <v/>
      </c>
      <c r="AV140" s="8" t="str">
        <f>IF($B140="","",IF(COUNTIF('Competency Event Log'!$U$4:$U$803,$B140&amp;"|"&amp;AV$5)=0,"",SUMIF('Competency Event Log'!$U$4:$U$803,$B140&amp;"|"&amp;AV$5,'Competency Event Log'!$D$4:$D$803)))</f>
        <v/>
      </c>
      <c r="AW140" s="8" t="str">
        <f>IF($B140="","",IF(COUNTIF('Competency Event Log'!$U$4:$U$803,$B140&amp;"|"&amp;AW$5)=0,"",SUMIF('Competency Event Log'!$U$4:$U$803,$B140&amp;"|"&amp;AW$5,'Competency Event Log'!$D$4:$D$803)))</f>
        <v/>
      </c>
      <c r="AX140" s="8" t="str">
        <f>IF($B140="","",IF(COUNTIF('Competency Event Log'!$U$4:$U$803,$B140&amp;"|"&amp;AX$5)=0,"",SUMIF('Competency Event Log'!$U$4:$U$803,$B140&amp;"|"&amp;AX$5,'Competency Event Log'!$D$4:$D$803)))</f>
        <v/>
      </c>
      <c r="AY140" s="8" t="str">
        <f>IF($B140="","",IF(COUNTIF('Competency Event Log'!$U$4:$U$803,$B140&amp;"|"&amp;AY$5)=0,"",SUMIF('Competency Event Log'!$U$4:$U$803,$B140&amp;"|"&amp;AY$5,'Competency Event Log'!$D$4:$D$803)))</f>
        <v/>
      </c>
      <c r="AZ140" s="8" t="str">
        <f>IF($B140="","",IF(COUNTIF('Competency Event Log'!$U$4:$U$803,$B140&amp;"|"&amp;AZ$5)=0,"",SUMIF('Competency Event Log'!$U$4:$U$803,$B140&amp;"|"&amp;AZ$5,'Competency Event Log'!$D$4:$D$803)))</f>
        <v/>
      </c>
      <c r="BA140" s="8" t="str">
        <f>IF($B140="","",IF(COUNTIF('Competency Event Log'!$U$4:$U$803,$B140&amp;"|"&amp;BA$5)=0,"",SUMIF('Competency Event Log'!$U$4:$U$803,$B140&amp;"|"&amp;BA$5,'Competency Event Log'!$D$4:$D$803)))</f>
        <v/>
      </c>
      <c r="BB140" s="8" t="str">
        <f>IF($B140="","",IF(COUNTIF('Competency Event Log'!$U$4:$U$803,$B140&amp;"|"&amp;BB$5)=0,"",SUMIF('Competency Event Log'!$U$4:$U$803,$B140&amp;"|"&amp;BB$5,'Competency Event Log'!$D$4:$D$803)))</f>
        <v/>
      </c>
      <c r="BC140" s="8" t="str">
        <f>IF($B140="","",IF(COUNTIF('Competency Event Log'!$U$4:$U$803,$B140&amp;"|"&amp;BC$5)=0,"",SUMIF('Competency Event Log'!$U$4:$U$803,$B140&amp;"|"&amp;BC$5,'Competency Event Log'!$D$4:$D$803)))</f>
        <v/>
      </c>
      <c r="BD140" s="8" t="str">
        <f>IF($B140="","",IF(COUNTIF('Competency Event Log'!$U$4:$U$803,$B140&amp;"|"&amp;BD$5)=0,"",SUMIF('Competency Event Log'!$U$4:$U$803,$B140&amp;"|"&amp;BD$5,'Competency Event Log'!$D$4:$D$803)))</f>
        <v/>
      </c>
      <c r="BE140" s="8" t="str">
        <f>IF($B140="","",IF(COUNTIF('Competency Event Log'!$U$4:$U$803,$B140&amp;"|"&amp;BE$5)=0,"",SUMIF('Competency Event Log'!$U$4:$U$803,$B140&amp;"|"&amp;BE$5,'Competency Event Log'!$D$4:$D$803)))</f>
        <v/>
      </c>
      <c r="BF140" s="8" t="str">
        <f>IF($B140="","",IF(COUNTIF('Competency Event Log'!$U$4:$U$803,$B140&amp;"|"&amp;BF$5)=0,"",SUMIF('Competency Event Log'!$U$4:$U$803,$B140&amp;"|"&amp;BF$5,'Competency Event Log'!$D$4:$D$803)))</f>
        <v/>
      </c>
      <c r="BG140" s="8" t="str">
        <f>IF($B140="","",IF(COUNTIF('Competency Event Log'!$U$4:$U$803,$B140&amp;"|"&amp;BG$5)=0,"",SUMIF('Competency Event Log'!$U$4:$U$803,$B140&amp;"|"&amp;BG$5,'Competency Event Log'!$D$4:$D$803)))</f>
        <v/>
      </c>
      <c r="BH140" s="8" t="str">
        <f>IF($B140="","",IF(COUNTIF('Competency Event Log'!$U$4:$U$803,$B140&amp;"|"&amp;BH$5)=0,"",SUMIF('Competency Event Log'!$U$4:$U$803,$B140&amp;"|"&amp;BH$5,'Competency Event Log'!$D$4:$D$803)))</f>
        <v/>
      </c>
      <c r="BI140" s="8" t="str">
        <f>IF($B140="","",IF(COUNTIF('Competency Event Log'!$U$4:$U$803,$B140&amp;"|"&amp;BI$5)=0,"",SUMIF('Competency Event Log'!$U$4:$U$803,$B140&amp;"|"&amp;BI$5,'Competency Event Log'!$D$4:$D$803)))</f>
        <v/>
      </c>
      <c r="BJ140" s="8" t="str">
        <f>IF($B140="","",IF(COUNTIF('Competency Event Log'!$U$4:$U$803,$B140&amp;"|"&amp;BJ$5)=0,"",SUMIF('Competency Event Log'!$U$4:$U$803,$B140&amp;"|"&amp;BJ$5,'Competency Event Log'!$D$4:$D$803)))</f>
        <v/>
      </c>
      <c r="BK140" s="8" t="str">
        <f>IF($B140="","",IF(COUNTIF('Competency Event Log'!$U$4:$U$803,$B140&amp;"|"&amp;BK$5)=0,"",SUMIF('Competency Event Log'!$U$4:$U$803,$B140&amp;"|"&amp;BK$5,'Competency Event Log'!$D$4:$D$803)))</f>
        <v/>
      </c>
      <c r="BL140" s="8" t="str">
        <f>IF($B140="","",IF(COUNTIF('Competency Event Log'!$U$4:$U$803,$B140&amp;"|"&amp;BL$5)=0,"",SUMIF('Competency Event Log'!$U$4:$U$803,$B140&amp;"|"&amp;BL$5,'Competency Event Log'!$D$4:$D$803)))</f>
        <v/>
      </c>
      <c r="BM140" s="8" t="str">
        <f>IF($B140="","",IF(COUNTIF('Competency Event Log'!$U$4:$U$803,$B140&amp;"|"&amp;BM$5)=0,"",SUMIF('Competency Event Log'!$U$4:$U$803,$B140&amp;"|"&amp;BM$5,'Competency Event Log'!$D$4:$D$803)))</f>
        <v/>
      </c>
      <c r="BN140" s="8" t="str">
        <f>IF($B140="","",IF(COUNTIF('Competency Event Log'!$U$4:$U$803,$B140&amp;"|"&amp;BN$5)=0,"",SUMIF('Competency Event Log'!$U$4:$U$803,$B140&amp;"|"&amp;BN$5,'Competency Event Log'!$D$4:$D$803)))</f>
        <v/>
      </c>
      <c r="BO140" s="8" t="str">
        <f>IF($B140="","",IF(COUNTIF('Competency Event Log'!$U$4:$U$803,$B140&amp;"|"&amp;BO$5)=0,"",SUMIF('Competency Event Log'!$U$4:$U$803,$B140&amp;"|"&amp;BO$5,'Competency Event Log'!$D$4:$D$803)))</f>
        <v/>
      </c>
      <c r="BP140" s="8" t="str">
        <f>IF($B140="","",IF(COUNTIF('Competency Event Log'!$U$4:$U$803,$B140&amp;"|"&amp;BP$5)=0,"",SUMIF('Competency Event Log'!$U$4:$U$803,$B140&amp;"|"&amp;BP$5,'Competency Event Log'!$D$4:$D$803)))</f>
        <v/>
      </c>
      <c r="BQ140" s="8" t="str">
        <f>IF($B140="","",IF(COUNTIF('Competency Event Log'!$U$4:$U$803,$B140&amp;"|"&amp;BQ$5)=0,"",SUMIF('Competency Event Log'!$U$4:$U$803,$B140&amp;"|"&amp;BQ$5,'Competency Event Log'!$D$4:$D$803)))</f>
        <v/>
      </c>
      <c r="BR140" s="8" t="str">
        <f>IF($B140="","",IF(COUNTIF('Competency Event Log'!$U$4:$U$803,$B140&amp;"|"&amp;BR$5)=0,"",SUMIF('Competency Event Log'!$U$4:$U$803,$B140&amp;"|"&amp;BR$5,'Competency Event Log'!$D$4:$D$803)))</f>
        <v/>
      </c>
      <c r="BS140" s="8" t="str">
        <f>IF($B140="","",IF(COUNTIF('Competency Event Log'!$U$4:$U$803,$B140&amp;"|"&amp;BS$5)=0,"",SUMIF('Competency Event Log'!$U$4:$U$803,$B140&amp;"|"&amp;BS$5,'Competency Event Log'!$D$4:$D$803)))</f>
        <v/>
      </c>
      <c r="BT140" s="8" t="str">
        <f>IF($B140="","",IF(COUNTIF('Competency Event Log'!$U$4:$U$803,$B140&amp;"|"&amp;BT$5)=0,"",SUMIF('Competency Event Log'!$U$4:$U$803,$B140&amp;"|"&amp;BT$5,'Competency Event Log'!$D$4:$D$803)))</f>
        <v/>
      </c>
      <c r="BU140" s="8" t="str">
        <f>IF($B140="","",IF(COUNTIF('Competency Event Log'!$U$4:$U$803,$B140&amp;"|"&amp;BU$5)=0,"",SUMIF('Competency Event Log'!$U$4:$U$803,$B140&amp;"|"&amp;BU$5,'Competency Event Log'!$D$4:$D$803)))</f>
        <v/>
      </c>
      <c r="BV140" s="8" t="str">
        <f>IF($B140="","",IF(COUNTIF('Competency Event Log'!$U$4:$U$803,$B140&amp;"|"&amp;BV$5)=0,"",SUMIF('Competency Event Log'!$U$4:$U$803,$B140&amp;"|"&amp;BV$5,'Competency Event Log'!$D$4:$D$803)))</f>
        <v/>
      </c>
      <c r="BW140" s="8" t="str">
        <f>IF($B140="","",IF(COUNTIF('Competency Event Log'!$U$4:$U$803,$B140&amp;"|"&amp;BW$5)=0,"",SUMIF('Competency Event Log'!$U$4:$U$803,$B140&amp;"|"&amp;BW$5,'Competency Event Log'!$D$4:$D$803)))</f>
        <v/>
      </c>
      <c r="BX140" s="8" t="str">
        <f>IF($B140="","",IF(COUNTIF('Competency Event Log'!$U$4:$U$803,$B140&amp;"|"&amp;BX$5)=0,"",SUMIF('Competency Event Log'!$U$4:$U$803,$B140&amp;"|"&amp;BX$5,'Competency Event Log'!$D$4:$D$803)))</f>
        <v/>
      </c>
      <c r="BY140" s="8" t="str">
        <f>IF($B140="","",IF(COUNTIF('Competency Event Log'!$U$4:$U$803,$B140&amp;"|"&amp;BY$5)=0,"",SUMIF('Competency Event Log'!$U$4:$U$803,$B140&amp;"|"&amp;BY$5,'Competency Event Log'!$D$4:$D$803)))</f>
        <v/>
      </c>
      <c r="BZ140" s="8" t="str">
        <f>IF($B140="","",IF(COUNTIF('Competency Event Log'!$U$4:$U$803,$B140&amp;"|"&amp;BZ$5)=0,"",SUMIF('Competency Event Log'!$U$4:$U$803,$B140&amp;"|"&amp;BZ$5,'Competency Event Log'!$D$4:$D$803)))</f>
        <v/>
      </c>
      <c r="CA140" s="8" t="str">
        <f>IF($B140="","",IF(COUNTIF('Competency Event Log'!$U$4:$U$803,$B140&amp;"|"&amp;CA$5)=0,"",SUMIF('Competency Event Log'!$U$4:$U$803,$B140&amp;"|"&amp;CA$5,'Competency Event Log'!$D$4:$D$803)))</f>
        <v/>
      </c>
      <c r="CB140" s="8" t="str">
        <f>IF($B140="","",IF(COUNTIF('Competency Event Log'!$U$4:$U$803,$B140&amp;"|"&amp;CB$5)=0,"",SUMIF('Competency Event Log'!$U$4:$U$803,$B140&amp;"|"&amp;CB$5,'Competency Event Log'!$D$4:$D$803)))</f>
        <v/>
      </c>
      <c r="CC140" s="8" t="str">
        <f>IF($B140="","",IF(COUNTIF('Competency Event Log'!$U$4:$U$803,$B140&amp;"|"&amp;CC$5)=0,"",SUMIF('Competency Event Log'!$U$4:$U$803,$B140&amp;"|"&amp;CC$5,'Competency Event Log'!$D$4:$D$803)))</f>
        <v/>
      </c>
      <c r="CD140" s="8" t="str">
        <f>IF($B140="","",IF(COUNTIF('Competency Event Log'!$U$4:$U$803,$B140&amp;"|"&amp;CD$5)=0,"",SUMIF('Competency Event Log'!$U$4:$U$803,$B140&amp;"|"&amp;CD$5,'Competency Event Log'!$D$4:$D$803)))</f>
        <v/>
      </c>
      <c r="CE140" s="8" t="str">
        <f>IF($B140="","",IF(COUNTIF('Competency Event Log'!$U$4:$U$803,$B140&amp;"|"&amp;CE$5)=0,"",SUMIF('Competency Event Log'!$U$4:$U$803,$B140&amp;"|"&amp;CE$5,'Competency Event Log'!$D$4:$D$803)))</f>
        <v/>
      </c>
      <c r="CF140" s="8" t="str">
        <f>IF($B140="","",IF(COUNTIF('Competency Event Log'!$U$4:$U$803,$B140&amp;"|"&amp;CF$5)=0,"",SUMIF('Competency Event Log'!$U$4:$U$803,$B140&amp;"|"&amp;CF$5,'Competency Event Log'!$D$4:$D$803)))</f>
        <v/>
      </c>
      <c r="CG140" s="8" t="str">
        <f>IF($B140="","",IF(COUNTIF('Competency Event Log'!$U$4:$U$803,$B140&amp;"|"&amp;CG$5)=0,"",SUMIF('Competency Event Log'!$U$4:$U$803,$B140&amp;"|"&amp;CG$5,'Competency Event Log'!$D$4:$D$803)))</f>
        <v/>
      </c>
      <c r="CH140" s="8" t="str">
        <f>IF($B140="","",IF(COUNTIF('Competency Event Log'!$U$4:$U$803,$B140&amp;"|"&amp;CH$5)=0,"",SUMIF('Competency Event Log'!$U$4:$U$803,$B140&amp;"|"&amp;CH$5,'Competency Event Log'!$D$4:$D$803)))</f>
        <v/>
      </c>
      <c r="CI140" s="8" t="str">
        <f>IF($B140="","",IF(COUNTIF('Competency Event Log'!$U$4:$U$803,$B140&amp;"|"&amp;CI$5)=0,"",SUMIF('Competency Event Log'!$U$4:$U$803,$B140&amp;"|"&amp;CI$5,'Competency Event Log'!$D$4:$D$803)))</f>
        <v/>
      </c>
      <c r="CJ140" s="8" t="str">
        <f>IF($B140="","",IF(COUNTIF('Competency Event Log'!$U$4:$U$803,$B140&amp;"|"&amp;CJ$5)=0,"",SUMIF('Competency Event Log'!$U$4:$U$803,$B140&amp;"|"&amp;CJ$5,'Competency Event Log'!$D$4:$D$803)))</f>
        <v/>
      </c>
      <c r="CK140" s="8" t="str">
        <f>IF($B140="","",IF(COUNTIF('Competency Event Log'!$U$4:$U$803,$B140&amp;"|"&amp;CK$5)=0,"",SUMIF('Competency Event Log'!$U$4:$U$803,$B140&amp;"|"&amp;CK$5,'Competency Event Log'!$D$4:$D$803)))</f>
        <v/>
      </c>
      <c r="CL140" s="8" t="str">
        <f>IF($B140="","",IF(COUNTIF('Competency Event Log'!$U$4:$U$803,$B140&amp;"|"&amp;CL$5)=0,"",SUMIF('Competency Event Log'!$U$4:$U$803,$B140&amp;"|"&amp;CL$5,'Competency Event Log'!$D$4:$D$803)))</f>
        <v/>
      </c>
      <c r="CM140" s="8" t="str">
        <f>IF($B140="","",IF(COUNTIF('Competency Event Log'!$U$4:$U$803,$B140&amp;"|"&amp;CM$5)=0,"",SUMIF('Competency Event Log'!$U$4:$U$803,$B140&amp;"|"&amp;CM$5,'Competency Event Log'!$D$4:$D$803)))</f>
        <v/>
      </c>
      <c r="CN140" s="8" t="str">
        <f>IF($B140="","",IF(COUNTIF('Competency Event Log'!$U$4:$U$803,$B140&amp;"|"&amp;CN$5)=0,"",SUMIF('Competency Event Log'!$U$4:$U$803,$B140&amp;"|"&amp;CN$5,'Competency Event Log'!$D$4:$D$803)))</f>
        <v/>
      </c>
      <c r="CO140" s="8" t="str">
        <f>IF($B140="","",IF(COUNTIF('Competency Event Log'!$U$4:$U$803,$B140&amp;"|"&amp;CO$5)=0,"",SUMIF('Competency Event Log'!$U$4:$U$803,$B140&amp;"|"&amp;CO$5,'Competency Event Log'!$D$4:$D$803)))</f>
        <v/>
      </c>
      <c r="CP140" s="8" t="str">
        <f>IF($B140="","",IF(COUNTIF('Competency Event Log'!$U$4:$U$803,$B140&amp;"|"&amp;CP$5)=0,"",SUMIF('Competency Event Log'!$U$4:$U$803,$B140&amp;"|"&amp;CP$5,'Competency Event Log'!$D$4:$D$803)))</f>
        <v/>
      </c>
      <c r="CQ140" s="8" t="str">
        <f>IF($B140="","",IF(COUNTIF('Competency Event Log'!$U$4:$U$803,$B140&amp;"|"&amp;CQ$5)=0,"",SUMIF('Competency Event Log'!$U$4:$U$803,$B140&amp;"|"&amp;CQ$5,'Competency Event Log'!$D$4:$D$803)))</f>
        <v/>
      </c>
      <c r="CR140" s="8" t="str">
        <f>IF($B140="","",IF(COUNTIF('Competency Event Log'!$U$4:$U$803,$B140&amp;"|"&amp;CR$5)=0,"",SUMIF('Competency Event Log'!$U$4:$U$803,$B140&amp;"|"&amp;CR$5,'Competency Event Log'!$D$4:$D$803)))</f>
        <v/>
      </c>
      <c r="CS140" s="8" t="str">
        <f>IF($B140="","",IF(COUNTIF('Competency Event Log'!$U$4:$U$803,$B140&amp;"|"&amp;CS$5)=0,"",SUMIF('Competency Event Log'!$U$4:$U$803,$B140&amp;"|"&amp;CS$5,'Competency Event Log'!$D$4:$D$803)))</f>
        <v/>
      </c>
      <c r="CT140" s="8" t="str">
        <f>IF($B140="","",IF(COUNTIF('Competency Event Log'!$U$4:$U$803,$B140&amp;"|"&amp;CT$5)=0,"",SUMIF('Competency Event Log'!$U$4:$U$803,$B140&amp;"|"&amp;CT$5,'Competency Event Log'!$D$4:$D$803)))</f>
        <v/>
      </c>
      <c r="CU140" s="8" t="str">
        <f>IF($B140="","",IF(COUNTIF('Competency Event Log'!$U$4:$U$803,$B140&amp;"|"&amp;CU$5)=0,"",SUMIF('Competency Event Log'!$U$4:$U$803,$B140&amp;"|"&amp;CU$5,'Competency Event Log'!$D$4:$D$803)))</f>
        <v/>
      </c>
      <c r="CV140" s="8" t="str">
        <f>IF($B140="","",IF(COUNTIF('Competency Event Log'!$U$4:$U$803,$B140&amp;"|"&amp;CV$5)=0,"",SUMIF('Competency Event Log'!$U$4:$U$803,$B140&amp;"|"&amp;CV$5,'Competency Event Log'!$D$4:$D$803)))</f>
        <v/>
      </c>
      <c r="CW140" s="8" t="str">
        <f>IF($B140="","",IF(COUNTIF('Competency Event Log'!$U$4:$U$803,$B140&amp;"|"&amp;CW$5)=0,"",SUMIF('Competency Event Log'!$U$4:$U$803,$B140&amp;"|"&amp;CW$5,'Competency Event Log'!$D$4:$D$803)))</f>
        <v/>
      </c>
      <c r="CX140" s="8" t="str">
        <f>IF($B140="","",IF(COUNTIF('Competency Event Log'!$U$4:$U$803,$B140&amp;"|"&amp;CX$5)=0,"",SUMIF('Competency Event Log'!$U$4:$U$803,$B140&amp;"|"&amp;CX$5,'Competency Event Log'!$D$4:$D$803)))</f>
        <v/>
      </c>
      <c r="CY140" s="8" t="str">
        <f>IF($B140="","",IF(COUNTIF('Competency Event Log'!$U$4:$U$803,$B140&amp;"|"&amp;CY$5)=0,"",SUMIF('Competency Event Log'!$U$4:$U$803,$B140&amp;"|"&amp;CY$5,'Competency Event Log'!$D$4:$D$803)))</f>
        <v/>
      </c>
      <c r="CZ140" s="8" t="str">
        <f>IF($B140="","",IF(COUNTIF('Competency Event Log'!$U$4:$U$803,$B140&amp;"|"&amp;CZ$5)=0,"",SUMIF('Competency Event Log'!$U$4:$U$803,$B140&amp;"|"&amp;CZ$5,'Competency Event Log'!$D$4:$D$803)))</f>
        <v/>
      </c>
      <c r="DA140" s="8" t="str">
        <f>IF($B140="","",IF(COUNTIF('Competency Event Log'!$U$4:$U$803,$B140&amp;"|"&amp;DA$5)=0,"",SUMIF('Competency Event Log'!$U$4:$U$803,$B140&amp;"|"&amp;DA$5,'Competency Event Log'!$D$4:$D$803)))</f>
        <v/>
      </c>
      <c r="DB140" s="8" t="str">
        <f>IF($B140="","",IF(COUNTIF('Competency Event Log'!$U$4:$U$803,$B140&amp;"|"&amp;DB$5)=0,"",SUMIF('Competency Event Log'!$U$4:$U$803,$B140&amp;"|"&amp;DB$5,'Competency Event Log'!$D$4:$D$803)))</f>
        <v/>
      </c>
      <c r="DC140" s="8" t="str">
        <f>IF($B140="","",IF(COUNTIF('Competency Event Log'!$U$4:$U$803,$B140&amp;"|"&amp;DC$5)=0,"",SUMIF('Competency Event Log'!$U$4:$U$803,$B140&amp;"|"&amp;DC$5,'Competency Event Log'!$D$4:$D$803)))</f>
        <v/>
      </c>
      <c r="DD140" s="8" t="str">
        <f>IF($B140="","",IF(COUNTIF('Competency Event Log'!$U$4:$U$803,$B140&amp;"|"&amp;DD$5)=0,"",SUMIF('Competency Event Log'!$U$4:$U$803,$B140&amp;"|"&amp;DD$5,'Competency Event Log'!$D$4:$D$803)))</f>
        <v/>
      </c>
      <c r="DE140" s="8" t="str">
        <f>IF($B140="","",IF(COUNTIF('Competency Event Log'!$U$4:$U$803,$B140&amp;"|"&amp;DE$5)=0,"",SUMIF('Competency Event Log'!$U$4:$U$803,$B140&amp;"|"&amp;DE$5,'Competency Event Log'!$D$4:$D$803)))</f>
        <v/>
      </c>
      <c r="DF140" s="8" t="str">
        <f t="shared" si="16"/>
        <v/>
      </c>
      <c r="DG140" s="8" t="str">
        <f t="shared" si="17"/>
        <v/>
      </c>
      <c r="DH140" s="8" t="str">
        <f t="shared" si="18"/>
        <v/>
      </c>
      <c r="DI140" s="11" t="str">
        <f t="shared" si="19"/>
        <v/>
      </c>
    </row>
    <row r="141" spans="1:113">
      <c r="A141" s="7"/>
      <c r="B141" s="7"/>
      <c r="C141" s="8"/>
      <c r="D141" s="9"/>
      <c r="E141" s="10"/>
      <c r="F141" s="8"/>
      <c r="G141" s="8" t="str">
        <f>IF($B141="","",IF(COUNTIF('Competency Event Log'!$U$4:$U$803,$B141&amp;"|"&amp;G$5)=0,"",SUMIF('Competency Event Log'!$U$4:$U$803,$B141&amp;"|"&amp;G$5,'Competency Event Log'!$D$4:$D$803)))</f>
        <v/>
      </c>
      <c r="H141" s="8" t="str">
        <f>IF($B141="","",IF(COUNTIF('Competency Event Log'!$U$4:$U$803,$B141&amp;"|"&amp;H$5)=0,"",SUMIF('Competency Event Log'!$U$4:$U$803,$B141&amp;"|"&amp;H$5,'Competency Event Log'!$D$4:$D$803)))</f>
        <v/>
      </c>
      <c r="I141" s="8" t="str">
        <f>IF($B141="","",IF(COUNTIF('Competency Event Log'!$U$4:$U$803,$B141&amp;"|"&amp;I$5)=0,"",SUMIF('Competency Event Log'!$U$4:$U$803,$B141&amp;"|"&amp;I$5,'Competency Event Log'!$D$4:$D$803)))</f>
        <v/>
      </c>
      <c r="J141" s="8" t="str">
        <f>IF($B141="","",IF(COUNTIF('Competency Event Log'!$U$4:$U$803,$B141&amp;"|"&amp;J$5)=0,"",SUMIF('Competency Event Log'!$U$4:$U$803,$B141&amp;"|"&amp;J$5,'Competency Event Log'!$D$4:$D$803)))</f>
        <v/>
      </c>
      <c r="K141" s="8" t="str">
        <f>IF($B141="","",IF(COUNTIF('Competency Event Log'!$U$4:$U$803,$B141&amp;"|"&amp;K$5)=0,"",SUMIF('Competency Event Log'!$U$4:$U$803,$B141&amp;"|"&amp;K$5,'Competency Event Log'!$D$4:$D$803)))</f>
        <v/>
      </c>
      <c r="L141" s="8" t="str">
        <f>IF($B141="","",IF(COUNTIF('Competency Event Log'!$U$4:$U$803,$B141&amp;"|"&amp;L$5)=0,"",SUMIF('Competency Event Log'!$U$4:$U$803,$B141&amp;"|"&amp;L$5,'Competency Event Log'!$D$4:$D$803)))</f>
        <v/>
      </c>
      <c r="M141" s="8" t="str">
        <f>IF($B141="","",IF(COUNTIF('Competency Event Log'!$U$4:$U$803,$B141&amp;"|"&amp;M$5)=0,"",SUMIF('Competency Event Log'!$U$4:$U$803,$B141&amp;"|"&amp;M$5,'Competency Event Log'!$D$4:$D$803)))</f>
        <v/>
      </c>
      <c r="N141" s="8" t="str">
        <f>IF($B141="","",IF(COUNTIF('Competency Event Log'!$U$4:$U$803,$B141&amp;"|"&amp;N$5)=0,"",SUMIF('Competency Event Log'!$U$4:$U$803,$B141&amp;"|"&amp;N$5,'Competency Event Log'!$D$4:$D$803)))</f>
        <v/>
      </c>
      <c r="O141" s="8" t="str">
        <f>IF($B141="","",IF(COUNTIF('Competency Event Log'!$U$4:$U$803,$B141&amp;"|"&amp;O$5)=0,"",SUMIF('Competency Event Log'!$U$4:$U$803,$B141&amp;"|"&amp;O$5,'Competency Event Log'!$D$4:$D$803)))</f>
        <v/>
      </c>
      <c r="P141" s="8" t="str">
        <f>IF($B141="","",IF(COUNTIF('Competency Event Log'!$U$4:$U$803,$B141&amp;"|"&amp;P$5)=0,"",SUMIF('Competency Event Log'!$U$4:$U$803,$B141&amp;"|"&amp;P$5,'Competency Event Log'!$D$4:$D$803)))</f>
        <v/>
      </c>
      <c r="Q141" s="8" t="str">
        <f>IF($B141="","",IF(COUNTIF('Competency Event Log'!$U$4:$U$803,$B141&amp;"|"&amp;Q$5)=0,"",SUMIF('Competency Event Log'!$U$4:$U$803,$B141&amp;"|"&amp;Q$5,'Competency Event Log'!$D$4:$D$803)))</f>
        <v/>
      </c>
      <c r="R141" s="8" t="str">
        <f>IF($B141="","",IF(COUNTIF('Competency Event Log'!$U$4:$U$803,$B141&amp;"|"&amp;R$5)=0,"",SUMIF('Competency Event Log'!$U$4:$U$803,$B141&amp;"|"&amp;R$5,'Competency Event Log'!$D$4:$D$803)))</f>
        <v/>
      </c>
      <c r="S141" s="8" t="str">
        <f>IF($B141="","",IF(COUNTIF('Competency Event Log'!$U$4:$U$803,$B141&amp;"|"&amp;S$5)=0,"",SUMIF('Competency Event Log'!$U$4:$U$803,$B141&amp;"|"&amp;S$5,'Competency Event Log'!$D$4:$D$803)))</f>
        <v/>
      </c>
      <c r="T141" s="8" t="str">
        <f>IF($B141="","",IF(COUNTIF('Competency Event Log'!$U$4:$U$803,$B141&amp;"|"&amp;T$5)=0,"",SUMIF('Competency Event Log'!$U$4:$U$803,$B141&amp;"|"&amp;T$5,'Competency Event Log'!$D$4:$D$803)))</f>
        <v/>
      </c>
      <c r="U141" s="8" t="str">
        <f>IF($B141="","",IF(COUNTIF('Competency Event Log'!$U$4:$U$803,$B141&amp;"|"&amp;U$5)=0,"",SUMIF('Competency Event Log'!$U$4:$U$803,$B141&amp;"|"&amp;U$5,'Competency Event Log'!$D$4:$D$803)))</f>
        <v/>
      </c>
      <c r="V141" s="8" t="str">
        <f>IF($B141="","",IF(COUNTIF('Competency Event Log'!$U$4:$U$803,$B141&amp;"|"&amp;V$5)=0,"",SUMIF('Competency Event Log'!$U$4:$U$803,$B141&amp;"|"&amp;V$5,'Competency Event Log'!$D$4:$D$803)))</f>
        <v/>
      </c>
      <c r="W141" s="8" t="str">
        <f>IF($B141="","",IF(COUNTIF('Competency Event Log'!$U$4:$U$803,$B141&amp;"|"&amp;W$5)=0,"",SUMIF('Competency Event Log'!$U$4:$U$803,$B141&amp;"|"&amp;W$5,'Competency Event Log'!$D$4:$D$803)))</f>
        <v/>
      </c>
      <c r="X141" s="8" t="str">
        <f>IF($B141="","",IF(COUNTIF('Competency Event Log'!$U$4:$U$803,$B141&amp;"|"&amp;X$5)=0,"",SUMIF('Competency Event Log'!$U$4:$U$803,$B141&amp;"|"&amp;X$5,'Competency Event Log'!$D$4:$D$803)))</f>
        <v/>
      </c>
      <c r="Y141" s="8" t="str">
        <f>IF($B141="","",IF(COUNTIF('Competency Event Log'!$U$4:$U$803,$B141&amp;"|"&amp;Y$5)=0,"",SUMIF('Competency Event Log'!$U$4:$U$803,$B141&amp;"|"&amp;Y$5,'Competency Event Log'!$D$4:$D$803)))</f>
        <v/>
      </c>
      <c r="Z141" s="8" t="str">
        <f>IF($B141="","",IF(COUNTIF('Competency Event Log'!$U$4:$U$803,$B141&amp;"|"&amp;Z$5)=0,"",SUMIF('Competency Event Log'!$U$4:$U$803,$B141&amp;"|"&amp;Z$5,'Competency Event Log'!$D$4:$D$803)))</f>
        <v/>
      </c>
      <c r="AA141" s="8" t="str">
        <f>IF($B141="","",IF(COUNTIF('Competency Event Log'!$U$4:$U$803,$B141&amp;"|"&amp;AA$5)=0,"",SUMIF('Competency Event Log'!$U$4:$U$803,$B141&amp;"|"&amp;AA$5,'Competency Event Log'!$D$4:$D$803)))</f>
        <v/>
      </c>
      <c r="AB141" s="8" t="str">
        <f>IF($B141="","",IF(COUNTIF('Competency Event Log'!$U$4:$U$803,$B141&amp;"|"&amp;AB$5)=0,"",SUMIF('Competency Event Log'!$U$4:$U$803,$B141&amp;"|"&amp;AB$5,'Competency Event Log'!$D$4:$D$803)))</f>
        <v/>
      </c>
      <c r="AC141" s="8" t="str">
        <f>IF($B141="","",IF(COUNTIF('Competency Event Log'!$U$4:$U$803,$B141&amp;"|"&amp;AC$5)=0,"",SUMIF('Competency Event Log'!$U$4:$U$803,$B141&amp;"|"&amp;AC$5,'Competency Event Log'!$D$4:$D$803)))</f>
        <v/>
      </c>
      <c r="AD141" s="8" t="str">
        <f>IF($B141="","",IF(COUNTIF('Competency Event Log'!$U$4:$U$803,$B141&amp;"|"&amp;AD$5)=0,"",SUMIF('Competency Event Log'!$U$4:$U$803,$B141&amp;"|"&amp;AD$5,'Competency Event Log'!$D$4:$D$803)))</f>
        <v/>
      </c>
      <c r="AE141" s="8" t="str">
        <f>IF($B141="","",IF(COUNTIF('Competency Event Log'!$U$4:$U$803,$B141&amp;"|"&amp;AE$5)=0,"",SUMIF('Competency Event Log'!$U$4:$U$803,$B141&amp;"|"&amp;AE$5,'Competency Event Log'!$D$4:$D$803)))</f>
        <v/>
      </c>
      <c r="AF141" s="8" t="str">
        <f>IF($B141="","",IF(COUNTIF('Competency Event Log'!$U$4:$U$803,$B141&amp;"|"&amp;AF$5)=0,"",SUMIF('Competency Event Log'!$U$4:$U$803,$B141&amp;"|"&amp;AF$5,'Competency Event Log'!$D$4:$D$803)))</f>
        <v/>
      </c>
      <c r="AG141" s="8" t="str">
        <f>IF($B141="","",IF(COUNTIF('Competency Event Log'!$U$4:$U$803,$B141&amp;"|"&amp;AG$5)=0,"",SUMIF('Competency Event Log'!$U$4:$U$803,$B141&amp;"|"&amp;AG$5,'Competency Event Log'!$D$4:$D$803)))</f>
        <v/>
      </c>
      <c r="AH141" s="8" t="str">
        <f>IF($B141="","",IF(COUNTIF('Competency Event Log'!$U$4:$U$803,$B141&amp;"|"&amp;AH$5)=0,"",SUMIF('Competency Event Log'!$U$4:$U$803,$B141&amp;"|"&amp;AH$5,'Competency Event Log'!$D$4:$D$803)))</f>
        <v/>
      </c>
      <c r="AI141" s="8" t="str">
        <f>IF($B141="","",IF(COUNTIF('Competency Event Log'!$U$4:$U$803,$B141&amp;"|"&amp;AI$5)=0,"",SUMIF('Competency Event Log'!$U$4:$U$803,$B141&amp;"|"&amp;AI$5,'Competency Event Log'!$D$4:$D$803)))</f>
        <v/>
      </c>
      <c r="AJ141" s="8" t="str">
        <f>IF($B141="","",IF(COUNTIF('Competency Event Log'!$U$4:$U$803,$B141&amp;"|"&amp;AJ$5)=0,"",SUMIF('Competency Event Log'!$U$4:$U$803,$B141&amp;"|"&amp;AJ$5,'Competency Event Log'!$D$4:$D$803)))</f>
        <v/>
      </c>
      <c r="AK141" s="8" t="str">
        <f>IF($B141="","",IF(COUNTIF('Competency Event Log'!$U$4:$U$803,$B141&amp;"|"&amp;AK$5)=0,"",SUMIF('Competency Event Log'!$U$4:$U$803,$B141&amp;"|"&amp;AK$5,'Competency Event Log'!$D$4:$D$803)))</f>
        <v/>
      </c>
      <c r="AL141" s="8" t="str">
        <f>IF($B141="","",IF(COUNTIF('Competency Event Log'!$U$4:$U$803,$B141&amp;"|"&amp;AL$5)=0,"",SUMIF('Competency Event Log'!$U$4:$U$803,$B141&amp;"|"&amp;AL$5,'Competency Event Log'!$D$4:$D$803)))</f>
        <v/>
      </c>
      <c r="AM141" s="8" t="str">
        <f>IF($B141="","",IF(COUNTIF('Competency Event Log'!$U$4:$U$803,$B141&amp;"|"&amp;AM$5)=0,"",SUMIF('Competency Event Log'!$U$4:$U$803,$B141&amp;"|"&amp;AM$5,'Competency Event Log'!$D$4:$D$803)))</f>
        <v/>
      </c>
      <c r="AN141" s="8" t="str">
        <f>IF($B141="","",IF(COUNTIF('Competency Event Log'!$U$4:$U$803,$B141&amp;"|"&amp;AN$5)=0,"",SUMIF('Competency Event Log'!$U$4:$U$803,$B141&amp;"|"&amp;AN$5,'Competency Event Log'!$D$4:$D$803)))</f>
        <v/>
      </c>
      <c r="AO141" s="8" t="str">
        <f>IF($B141="","",IF(COUNTIF('Competency Event Log'!$U$4:$U$803,$B141&amp;"|"&amp;AO$5)=0,"",SUMIF('Competency Event Log'!$U$4:$U$803,$B141&amp;"|"&amp;AO$5,'Competency Event Log'!$D$4:$D$803)))</f>
        <v/>
      </c>
      <c r="AP141" s="8" t="str">
        <f>IF($B141="","",IF(COUNTIF('Competency Event Log'!$U$4:$U$803,$B141&amp;"|"&amp;AP$5)=0,"",SUMIF('Competency Event Log'!$U$4:$U$803,$B141&amp;"|"&amp;AP$5,'Competency Event Log'!$D$4:$D$803)))</f>
        <v/>
      </c>
      <c r="AQ141" s="8" t="str">
        <f>IF($B141="","",IF(COUNTIF('Competency Event Log'!$U$4:$U$803,$B141&amp;"|"&amp;AQ$5)=0,"",SUMIF('Competency Event Log'!$U$4:$U$803,$B141&amp;"|"&amp;AQ$5,'Competency Event Log'!$D$4:$D$803)))</f>
        <v/>
      </c>
      <c r="AR141" s="8" t="str">
        <f>IF($B141="","",IF(COUNTIF('Competency Event Log'!$U$4:$U$803,$B141&amp;"|"&amp;AR$5)=0,"",SUMIF('Competency Event Log'!$U$4:$U$803,$B141&amp;"|"&amp;AR$5,'Competency Event Log'!$D$4:$D$803)))</f>
        <v/>
      </c>
      <c r="AS141" s="8" t="str">
        <f>IF($B141="","",IF(COUNTIF('Competency Event Log'!$U$4:$U$803,$B141&amp;"|"&amp;AS$5)=0,"",SUMIF('Competency Event Log'!$U$4:$U$803,$B141&amp;"|"&amp;AS$5,'Competency Event Log'!$D$4:$D$803)))</f>
        <v/>
      </c>
      <c r="AT141" s="8" t="str">
        <f>IF($B141="","",IF(COUNTIF('Competency Event Log'!$U$4:$U$803,$B141&amp;"|"&amp;AT$5)=0,"",SUMIF('Competency Event Log'!$U$4:$U$803,$B141&amp;"|"&amp;AT$5,'Competency Event Log'!$D$4:$D$803)))</f>
        <v/>
      </c>
      <c r="AU141" s="8" t="str">
        <f>IF($B141="","",IF(COUNTIF('Competency Event Log'!$U$4:$U$803,$B141&amp;"|"&amp;AU$5)=0,"",SUMIF('Competency Event Log'!$U$4:$U$803,$B141&amp;"|"&amp;AU$5,'Competency Event Log'!$D$4:$D$803)))</f>
        <v/>
      </c>
      <c r="AV141" s="8" t="str">
        <f>IF($B141="","",IF(COUNTIF('Competency Event Log'!$U$4:$U$803,$B141&amp;"|"&amp;AV$5)=0,"",SUMIF('Competency Event Log'!$U$4:$U$803,$B141&amp;"|"&amp;AV$5,'Competency Event Log'!$D$4:$D$803)))</f>
        <v/>
      </c>
      <c r="AW141" s="8" t="str">
        <f>IF($B141="","",IF(COUNTIF('Competency Event Log'!$U$4:$U$803,$B141&amp;"|"&amp;AW$5)=0,"",SUMIF('Competency Event Log'!$U$4:$U$803,$B141&amp;"|"&amp;AW$5,'Competency Event Log'!$D$4:$D$803)))</f>
        <v/>
      </c>
      <c r="AX141" s="8" t="str">
        <f>IF($B141="","",IF(COUNTIF('Competency Event Log'!$U$4:$U$803,$B141&amp;"|"&amp;AX$5)=0,"",SUMIF('Competency Event Log'!$U$4:$U$803,$B141&amp;"|"&amp;AX$5,'Competency Event Log'!$D$4:$D$803)))</f>
        <v/>
      </c>
      <c r="AY141" s="8" t="str">
        <f>IF($B141="","",IF(COUNTIF('Competency Event Log'!$U$4:$U$803,$B141&amp;"|"&amp;AY$5)=0,"",SUMIF('Competency Event Log'!$U$4:$U$803,$B141&amp;"|"&amp;AY$5,'Competency Event Log'!$D$4:$D$803)))</f>
        <v/>
      </c>
      <c r="AZ141" s="8" t="str">
        <f>IF($B141="","",IF(COUNTIF('Competency Event Log'!$U$4:$U$803,$B141&amp;"|"&amp;AZ$5)=0,"",SUMIF('Competency Event Log'!$U$4:$U$803,$B141&amp;"|"&amp;AZ$5,'Competency Event Log'!$D$4:$D$803)))</f>
        <v/>
      </c>
      <c r="BA141" s="8" t="str">
        <f>IF($B141="","",IF(COUNTIF('Competency Event Log'!$U$4:$U$803,$B141&amp;"|"&amp;BA$5)=0,"",SUMIF('Competency Event Log'!$U$4:$U$803,$B141&amp;"|"&amp;BA$5,'Competency Event Log'!$D$4:$D$803)))</f>
        <v/>
      </c>
      <c r="BB141" s="8" t="str">
        <f>IF($B141="","",IF(COUNTIF('Competency Event Log'!$U$4:$U$803,$B141&amp;"|"&amp;BB$5)=0,"",SUMIF('Competency Event Log'!$U$4:$U$803,$B141&amp;"|"&amp;BB$5,'Competency Event Log'!$D$4:$D$803)))</f>
        <v/>
      </c>
      <c r="BC141" s="8" t="str">
        <f>IF($B141="","",IF(COUNTIF('Competency Event Log'!$U$4:$U$803,$B141&amp;"|"&amp;BC$5)=0,"",SUMIF('Competency Event Log'!$U$4:$U$803,$B141&amp;"|"&amp;BC$5,'Competency Event Log'!$D$4:$D$803)))</f>
        <v/>
      </c>
      <c r="BD141" s="8" t="str">
        <f>IF($B141="","",IF(COUNTIF('Competency Event Log'!$U$4:$U$803,$B141&amp;"|"&amp;BD$5)=0,"",SUMIF('Competency Event Log'!$U$4:$U$803,$B141&amp;"|"&amp;BD$5,'Competency Event Log'!$D$4:$D$803)))</f>
        <v/>
      </c>
      <c r="BE141" s="8" t="str">
        <f>IF($B141="","",IF(COUNTIF('Competency Event Log'!$U$4:$U$803,$B141&amp;"|"&amp;BE$5)=0,"",SUMIF('Competency Event Log'!$U$4:$U$803,$B141&amp;"|"&amp;BE$5,'Competency Event Log'!$D$4:$D$803)))</f>
        <v/>
      </c>
      <c r="BF141" s="8" t="str">
        <f>IF($B141="","",IF(COUNTIF('Competency Event Log'!$U$4:$U$803,$B141&amp;"|"&amp;BF$5)=0,"",SUMIF('Competency Event Log'!$U$4:$U$803,$B141&amp;"|"&amp;BF$5,'Competency Event Log'!$D$4:$D$803)))</f>
        <v/>
      </c>
      <c r="BG141" s="8" t="str">
        <f>IF($B141="","",IF(COUNTIF('Competency Event Log'!$U$4:$U$803,$B141&amp;"|"&amp;BG$5)=0,"",SUMIF('Competency Event Log'!$U$4:$U$803,$B141&amp;"|"&amp;BG$5,'Competency Event Log'!$D$4:$D$803)))</f>
        <v/>
      </c>
      <c r="BH141" s="8" t="str">
        <f>IF($B141="","",IF(COUNTIF('Competency Event Log'!$U$4:$U$803,$B141&amp;"|"&amp;BH$5)=0,"",SUMIF('Competency Event Log'!$U$4:$U$803,$B141&amp;"|"&amp;BH$5,'Competency Event Log'!$D$4:$D$803)))</f>
        <v/>
      </c>
      <c r="BI141" s="8" t="str">
        <f>IF($B141="","",IF(COUNTIF('Competency Event Log'!$U$4:$U$803,$B141&amp;"|"&amp;BI$5)=0,"",SUMIF('Competency Event Log'!$U$4:$U$803,$B141&amp;"|"&amp;BI$5,'Competency Event Log'!$D$4:$D$803)))</f>
        <v/>
      </c>
      <c r="BJ141" s="8" t="str">
        <f>IF($B141="","",IF(COUNTIF('Competency Event Log'!$U$4:$U$803,$B141&amp;"|"&amp;BJ$5)=0,"",SUMIF('Competency Event Log'!$U$4:$U$803,$B141&amp;"|"&amp;BJ$5,'Competency Event Log'!$D$4:$D$803)))</f>
        <v/>
      </c>
      <c r="BK141" s="8" t="str">
        <f>IF($B141="","",IF(COUNTIF('Competency Event Log'!$U$4:$U$803,$B141&amp;"|"&amp;BK$5)=0,"",SUMIF('Competency Event Log'!$U$4:$U$803,$B141&amp;"|"&amp;BK$5,'Competency Event Log'!$D$4:$D$803)))</f>
        <v/>
      </c>
      <c r="BL141" s="8" t="str">
        <f>IF($B141="","",IF(COUNTIF('Competency Event Log'!$U$4:$U$803,$B141&amp;"|"&amp;BL$5)=0,"",SUMIF('Competency Event Log'!$U$4:$U$803,$B141&amp;"|"&amp;BL$5,'Competency Event Log'!$D$4:$D$803)))</f>
        <v/>
      </c>
      <c r="BM141" s="8" t="str">
        <f>IF($B141="","",IF(COUNTIF('Competency Event Log'!$U$4:$U$803,$B141&amp;"|"&amp;BM$5)=0,"",SUMIF('Competency Event Log'!$U$4:$U$803,$B141&amp;"|"&amp;BM$5,'Competency Event Log'!$D$4:$D$803)))</f>
        <v/>
      </c>
      <c r="BN141" s="8" t="str">
        <f>IF($B141="","",IF(COUNTIF('Competency Event Log'!$U$4:$U$803,$B141&amp;"|"&amp;BN$5)=0,"",SUMIF('Competency Event Log'!$U$4:$U$803,$B141&amp;"|"&amp;BN$5,'Competency Event Log'!$D$4:$D$803)))</f>
        <v/>
      </c>
      <c r="BO141" s="8" t="str">
        <f>IF($B141="","",IF(COUNTIF('Competency Event Log'!$U$4:$U$803,$B141&amp;"|"&amp;BO$5)=0,"",SUMIF('Competency Event Log'!$U$4:$U$803,$B141&amp;"|"&amp;BO$5,'Competency Event Log'!$D$4:$D$803)))</f>
        <v/>
      </c>
      <c r="BP141" s="8" t="str">
        <f>IF($B141="","",IF(COUNTIF('Competency Event Log'!$U$4:$U$803,$B141&amp;"|"&amp;BP$5)=0,"",SUMIF('Competency Event Log'!$U$4:$U$803,$B141&amp;"|"&amp;BP$5,'Competency Event Log'!$D$4:$D$803)))</f>
        <v/>
      </c>
      <c r="BQ141" s="8" t="str">
        <f>IF($B141="","",IF(COUNTIF('Competency Event Log'!$U$4:$U$803,$B141&amp;"|"&amp;BQ$5)=0,"",SUMIF('Competency Event Log'!$U$4:$U$803,$B141&amp;"|"&amp;BQ$5,'Competency Event Log'!$D$4:$D$803)))</f>
        <v/>
      </c>
      <c r="BR141" s="8" t="str">
        <f>IF($B141="","",IF(COUNTIF('Competency Event Log'!$U$4:$U$803,$B141&amp;"|"&amp;BR$5)=0,"",SUMIF('Competency Event Log'!$U$4:$U$803,$B141&amp;"|"&amp;BR$5,'Competency Event Log'!$D$4:$D$803)))</f>
        <v/>
      </c>
      <c r="BS141" s="8" t="str">
        <f>IF($B141="","",IF(COUNTIF('Competency Event Log'!$U$4:$U$803,$B141&amp;"|"&amp;BS$5)=0,"",SUMIF('Competency Event Log'!$U$4:$U$803,$B141&amp;"|"&amp;BS$5,'Competency Event Log'!$D$4:$D$803)))</f>
        <v/>
      </c>
      <c r="BT141" s="8" t="str">
        <f>IF($B141="","",IF(COUNTIF('Competency Event Log'!$U$4:$U$803,$B141&amp;"|"&amp;BT$5)=0,"",SUMIF('Competency Event Log'!$U$4:$U$803,$B141&amp;"|"&amp;BT$5,'Competency Event Log'!$D$4:$D$803)))</f>
        <v/>
      </c>
      <c r="BU141" s="8" t="str">
        <f>IF($B141="","",IF(COUNTIF('Competency Event Log'!$U$4:$U$803,$B141&amp;"|"&amp;BU$5)=0,"",SUMIF('Competency Event Log'!$U$4:$U$803,$B141&amp;"|"&amp;BU$5,'Competency Event Log'!$D$4:$D$803)))</f>
        <v/>
      </c>
      <c r="BV141" s="8" t="str">
        <f>IF($B141="","",IF(COUNTIF('Competency Event Log'!$U$4:$U$803,$B141&amp;"|"&amp;BV$5)=0,"",SUMIF('Competency Event Log'!$U$4:$U$803,$B141&amp;"|"&amp;BV$5,'Competency Event Log'!$D$4:$D$803)))</f>
        <v/>
      </c>
      <c r="BW141" s="8" t="str">
        <f>IF($B141="","",IF(COUNTIF('Competency Event Log'!$U$4:$U$803,$B141&amp;"|"&amp;BW$5)=0,"",SUMIF('Competency Event Log'!$U$4:$U$803,$B141&amp;"|"&amp;BW$5,'Competency Event Log'!$D$4:$D$803)))</f>
        <v/>
      </c>
      <c r="BX141" s="8" t="str">
        <f>IF($B141="","",IF(COUNTIF('Competency Event Log'!$U$4:$U$803,$B141&amp;"|"&amp;BX$5)=0,"",SUMIF('Competency Event Log'!$U$4:$U$803,$B141&amp;"|"&amp;BX$5,'Competency Event Log'!$D$4:$D$803)))</f>
        <v/>
      </c>
      <c r="BY141" s="8" t="str">
        <f>IF($B141="","",IF(COUNTIF('Competency Event Log'!$U$4:$U$803,$B141&amp;"|"&amp;BY$5)=0,"",SUMIF('Competency Event Log'!$U$4:$U$803,$B141&amp;"|"&amp;BY$5,'Competency Event Log'!$D$4:$D$803)))</f>
        <v/>
      </c>
      <c r="BZ141" s="8" t="str">
        <f>IF($B141="","",IF(COUNTIF('Competency Event Log'!$U$4:$U$803,$B141&amp;"|"&amp;BZ$5)=0,"",SUMIF('Competency Event Log'!$U$4:$U$803,$B141&amp;"|"&amp;BZ$5,'Competency Event Log'!$D$4:$D$803)))</f>
        <v/>
      </c>
      <c r="CA141" s="8" t="str">
        <f>IF($B141="","",IF(COUNTIF('Competency Event Log'!$U$4:$U$803,$B141&amp;"|"&amp;CA$5)=0,"",SUMIF('Competency Event Log'!$U$4:$U$803,$B141&amp;"|"&amp;CA$5,'Competency Event Log'!$D$4:$D$803)))</f>
        <v/>
      </c>
      <c r="CB141" s="8" t="str">
        <f>IF($B141="","",IF(COUNTIF('Competency Event Log'!$U$4:$U$803,$B141&amp;"|"&amp;CB$5)=0,"",SUMIF('Competency Event Log'!$U$4:$U$803,$B141&amp;"|"&amp;CB$5,'Competency Event Log'!$D$4:$D$803)))</f>
        <v/>
      </c>
      <c r="CC141" s="8" t="str">
        <f>IF($B141="","",IF(COUNTIF('Competency Event Log'!$U$4:$U$803,$B141&amp;"|"&amp;CC$5)=0,"",SUMIF('Competency Event Log'!$U$4:$U$803,$B141&amp;"|"&amp;CC$5,'Competency Event Log'!$D$4:$D$803)))</f>
        <v/>
      </c>
      <c r="CD141" s="8" t="str">
        <f>IF($B141="","",IF(COUNTIF('Competency Event Log'!$U$4:$U$803,$B141&amp;"|"&amp;CD$5)=0,"",SUMIF('Competency Event Log'!$U$4:$U$803,$B141&amp;"|"&amp;CD$5,'Competency Event Log'!$D$4:$D$803)))</f>
        <v/>
      </c>
      <c r="CE141" s="8" t="str">
        <f>IF($B141="","",IF(COUNTIF('Competency Event Log'!$U$4:$U$803,$B141&amp;"|"&amp;CE$5)=0,"",SUMIF('Competency Event Log'!$U$4:$U$803,$B141&amp;"|"&amp;CE$5,'Competency Event Log'!$D$4:$D$803)))</f>
        <v/>
      </c>
      <c r="CF141" s="8" t="str">
        <f>IF($B141="","",IF(COUNTIF('Competency Event Log'!$U$4:$U$803,$B141&amp;"|"&amp;CF$5)=0,"",SUMIF('Competency Event Log'!$U$4:$U$803,$B141&amp;"|"&amp;CF$5,'Competency Event Log'!$D$4:$D$803)))</f>
        <v/>
      </c>
      <c r="CG141" s="8" t="str">
        <f>IF($B141="","",IF(COUNTIF('Competency Event Log'!$U$4:$U$803,$B141&amp;"|"&amp;CG$5)=0,"",SUMIF('Competency Event Log'!$U$4:$U$803,$B141&amp;"|"&amp;CG$5,'Competency Event Log'!$D$4:$D$803)))</f>
        <v/>
      </c>
      <c r="CH141" s="8" t="str">
        <f>IF($B141="","",IF(COUNTIF('Competency Event Log'!$U$4:$U$803,$B141&amp;"|"&amp;CH$5)=0,"",SUMIF('Competency Event Log'!$U$4:$U$803,$B141&amp;"|"&amp;CH$5,'Competency Event Log'!$D$4:$D$803)))</f>
        <v/>
      </c>
      <c r="CI141" s="8" t="str">
        <f>IF($B141="","",IF(COUNTIF('Competency Event Log'!$U$4:$U$803,$B141&amp;"|"&amp;CI$5)=0,"",SUMIF('Competency Event Log'!$U$4:$U$803,$B141&amp;"|"&amp;CI$5,'Competency Event Log'!$D$4:$D$803)))</f>
        <v/>
      </c>
      <c r="CJ141" s="8" t="str">
        <f>IF($B141="","",IF(COUNTIF('Competency Event Log'!$U$4:$U$803,$B141&amp;"|"&amp;CJ$5)=0,"",SUMIF('Competency Event Log'!$U$4:$U$803,$B141&amp;"|"&amp;CJ$5,'Competency Event Log'!$D$4:$D$803)))</f>
        <v/>
      </c>
      <c r="CK141" s="8" t="str">
        <f>IF($B141="","",IF(COUNTIF('Competency Event Log'!$U$4:$U$803,$B141&amp;"|"&amp;CK$5)=0,"",SUMIF('Competency Event Log'!$U$4:$U$803,$B141&amp;"|"&amp;CK$5,'Competency Event Log'!$D$4:$D$803)))</f>
        <v/>
      </c>
      <c r="CL141" s="8" t="str">
        <f>IF($B141="","",IF(COUNTIF('Competency Event Log'!$U$4:$U$803,$B141&amp;"|"&amp;CL$5)=0,"",SUMIF('Competency Event Log'!$U$4:$U$803,$B141&amp;"|"&amp;CL$5,'Competency Event Log'!$D$4:$D$803)))</f>
        <v/>
      </c>
      <c r="CM141" s="8" t="str">
        <f>IF($B141="","",IF(COUNTIF('Competency Event Log'!$U$4:$U$803,$B141&amp;"|"&amp;CM$5)=0,"",SUMIF('Competency Event Log'!$U$4:$U$803,$B141&amp;"|"&amp;CM$5,'Competency Event Log'!$D$4:$D$803)))</f>
        <v/>
      </c>
      <c r="CN141" s="8" t="str">
        <f>IF($B141="","",IF(COUNTIF('Competency Event Log'!$U$4:$U$803,$B141&amp;"|"&amp;CN$5)=0,"",SUMIF('Competency Event Log'!$U$4:$U$803,$B141&amp;"|"&amp;CN$5,'Competency Event Log'!$D$4:$D$803)))</f>
        <v/>
      </c>
      <c r="CO141" s="8" t="str">
        <f>IF($B141="","",IF(COUNTIF('Competency Event Log'!$U$4:$U$803,$B141&amp;"|"&amp;CO$5)=0,"",SUMIF('Competency Event Log'!$U$4:$U$803,$B141&amp;"|"&amp;CO$5,'Competency Event Log'!$D$4:$D$803)))</f>
        <v/>
      </c>
      <c r="CP141" s="8" t="str">
        <f>IF($B141="","",IF(COUNTIF('Competency Event Log'!$U$4:$U$803,$B141&amp;"|"&amp;CP$5)=0,"",SUMIF('Competency Event Log'!$U$4:$U$803,$B141&amp;"|"&amp;CP$5,'Competency Event Log'!$D$4:$D$803)))</f>
        <v/>
      </c>
      <c r="CQ141" s="8" t="str">
        <f>IF($B141="","",IF(COUNTIF('Competency Event Log'!$U$4:$U$803,$B141&amp;"|"&amp;CQ$5)=0,"",SUMIF('Competency Event Log'!$U$4:$U$803,$B141&amp;"|"&amp;CQ$5,'Competency Event Log'!$D$4:$D$803)))</f>
        <v/>
      </c>
      <c r="CR141" s="8" t="str">
        <f>IF($B141="","",IF(COUNTIF('Competency Event Log'!$U$4:$U$803,$B141&amp;"|"&amp;CR$5)=0,"",SUMIF('Competency Event Log'!$U$4:$U$803,$B141&amp;"|"&amp;CR$5,'Competency Event Log'!$D$4:$D$803)))</f>
        <v/>
      </c>
      <c r="CS141" s="8" t="str">
        <f>IF($B141="","",IF(COUNTIF('Competency Event Log'!$U$4:$U$803,$B141&amp;"|"&amp;CS$5)=0,"",SUMIF('Competency Event Log'!$U$4:$U$803,$B141&amp;"|"&amp;CS$5,'Competency Event Log'!$D$4:$D$803)))</f>
        <v/>
      </c>
      <c r="CT141" s="8" t="str">
        <f>IF($B141="","",IF(COUNTIF('Competency Event Log'!$U$4:$U$803,$B141&amp;"|"&amp;CT$5)=0,"",SUMIF('Competency Event Log'!$U$4:$U$803,$B141&amp;"|"&amp;CT$5,'Competency Event Log'!$D$4:$D$803)))</f>
        <v/>
      </c>
      <c r="CU141" s="8" t="str">
        <f>IF($B141="","",IF(COUNTIF('Competency Event Log'!$U$4:$U$803,$B141&amp;"|"&amp;CU$5)=0,"",SUMIF('Competency Event Log'!$U$4:$U$803,$B141&amp;"|"&amp;CU$5,'Competency Event Log'!$D$4:$D$803)))</f>
        <v/>
      </c>
      <c r="CV141" s="8" t="str">
        <f>IF($B141="","",IF(COUNTIF('Competency Event Log'!$U$4:$U$803,$B141&amp;"|"&amp;CV$5)=0,"",SUMIF('Competency Event Log'!$U$4:$U$803,$B141&amp;"|"&amp;CV$5,'Competency Event Log'!$D$4:$D$803)))</f>
        <v/>
      </c>
      <c r="CW141" s="8" t="str">
        <f>IF($B141="","",IF(COUNTIF('Competency Event Log'!$U$4:$U$803,$B141&amp;"|"&amp;CW$5)=0,"",SUMIF('Competency Event Log'!$U$4:$U$803,$B141&amp;"|"&amp;CW$5,'Competency Event Log'!$D$4:$D$803)))</f>
        <v/>
      </c>
      <c r="CX141" s="8" t="str">
        <f>IF($B141="","",IF(COUNTIF('Competency Event Log'!$U$4:$U$803,$B141&amp;"|"&amp;CX$5)=0,"",SUMIF('Competency Event Log'!$U$4:$U$803,$B141&amp;"|"&amp;CX$5,'Competency Event Log'!$D$4:$D$803)))</f>
        <v/>
      </c>
      <c r="CY141" s="8" t="str">
        <f>IF($B141="","",IF(COUNTIF('Competency Event Log'!$U$4:$U$803,$B141&amp;"|"&amp;CY$5)=0,"",SUMIF('Competency Event Log'!$U$4:$U$803,$B141&amp;"|"&amp;CY$5,'Competency Event Log'!$D$4:$D$803)))</f>
        <v/>
      </c>
      <c r="CZ141" s="8" t="str">
        <f>IF($B141="","",IF(COUNTIF('Competency Event Log'!$U$4:$U$803,$B141&amp;"|"&amp;CZ$5)=0,"",SUMIF('Competency Event Log'!$U$4:$U$803,$B141&amp;"|"&amp;CZ$5,'Competency Event Log'!$D$4:$D$803)))</f>
        <v/>
      </c>
      <c r="DA141" s="8" t="str">
        <f>IF($B141="","",IF(COUNTIF('Competency Event Log'!$U$4:$U$803,$B141&amp;"|"&amp;DA$5)=0,"",SUMIF('Competency Event Log'!$U$4:$U$803,$B141&amp;"|"&amp;DA$5,'Competency Event Log'!$D$4:$D$803)))</f>
        <v/>
      </c>
      <c r="DB141" s="8" t="str">
        <f>IF($B141="","",IF(COUNTIF('Competency Event Log'!$U$4:$U$803,$B141&amp;"|"&amp;DB$5)=0,"",SUMIF('Competency Event Log'!$U$4:$U$803,$B141&amp;"|"&amp;DB$5,'Competency Event Log'!$D$4:$D$803)))</f>
        <v/>
      </c>
      <c r="DC141" s="8" t="str">
        <f>IF($B141="","",IF(COUNTIF('Competency Event Log'!$U$4:$U$803,$B141&amp;"|"&amp;DC$5)=0,"",SUMIF('Competency Event Log'!$U$4:$U$803,$B141&amp;"|"&amp;DC$5,'Competency Event Log'!$D$4:$D$803)))</f>
        <v/>
      </c>
      <c r="DD141" s="8" t="str">
        <f>IF($B141="","",IF(COUNTIF('Competency Event Log'!$U$4:$U$803,$B141&amp;"|"&amp;DD$5)=0,"",SUMIF('Competency Event Log'!$U$4:$U$803,$B141&amp;"|"&amp;DD$5,'Competency Event Log'!$D$4:$D$803)))</f>
        <v/>
      </c>
      <c r="DE141" s="8" t="str">
        <f>IF($B141="","",IF(COUNTIF('Competency Event Log'!$U$4:$U$803,$B141&amp;"|"&amp;DE$5)=0,"",SUMIF('Competency Event Log'!$U$4:$U$803,$B141&amp;"|"&amp;DE$5,'Competency Event Log'!$D$4:$D$803)))</f>
        <v/>
      </c>
      <c r="DF141" s="8" t="str">
        <f t="shared" si="16"/>
        <v/>
      </c>
      <c r="DG141" s="8" t="str">
        <f t="shared" si="17"/>
        <v/>
      </c>
      <c r="DH141" s="8" t="str">
        <f t="shared" si="18"/>
        <v/>
      </c>
      <c r="DI141" s="11" t="str">
        <f t="shared" si="19"/>
        <v/>
      </c>
    </row>
    <row r="142" spans="1:113">
      <c r="A142" s="7"/>
      <c r="B142" s="7"/>
      <c r="C142" s="8"/>
      <c r="D142" s="9"/>
      <c r="E142" s="10"/>
      <c r="F142" s="8"/>
      <c r="G142" s="8" t="str">
        <f>IF($B142="","",IF(COUNTIF('Competency Event Log'!$U$4:$U$803,$B142&amp;"|"&amp;G$5)=0,"",SUMIF('Competency Event Log'!$U$4:$U$803,$B142&amp;"|"&amp;G$5,'Competency Event Log'!$D$4:$D$803)))</f>
        <v/>
      </c>
      <c r="H142" s="8" t="str">
        <f>IF($B142="","",IF(COUNTIF('Competency Event Log'!$U$4:$U$803,$B142&amp;"|"&amp;H$5)=0,"",SUMIF('Competency Event Log'!$U$4:$U$803,$B142&amp;"|"&amp;H$5,'Competency Event Log'!$D$4:$D$803)))</f>
        <v/>
      </c>
      <c r="I142" s="8" t="str">
        <f>IF($B142="","",IF(COUNTIF('Competency Event Log'!$U$4:$U$803,$B142&amp;"|"&amp;I$5)=0,"",SUMIF('Competency Event Log'!$U$4:$U$803,$B142&amp;"|"&amp;I$5,'Competency Event Log'!$D$4:$D$803)))</f>
        <v/>
      </c>
      <c r="J142" s="8" t="str">
        <f>IF($B142="","",IF(COUNTIF('Competency Event Log'!$U$4:$U$803,$B142&amp;"|"&amp;J$5)=0,"",SUMIF('Competency Event Log'!$U$4:$U$803,$B142&amp;"|"&amp;J$5,'Competency Event Log'!$D$4:$D$803)))</f>
        <v/>
      </c>
      <c r="K142" s="8" t="str">
        <f>IF($B142="","",IF(COUNTIF('Competency Event Log'!$U$4:$U$803,$B142&amp;"|"&amp;K$5)=0,"",SUMIF('Competency Event Log'!$U$4:$U$803,$B142&amp;"|"&amp;K$5,'Competency Event Log'!$D$4:$D$803)))</f>
        <v/>
      </c>
      <c r="L142" s="8" t="str">
        <f>IF($B142="","",IF(COUNTIF('Competency Event Log'!$U$4:$U$803,$B142&amp;"|"&amp;L$5)=0,"",SUMIF('Competency Event Log'!$U$4:$U$803,$B142&amp;"|"&amp;L$5,'Competency Event Log'!$D$4:$D$803)))</f>
        <v/>
      </c>
      <c r="M142" s="8" t="str">
        <f>IF($B142="","",IF(COUNTIF('Competency Event Log'!$U$4:$U$803,$B142&amp;"|"&amp;M$5)=0,"",SUMIF('Competency Event Log'!$U$4:$U$803,$B142&amp;"|"&amp;M$5,'Competency Event Log'!$D$4:$D$803)))</f>
        <v/>
      </c>
      <c r="N142" s="8" t="str">
        <f>IF($B142="","",IF(COUNTIF('Competency Event Log'!$U$4:$U$803,$B142&amp;"|"&amp;N$5)=0,"",SUMIF('Competency Event Log'!$U$4:$U$803,$B142&amp;"|"&amp;N$5,'Competency Event Log'!$D$4:$D$803)))</f>
        <v/>
      </c>
      <c r="O142" s="8" t="str">
        <f>IF($B142="","",IF(COUNTIF('Competency Event Log'!$U$4:$U$803,$B142&amp;"|"&amp;O$5)=0,"",SUMIF('Competency Event Log'!$U$4:$U$803,$B142&amp;"|"&amp;O$5,'Competency Event Log'!$D$4:$D$803)))</f>
        <v/>
      </c>
      <c r="P142" s="8" t="str">
        <f>IF($B142="","",IF(COUNTIF('Competency Event Log'!$U$4:$U$803,$B142&amp;"|"&amp;P$5)=0,"",SUMIF('Competency Event Log'!$U$4:$U$803,$B142&amp;"|"&amp;P$5,'Competency Event Log'!$D$4:$D$803)))</f>
        <v/>
      </c>
      <c r="Q142" s="8" t="str">
        <f>IF($B142="","",IF(COUNTIF('Competency Event Log'!$U$4:$U$803,$B142&amp;"|"&amp;Q$5)=0,"",SUMIF('Competency Event Log'!$U$4:$U$803,$B142&amp;"|"&amp;Q$5,'Competency Event Log'!$D$4:$D$803)))</f>
        <v/>
      </c>
      <c r="R142" s="8" t="str">
        <f>IF($B142="","",IF(COUNTIF('Competency Event Log'!$U$4:$U$803,$B142&amp;"|"&amp;R$5)=0,"",SUMIF('Competency Event Log'!$U$4:$U$803,$B142&amp;"|"&amp;R$5,'Competency Event Log'!$D$4:$D$803)))</f>
        <v/>
      </c>
      <c r="S142" s="8" t="str">
        <f>IF($B142="","",IF(COUNTIF('Competency Event Log'!$U$4:$U$803,$B142&amp;"|"&amp;S$5)=0,"",SUMIF('Competency Event Log'!$U$4:$U$803,$B142&amp;"|"&amp;S$5,'Competency Event Log'!$D$4:$D$803)))</f>
        <v/>
      </c>
      <c r="T142" s="8" t="str">
        <f>IF($B142="","",IF(COUNTIF('Competency Event Log'!$U$4:$U$803,$B142&amp;"|"&amp;T$5)=0,"",SUMIF('Competency Event Log'!$U$4:$U$803,$B142&amp;"|"&amp;T$5,'Competency Event Log'!$D$4:$D$803)))</f>
        <v/>
      </c>
      <c r="U142" s="8" t="str">
        <f>IF($B142="","",IF(COUNTIF('Competency Event Log'!$U$4:$U$803,$B142&amp;"|"&amp;U$5)=0,"",SUMIF('Competency Event Log'!$U$4:$U$803,$B142&amp;"|"&amp;U$5,'Competency Event Log'!$D$4:$D$803)))</f>
        <v/>
      </c>
      <c r="V142" s="8" t="str">
        <f>IF($B142="","",IF(COUNTIF('Competency Event Log'!$U$4:$U$803,$B142&amp;"|"&amp;V$5)=0,"",SUMIF('Competency Event Log'!$U$4:$U$803,$B142&amp;"|"&amp;V$5,'Competency Event Log'!$D$4:$D$803)))</f>
        <v/>
      </c>
      <c r="W142" s="8" t="str">
        <f>IF($B142="","",IF(COUNTIF('Competency Event Log'!$U$4:$U$803,$B142&amp;"|"&amp;W$5)=0,"",SUMIF('Competency Event Log'!$U$4:$U$803,$B142&amp;"|"&amp;W$5,'Competency Event Log'!$D$4:$D$803)))</f>
        <v/>
      </c>
      <c r="X142" s="8" t="str">
        <f>IF($B142="","",IF(COUNTIF('Competency Event Log'!$U$4:$U$803,$B142&amp;"|"&amp;X$5)=0,"",SUMIF('Competency Event Log'!$U$4:$U$803,$B142&amp;"|"&amp;X$5,'Competency Event Log'!$D$4:$D$803)))</f>
        <v/>
      </c>
      <c r="Y142" s="8" t="str">
        <f>IF($B142="","",IF(COUNTIF('Competency Event Log'!$U$4:$U$803,$B142&amp;"|"&amp;Y$5)=0,"",SUMIF('Competency Event Log'!$U$4:$U$803,$B142&amp;"|"&amp;Y$5,'Competency Event Log'!$D$4:$D$803)))</f>
        <v/>
      </c>
      <c r="Z142" s="8" t="str">
        <f>IF($B142="","",IF(COUNTIF('Competency Event Log'!$U$4:$U$803,$B142&amp;"|"&amp;Z$5)=0,"",SUMIF('Competency Event Log'!$U$4:$U$803,$B142&amp;"|"&amp;Z$5,'Competency Event Log'!$D$4:$D$803)))</f>
        <v/>
      </c>
      <c r="AA142" s="8" t="str">
        <f>IF($B142="","",IF(COUNTIF('Competency Event Log'!$U$4:$U$803,$B142&amp;"|"&amp;AA$5)=0,"",SUMIF('Competency Event Log'!$U$4:$U$803,$B142&amp;"|"&amp;AA$5,'Competency Event Log'!$D$4:$D$803)))</f>
        <v/>
      </c>
      <c r="AB142" s="8" t="str">
        <f>IF($B142="","",IF(COUNTIF('Competency Event Log'!$U$4:$U$803,$B142&amp;"|"&amp;AB$5)=0,"",SUMIF('Competency Event Log'!$U$4:$U$803,$B142&amp;"|"&amp;AB$5,'Competency Event Log'!$D$4:$D$803)))</f>
        <v/>
      </c>
      <c r="AC142" s="8" t="str">
        <f>IF($B142="","",IF(COUNTIF('Competency Event Log'!$U$4:$U$803,$B142&amp;"|"&amp;AC$5)=0,"",SUMIF('Competency Event Log'!$U$4:$U$803,$B142&amp;"|"&amp;AC$5,'Competency Event Log'!$D$4:$D$803)))</f>
        <v/>
      </c>
      <c r="AD142" s="8" t="str">
        <f>IF($B142="","",IF(COUNTIF('Competency Event Log'!$U$4:$U$803,$B142&amp;"|"&amp;AD$5)=0,"",SUMIF('Competency Event Log'!$U$4:$U$803,$B142&amp;"|"&amp;AD$5,'Competency Event Log'!$D$4:$D$803)))</f>
        <v/>
      </c>
      <c r="AE142" s="8" t="str">
        <f>IF($B142="","",IF(COUNTIF('Competency Event Log'!$U$4:$U$803,$B142&amp;"|"&amp;AE$5)=0,"",SUMIF('Competency Event Log'!$U$4:$U$803,$B142&amp;"|"&amp;AE$5,'Competency Event Log'!$D$4:$D$803)))</f>
        <v/>
      </c>
      <c r="AF142" s="8" t="str">
        <f>IF($B142="","",IF(COUNTIF('Competency Event Log'!$U$4:$U$803,$B142&amp;"|"&amp;AF$5)=0,"",SUMIF('Competency Event Log'!$U$4:$U$803,$B142&amp;"|"&amp;AF$5,'Competency Event Log'!$D$4:$D$803)))</f>
        <v/>
      </c>
      <c r="AG142" s="8" t="str">
        <f>IF($B142="","",IF(COUNTIF('Competency Event Log'!$U$4:$U$803,$B142&amp;"|"&amp;AG$5)=0,"",SUMIF('Competency Event Log'!$U$4:$U$803,$B142&amp;"|"&amp;AG$5,'Competency Event Log'!$D$4:$D$803)))</f>
        <v/>
      </c>
      <c r="AH142" s="8" t="str">
        <f>IF($B142="","",IF(COUNTIF('Competency Event Log'!$U$4:$U$803,$B142&amp;"|"&amp;AH$5)=0,"",SUMIF('Competency Event Log'!$U$4:$U$803,$B142&amp;"|"&amp;AH$5,'Competency Event Log'!$D$4:$D$803)))</f>
        <v/>
      </c>
      <c r="AI142" s="8" t="str">
        <f>IF($B142="","",IF(COUNTIF('Competency Event Log'!$U$4:$U$803,$B142&amp;"|"&amp;AI$5)=0,"",SUMIF('Competency Event Log'!$U$4:$U$803,$B142&amp;"|"&amp;AI$5,'Competency Event Log'!$D$4:$D$803)))</f>
        <v/>
      </c>
      <c r="AJ142" s="8" t="str">
        <f>IF($B142="","",IF(COUNTIF('Competency Event Log'!$U$4:$U$803,$B142&amp;"|"&amp;AJ$5)=0,"",SUMIF('Competency Event Log'!$U$4:$U$803,$B142&amp;"|"&amp;AJ$5,'Competency Event Log'!$D$4:$D$803)))</f>
        <v/>
      </c>
      <c r="AK142" s="8" t="str">
        <f>IF($B142="","",IF(COUNTIF('Competency Event Log'!$U$4:$U$803,$B142&amp;"|"&amp;AK$5)=0,"",SUMIF('Competency Event Log'!$U$4:$U$803,$B142&amp;"|"&amp;AK$5,'Competency Event Log'!$D$4:$D$803)))</f>
        <v/>
      </c>
      <c r="AL142" s="8" t="str">
        <f>IF($B142="","",IF(COUNTIF('Competency Event Log'!$U$4:$U$803,$B142&amp;"|"&amp;AL$5)=0,"",SUMIF('Competency Event Log'!$U$4:$U$803,$B142&amp;"|"&amp;AL$5,'Competency Event Log'!$D$4:$D$803)))</f>
        <v/>
      </c>
      <c r="AM142" s="8" t="str">
        <f>IF($B142="","",IF(COUNTIF('Competency Event Log'!$U$4:$U$803,$B142&amp;"|"&amp;AM$5)=0,"",SUMIF('Competency Event Log'!$U$4:$U$803,$B142&amp;"|"&amp;AM$5,'Competency Event Log'!$D$4:$D$803)))</f>
        <v/>
      </c>
      <c r="AN142" s="8" t="str">
        <f>IF($B142="","",IF(COUNTIF('Competency Event Log'!$U$4:$U$803,$B142&amp;"|"&amp;AN$5)=0,"",SUMIF('Competency Event Log'!$U$4:$U$803,$B142&amp;"|"&amp;AN$5,'Competency Event Log'!$D$4:$D$803)))</f>
        <v/>
      </c>
      <c r="AO142" s="8" t="str">
        <f>IF($B142="","",IF(COUNTIF('Competency Event Log'!$U$4:$U$803,$B142&amp;"|"&amp;AO$5)=0,"",SUMIF('Competency Event Log'!$U$4:$U$803,$B142&amp;"|"&amp;AO$5,'Competency Event Log'!$D$4:$D$803)))</f>
        <v/>
      </c>
      <c r="AP142" s="8" t="str">
        <f>IF($B142="","",IF(COUNTIF('Competency Event Log'!$U$4:$U$803,$B142&amp;"|"&amp;AP$5)=0,"",SUMIF('Competency Event Log'!$U$4:$U$803,$B142&amp;"|"&amp;AP$5,'Competency Event Log'!$D$4:$D$803)))</f>
        <v/>
      </c>
      <c r="AQ142" s="8" t="str">
        <f>IF($B142="","",IF(COUNTIF('Competency Event Log'!$U$4:$U$803,$B142&amp;"|"&amp;AQ$5)=0,"",SUMIF('Competency Event Log'!$U$4:$U$803,$B142&amp;"|"&amp;AQ$5,'Competency Event Log'!$D$4:$D$803)))</f>
        <v/>
      </c>
      <c r="AR142" s="8" t="str">
        <f>IF($B142="","",IF(COUNTIF('Competency Event Log'!$U$4:$U$803,$B142&amp;"|"&amp;AR$5)=0,"",SUMIF('Competency Event Log'!$U$4:$U$803,$B142&amp;"|"&amp;AR$5,'Competency Event Log'!$D$4:$D$803)))</f>
        <v/>
      </c>
      <c r="AS142" s="8" t="str">
        <f>IF($B142="","",IF(COUNTIF('Competency Event Log'!$U$4:$U$803,$B142&amp;"|"&amp;AS$5)=0,"",SUMIF('Competency Event Log'!$U$4:$U$803,$B142&amp;"|"&amp;AS$5,'Competency Event Log'!$D$4:$D$803)))</f>
        <v/>
      </c>
      <c r="AT142" s="8" t="str">
        <f>IF($B142="","",IF(COUNTIF('Competency Event Log'!$U$4:$U$803,$B142&amp;"|"&amp;AT$5)=0,"",SUMIF('Competency Event Log'!$U$4:$U$803,$B142&amp;"|"&amp;AT$5,'Competency Event Log'!$D$4:$D$803)))</f>
        <v/>
      </c>
      <c r="AU142" s="8" t="str">
        <f>IF($B142="","",IF(COUNTIF('Competency Event Log'!$U$4:$U$803,$B142&amp;"|"&amp;AU$5)=0,"",SUMIF('Competency Event Log'!$U$4:$U$803,$B142&amp;"|"&amp;AU$5,'Competency Event Log'!$D$4:$D$803)))</f>
        <v/>
      </c>
      <c r="AV142" s="8" t="str">
        <f>IF($B142="","",IF(COUNTIF('Competency Event Log'!$U$4:$U$803,$B142&amp;"|"&amp;AV$5)=0,"",SUMIF('Competency Event Log'!$U$4:$U$803,$B142&amp;"|"&amp;AV$5,'Competency Event Log'!$D$4:$D$803)))</f>
        <v/>
      </c>
      <c r="AW142" s="8" t="str">
        <f>IF($B142="","",IF(COUNTIF('Competency Event Log'!$U$4:$U$803,$B142&amp;"|"&amp;AW$5)=0,"",SUMIF('Competency Event Log'!$U$4:$U$803,$B142&amp;"|"&amp;AW$5,'Competency Event Log'!$D$4:$D$803)))</f>
        <v/>
      </c>
      <c r="AX142" s="8" t="str">
        <f>IF($B142="","",IF(COUNTIF('Competency Event Log'!$U$4:$U$803,$B142&amp;"|"&amp;AX$5)=0,"",SUMIF('Competency Event Log'!$U$4:$U$803,$B142&amp;"|"&amp;AX$5,'Competency Event Log'!$D$4:$D$803)))</f>
        <v/>
      </c>
      <c r="AY142" s="8" t="str">
        <f>IF($B142="","",IF(COUNTIF('Competency Event Log'!$U$4:$U$803,$B142&amp;"|"&amp;AY$5)=0,"",SUMIF('Competency Event Log'!$U$4:$U$803,$B142&amp;"|"&amp;AY$5,'Competency Event Log'!$D$4:$D$803)))</f>
        <v/>
      </c>
      <c r="AZ142" s="8" t="str">
        <f>IF($B142="","",IF(COUNTIF('Competency Event Log'!$U$4:$U$803,$B142&amp;"|"&amp;AZ$5)=0,"",SUMIF('Competency Event Log'!$U$4:$U$803,$B142&amp;"|"&amp;AZ$5,'Competency Event Log'!$D$4:$D$803)))</f>
        <v/>
      </c>
      <c r="BA142" s="8" t="str">
        <f>IF($B142="","",IF(COUNTIF('Competency Event Log'!$U$4:$U$803,$B142&amp;"|"&amp;BA$5)=0,"",SUMIF('Competency Event Log'!$U$4:$U$803,$B142&amp;"|"&amp;BA$5,'Competency Event Log'!$D$4:$D$803)))</f>
        <v/>
      </c>
      <c r="BB142" s="8" t="str">
        <f>IF($B142="","",IF(COUNTIF('Competency Event Log'!$U$4:$U$803,$B142&amp;"|"&amp;BB$5)=0,"",SUMIF('Competency Event Log'!$U$4:$U$803,$B142&amp;"|"&amp;BB$5,'Competency Event Log'!$D$4:$D$803)))</f>
        <v/>
      </c>
      <c r="BC142" s="8" t="str">
        <f>IF($B142="","",IF(COUNTIF('Competency Event Log'!$U$4:$U$803,$B142&amp;"|"&amp;BC$5)=0,"",SUMIF('Competency Event Log'!$U$4:$U$803,$B142&amp;"|"&amp;BC$5,'Competency Event Log'!$D$4:$D$803)))</f>
        <v/>
      </c>
      <c r="BD142" s="8" t="str">
        <f>IF($B142="","",IF(COUNTIF('Competency Event Log'!$U$4:$U$803,$B142&amp;"|"&amp;BD$5)=0,"",SUMIF('Competency Event Log'!$U$4:$U$803,$B142&amp;"|"&amp;BD$5,'Competency Event Log'!$D$4:$D$803)))</f>
        <v/>
      </c>
      <c r="BE142" s="8" t="str">
        <f>IF($B142="","",IF(COUNTIF('Competency Event Log'!$U$4:$U$803,$B142&amp;"|"&amp;BE$5)=0,"",SUMIF('Competency Event Log'!$U$4:$U$803,$B142&amp;"|"&amp;BE$5,'Competency Event Log'!$D$4:$D$803)))</f>
        <v/>
      </c>
      <c r="BF142" s="8" t="str">
        <f>IF($B142="","",IF(COUNTIF('Competency Event Log'!$U$4:$U$803,$B142&amp;"|"&amp;BF$5)=0,"",SUMIF('Competency Event Log'!$U$4:$U$803,$B142&amp;"|"&amp;BF$5,'Competency Event Log'!$D$4:$D$803)))</f>
        <v/>
      </c>
      <c r="BG142" s="8" t="str">
        <f>IF($B142="","",IF(COUNTIF('Competency Event Log'!$U$4:$U$803,$B142&amp;"|"&amp;BG$5)=0,"",SUMIF('Competency Event Log'!$U$4:$U$803,$B142&amp;"|"&amp;BG$5,'Competency Event Log'!$D$4:$D$803)))</f>
        <v/>
      </c>
      <c r="BH142" s="8" t="str">
        <f>IF($B142="","",IF(COUNTIF('Competency Event Log'!$U$4:$U$803,$B142&amp;"|"&amp;BH$5)=0,"",SUMIF('Competency Event Log'!$U$4:$U$803,$B142&amp;"|"&amp;BH$5,'Competency Event Log'!$D$4:$D$803)))</f>
        <v/>
      </c>
      <c r="BI142" s="8" t="str">
        <f>IF($B142="","",IF(COUNTIF('Competency Event Log'!$U$4:$U$803,$B142&amp;"|"&amp;BI$5)=0,"",SUMIF('Competency Event Log'!$U$4:$U$803,$B142&amp;"|"&amp;BI$5,'Competency Event Log'!$D$4:$D$803)))</f>
        <v/>
      </c>
      <c r="BJ142" s="8" t="str">
        <f>IF($B142="","",IF(COUNTIF('Competency Event Log'!$U$4:$U$803,$B142&amp;"|"&amp;BJ$5)=0,"",SUMIF('Competency Event Log'!$U$4:$U$803,$B142&amp;"|"&amp;BJ$5,'Competency Event Log'!$D$4:$D$803)))</f>
        <v/>
      </c>
      <c r="BK142" s="8" t="str">
        <f>IF($B142="","",IF(COUNTIF('Competency Event Log'!$U$4:$U$803,$B142&amp;"|"&amp;BK$5)=0,"",SUMIF('Competency Event Log'!$U$4:$U$803,$B142&amp;"|"&amp;BK$5,'Competency Event Log'!$D$4:$D$803)))</f>
        <v/>
      </c>
      <c r="BL142" s="8" t="str">
        <f>IF($B142="","",IF(COUNTIF('Competency Event Log'!$U$4:$U$803,$B142&amp;"|"&amp;BL$5)=0,"",SUMIF('Competency Event Log'!$U$4:$U$803,$B142&amp;"|"&amp;BL$5,'Competency Event Log'!$D$4:$D$803)))</f>
        <v/>
      </c>
      <c r="BM142" s="8" t="str">
        <f>IF($B142="","",IF(COUNTIF('Competency Event Log'!$U$4:$U$803,$B142&amp;"|"&amp;BM$5)=0,"",SUMIF('Competency Event Log'!$U$4:$U$803,$B142&amp;"|"&amp;BM$5,'Competency Event Log'!$D$4:$D$803)))</f>
        <v/>
      </c>
      <c r="BN142" s="8" t="str">
        <f>IF($B142="","",IF(COUNTIF('Competency Event Log'!$U$4:$U$803,$B142&amp;"|"&amp;BN$5)=0,"",SUMIF('Competency Event Log'!$U$4:$U$803,$B142&amp;"|"&amp;BN$5,'Competency Event Log'!$D$4:$D$803)))</f>
        <v/>
      </c>
      <c r="BO142" s="8" t="str">
        <f>IF($B142="","",IF(COUNTIF('Competency Event Log'!$U$4:$U$803,$B142&amp;"|"&amp;BO$5)=0,"",SUMIF('Competency Event Log'!$U$4:$U$803,$B142&amp;"|"&amp;BO$5,'Competency Event Log'!$D$4:$D$803)))</f>
        <v/>
      </c>
      <c r="BP142" s="8" t="str">
        <f>IF($B142="","",IF(COUNTIF('Competency Event Log'!$U$4:$U$803,$B142&amp;"|"&amp;BP$5)=0,"",SUMIF('Competency Event Log'!$U$4:$U$803,$B142&amp;"|"&amp;BP$5,'Competency Event Log'!$D$4:$D$803)))</f>
        <v/>
      </c>
      <c r="BQ142" s="8" t="str">
        <f>IF($B142="","",IF(COUNTIF('Competency Event Log'!$U$4:$U$803,$B142&amp;"|"&amp;BQ$5)=0,"",SUMIF('Competency Event Log'!$U$4:$U$803,$B142&amp;"|"&amp;BQ$5,'Competency Event Log'!$D$4:$D$803)))</f>
        <v/>
      </c>
      <c r="BR142" s="8" t="str">
        <f>IF($B142="","",IF(COUNTIF('Competency Event Log'!$U$4:$U$803,$B142&amp;"|"&amp;BR$5)=0,"",SUMIF('Competency Event Log'!$U$4:$U$803,$B142&amp;"|"&amp;BR$5,'Competency Event Log'!$D$4:$D$803)))</f>
        <v/>
      </c>
      <c r="BS142" s="8" t="str">
        <f>IF($B142="","",IF(COUNTIF('Competency Event Log'!$U$4:$U$803,$B142&amp;"|"&amp;BS$5)=0,"",SUMIF('Competency Event Log'!$U$4:$U$803,$B142&amp;"|"&amp;BS$5,'Competency Event Log'!$D$4:$D$803)))</f>
        <v/>
      </c>
      <c r="BT142" s="8" t="str">
        <f>IF($B142="","",IF(COUNTIF('Competency Event Log'!$U$4:$U$803,$B142&amp;"|"&amp;BT$5)=0,"",SUMIF('Competency Event Log'!$U$4:$U$803,$B142&amp;"|"&amp;BT$5,'Competency Event Log'!$D$4:$D$803)))</f>
        <v/>
      </c>
      <c r="BU142" s="8" t="str">
        <f>IF($B142="","",IF(COUNTIF('Competency Event Log'!$U$4:$U$803,$B142&amp;"|"&amp;BU$5)=0,"",SUMIF('Competency Event Log'!$U$4:$U$803,$B142&amp;"|"&amp;BU$5,'Competency Event Log'!$D$4:$D$803)))</f>
        <v/>
      </c>
      <c r="BV142" s="8" t="str">
        <f>IF($B142="","",IF(COUNTIF('Competency Event Log'!$U$4:$U$803,$B142&amp;"|"&amp;BV$5)=0,"",SUMIF('Competency Event Log'!$U$4:$U$803,$B142&amp;"|"&amp;BV$5,'Competency Event Log'!$D$4:$D$803)))</f>
        <v/>
      </c>
      <c r="BW142" s="8" t="str">
        <f>IF($B142="","",IF(COUNTIF('Competency Event Log'!$U$4:$U$803,$B142&amp;"|"&amp;BW$5)=0,"",SUMIF('Competency Event Log'!$U$4:$U$803,$B142&amp;"|"&amp;BW$5,'Competency Event Log'!$D$4:$D$803)))</f>
        <v/>
      </c>
      <c r="BX142" s="8" t="str">
        <f>IF($B142="","",IF(COUNTIF('Competency Event Log'!$U$4:$U$803,$B142&amp;"|"&amp;BX$5)=0,"",SUMIF('Competency Event Log'!$U$4:$U$803,$B142&amp;"|"&amp;BX$5,'Competency Event Log'!$D$4:$D$803)))</f>
        <v/>
      </c>
      <c r="BY142" s="8" t="str">
        <f>IF($B142="","",IF(COUNTIF('Competency Event Log'!$U$4:$U$803,$B142&amp;"|"&amp;BY$5)=0,"",SUMIF('Competency Event Log'!$U$4:$U$803,$B142&amp;"|"&amp;BY$5,'Competency Event Log'!$D$4:$D$803)))</f>
        <v/>
      </c>
      <c r="BZ142" s="8" t="str">
        <f>IF($B142="","",IF(COUNTIF('Competency Event Log'!$U$4:$U$803,$B142&amp;"|"&amp;BZ$5)=0,"",SUMIF('Competency Event Log'!$U$4:$U$803,$B142&amp;"|"&amp;BZ$5,'Competency Event Log'!$D$4:$D$803)))</f>
        <v/>
      </c>
      <c r="CA142" s="8" t="str">
        <f>IF($B142="","",IF(COUNTIF('Competency Event Log'!$U$4:$U$803,$B142&amp;"|"&amp;CA$5)=0,"",SUMIF('Competency Event Log'!$U$4:$U$803,$B142&amp;"|"&amp;CA$5,'Competency Event Log'!$D$4:$D$803)))</f>
        <v/>
      </c>
      <c r="CB142" s="8" t="str">
        <f>IF($B142="","",IF(COUNTIF('Competency Event Log'!$U$4:$U$803,$B142&amp;"|"&amp;CB$5)=0,"",SUMIF('Competency Event Log'!$U$4:$U$803,$B142&amp;"|"&amp;CB$5,'Competency Event Log'!$D$4:$D$803)))</f>
        <v/>
      </c>
      <c r="CC142" s="8" t="str">
        <f>IF($B142="","",IF(COUNTIF('Competency Event Log'!$U$4:$U$803,$B142&amp;"|"&amp;CC$5)=0,"",SUMIF('Competency Event Log'!$U$4:$U$803,$B142&amp;"|"&amp;CC$5,'Competency Event Log'!$D$4:$D$803)))</f>
        <v/>
      </c>
      <c r="CD142" s="8" t="str">
        <f>IF($B142="","",IF(COUNTIF('Competency Event Log'!$U$4:$U$803,$B142&amp;"|"&amp;CD$5)=0,"",SUMIF('Competency Event Log'!$U$4:$U$803,$B142&amp;"|"&amp;CD$5,'Competency Event Log'!$D$4:$D$803)))</f>
        <v/>
      </c>
      <c r="CE142" s="8" t="str">
        <f>IF($B142="","",IF(COUNTIF('Competency Event Log'!$U$4:$U$803,$B142&amp;"|"&amp;CE$5)=0,"",SUMIF('Competency Event Log'!$U$4:$U$803,$B142&amp;"|"&amp;CE$5,'Competency Event Log'!$D$4:$D$803)))</f>
        <v/>
      </c>
      <c r="CF142" s="8" t="str">
        <f>IF($B142="","",IF(COUNTIF('Competency Event Log'!$U$4:$U$803,$B142&amp;"|"&amp;CF$5)=0,"",SUMIF('Competency Event Log'!$U$4:$U$803,$B142&amp;"|"&amp;CF$5,'Competency Event Log'!$D$4:$D$803)))</f>
        <v/>
      </c>
      <c r="CG142" s="8" t="str">
        <f>IF($B142="","",IF(COUNTIF('Competency Event Log'!$U$4:$U$803,$B142&amp;"|"&amp;CG$5)=0,"",SUMIF('Competency Event Log'!$U$4:$U$803,$B142&amp;"|"&amp;CG$5,'Competency Event Log'!$D$4:$D$803)))</f>
        <v/>
      </c>
      <c r="CH142" s="8" t="str">
        <f>IF($B142="","",IF(COUNTIF('Competency Event Log'!$U$4:$U$803,$B142&amp;"|"&amp;CH$5)=0,"",SUMIF('Competency Event Log'!$U$4:$U$803,$B142&amp;"|"&amp;CH$5,'Competency Event Log'!$D$4:$D$803)))</f>
        <v/>
      </c>
      <c r="CI142" s="8" t="str">
        <f>IF($B142="","",IF(COUNTIF('Competency Event Log'!$U$4:$U$803,$B142&amp;"|"&amp;CI$5)=0,"",SUMIF('Competency Event Log'!$U$4:$U$803,$B142&amp;"|"&amp;CI$5,'Competency Event Log'!$D$4:$D$803)))</f>
        <v/>
      </c>
      <c r="CJ142" s="8" t="str">
        <f>IF($B142="","",IF(COUNTIF('Competency Event Log'!$U$4:$U$803,$B142&amp;"|"&amp;CJ$5)=0,"",SUMIF('Competency Event Log'!$U$4:$U$803,$B142&amp;"|"&amp;CJ$5,'Competency Event Log'!$D$4:$D$803)))</f>
        <v/>
      </c>
      <c r="CK142" s="8" t="str">
        <f>IF($B142="","",IF(COUNTIF('Competency Event Log'!$U$4:$U$803,$B142&amp;"|"&amp;CK$5)=0,"",SUMIF('Competency Event Log'!$U$4:$U$803,$B142&amp;"|"&amp;CK$5,'Competency Event Log'!$D$4:$D$803)))</f>
        <v/>
      </c>
      <c r="CL142" s="8" t="str">
        <f>IF($B142="","",IF(COUNTIF('Competency Event Log'!$U$4:$U$803,$B142&amp;"|"&amp;CL$5)=0,"",SUMIF('Competency Event Log'!$U$4:$U$803,$B142&amp;"|"&amp;CL$5,'Competency Event Log'!$D$4:$D$803)))</f>
        <v/>
      </c>
      <c r="CM142" s="8" t="str">
        <f>IF($B142="","",IF(COUNTIF('Competency Event Log'!$U$4:$U$803,$B142&amp;"|"&amp;CM$5)=0,"",SUMIF('Competency Event Log'!$U$4:$U$803,$B142&amp;"|"&amp;CM$5,'Competency Event Log'!$D$4:$D$803)))</f>
        <v/>
      </c>
      <c r="CN142" s="8" t="str">
        <f>IF($B142="","",IF(COUNTIF('Competency Event Log'!$U$4:$U$803,$B142&amp;"|"&amp;CN$5)=0,"",SUMIF('Competency Event Log'!$U$4:$U$803,$B142&amp;"|"&amp;CN$5,'Competency Event Log'!$D$4:$D$803)))</f>
        <v/>
      </c>
      <c r="CO142" s="8" t="str">
        <f>IF($B142="","",IF(COUNTIF('Competency Event Log'!$U$4:$U$803,$B142&amp;"|"&amp;CO$5)=0,"",SUMIF('Competency Event Log'!$U$4:$U$803,$B142&amp;"|"&amp;CO$5,'Competency Event Log'!$D$4:$D$803)))</f>
        <v/>
      </c>
      <c r="CP142" s="8" t="str">
        <f>IF($B142="","",IF(COUNTIF('Competency Event Log'!$U$4:$U$803,$B142&amp;"|"&amp;CP$5)=0,"",SUMIF('Competency Event Log'!$U$4:$U$803,$B142&amp;"|"&amp;CP$5,'Competency Event Log'!$D$4:$D$803)))</f>
        <v/>
      </c>
      <c r="CQ142" s="8" t="str">
        <f>IF($B142="","",IF(COUNTIF('Competency Event Log'!$U$4:$U$803,$B142&amp;"|"&amp;CQ$5)=0,"",SUMIF('Competency Event Log'!$U$4:$U$803,$B142&amp;"|"&amp;CQ$5,'Competency Event Log'!$D$4:$D$803)))</f>
        <v/>
      </c>
      <c r="CR142" s="8" t="str">
        <f>IF($B142="","",IF(COUNTIF('Competency Event Log'!$U$4:$U$803,$B142&amp;"|"&amp;CR$5)=0,"",SUMIF('Competency Event Log'!$U$4:$U$803,$B142&amp;"|"&amp;CR$5,'Competency Event Log'!$D$4:$D$803)))</f>
        <v/>
      </c>
      <c r="CS142" s="8" t="str">
        <f>IF($B142="","",IF(COUNTIF('Competency Event Log'!$U$4:$U$803,$B142&amp;"|"&amp;CS$5)=0,"",SUMIF('Competency Event Log'!$U$4:$U$803,$B142&amp;"|"&amp;CS$5,'Competency Event Log'!$D$4:$D$803)))</f>
        <v/>
      </c>
      <c r="CT142" s="8" t="str">
        <f>IF($B142="","",IF(COUNTIF('Competency Event Log'!$U$4:$U$803,$B142&amp;"|"&amp;CT$5)=0,"",SUMIF('Competency Event Log'!$U$4:$U$803,$B142&amp;"|"&amp;CT$5,'Competency Event Log'!$D$4:$D$803)))</f>
        <v/>
      </c>
      <c r="CU142" s="8" t="str">
        <f>IF($B142="","",IF(COUNTIF('Competency Event Log'!$U$4:$U$803,$B142&amp;"|"&amp;CU$5)=0,"",SUMIF('Competency Event Log'!$U$4:$U$803,$B142&amp;"|"&amp;CU$5,'Competency Event Log'!$D$4:$D$803)))</f>
        <v/>
      </c>
      <c r="CV142" s="8" t="str">
        <f>IF($B142="","",IF(COUNTIF('Competency Event Log'!$U$4:$U$803,$B142&amp;"|"&amp;CV$5)=0,"",SUMIF('Competency Event Log'!$U$4:$U$803,$B142&amp;"|"&amp;CV$5,'Competency Event Log'!$D$4:$D$803)))</f>
        <v/>
      </c>
      <c r="CW142" s="8" t="str">
        <f>IF($B142="","",IF(COUNTIF('Competency Event Log'!$U$4:$U$803,$B142&amp;"|"&amp;CW$5)=0,"",SUMIF('Competency Event Log'!$U$4:$U$803,$B142&amp;"|"&amp;CW$5,'Competency Event Log'!$D$4:$D$803)))</f>
        <v/>
      </c>
      <c r="CX142" s="8" t="str">
        <f>IF($B142="","",IF(COUNTIF('Competency Event Log'!$U$4:$U$803,$B142&amp;"|"&amp;CX$5)=0,"",SUMIF('Competency Event Log'!$U$4:$U$803,$B142&amp;"|"&amp;CX$5,'Competency Event Log'!$D$4:$D$803)))</f>
        <v/>
      </c>
      <c r="CY142" s="8" t="str">
        <f>IF($B142="","",IF(COUNTIF('Competency Event Log'!$U$4:$U$803,$B142&amp;"|"&amp;CY$5)=0,"",SUMIF('Competency Event Log'!$U$4:$U$803,$B142&amp;"|"&amp;CY$5,'Competency Event Log'!$D$4:$D$803)))</f>
        <v/>
      </c>
      <c r="CZ142" s="8" t="str">
        <f>IF($B142="","",IF(COUNTIF('Competency Event Log'!$U$4:$U$803,$B142&amp;"|"&amp;CZ$5)=0,"",SUMIF('Competency Event Log'!$U$4:$U$803,$B142&amp;"|"&amp;CZ$5,'Competency Event Log'!$D$4:$D$803)))</f>
        <v/>
      </c>
      <c r="DA142" s="8" t="str">
        <f>IF($B142="","",IF(COUNTIF('Competency Event Log'!$U$4:$U$803,$B142&amp;"|"&amp;DA$5)=0,"",SUMIF('Competency Event Log'!$U$4:$U$803,$B142&amp;"|"&amp;DA$5,'Competency Event Log'!$D$4:$D$803)))</f>
        <v/>
      </c>
      <c r="DB142" s="8" t="str">
        <f>IF($B142="","",IF(COUNTIF('Competency Event Log'!$U$4:$U$803,$B142&amp;"|"&amp;DB$5)=0,"",SUMIF('Competency Event Log'!$U$4:$U$803,$B142&amp;"|"&amp;DB$5,'Competency Event Log'!$D$4:$D$803)))</f>
        <v/>
      </c>
      <c r="DC142" s="8" t="str">
        <f>IF($B142="","",IF(COUNTIF('Competency Event Log'!$U$4:$U$803,$B142&amp;"|"&amp;DC$5)=0,"",SUMIF('Competency Event Log'!$U$4:$U$803,$B142&amp;"|"&amp;DC$5,'Competency Event Log'!$D$4:$D$803)))</f>
        <v/>
      </c>
      <c r="DD142" s="8" t="str">
        <f>IF($B142="","",IF(COUNTIF('Competency Event Log'!$U$4:$U$803,$B142&amp;"|"&amp;DD$5)=0,"",SUMIF('Competency Event Log'!$U$4:$U$803,$B142&amp;"|"&amp;DD$5,'Competency Event Log'!$D$4:$D$803)))</f>
        <v/>
      </c>
      <c r="DE142" s="8" t="str">
        <f>IF($B142="","",IF(COUNTIF('Competency Event Log'!$U$4:$U$803,$B142&amp;"|"&amp;DE$5)=0,"",SUMIF('Competency Event Log'!$U$4:$U$803,$B142&amp;"|"&amp;DE$5,'Competency Event Log'!$D$4:$D$803)))</f>
        <v/>
      </c>
      <c r="DF142" s="8" t="str">
        <f t="shared" si="16"/>
        <v/>
      </c>
      <c r="DG142" s="8" t="str">
        <f t="shared" si="17"/>
        <v/>
      </c>
      <c r="DH142" s="8" t="str">
        <f t="shared" si="18"/>
        <v/>
      </c>
      <c r="DI142" s="11" t="str">
        <f t="shared" si="19"/>
        <v/>
      </c>
    </row>
    <row r="143" spans="1:113">
      <c r="A143" s="7"/>
      <c r="B143" s="7"/>
      <c r="C143" s="8"/>
      <c r="D143" s="9"/>
      <c r="E143" s="10"/>
      <c r="F143" s="8"/>
      <c r="G143" s="8" t="str">
        <f>IF($B143="","",IF(COUNTIF('Competency Event Log'!$U$4:$U$803,$B143&amp;"|"&amp;G$5)=0,"",SUMIF('Competency Event Log'!$U$4:$U$803,$B143&amp;"|"&amp;G$5,'Competency Event Log'!$D$4:$D$803)))</f>
        <v/>
      </c>
      <c r="H143" s="8" t="str">
        <f>IF($B143="","",IF(COUNTIF('Competency Event Log'!$U$4:$U$803,$B143&amp;"|"&amp;H$5)=0,"",SUMIF('Competency Event Log'!$U$4:$U$803,$B143&amp;"|"&amp;H$5,'Competency Event Log'!$D$4:$D$803)))</f>
        <v/>
      </c>
      <c r="I143" s="8" t="str">
        <f>IF($B143="","",IF(COUNTIF('Competency Event Log'!$U$4:$U$803,$B143&amp;"|"&amp;I$5)=0,"",SUMIF('Competency Event Log'!$U$4:$U$803,$B143&amp;"|"&amp;I$5,'Competency Event Log'!$D$4:$D$803)))</f>
        <v/>
      </c>
      <c r="J143" s="8" t="str">
        <f>IF($B143="","",IF(COUNTIF('Competency Event Log'!$U$4:$U$803,$B143&amp;"|"&amp;J$5)=0,"",SUMIF('Competency Event Log'!$U$4:$U$803,$B143&amp;"|"&amp;J$5,'Competency Event Log'!$D$4:$D$803)))</f>
        <v/>
      </c>
      <c r="K143" s="8" t="str">
        <f>IF($B143="","",IF(COUNTIF('Competency Event Log'!$U$4:$U$803,$B143&amp;"|"&amp;K$5)=0,"",SUMIF('Competency Event Log'!$U$4:$U$803,$B143&amp;"|"&amp;K$5,'Competency Event Log'!$D$4:$D$803)))</f>
        <v/>
      </c>
      <c r="L143" s="8" t="str">
        <f>IF($B143="","",IF(COUNTIF('Competency Event Log'!$U$4:$U$803,$B143&amp;"|"&amp;L$5)=0,"",SUMIF('Competency Event Log'!$U$4:$U$803,$B143&amp;"|"&amp;L$5,'Competency Event Log'!$D$4:$D$803)))</f>
        <v/>
      </c>
      <c r="M143" s="8" t="str">
        <f>IF($B143="","",IF(COUNTIF('Competency Event Log'!$U$4:$U$803,$B143&amp;"|"&amp;M$5)=0,"",SUMIF('Competency Event Log'!$U$4:$U$803,$B143&amp;"|"&amp;M$5,'Competency Event Log'!$D$4:$D$803)))</f>
        <v/>
      </c>
      <c r="N143" s="8" t="str">
        <f>IF($B143="","",IF(COUNTIF('Competency Event Log'!$U$4:$U$803,$B143&amp;"|"&amp;N$5)=0,"",SUMIF('Competency Event Log'!$U$4:$U$803,$B143&amp;"|"&amp;N$5,'Competency Event Log'!$D$4:$D$803)))</f>
        <v/>
      </c>
      <c r="O143" s="8" t="str">
        <f>IF($B143="","",IF(COUNTIF('Competency Event Log'!$U$4:$U$803,$B143&amp;"|"&amp;O$5)=0,"",SUMIF('Competency Event Log'!$U$4:$U$803,$B143&amp;"|"&amp;O$5,'Competency Event Log'!$D$4:$D$803)))</f>
        <v/>
      </c>
      <c r="P143" s="8" t="str">
        <f>IF($B143="","",IF(COUNTIF('Competency Event Log'!$U$4:$U$803,$B143&amp;"|"&amp;P$5)=0,"",SUMIF('Competency Event Log'!$U$4:$U$803,$B143&amp;"|"&amp;P$5,'Competency Event Log'!$D$4:$D$803)))</f>
        <v/>
      </c>
      <c r="Q143" s="8" t="str">
        <f>IF($B143="","",IF(COUNTIF('Competency Event Log'!$U$4:$U$803,$B143&amp;"|"&amp;Q$5)=0,"",SUMIF('Competency Event Log'!$U$4:$U$803,$B143&amp;"|"&amp;Q$5,'Competency Event Log'!$D$4:$D$803)))</f>
        <v/>
      </c>
      <c r="R143" s="8" t="str">
        <f>IF($B143="","",IF(COUNTIF('Competency Event Log'!$U$4:$U$803,$B143&amp;"|"&amp;R$5)=0,"",SUMIF('Competency Event Log'!$U$4:$U$803,$B143&amp;"|"&amp;R$5,'Competency Event Log'!$D$4:$D$803)))</f>
        <v/>
      </c>
      <c r="S143" s="8" t="str">
        <f>IF($B143="","",IF(COUNTIF('Competency Event Log'!$U$4:$U$803,$B143&amp;"|"&amp;S$5)=0,"",SUMIF('Competency Event Log'!$U$4:$U$803,$B143&amp;"|"&amp;S$5,'Competency Event Log'!$D$4:$D$803)))</f>
        <v/>
      </c>
      <c r="T143" s="8" t="str">
        <f>IF($B143="","",IF(COUNTIF('Competency Event Log'!$U$4:$U$803,$B143&amp;"|"&amp;T$5)=0,"",SUMIF('Competency Event Log'!$U$4:$U$803,$B143&amp;"|"&amp;T$5,'Competency Event Log'!$D$4:$D$803)))</f>
        <v/>
      </c>
      <c r="U143" s="8" t="str">
        <f>IF($B143="","",IF(COUNTIF('Competency Event Log'!$U$4:$U$803,$B143&amp;"|"&amp;U$5)=0,"",SUMIF('Competency Event Log'!$U$4:$U$803,$B143&amp;"|"&amp;U$5,'Competency Event Log'!$D$4:$D$803)))</f>
        <v/>
      </c>
      <c r="V143" s="8" t="str">
        <f>IF($B143="","",IF(COUNTIF('Competency Event Log'!$U$4:$U$803,$B143&amp;"|"&amp;V$5)=0,"",SUMIF('Competency Event Log'!$U$4:$U$803,$B143&amp;"|"&amp;V$5,'Competency Event Log'!$D$4:$D$803)))</f>
        <v/>
      </c>
      <c r="W143" s="8" t="str">
        <f>IF($B143="","",IF(COUNTIF('Competency Event Log'!$U$4:$U$803,$B143&amp;"|"&amp;W$5)=0,"",SUMIF('Competency Event Log'!$U$4:$U$803,$B143&amp;"|"&amp;W$5,'Competency Event Log'!$D$4:$D$803)))</f>
        <v/>
      </c>
      <c r="X143" s="8" t="str">
        <f>IF($B143="","",IF(COUNTIF('Competency Event Log'!$U$4:$U$803,$B143&amp;"|"&amp;X$5)=0,"",SUMIF('Competency Event Log'!$U$4:$U$803,$B143&amp;"|"&amp;X$5,'Competency Event Log'!$D$4:$D$803)))</f>
        <v/>
      </c>
      <c r="Y143" s="8" t="str">
        <f>IF($B143="","",IF(COUNTIF('Competency Event Log'!$U$4:$U$803,$B143&amp;"|"&amp;Y$5)=0,"",SUMIF('Competency Event Log'!$U$4:$U$803,$B143&amp;"|"&amp;Y$5,'Competency Event Log'!$D$4:$D$803)))</f>
        <v/>
      </c>
      <c r="Z143" s="8" t="str">
        <f>IF($B143="","",IF(COUNTIF('Competency Event Log'!$U$4:$U$803,$B143&amp;"|"&amp;Z$5)=0,"",SUMIF('Competency Event Log'!$U$4:$U$803,$B143&amp;"|"&amp;Z$5,'Competency Event Log'!$D$4:$D$803)))</f>
        <v/>
      </c>
      <c r="AA143" s="8" t="str">
        <f>IF($B143="","",IF(COUNTIF('Competency Event Log'!$U$4:$U$803,$B143&amp;"|"&amp;AA$5)=0,"",SUMIF('Competency Event Log'!$U$4:$U$803,$B143&amp;"|"&amp;AA$5,'Competency Event Log'!$D$4:$D$803)))</f>
        <v/>
      </c>
      <c r="AB143" s="8" t="str">
        <f>IF($B143="","",IF(COUNTIF('Competency Event Log'!$U$4:$U$803,$B143&amp;"|"&amp;AB$5)=0,"",SUMIF('Competency Event Log'!$U$4:$U$803,$B143&amp;"|"&amp;AB$5,'Competency Event Log'!$D$4:$D$803)))</f>
        <v/>
      </c>
      <c r="AC143" s="8" t="str">
        <f>IF($B143="","",IF(COUNTIF('Competency Event Log'!$U$4:$U$803,$B143&amp;"|"&amp;AC$5)=0,"",SUMIF('Competency Event Log'!$U$4:$U$803,$B143&amp;"|"&amp;AC$5,'Competency Event Log'!$D$4:$D$803)))</f>
        <v/>
      </c>
      <c r="AD143" s="8" t="str">
        <f>IF($B143="","",IF(COUNTIF('Competency Event Log'!$U$4:$U$803,$B143&amp;"|"&amp;AD$5)=0,"",SUMIF('Competency Event Log'!$U$4:$U$803,$B143&amp;"|"&amp;AD$5,'Competency Event Log'!$D$4:$D$803)))</f>
        <v/>
      </c>
      <c r="AE143" s="8" t="str">
        <f>IF($B143="","",IF(COUNTIF('Competency Event Log'!$U$4:$U$803,$B143&amp;"|"&amp;AE$5)=0,"",SUMIF('Competency Event Log'!$U$4:$U$803,$B143&amp;"|"&amp;AE$5,'Competency Event Log'!$D$4:$D$803)))</f>
        <v/>
      </c>
      <c r="AF143" s="8" t="str">
        <f>IF($B143="","",IF(COUNTIF('Competency Event Log'!$U$4:$U$803,$B143&amp;"|"&amp;AF$5)=0,"",SUMIF('Competency Event Log'!$U$4:$U$803,$B143&amp;"|"&amp;AF$5,'Competency Event Log'!$D$4:$D$803)))</f>
        <v/>
      </c>
      <c r="AG143" s="8" t="str">
        <f>IF($B143="","",IF(COUNTIF('Competency Event Log'!$U$4:$U$803,$B143&amp;"|"&amp;AG$5)=0,"",SUMIF('Competency Event Log'!$U$4:$U$803,$B143&amp;"|"&amp;AG$5,'Competency Event Log'!$D$4:$D$803)))</f>
        <v/>
      </c>
      <c r="AH143" s="8" t="str">
        <f>IF($B143="","",IF(COUNTIF('Competency Event Log'!$U$4:$U$803,$B143&amp;"|"&amp;AH$5)=0,"",SUMIF('Competency Event Log'!$U$4:$U$803,$B143&amp;"|"&amp;AH$5,'Competency Event Log'!$D$4:$D$803)))</f>
        <v/>
      </c>
      <c r="AI143" s="8" t="str">
        <f>IF($B143="","",IF(COUNTIF('Competency Event Log'!$U$4:$U$803,$B143&amp;"|"&amp;AI$5)=0,"",SUMIF('Competency Event Log'!$U$4:$U$803,$B143&amp;"|"&amp;AI$5,'Competency Event Log'!$D$4:$D$803)))</f>
        <v/>
      </c>
      <c r="AJ143" s="8" t="str">
        <f>IF($B143="","",IF(COUNTIF('Competency Event Log'!$U$4:$U$803,$B143&amp;"|"&amp;AJ$5)=0,"",SUMIF('Competency Event Log'!$U$4:$U$803,$B143&amp;"|"&amp;AJ$5,'Competency Event Log'!$D$4:$D$803)))</f>
        <v/>
      </c>
      <c r="AK143" s="8" t="str">
        <f>IF($B143="","",IF(COUNTIF('Competency Event Log'!$U$4:$U$803,$B143&amp;"|"&amp;AK$5)=0,"",SUMIF('Competency Event Log'!$U$4:$U$803,$B143&amp;"|"&amp;AK$5,'Competency Event Log'!$D$4:$D$803)))</f>
        <v/>
      </c>
      <c r="AL143" s="8" t="str">
        <f>IF($B143="","",IF(COUNTIF('Competency Event Log'!$U$4:$U$803,$B143&amp;"|"&amp;AL$5)=0,"",SUMIF('Competency Event Log'!$U$4:$U$803,$B143&amp;"|"&amp;AL$5,'Competency Event Log'!$D$4:$D$803)))</f>
        <v/>
      </c>
      <c r="AM143" s="8" t="str">
        <f>IF($B143="","",IF(COUNTIF('Competency Event Log'!$U$4:$U$803,$B143&amp;"|"&amp;AM$5)=0,"",SUMIF('Competency Event Log'!$U$4:$U$803,$B143&amp;"|"&amp;AM$5,'Competency Event Log'!$D$4:$D$803)))</f>
        <v/>
      </c>
      <c r="AN143" s="8" t="str">
        <f>IF($B143="","",IF(COUNTIF('Competency Event Log'!$U$4:$U$803,$B143&amp;"|"&amp;AN$5)=0,"",SUMIF('Competency Event Log'!$U$4:$U$803,$B143&amp;"|"&amp;AN$5,'Competency Event Log'!$D$4:$D$803)))</f>
        <v/>
      </c>
      <c r="AO143" s="8" t="str">
        <f>IF($B143="","",IF(COUNTIF('Competency Event Log'!$U$4:$U$803,$B143&amp;"|"&amp;AO$5)=0,"",SUMIF('Competency Event Log'!$U$4:$U$803,$B143&amp;"|"&amp;AO$5,'Competency Event Log'!$D$4:$D$803)))</f>
        <v/>
      </c>
      <c r="AP143" s="8" t="str">
        <f>IF($B143="","",IF(COUNTIF('Competency Event Log'!$U$4:$U$803,$B143&amp;"|"&amp;AP$5)=0,"",SUMIF('Competency Event Log'!$U$4:$U$803,$B143&amp;"|"&amp;AP$5,'Competency Event Log'!$D$4:$D$803)))</f>
        <v/>
      </c>
      <c r="AQ143" s="8" t="str">
        <f>IF($B143="","",IF(COUNTIF('Competency Event Log'!$U$4:$U$803,$B143&amp;"|"&amp;AQ$5)=0,"",SUMIF('Competency Event Log'!$U$4:$U$803,$B143&amp;"|"&amp;AQ$5,'Competency Event Log'!$D$4:$D$803)))</f>
        <v/>
      </c>
      <c r="AR143" s="8" t="str">
        <f>IF($B143="","",IF(COUNTIF('Competency Event Log'!$U$4:$U$803,$B143&amp;"|"&amp;AR$5)=0,"",SUMIF('Competency Event Log'!$U$4:$U$803,$B143&amp;"|"&amp;AR$5,'Competency Event Log'!$D$4:$D$803)))</f>
        <v/>
      </c>
      <c r="AS143" s="8" t="str">
        <f>IF($B143="","",IF(COUNTIF('Competency Event Log'!$U$4:$U$803,$B143&amp;"|"&amp;AS$5)=0,"",SUMIF('Competency Event Log'!$U$4:$U$803,$B143&amp;"|"&amp;AS$5,'Competency Event Log'!$D$4:$D$803)))</f>
        <v/>
      </c>
      <c r="AT143" s="8" t="str">
        <f>IF($B143="","",IF(COUNTIF('Competency Event Log'!$U$4:$U$803,$B143&amp;"|"&amp;AT$5)=0,"",SUMIF('Competency Event Log'!$U$4:$U$803,$B143&amp;"|"&amp;AT$5,'Competency Event Log'!$D$4:$D$803)))</f>
        <v/>
      </c>
      <c r="AU143" s="8" t="str">
        <f>IF($B143="","",IF(COUNTIF('Competency Event Log'!$U$4:$U$803,$B143&amp;"|"&amp;AU$5)=0,"",SUMIF('Competency Event Log'!$U$4:$U$803,$B143&amp;"|"&amp;AU$5,'Competency Event Log'!$D$4:$D$803)))</f>
        <v/>
      </c>
      <c r="AV143" s="8" t="str">
        <f>IF($B143="","",IF(COUNTIF('Competency Event Log'!$U$4:$U$803,$B143&amp;"|"&amp;AV$5)=0,"",SUMIF('Competency Event Log'!$U$4:$U$803,$B143&amp;"|"&amp;AV$5,'Competency Event Log'!$D$4:$D$803)))</f>
        <v/>
      </c>
      <c r="AW143" s="8" t="str">
        <f>IF($B143="","",IF(COUNTIF('Competency Event Log'!$U$4:$U$803,$B143&amp;"|"&amp;AW$5)=0,"",SUMIF('Competency Event Log'!$U$4:$U$803,$B143&amp;"|"&amp;AW$5,'Competency Event Log'!$D$4:$D$803)))</f>
        <v/>
      </c>
      <c r="AX143" s="8" t="str">
        <f>IF($B143="","",IF(COUNTIF('Competency Event Log'!$U$4:$U$803,$B143&amp;"|"&amp;AX$5)=0,"",SUMIF('Competency Event Log'!$U$4:$U$803,$B143&amp;"|"&amp;AX$5,'Competency Event Log'!$D$4:$D$803)))</f>
        <v/>
      </c>
      <c r="AY143" s="8" t="str">
        <f>IF($B143="","",IF(COUNTIF('Competency Event Log'!$U$4:$U$803,$B143&amp;"|"&amp;AY$5)=0,"",SUMIF('Competency Event Log'!$U$4:$U$803,$B143&amp;"|"&amp;AY$5,'Competency Event Log'!$D$4:$D$803)))</f>
        <v/>
      </c>
      <c r="AZ143" s="8" t="str">
        <f>IF($B143="","",IF(COUNTIF('Competency Event Log'!$U$4:$U$803,$B143&amp;"|"&amp;AZ$5)=0,"",SUMIF('Competency Event Log'!$U$4:$U$803,$B143&amp;"|"&amp;AZ$5,'Competency Event Log'!$D$4:$D$803)))</f>
        <v/>
      </c>
      <c r="BA143" s="8" t="str">
        <f>IF($B143="","",IF(COUNTIF('Competency Event Log'!$U$4:$U$803,$B143&amp;"|"&amp;BA$5)=0,"",SUMIF('Competency Event Log'!$U$4:$U$803,$B143&amp;"|"&amp;BA$5,'Competency Event Log'!$D$4:$D$803)))</f>
        <v/>
      </c>
      <c r="BB143" s="8" t="str">
        <f>IF($B143="","",IF(COUNTIF('Competency Event Log'!$U$4:$U$803,$B143&amp;"|"&amp;BB$5)=0,"",SUMIF('Competency Event Log'!$U$4:$U$803,$B143&amp;"|"&amp;BB$5,'Competency Event Log'!$D$4:$D$803)))</f>
        <v/>
      </c>
      <c r="BC143" s="8" t="str">
        <f>IF($B143="","",IF(COUNTIF('Competency Event Log'!$U$4:$U$803,$B143&amp;"|"&amp;BC$5)=0,"",SUMIF('Competency Event Log'!$U$4:$U$803,$B143&amp;"|"&amp;BC$5,'Competency Event Log'!$D$4:$D$803)))</f>
        <v/>
      </c>
      <c r="BD143" s="8" t="str">
        <f>IF($B143="","",IF(COUNTIF('Competency Event Log'!$U$4:$U$803,$B143&amp;"|"&amp;BD$5)=0,"",SUMIF('Competency Event Log'!$U$4:$U$803,$B143&amp;"|"&amp;BD$5,'Competency Event Log'!$D$4:$D$803)))</f>
        <v/>
      </c>
      <c r="BE143" s="8" t="str">
        <f>IF($B143="","",IF(COUNTIF('Competency Event Log'!$U$4:$U$803,$B143&amp;"|"&amp;BE$5)=0,"",SUMIF('Competency Event Log'!$U$4:$U$803,$B143&amp;"|"&amp;BE$5,'Competency Event Log'!$D$4:$D$803)))</f>
        <v/>
      </c>
      <c r="BF143" s="8" t="str">
        <f>IF($B143="","",IF(COUNTIF('Competency Event Log'!$U$4:$U$803,$B143&amp;"|"&amp;BF$5)=0,"",SUMIF('Competency Event Log'!$U$4:$U$803,$B143&amp;"|"&amp;BF$5,'Competency Event Log'!$D$4:$D$803)))</f>
        <v/>
      </c>
      <c r="BG143" s="8" t="str">
        <f>IF($B143="","",IF(COUNTIF('Competency Event Log'!$U$4:$U$803,$B143&amp;"|"&amp;BG$5)=0,"",SUMIF('Competency Event Log'!$U$4:$U$803,$B143&amp;"|"&amp;BG$5,'Competency Event Log'!$D$4:$D$803)))</f>
        <v/>
      </c>
      <c r="BH143" s="8" t="str">
        <f>IF($B143="","",IF(COUNTIF('Competency Event Log'!$U$4:$U$803,$B143&amp;"|"&amp;BH$5)=0,"",SUMIF('Competency Event Log'!$U$4:$U$803,$B143&amp;"|"&amp;BH$5,'Competency Event Log'!$D$4:$D$803)))</f>
        <v/>
      </c>
      <c r="BI143" s="8" t="str">
        <f>IF($B143="","",IF(COUNTIF('Competency Event Log'!$U$4:$U$803,$B143&amp;"|"&amp;BI$5)=0,"",SUMIF('Competency Event Log'!$U$4:$U$803,$B143&amp;"|"&amp;BI$5,'Competency Event Log'!$D$4:$D$803)))</f>
        <v/>
      </c>
      <c r="BJ143" s="8" t="str">
        <f>IF($B143="","",IF(COUNTIF('Competency Event Log'!$U$4:$U$803,$B143&amp;"|"&amp;BJ$5)=0,"",SUMIF('Competency Event Log'!$U$4:$U$803,$B143&amp;"|"&amp;BJ$5,'Competency Event Log'!$D$4:$D$803)))</f>
        <v/>
      </c>
      <c r="BK143" s="8" t="str">
        <f>IF($B143="","",IF(COUNTIF('Competency Event Log'!$U$4:$U$803,$B143&amp;"|"&amp;BK$5)=0,"",SUMIF('Competency Event Log'!$U$4:$U$803,$B143&amp;"|"&amp;BK$5,'Competency Event Log'!$D$4:$D$803)))</f>
        <v/>
      </c>
      <c r="BL143" s="8" t="str">
        <f>IF($B143="","",IF(COUNTIF('Competency Event Log'!$U$4:$U$803,$B143&amp;"|"&amp;BL$5)=0,"",SUMIF('Competency Event Log'!$U$4:$U$803,$B143&amp;"|"&amp;BL$5,'Competency Event Log'!$D$4:$D$803)))</f>
        <v/>
      </c>
      <c r="BM143" s="8" t="str">
        <f>IF($B143="","",IF(COUNTIF('Competency Event Log'!$U$4:$U$803,$B143&amp;"|"&amp;BM$5)=0,"",SUMIF('Competency Event Log'!$U$4:$U$803,$B143&amp;"|"&amp;BM$5,'Competency Event Log'!$D$4:$D$803)))</f>
        <v/>
      </c>
      <c r="BN143" s="8" t="str">
        <f>IF($B143="","",IF(COUNTIF('Competency Event Log'!$U$4:$U$803,$B143&amp;"|"&amp;BN$5)=0,"",SUMIF('Competency Event Log'!$U$4:$U$803,$B143&amp;"|"&amp;BN$5,'Competency Event Log'!$D$4:$D$803)))</f>
        <v/>
      </c>
      <c r="BO143" s="8" t="str">
        <f>IF($B143="","",IF(COUNTIF('Competency Event Log'!$U$4:$U$803,$B143&amp;"|"&amp;BO$5)=0,"",SUMIF('Competency Event Log'!$U$4:$U$803,$B143&amp;"|"&amp;BO$5,'Competency Event Log'!$D$4:$D$803)))</f>
        <v/>
      </c>
      <c r="BP143" s="8" t="str">
        <f>IF($B143="","",IF(COUNTIF('Competency Event Log'!$U$4:$U$803,$B143&amp;"|"&amp;BP$5)=0,"",SUMIF('Competency Event Log'!$U$4:$U$803,$B143&amp;"|"&amp;BP$5,'Competency Event Log'!$D$4:$D$803)))</f>
        <v/>
      </c>
      <c r="BQ143" s="8" t="str">
        <f>IF($B143="","",IF(COUNTIF('Competency Event Log'!$U$4:$U$803,$B143&amp;"|"&amp;BQ$5)=0,"",SUMIF('Competency Event Log'!$U$4:$U$803,$B143&amp;"|"&amp;BQ$5,'Competency Event Log'!$D$4:$D$803)))</f>
        <v/>
      </c>
      <c r="BR143" s="8" t="str">
        <f>IF($B143="","",IF(COUNTIF('Competency Event Log'!$U$4:$U$803,$B143&amp;"|"&amp;BR$5)=0,"",SUMIF('Competency Event Log'!$U$4:$U$803,$B143&amp;"|"&amp;BR$5,'Competency Event Log'!$D$4:$D$803)))</f>
        <v/>
      </c>
      <c r="BS143" s="8" t="str">
        <f>IF($B143="","",IF(COUNTIF('Competency Event Log'!$U$4:$U$803,$B143&amp;"|"&amp;BS$5)=0,"",SUMIF('Competency Event Log'!$U$4:$U$803,$B143&amp;"|"&amp;BS$5,'Competency Event Log'!$D$4:$D$803)))</f>
        <v/>
      </c>
      <c r="BT143" s="8" t="str">
        <f>IF($B143="","",IF(COUNTIF('Competency Event Log'!$U$4:$U$803,$B143&amp;"|"&amp;BT$5)=0,"",SUMIF('Competency Event Log'!$U$4:$U$803,$B143&amp;"|"&amp;BT$5,'Competency Event Log'!$D$4:$D$803)))</f>
        <v/>
      </c>
      <c r="BU143" s="8" t="str">
        <f>IF($B143="","",IF(COUNTIF('Competency Event Log'!$U$4:$U$803,$B143&amp;"|"&amp;BU$5)=0,"",SUMIF('Competency Event Log'!$U$4:$U$803,$B143&amp;"|"&amp;BU$5,'Competency Event Log'!$D$4:$D$803)))</f>
        <v/>
      </c>
      <c r="BV143" s="8" t="str">
        <f>IF($B143="","",IF(COUNTIF('Competency Event Log'!$U$4:$U$803,$B143&amp;"|"&amp;BV$5)=0,"",SUMIF('Competency Event Log'!$U$4:$U$803,$B143&amp;"|"&amp;BV$5,'Competency Event Log'!$D$4:$D$803)))</f>
        <v/>
      </c>
      <c r="BW143" s="8" t="str">
        <f>IF($B143="","",IF(COUNTIF('Competency Event Log'!$U$4:$U$803,$B143&amp;"|"&amp;BW$5)=0,"",SUMIF('Competency Event Log'!$U$4:$U$803,$B143&amp;"|"&amp;BW$5,'Competency Event Log'!$D$4:$D$803)))</f>
        <v/>
      </c>
      <c r="BX143" s="8" t="str">
        <f>IF($B143="","",IF(COUNTIF('Competency Event Log'!$U$4:$U$803,$B143&amp;"|"&amp;BX$5)=0,"",SUMIF('Competency Event Log'!$U$4:$U$803,$B143&amp;"|"&amp;BX$5,'Competency Event Log'!$D$4:$D$803)))</f>
        <v/>
      </c>
      <c r="BY143" s="8" t="str">
        <f>IF($B143="","",IF(COUNTIF('Competency Event Log'!$U$4:$U$803,$B143&amp;"|"&amp;BY$5)=0,"",SUMIF('Competency Event Log'!$U$4:$U$803,$B143&amp;"|"&amp;BY$5,'Competency Event Log'!$D$4:$D$803)))</f>
        <v/>
      </c>
      <c r="BZ143" s="8" t="str">
        <f>IF($B143="","",IF(COUNTIF('Competency Event Log'!$U$4:$U$803,$B143&amp;"|"&amp;BZ$5)=0,"",SUMIF('Competency Event Log'!$U$4:$U$803,$B143&amp;"|"&amp;BZ$5,'Competency Event Log'!$D$4:$D$803)))</f>
        <v/>
      </c>
      <c r="CA143" s="8" t="str">
        <f>IF($B143="","",IF(COUNTIF('Competency Event Log'!$U$4:$U$803,$B143&amp;"|"&amp;CA$5)=0,"",SUMIF('Competency Event Log'!$U$4:$U$803,$B143&amp;"|"&amp;CA$5,'Competency Event Log'!$D$4:$D$803)))</f>
        <v/>
      </c>
      <c r="CB143" s="8" t="str">
        <f>IF($B143="","",IF(COUNTIF('Competency Event Log'!$U$4:$U$803,$B143&amp;"|"&amp;CB$5)=0,"",SUMIF('Competency Event Log'!$U$4:$U$803,$B143&amp;"|"&amp;CB$5,'Competency Event Log'!$D$4:$D$803)))</f>
        <v/>
      </c>
      <c r="CC143" s="8" t="str">
        <f>IF($B143="","",IF(COUNTIF('Competency Event Log'!$U$4:$U$803,$B143&amp;"|"&amp;CC$5)=0,"",SUMIF('Competency Event Log'!$U$4:$U$803,$B143&amp;"|"&amp;CC$5,'Competency Event Log'!$D$4:$D$803)))</f>
        <v/>
      </c>
      <c r="CD143" s="8" t="str">
        <f>IF($B143="","",IF(COUNTIF('Competency Event Log'!$U$4:$U$803,$B143&amp;"|"&amp;CD$5)=0,"",SUMIF('Competency Event Log'!$U$4:$U$803,$B143&amp;"|"&amp;CD$5,'Competency Event Log'!$D$4:$D$803)))</f>
        <v/>
      </c>
      <c r="CE143" s="8" t="str">
        <f>IF($B143="","",IF(COUNTIF('Competency Event Log'!$U$4:$U$803,$B143&amp;"|"&amp;CE$5)=0,"",SUMIF('Competency Event Log'!$U$4:$U$803,$B143&amp;"|"&amp;CE$5,'Competency Event Log'!$D$4:$D$803)))</f>
        <v/>
      </c>
      <c r="CF143" s="8" t="str">
        <f>IF($B143="","",IF(COUNTIF('Competency Event Log'!$U$4:$U$803,$B143&amp;"|"&amp;CF$5)=0,"",SUMIF('Competency Event Log'!$U$4:$U$803,$B143&amp;"|"&amp;CF$5,'Competency Event Log'!$D$4:$D$803)))</f>
        <v/>
      </c>
      <c r="CG143" s="8" t="str">
        <f>IF($B143="","",IF(COUNTIF('Competency Event Log'!$U$4:$U$803,$B143&amp;"|"&amp;CG$5)=0,"",SUMIF('Competency Event Log'!$U$4:$U$803,$B143&amp;"|"&amp;CG$5,'Competency Event Log'!$D$4:$D$803)))</f>
        <v/>
      </c>
      <c r="CH143" s="8" t="str">
        <f>IF($B143="","",IF(COUNTIF('Competency Event Log'!$U$4:$U$803,$B143&amp;"|"&amp;CH$5)=0,"",SUMIF('Competency Event Log'!$U$4:$U$803,$B143&amp;"|"&amp;CH$5,'Competency Event Log'!$D$4:$D$803)))</f>
        <v/>
      </c>
      <c r="CI143" s="8" t="str">
        <f>IF($B143="","",IF(COUNTIF('Competency Event Log'!$U$4:$U$803,$B143&amp;"|"&amp;CI$5)=0,"",SUMIF('Competency Event Log'!$U$4:$U$803,$B143&amp;"|"&amp;CI$5,'Competency Event Log'!$D$4:$D$803)))</f>
        <v/>
      </c>
      <c r="CJ143" s="8" t="str">
        <f>IF($B143="","",IF(COUNTIF('Competency Event Log'!$U$4:$U$803,$B143&amp;"|"&amp;CJ$5)=0,"",SUMIF('Competency Event Log'!$U$4:$U$803,$B143&amp;"|"&amp;CJ$5,'Competency Event Log'!$D$4:$D$803)))</f>
        <v/>
      </c>
      <c r="CK143" s="8" t="str">
        <f>IF($B143="","",IF(COUNTIF('Competency Event Log'!$U$4:$U$803,$B143&amp;"|"&amp;CK$5)=0,"",SUMIF('Competency Event Log'!$U$4:$U$803,$B143&amp;"|"&amp;CK$5,'Competency Event Log'!$D$4:$D$803)))</f>
        <v/>
      </c>
      <c r="CL143" s="8" t="str">
        <f>IF($B143="","",IF(COUNTIF('Competency Event Log'!$U$4:$U$803,$B143&amp;"|"&amp;CL$5)=0,"",SUMIF('Competency Event Log'!$U$4:$U$803,$B143&amp;"|"&amp;CL$5,'Competency Event Log'!$D$4:$D$803)))</f>
        <v/>
      </c>
      <c r="CM143" s="8" t="str">
        <f>IF($B143="","",IF(COUNTIF('Competency Event Log'!$U$4:$U$803,$B143&amp;"|"&amp;CM$5)=0,"",SUMIF('Competency Event Log'!$U$4:$U$803,$B143&amp;"|"&amp;CM$5,'Competency Event Log'!$D$4:$D$803)))</f>
        <v/>
      </c>
      <c r="CN143" s="8" t="str">
        <f>IF($B143="","",IF(COUNTIF('Competency Event Log'!$U$4:$U$803,$B143&amp;"|"&amp;CN$5)=0,"",SUMIF('Competency Event Log'!$U$4:$U$803,$B143&amp;"|"&amp;CN$5,'Competency Event Log'!$D$4:$D$803)))</f>
        <v/>
      </c>
      <c r="CO143" s="8" t="str">
        <f>IF($B143="","",IF(COUNTIF('Competency Event Log'!$U$4:$U$803,$B143&amp;"|"&amp;CO$5)=0,"",SUMIF('Competency Event Log'!$U$4:$U$803,$B143&amp;"|"&amp;CO$5,'Competency Event Log'!$D$4:$D$803)))</f>
        <v/>
      </c>
      <c r="CP143" s="8" t="str">
        <f>IF($B143="","",IF(COUNTIF('Competency Event Log'!$U$4:$U$803,$B143&amp;"|"&amp;CP$5)=0,"",SUMIF('Competency Event Log'!$U$4:$U$803,$B143&amp;"|"&amp;CP$5,'Competency Event Log'!$D$4:$D$803)))</f>
        <v/>
      </c>
      <c r="CQ143" s="8" t="str">
        <f>IF($B143="","",IF(COUNTIF('Competency Event Log'!$U$4:$U$803,$B143&amp;"|"&amp;CQ$5)=0,"",SUMIF('Competency Event Log'!$U$4:$U$803,$B143&amp;"|"&amp;CQ$5,'Competency Event Log'!$D$4:$D$803)))</f>
        <v/>
      </c>
      <c r="CR143" s="8" t="str">
        <f>IF($B143="","",IF(COUNTIF('Competency Event Log'!$U$4:$U$803,$B143&amp;"|"&amp;CR$5)=0,"",SUMIF('Competency Event Log'!$U$4:$U$803,$B143&amp;"|"&amp;CR$5,'Competency Event Log'!$D$4:$D$803)))</f>
        <v/>
      </c>
      <c r="CS143" s="8" t="str">
        <f>IF($B143="","",IF(COUNTIF('Competency Event Log'!$U$4:$U$803,$B143&amp;"|"&amp;CS$5)=0,"",SUMIF('Competency Event Log'!$U$4:$U$803,$B143&amp;"|"&amp;CS$5,'Competency Event Log'!$D$4:$D$803)))</f>
        <v/>
      </c>
      <c r="CT143" s="8" t="str">
        <f>IF($B143="","",IF(COUNTIF('Competency Event Log'!$U$4:$U$803,$B143&amp;"|"&amp;CT$5)=0,"",SUMIF('Competency Event Log'!$U$4:$U$803,$B143&amp;"|"&amp;CT$5,'Competency Event Log'!$D$4:$D$803)))</f>
        <v/>
      </c>
      <c r="CU143" s="8" t="str">
        <f>IF($B143="","",IF(COUNTIF('Competency Event Log'!$U$4:$U$803,$B143&amp;"|"&amp;CU$5)=0,"",SUMIF('Competency Event Log'!$U$4:$U$803,$B143&amp;"|"&amp;CU$5,'Competency Event Log'!$D$4:$D$803)))</f>
        <v/>
      </c>
      <c r="CV143" s="8" t="str">
        <f>IF($B143="","",IF(COUNTIF('Competency Event Log'!$U$4:$U$803,$B143&amp;"|"&amp;CV$5)=0,"",SUMIF('Competency Event Log'!$U$4:$U$803,$B143&amp;"|"&amp;CV$5,'Competency Event Log'!$D$4:$D$803)))</f>
        <v/>
      </c>
      <c r="CW143" s="8" t="str">
        <f>IF($B143="","",IF(COUNTIF('Competency Event Log'!$U$4:$U$803,$B143&amp;"|"&amp;CW$5)=0,"",SUMIF('Competency Event Log'!$U$4:$U$803,$B143&amp;"|"&amp;CW$5,'Competency Event Log'!$D$4:$D$803)))</f>
        <v/>
      </c>
      <c r="CX143" s="8" t="str">
        <f>IF($B143="","",IF(COUNTIF('Competency Event Log'!$U$4:$U$803,$B143&amp;"|"&amp;CX$5)=0,"",SUMIF('Competency Event Log'!$U$4:$U$803,$B143&amp;"|"&amp;CX$5,'Competency Event Log'!$D$4:$D$803)))</f>
        <v/>
      </c>
      <c r="CY143" s="8" t="str">
        <f>IF($B143="","",IF(COUNTIF('Competency Event Log'!$U$4:$U$803,$B143&amp;"|"&amp;CY$5)=0,"",SUMIF('Competency Event Log'!$U$4:$U$803,$B143&amp;"|"&amp;CY$5,'Competency Event Log'!$D$4:$D$803)))</f>
        <v/>
      </c>
      <c r="CZ143" s="8" t="str">
        <f>IF($B143="","",IF(COUNTIF('Competency Event Log'!$U$4:$U$803,$B143&amp;"|"&amp;CZ$5)=0,"",SUMIF('Competency Event Log'!$U$4:$U$803,$B143&amp;"|"&amp;CZ$5,'Competency Event Log'!$D$4:$D$803)))</f>
        <v/>
      </c>
      <c r="DA143" s="8" t="str">
        <f>IF($B143="","",IF(COUNTIF('Competency Event Log'!$U$4:$U$803,$B143&amp;"|"&amp;DA$5)=0,"",SUMIF('Competency Event Log'!$U$4:$U$803,$B143&amp;"|"&amp;DA$5,'Competency Event Log'!$D$4:$D$803)))</f>
        <v/>
      </c>
      <c r="DB143" s="8" t="str">
        <f>IF($B143="","",IF(COUNTIF('Competency Event Log'!$U$4:$U$803,$B143&amp;"|"&amp;DB$5)=0,"",SUMIF('Competency Event Log'!$U$4:$U$803,$B143&amp;"|"&amp;DB$5,'Competency Event Log'!$D$4:$D$803)))</f>
        <v/>
      </c>
      <c r="DC143" s="8" t="str">
        <f>IF($B143="","",IF(COUNTIF('Competency Event Log'!$U$4:$U$803,$B143&amp;"|"&amp;DC$5)=0,"",SUMIF('Competency Event Log'!$U$4:$U$803,$B143&amp;"|"&amp;DC$5,'Competency Event Log'!$D$4:$D$803)))</f>
        <v/>
      </c>
      <c r="DD143" s="8" t="str">
        <f>IF($B143="","",IF(COUNTIF('Competency Event Log'!$U$4:$U$803,$B143&amp;"|"&amp;DD$5)=0,"",SUMIF('Competency Event Log'!$U$4:$U$803,$B143&amp;"|"&amp;DD$5,'Competency Event Log'!$D$4:$D$803)))</f>
        <v/>
      </c>
      <c r="DE143" s="8" t="str">
        <f>IF($B143="","",IF(COUNTIF('Competency Event Log'!$U$4:$U$803,$B143&amp;"|"&amp;DE$5)=0,"",SUMIF('Competency Event Log'!$U$4:$U$803,$B143&amp;"|"&amp;DE$5,'Competency Event Log'!$D$4:$D$803)))</f>
        <v/>
      </c>
      <c r="DF143" s="8" t="str">
        <f t="shared" si="16"/>
        <v/>
      </c>
      <c r="DG143" s="8" t="str">
        <f t="shared" si="17"/>
        <v/>
      </c>
      <c r="DH143" s="8" t="str">
        <f t="shared" si="18"/>
        <v/>
      </c>
      <c r="DI143" s="11" t="str">
        <f t="shared" si="19"/>
        <v/>
      </c>
    </row>
    <row r="144" spans="1:113">
      <c r="A144" s="7"/>
      <c r="B144" s="7"/>
      <c r="C144" s="8"/>
      <c r="D144" s="9"/>
      <c r="E144" s="10"/>
      <c r="F144" s="8"/>
      <c r="G144" s="8" t="str">
        <f>IF($B144="","",IF(COUNTIF('Competency Event Log'!$U$4:$U$803,$B144&amp;"|"&amp;G$5)=0,"",SUMIF('Competency Event Log'!$U$4:$U$803,$B144&amp;"|"&amp;G$5,'Competency Event Log'!$D$4:$D$803)))</f>
        <v/>
      </c>
      <c r="H144" s="8" t="str">
        <f>IF($B144="","",IF(COUNTIF('Competency Event Log'!$U$4:$U$803,$B144&amp;"|"&amp;H$5)=0,"",SUMIF('Competency Event Log'!$U$4:$U$803,$B144&amp;"|"&amp;H$5,'Competency Event Log'!$D$4:$D$803)))</f>
        <v/>
      </c>
      <c r="I144" s="8" t="str">
        <f>IF($B144="","",IF(COUNTIF('Competency Event Log'!$U$4:$U$803,$B144&amp;"|"&amp;I$5)=0,"",SUMIF('Competency Event Log'!$U$4:$U$803,$B144&amp;"|"&amp;I$5,'Competency Event Log'!$D$4:$D$803)))</f>
        <v/>
      </c>
      <c r="J144" s="8" t="str">
        <f>IF($B144="","",IF(COUNTIF('Competency Event Log'!$U$4:$U$803,$B144&amp;"|"&amp;J$5)=0,"",SUMIF('Competency Event Log'!$U$4:$U$803,$B144&amp;"|"&amp;J$5,'Competency Event Log'!$D$4:$D$803)))</f>
        <v/>
      </c>
      <c r="K144" s="8" t="str">
        <f>IF($B144="","",IF(COUNTIF('Competency Event Log'!$U$4:$U$803,$B144&amp;"|"&amp;K$5)=0,"",SUMIF('Competency Event Log'!$U$4:$U$803,$B144&amp;"|"&amp;K$5,'Competency Event Log'!$D$4:$D$803)))</f>
        <v/>
      </c>
      <c r="L144" s="8" t="str">
        <f>IF($B144="","",IF(COUNTIF('Competency Event Log'!$U$4:$U$803,$B144&amp;"|"&amp;L$5)=0,"",SUMIF('Competency Event Log'!$U$4:$U$803,$B144&amp;"|"&amp;L$5,'Competency Event Log'!$D$4:$D$803)))</f>
        <v/>
      </c>
      <c r="M144" s="8" t="str">
        <f>IF($B144="","",IF(COUNTIF('Competency Event Log'!$U$4:$U$803,$B144&amp;"|"&amp;M$5)=0,"",SUMIF('Competency Event Log'!$U$4:$U$803,$B144&amp;"|"&amp;M$5,'Competency Event Log'!$D$4:$D$803)))</f>
        <v/>
      </c>
      <c r="N144" s="8" t="str">
        <f>IF($B144="","",IF(COUNTIF('Competency Event Log'!$U$4:$U$803,$B144&amp;"|"&amp;N$5)=0,"",SUMIF('Competency Event Log'!$U$4:$U$803,$B144&amp;"|"&amp;N$5,'Competency Event Log'!$D$4:$D$803)))</f>
        <v/>
      </c>
      <c r="O144" s="8" t="str">
        <f>IF($B144="","",IF(COUNTIF('Competency Event Log'!$U$4:$U$803,$B144&amp;"|"&amp;O$5)=0,"",SUMIF('Competency Event Log'!$U$4:$U$803,$B144&amp;"|"&amp;O$5,'Competency Event Log'!$D$4:$D$803)))</f>
        <v/>
      </c>
      <c r="P144" s="8" t="str">
        <f>IF($B144="","",IF(COUNTIF('Competency Event Log'!$U$4:$U$803,$B144&amp;"|"&amp;P$5)=0,"",SUMIF('Competency Event Log'!$U$4:$U$803,$B144&amp;"|"&amp;P$5,'Competency Event Log'!$D$4:$D$803)))</f>
        <v/>
      </c>
      <c r="Q144" s="8" t="str">
        <f>IF($B144="","",IF(COUNTIF('Competency Event Log'!$U$4:$U$803,$B144&amp;"|"&amp;Q$5)=0,"",SUMIF('Competency Event Log'!$U$4:$U$803,$B144&amp;"|"&amp;Q$5,'Competency Event Log'!$D$4:$D$803)))</f>
        <v/>
      </c>
      <c r="R144" s="8" t="str">
        <f>IF($B144="","",IF(COUNTIF('Competency Event Log'!$U$4:$U$803,$B144&amp;"|"&amp;R$5)=0,"",SUMIF('Competency Event Log'!$U$4:$U$803,$B144&amp;"|"&amp;R$5,'Competency Event Log'!$D$4:$D$803)))</f>
        <v/>
      </c>
      <c r="S144" s="8" t="str">
        <f>IF($B144="","",IF(COUNTIF('Competency Event Log'!$U$4:$U$803,$B144&amp;"|"&amp;S$5)=0,"",SUMIF('Competency Event Log'!$U$4:$U$803,$B144&amp;"|"&amp;S$5,'Competency Event Log'!$D$4:$D$803)))</f>
        <v/>
      </c>
      <c r="T144" s="8" t="str">
        <f>IF($B144="","",IF(COUNTIF('Competency Event Log'!$U$4:$U$803,$B144&amp;"|"&amp;T$5)=0,"",SUMIF('Competency Event Log'!$U$4:$U$803,$B144&amp;"|"&amp;T$5,'Competency Event Log'!$D$4:$D$803)))</f>
        <v/>
      </c>
      <c r="U144" s="8" t="str">
        <f>IF($B144="","",IF(COUNTIF('Competency Event Log'!$U$4:$U$803,$B144&amp;"|"&amp;U$5)=0,"",SUMIF('Competency Event Log'!$U$4:$U$803,$B144&amp;"|"&amp;U$5,'Competency Event Log'!$D$4:$D$803)))</f>
        <v/>
      </c>
      <c r="V144" s="8" t="str">
        <f>IF($B144="","",IF(COUNTIF('Competency Event Log'!$U$4:$U$803,$B144&amp;"|"&amp;V$5)=0,"",SUMIF('Competency Event Log'!$U$4:$U$803,$B144&amp;"|"&amp;V$5,'Competency Event Log'!$D$4:$D$803)))</f>
        <v/>
      </c>
      <c r="W144" s="8" t="str">
        <f>IF($B144="","",IF(COUNTIF('Competency Event Log'!$U$4:$U$803,$B144&amp;"|"&amp;W$5)=0,"",SUMIF('Competency Event Log'!$U$4:$U$803,$B144&amp;"|"&amp;W$5,'Competency Event Log'!$D$4:$D$803)))</f>
        <v/>
      </c>
      <c r="X144" s="8" t="str">
        <f>IF($B144="","",IF(COUNTIF('Competency Event Log'!$U$4:$U$803,$B144&amp;"|"&amp;X$5)=0,"",SUMIF('Competency Event Log'!$U$4:$U$803,$B144&amp;"|"&amp;X$5,'Competency Event Log'!$D$4:$D$803)))</f>
        <v/>
      </c>
      <c r="Y144" s="8" t="str">
        <f>IF($B144="","",IF(COUNTIF('Competency Event Log'!$U$4:$U$803,$B144&amp;"|"&amp;Y$5)=0,"",SUMIF('Competency Event Log'!$U$4:$U$803,$B144&amp;"|"&amp;Y$5,'Competency Event Log'!$D$4:$D$803)))</f>
        <v/>
      </c>
      <c r="Z144" s="8" t="str">
        <f>IF($B144="","",IF(COUNTIF('Competency Event Log'!$U$4:$U$803,$B144&amp;"|"&amp;Z$5)=0,"",SUMIF('Competency Event Log'!$U$4:$U$803,$B144&amp;"|"&amp;Z$5,'Competency Event Log'!$D$4:$D$803)))</f>
        <v/>
      </c>
      <c r="AA144" s="8" t="str">
        <f>IF($B144="","",IF(COUNTIF('Competency Event Log'!$U$4:$U$803,$B144&amp;"|"&amp;AA$5)=0,"",SUMIF('Competency Event Log'!$U$4:$U$803,$B144&amp;"|"&amp;AA$5,'Competency Event Log'!$D$4:$D$803)))</f>
        <v/>
      </c>
      <c r="AB144" s="8" t="str">
        <f>IF($B144="","",IF(COUNTIF('Competency Event Log'!$U$4:$U$803,$B144&amp;"|"&amp;AB$5)=0,"",SUMIF('Competency Event Log'!$U$4:$U$803,$B144&amp;"|"&amp;AB$5,'Competency Event Log'!$D$4:$D$803)))</f>
        <v/>
      </c>
      <c r="AC144" s="8" t="str">
        <f>IF($B144="","",IF(COUNTIF('Competency Event Log'!$U$4:$U$803,$B144&amp;"|"&amp;AC$5)=0,"",SUMIF('Competency Event Log'!$U$4:$U$803,$B144&amp;"|"&amp;AC$5,'Competency Event Log'!$D$4:$D$803)))</f>
        <v/>
      </c>
      <c r="AD144" s="8" t="str">
        <f>IF($B144="","",IF(COUNTIF('Competency Event Log'!$U$4:$U$803,$B144&amp;"|"&amp;AD$5)=0,"",SUMIF('Competency Event Log'!$U$4:$U$803,$B144&amp;"|"&amp;AD$5,'Competency Event Log'!$D$4:$D$803)))</f>
        <v/>
      </c>
      <c r="AE144" s="8" t="str">
        <f>IF($B144="","",IF(COUNTIF('Competency Event Log'!$U$4:$U$803,$B144&amp;"|"&amp;AE$5)=0,"",SUMIF('Competency Event Log'!$U$4:$U$803,$B144&amp;"|"&amp;AE$5,'Competency Event Log'!$D$4:$D$803)))</f>
        <v/>
      </c>
      <c r="AF144" s="8" t="str">
        <f>IF($B144="","",IF(COUNTIF('Competency Event Log'!$U$4:$U$803,$B144&amp;"|"&amp;AF$5)=0,"",SUMIF('Competency Event Log'!$U$4:$U$803,$B144&amp;"|"&amp;AF$5,'Competency Event Log'!$D$4:$D$803)))</f>
        <v/>
      </c>
      <c r="AG144" s="8" t="str">
        <f>IF($B144="","",IF(COUNTIF('Competency Event Log'!$U$4:$U$803,$B144&amp;"|"&amp;AG$5)=0,"",SUMIF('Competency Event Log'!$U$4:$U$803,$B144&amp;"|"&amp;AG$5,'Competency Event Log'!$D$4:$D$803)))</f>
        <v/>
      </c>
      <c r="AH144" s="8" t="str">
        <f>IF($B144="","",IF(COUNTIF('Competency Event Log'!$U$4:$U$803,$B144&amp;"|"&amp;AH$5)=0,"",SUMIF('Competency Event Log'!$U$4:$U$803,$B144&amp;"|"&amp;AH$5,'Competency Event Log'!$D$4:$D$803)))</f>
        <v/>
      </c>
      <c r="AI144" s="8" t="str">
        <f>IF($B144="","",IF(COUNTIF('Competency Event Log'!$U$4:$U$803,$B144&amp;"|"&amp;AI$5)=0,"",SUMIF('Competency Event Log'!$U$4:$U$803,$B144&amp;"|"&amp;AI$5,'Competency Event Log'!$D$4:$D$803)))</f>
        <v/>
      </c>
      <c r="AJ144" s="8" t="str">
        <f>IF($B144="","",IF(COUNTIF('Competency Event Log'!$U$4:$U$803,$B144&amp;"|"&amp;AJ$5)=0,"",SUMIF('Competency Event Log'!$U$4:$U$803,$B144&amp;"|"&amp;AJ$5,'Competency Event Log'!$D$4:$D$803)))</f>
        <v/>
      </c>
      <c r="AK144" s="8" t="str">
        <f>IF($B144="","",IF(COUNTIF('Competency Event Log'!$U$4:$U$803,$B144&amp;"|"&amp;AK$5)=0,"",SUMIF('Competency Event Log'!$U$4:$U$803,$B144&amp;"|"&amp;AK$5,'Competency Event Log'!$D$4:$D$803)))</f>
        <v/>
      </c>
      <c r="AL144" s="8" t="str">
        <f>IF($B144="","",IF(COUNTIF('Competency Event Log'!$U$4:$U$803,$B144&amp;"|"&amp;AL$5)=0,"",SUMIF('Competency Event Log'!$U$4:$U$803,$B144&amp;"|"&amp;AL$5,'Competency Event Log'!$D$4:$D$803)))</f>
        <v/>
      </c>
      <c r="AM144" s="8" t="str">
        <f>IF($B144="","",IF(COUNTIF('Competency Event Log'!$U$4:$U$803,$B144&amp;"|"&amp;AM$5)=0,"",SUMIF('Competency Event Log'!$U$4:$U$803,$B144&amp;"|"&amp;AM$5,'Competency Event Log'!$D$4:$D$803)))</f>
        <v/>
      </c>
      <c r="AN144" s="8" t="str">
        <f>IF($B144="","",IF(COUNTIF('Competency Event Log'!$U$4:$U$803,$B144&amp;"|"&amp;AN$5)=0,"",SUMIF('Competency Event Log'!$U$4:$U$803,$B144&amp;"|"&amp;AN$5,'Competency Event Log'!$D$4:$D$803)))</f>
        <v/>
      </c>
      <c r="AO144" s="8" t="str">
        <f>IF($B144="","",IF(COUNTIF('Competency Event Log'!$U$4:$U$803,$B144&amp;"|"&amp;AO$5)=0,"",SUMIF('Competency Event Log'!$U$4:$U$803,$B144&amp;"|"&amp;AO$5,'Competency Event Log'!$D$4:$D$803)))</f>
        <v/>
      </c>
      <c r="AP144" s="8" t="str">
        <f>IF($B144="","",IF(COUNTIF('Competency Event Log'!$U$4:$U$803,$B144&amp;"|"&amp;AP$5)=0,"",SUMIF('Competency Event Log'!$U$4:$U$803,$B144&amp;"|"&amp;AP$5,'Competency Event Log'!$D$4:$D$803)))</f>
        <v/>
      </c>
      <c r="AQ144" s="8" t="str">
        <f>IF($B144="","",IF(COUNTIF('Competency Event Log'!$U$4:$U$803,$B144&amp;"|"&amp;AQ$5)=0,"",SUMIF('Competency Event Log'!$U$4:$U$803,$B144&amp;"|"&amp;AQ$5,'Competency Event Log'!$D$4:$D$803)))</f>
        <v/>
      </c>
      <c r="AR144" s="8" t="str">
        <f>IF($B144="","",IF(COUNTIF('Competency Event Log'!$U$4:$U$803,$B144&amp;"|"&amp;AR$5)=0,"",SUMIF('Competency Event Log'!$U$4:$U$803,$B144&amp;"|"&amp;AR$5,'Competency Event Log'!$D$4:$D$803)))</f>
        <v/>
      </c>
      <c r="AS144" s="8" t="str">
        <f>IF($B144="","",IF(COUNTIF('Competency Event Log'!$U$4:$U$803,$B144&amp;"|"&amp;AS$5)=0,"",SUMIF('Competency Event Log'!$U$4:$U$803,$B144&amp;"|"&amp;AS$5,'Competency Event Log'!$D$4:$D$803)))</f>
        <v/>
      </c>
      <c r="AT144" s="8" t="str">
        <f>IF($B144="","",IF(COUNTIF('Competency Event Log'!$U$4:$U$803,$B144&amp;"|"&amp;AT$5)=0,"",SUMIF('Competency Event Log'!$U$4:$U$803,$B144&amp;"|"&amp;AT$5,'Competency Event Log'!$D$4:$D$803)))</f>
        <v/>
      </c>
      <c r="AU144" s="8" t="str">
        <f>IF($B144="","",IF(COUNTIF('Competency Event Log'!$U$4:$U$803,$B144&amp;"|"&amp;AU$5)=0,"",SUMIF('Competency Event Log'!$U$4:$U$803,$B144&amp;"|"&amp;AU$5,'Competency Event Log'!$D$4:$D$803)))</f>
        <v/>
      </c>
      <c r="AV144" s="8" t="str">
        <f>IF($B144="","",IF(COUNTIF('Competency Event Log'!$U$4:$U$803,$B144&amp;"|"&amp;AV$5)=0,"",SUMIF('Competency Event Log'!$U$4:$U$803,$B144&amp;"|"&amp;AV$5,'Competency Event Log'!$D$4:$D$803)))</f>
        <v/>
      </c>
      <c r="AW144" s="8" t="str">
        <f>IF($B144="","",IF(COUNTIF('Competency Event Log'!$U$4:$U$803,$B144&amp;"|"&amp;AW$5)=0,"",SUMIF('Competency Event Log'!$U$4:$U$803,$B144&amp;"|"&amp;AW$5,'Competency Event Log'!$D$4:$D$803)))</f>
        <v/>
      </c>
      <c r="AX144" s="8" t="str">
        <f>IF($B144="","",IF(COUNTIF('Competency Event Log'!$U$4:$U$803,$B144&amp;"|"&amp;AX$5)=0,"",SUMIF('Competency Event Log'!$U$4:$U$803,$B144&amp;"|"&amp;AX$5,'Competency Event Log'!$D$4:$D$803)))</f>
        <v/>
      </c>
      <c r="AY144" s="8" t="str">
        <f>IF($B144="","",IF(COUNTIF('Competency Event Log'!$U$4:$U$803,$B144&amp;"|"&amp;AY$5)=0,"",SUMIF('Competency Event Log'!$U$4:$U$803,$B144&amp;"|"&amp;AY$5,'Competency Event Log'!$D$4:$D$803)))</f>
        <v/>
      </c>
      <c r="AZ144" s="8" t="str">
        <f>IF($B144="","",IF(COUNTIF('Competency Event Log'!$U$4:$U$803,$B144&amp;"|"&amp;AZ$5)=0,"",SUMIF('Competency Event Log'!$U$4:$U$803,$B144&amp;"|"&amp;AZ$5,'Competency Event Log'!$D$4:$D$803)))</f>
        <v/>
      </c>
      <c r="BA144" s="8" t="str">
        <f>IF($B144="","",IF(COUNTIF('Competency Event Log'!$U$4:$U$803,$B144&amp;"|"&amp;BA$5)=0,"",SUMIF('Competency Event Log'!$U$4:$U$803,$B144&amp;"|"&amp;BA$5,'Competency Event Log'!$D$4:$D$803)))</f>
        <v/>
      </c>
      <c r="BB144" s="8" t="str">
        <f>IF($B144="","",IF(COUNTIF('Competency Event Log'!$U$4:$U$803,$B144&amp;"|"&amp;BB$5)=0,"",SUMIF('Competency Event Log'!$U$4:$U$803,$B144&amp;"|"&amp;BB$5,'Competency Event Log'!$D$4:$D$803)))</f>
        <v/>
      </c>
      <c r="BC144" s="8" t="str">
        <f>IF($B144="","",IF(COUNTIF('Competency Event Log'!$U$4:$U$803,$B144&amp;"|"&amp;BC$5)=0,"",SUMIF('Competency Event Log'!$U$4:$U$803,$B144&amp;"|"&amp;BC$5,'Competency Event Log'!$D$4:$D$803)))</f>
        <v/>
      </c>
      <c r="BD144" s="8" t="str">
        <f>IF($B144="","",IF(COUNTIF('Competency Event Log'!$U$4:$U$803,$B144&amp;"|"&amp;BD$5)=0,"",SUMIF('Competency Event Log'!$U$4:$U$803,$B144&amp;"|"&amp;BD$5,'Competency Event Log'!$D$4:$D$803)))</f>
        <v/>
      </c>
      <c r="BE144" s="8" t="str">
        <f>IF($B144="","",IF(COUNTIF('Competency Event Log'!$U$4:$U$803,$B144&amp;"|"&amp;BE$5)=0,"",SUMIF('Competency Event Log'!$U$4:$U$803,$B144&amp;"|"&amp;BE$5,'Competency Event Log'!$D$4:$D$803)))</f>
        <v/>
      </c>
      <c r="BF144" s="8" t="str">
        <f>IF($B144="","",IF(COUNTIF('Competency Event Log'!$U$4:$U$803,$B144&amp;"|"&amp;BF$5)=0,"",SUMIF('Competency Event Log'!$U$4:$U$803,$B144&amp;"|"&amp;BF$5,'Competency Event Log'!$D$4:$D$803)))</f>
        <v/>
      </c>
      <c r="BG144" s="8" t="str">
        <f>IF($B144="","",IF(COUNTIF('Competency Event Log'!$U$4:$U$803,$B144&amp;"|"&amp;BG$5)=0,"",SUMIF('Competency Event Log'!$U$4:$U$803,$B144&amp;"|"&amp;BG$5,'Competency Event Log'!$D$4:$D$803)))</f>
        <v/>
      </c>
      <c r="BH144" s="8" t="str">
        <f>IF($B144="","",IF(COUNTIF('Competency Event Log'!$U$4:$U$803,$B144&amp;"|"&amp;BH$5)=0,"",SUMIF('Competency Event Log'!$U$4:$U$803,$B144&amp;"|"&amp;BH$5,'Competency Event Log'!$D$4:$D$803)))</f>
        <v/>
      </c>
      <c r="BI144" s="8" t="str">
        <f>IF($B144="","",IF(COUNTIF('Competency Event Log'!$U$4:$U$803,$B144&amp;"|"&amp;BI$5)=0,"",SUMIF('Competency Event Log'!$U$4:$U$803,$B144&amp;"|"&amp;BI$5,'Competency Event Log'!$D$4:$D$803)))</f>
        <v/>
      </c>
      <c r="BJ144" s="8" t="str">
        <f>IF($B144="","",IF(COUNTIF('Competency Event Log'!$U$4:$U$803,$B144&amp;"|"&amp;BJ$5)=0,"",SUMIF('Competency Event Log'!$U$4:$U$803,$B144&amp;"|"&amp;BJ$5,'Competency Event Log'!$D$4:$D$803)))</f>
        <v/>
      </c>
      <c r="BK144" s="8" t="str">
        <f>IF($B144="","",IF(COUNTIF('Competency Event Log'!$U$4:$U$803,$B144&amp;"|"&amp;BK$5)=0,"",SUMIF('Competency Event Log'!$U$4:$U$803,$B144&amp;"|"&amp;BK$5,'Competency Event Log'!$D$4:$D$803)))</f>
        <v/>
      </c>
      <c r="BL144" s="8" t="str">
        <f>IF($B144="","",IF(COUNTIF('Competency Event Log'!$U$4:$U$803,$B144&amp;"|"&amp;BL$5)=0,"",SUMIF('Competency Event Log'!$U$4:$U$803,$B144&amp;"|"&amp;BL$5,'Competency Event Log'!$D$4:$D$803)))</f>
        <v/>
      </c>
      <c r="BM144" s="8" t="str">
        <f>IF($B144="","",IF(COUNTIF('Competency Event Log'!$U$4:$U$803,$B144&amp;"|"&amp;BM$5)=0,"",SUMIF('Competency Event Log'!$U$4:$U$803,$B144&amp;"|"&amp;BM$5,'Competency Event Log'!$D$4:$D$803)))</f>
        <v/>
      </c>
      <c r="BN144" s="8" t="str">
        <f>IF($B144="","",IF(COUNTIF('Competency Event Log'!$U$4:$U$803,$B144&amp;"|"&amp;BN$5)=0,"",SUMIF('Competency Event Log'!$U$4:$U$803,$B144&amp;"|"&amp;BN$5,'Competency Event Log'!$D$4:$D$803)))</f>
        <v/>
      </c>
      <c r="BO144" s="8" t="str">
        <f>IF($B144="","",IF(COUNTIF('Competency Event Log'!$U$4:$U$803,$B144&amp;"|"&amp;BO$5)=0,"",SUMIF('Competency Event Log'!$U$4:$U$803,$B144&amp;"|"&amp;BO$5,'Competency Event Log'!$D$4:$D$803)))</f>
        <v/>
      </c>
      <c r="BP144" s="8" t="str">
        <f>IF($B144="","",IF(COUNTIF('Competency Event Log'!$U$4:$U$803,$B144&amp;"|"&amp;BP$5)=0,"",SUMIF('Competency Event Log'!$U$4:$U$803,$B144&amp;"|"&amp;BP$5,'Competency Event Log'!$D$4:$D$803)))</f>
        <v/>
      </c>
      <c r="BQ144" s="8" t="str">
        <f>IF($B144="","",IF(COUNTIF('Competency Event Log'!$U$4:$U$803,$B144&amp;"|"&amp;BQ$5)=0,"",SUMIF('Competency Event Log'!$U$4:$U$803,$B144&amp;"|"&amp;BQ$5,'Competency Event Log'!$D$4:$D$803)))</f>
        <v/>
      </c>
      <c r="BR144" s="8" t="str">
        <f>IF($B144="","",IF(COUNTIF('Competency Event Log'!$U$4:$U$803,$B144&amp;"|"&amp;BR$5)=0,"",SUMIF('Competency Event Log'!$U$4:$U$803,$B144&amp;"|"&amp;BR$5,'Competency Event Log'!$D$4:$D$803)))</f>
        <v/>
      </c>
      <c r="BS144" s="8" t="str">
        <f>IF($B144="","",IF(COUNTIF('Competency Event Log'!$U$4:$U$803,$B144&amp;"|"&amp;BS$5)=0,"",SUMIF('Competency Event Log'!$U$4:$U$803,$B144&amp;"|"&amp;BS$5,'Competency Event Log'!$D$4:$D$803)))</f>
        <v/>
      </c>
      <c r="BT144" s="8" t="str">
        <f>IF($B144="","",IF(COUNTIF('Competency Event Log'!$U$4:$U$803,$B144&amp;"|"&amp;BT$5)=0,"",SUMIF('Competency Event Log'!$U$4:$U$803,$B144&amp;"|"&amp;BT$5,'Competency Event Log'!$D$4:$D$803)))</f>
        <v/>
      </c>
      <c r="BU144" s="8" t="str">
        <f>IF($B144="","",IF(COUNTIF('Competency Event Log'!$U$4:$U$803,$B144&amp;"|"&amp;BU$5)=0,"",SUMIF('Competency Event Log'!$U$4:$U$803,$B144&amp;"|"&amp;BU$5,'Competency Event Log'!$D$4:$D$803)))</f>
        <v/>
      </c>
      <c r="BV144" s="8" t="str">
        <f>IF($B144="","",IF(COUNTIF('Competency Event Log'!$U$4:$U$803,$B144&amp;"|"&amp;BV$5)=0,"",SUMIF('Competency Event Log'!$U$4:$U$803,$B144&amp;"|"&amp;BV$5,'Competency Event Log'!$D$4:$D$803)))</f>
        <v/>
      </c>
      <c r="BW144" s="8" t="str">
        <f>IF($B144="","",IF(COUNTIF('Competency Event Log'!$U$4:$U$803,$B144&amp;"|"&amp;BW$5)=0,"",SUMIF('Competency Event Log'!$U$4:$U$803,$B144&amp;"|"&amp;BW$5,'Competency Event Log'!$D$4:$D$803)))</f>
        <v/>
      </c>
      <c r="BX144" s="8" t="str">
        <f>IF($B144="","",IF(COUNTIF('Competency Event Log'!$U$4:$U$803,$B144&amp;"|"&amp;BX$5)=0,"",SUMIF('Competency Event Log'!$U$4:$U$803,$B144&amp;"|"&amp;BX$5,'Competency Event Log'!$D$4:$D$803)))</f>
        <v/>
      </c>
      <c r="BY144" s="8" t="str">
        <f>IF($B144="","",IF(COUNTIF('Competency Event Log'!$U$4:$U$803,$B144&amp;"|"&amp;BY$5)=0,"",SUMIF('Competency Event Log'!$U$4:$U$803,$B144&amp;"|"&amp;BY$5,'Competency Event Log'!$D$4:$D$803)))</f>
        <v/>
      </c>
      <c r="BZ144" s="8" t="str">
        <f>IF($B144="","",IF(COUNTIF('Competency Event Log'!$U$4:$U$803,$B144&amp;"|"&amp;BZ$5)=0,"",SUMIF('Competency Event Log'!$U$4:$U$803,$B144&amp;"|"&amp;BZ$5,'Competency Event Log'!$D$4:$D$803)))</f>
        <v/>
      </c>
      <c r="CA144" s="8" t="str">
        <f>IF($B144="","",IF(COUNTIF('Competency Event Log'!$U$4:$U$803,$B144&amp;"|"&amp;CA$5)=0,"",SUMIF('Competency Event Log'!$U$4:$U$803,$B144&amp;"|"&amp;CA$5,'Competency Event Log'!$D$4:$D$803)))</f>
        <v/>
      </c>
      <c r="CB144" s="8" t="str">
        <f>IF($B144="","",IF(COUNTIF('Competency Event Log'!$U$4:$U$803,$B144&amp;"|"&amp;CB$5)=0,"",SUMIF('Competency Event Log'!$U$4:$U$803,$B144&amp;"|"&amp;CB$5,'Competency Event Log'!$D$4:$D$803)))</f>
        <v/>
      </c>
      <c r="CC144" s="8" t="str">
        <f>IF($B144="","",IF(COUNTIF('Competency Event Log'!$U$4:$U$803,$B144&amp;"|"&amp;CC$5)=0,"",SUMIF('Competency Event Log'!$U$4:$U$803,$B144&amp;"|"&amp;CC$5,'Competency Event Log'!$D$4:$D$803)))</f>
        <v/>
      </c>
      <c r="CD144" s="8" t="str">
        <f>IF($B144="","",IF(COUNTIF('Competency Event Log'!$U$4:$U$803,$B144&amp;"|"&amp;CD$5)=0,"",SUMIF('Competency Event Log'!$U$4:$U$803,$B144&amp;"|"&amp;CD$5,'Competency Event Log'!$D$4:$D$803)))</f>
        <v/>
      </c>
      <c r="CE144" s="8" t="str">
        <f>IF($B144="","",IF(COUNTIF('Competency Event Log'!$U$4:$U$803,$B144&amp;"|"&amp;CE$5)=0,"",SUMIF('Competency Event Log'!$U$4:$U$803,$B144&amp;"|"&amp;CE$5,'Competency Event Log'!$D$4:$D$803)))</f>
        <v/>
      </c>
      <c r="CF144" s="8" t="str">
        <f>IF($B144="","",IF(COUNTIF('Competency Event Log'!$U$4:$U$803,$B144&amp;"|"&amp;CF$5)=0,"",SUMIF('Competency Event Log'!$U$4:$U$803,$B144&amp;"|"&amp;CF$5,'Competency Event Log'!$D$4:$D$803)))</f>
        <v/>
      </c>
      <c r="CG144" s="8" t="str">
        <f>IF($B144="","",IF(COUNTIF('Competency Event Log'!$U$4:$U$803,$B144&amp;"|"&amp;CG$5)=0,"",SUMIF('Competency Event Log'!$U$4:$U$803,$B144&amp;"|"&amp;CG$5,'Competency Event Log'!$D$4:$D$803)))</f>
        <v/>
      </c>
      <c r="CH144" s="8" t="str">
        <f>IF($B144="","",IF(COUNTIF('Competency Event Log'!$U$4:$U$803,$B144&amp;"|"&amp;CH$5)=0,"",SUMIF('Competency Event Log'!$U$4:$U$803,$B144&amp;"|"&amp;CH$5,'Competency Event Log'!$D$4:$D$803)))</f>
        <v/>
      </c>
      <c r="CI144" s="8" t="str">
        <f>IF($B144="","",IF(COUNTIF('Competency Event Log'!$U$4:$U$803,$B144&amp;"|"&amp;CI$5)=0,"",SUMIF('Competency Event Log'!$U$4:$U$803,$B144&amp;"|"&amp;CI$5,'Competency Event Log'!$D$4:$D$803)))</f>
        <v/>
      </c>
      <c r="CJ144" s="8" t="str">
        <f>IF($B144="","",IF(COUNTIF('Competency Event Log'!$U$4:$U$803,$B144&amp;"|"&amp;CJ$5)=0,"",SUMIF('Competency Event Log'!$U$4:$U$803,$B144&amp;"|"&amp;CJ$5,'Competency Event Log'!$D$4:$D$803)))</f>
        <v/>
      </c>
      <c r="CK144" s="8" t="str">
        <f>IF($B144="","",IF(COUNTIF('Competency Event Log'!$U$4:$U$803,$B144&amp;"|"&amp;CK$5)=0,"",SUMIF('Competency Event Log'!$U$4:$U$803,$B144&amp;"|"&amp;CK$5,'Competency Event Log'!$D$4:$D$803)))</f>
        <v/>
      </c>
      <c r="CL144" s="8" t="str">
        <f>IF($B144="","",IF(COUNTIF('Competency Event Log'!$U$4:$U$803,$B144&amp;"|"&amp;CL$5)=0,"",SUMIF('Competency Event Log'!$U$4:$U$803,$B144&amp;"|"&amp;CL$5,'Competency Event Log'!$D$4:$D$803)))</f>
        <v/>
      </c>
      <c r="CM144" s="8" t="str">
        <f>IF($B144="","",IF(COUNTIF('Competency Event Log'!$U$4:$U$803,$B144&amp;"|"&amp;CM$5)=0,"",SUMIF('Competency Event Log'!$U$4:$U$803,$B144&amp;"|"&amp;CM$5,'Competency Event Log'!$D$4:$D$803)))</f>
        <v/>
      </c>
      <c r="CN144" s="8" t="str">
        <f>IF($B144="","",IF(COUNTIF('Competency Event Log'!$U$4:$U$803,$B144&amp;"|"&amp;CN$5)=0,"",SUMIF('Competency Event Log'!$U$4:$U$803,$B144&amp;"|"&amp;CN$5,'Competency Event Log'!$D$4:$D$803)))</f>
        <v/>
      </c>
      <c r="CO144" s="8" t="str">
        <f>IF($B144="","",IF(COUNTIF('Competency Event Log'!$U$4:$U$803,$B144&amp;"|"&amp;CO$5)=0,"",SUMIF('Competency Event Log'!$U$4:$U$803,$B144&amp;"|"&amp;CO$5,'Competency Event Log'!$D$4:$D$803)))</f>
        <v/>
      </c>
      <c r="CP144" s="8" t="str">
        <f>IF($B144="","",IF(COUNTIF('Competency Event Log'!$U$4:$U$803,$B144&amp;"|"&amp;CP$5)=0,"",SUMIF('Competency Event Log'!$U$4:$U$803,$B144&amp;"|"&amp;CP$5,'Competency Event Log'!$D$4:$D$803)))</f>
        <v/>
      </c>
      <c r="CQ144" s="8" t="str">
        <f>IF($B144="","",IF(COUNTIF('Competency Event Log'!$U$4:$U$803,$B144&amp;"|"&amp;CQ$5)=0,"",SUMIF('Competency Event Log'!$U$4:$U$803,$B144&amp;"|"&amp;CQ$5,'Competency Event Log'!$D$4:$D$803)))</f>
        <v/>
      </c>
      <c r="CR144" s="8" t="str">
        <f>IF($B144="","",IF(COUNTIF('Competency Event Log'!$U$4:$U$803,$B144&amp;"|"&amp;CR$5)=0,"",SUMIF('Competency Event Log'!$U$4:$U$803,$B144&amp;"|"&amp;CR$5,'Competency Event Log'!$D$4:$D$803)))</f>
        <v/>
      </c>
      <c r="CS144" s="8" t="str">
        <f>IF($B144="","",IF(COUNTIF('Competency Event Log'!$U$4:$U$803,$B144&amp;"|"&amp;CS$5)=0,"",SUMIF('Competency Event Log'!$U$4:$U$803,$B144&amp;"|"&amp;CS$5,'Competency Event Log'!$D$4:$D$803)))</f>
        <v/>
      </c>
      <c r="CT144" s="8" t="str">
        <f>IF($B144="","",IF(COUNTIF('Competency Event Log'!$U$4:$U$803,$B144&amp;"|"&amp;CT$5)=0,"",SUMIF('Competency Event Log'!$U$4:$U$803,$B144&amp;"|"&amp;CT$5,'Competency Event Log'!$D$4:$D$803)))</f>
        <v/>
      </c>
      <c r="CU144" s="8" t="str">
        <f>IF($B144="","",IF(COUNTIF('Competency Event Log'!$U$4:$U$803,$B144&amp;"|"&amp;CU$5)=0,"",SUMIF('Competency Event Log'!$U$4:$U$803,$B144&amp;"|"&amp;CU$5,'Competency Event Log'!$D$4:$D$803)))</f>
        <v/>
      </c>
      <c r="CV144" s="8" t="str">
        <f>IF($B144="","",IF(COUNTIF('Competency Event Log'!$U$4:$U$803,$B144&amp;"|"&amp;CV$5)=0,"",SUMIF('Competency Event Log'!$U$4:$U$803,$B144&amp;"|"&amp;CV$5,'Competency Event Log'!$D$4:$D$803)))</f>
        <v/>
      </c>
      <c r="CW144" s="8" t="str">
        <f>IF($B144="","",IF(COUNTIF('Competency Event Log'!$U$4:$U$803,$B144&amp;"|"&amp;CW$5)=0,"",SUMIF('Competency Event Log'!$U$4:$U$803,$B144&amp;"|"&amp;CW$5,'Competency Event Log'!$D$4:$D$803)))</f>
        <v/>
      </c>
      <c r="CX144" s="8" t="str">
        <f>IF($B144="","",IF(COUNTIF('Competency Event Log'!$U$4:$U$803,$B144&amp;"|"&amp;CX$5)=0,"",SUMIF('Competency Event Log'!$U$4:$U$803,$B144&amp;"|"&amp;CX$5,'Competency Event Log'!$D$4:$D$803)))</f>
        <v/>
      </c>
      <c r="CY144" s="8" t="str">
        <f>IF($B144="","",IF(COUNTIF('Competency Event Log'!$U$4:$U$803,$B144&amp;"|"&amp;CY$5)=0,"",SUMIF('Competency Event Log'!$U$4:$U$803,$B144&amp;"|"&amp;CY$5,'Competency Event Log'!$D$4:$D$803)))</f>
        <v/>
      </c>
      <c r="CZ144" s="8" t="str">
        <f>IF($B144="","",IF(COUNTIF('Competency Event Log'!$U$4:$U$803,$B144&amp;"|"&amp;CZ$5)=0,"",SUMIF('Competency Event Log'!$U$4:$U$803,$B144&amp;"|"&amp;CZ$5,'Competency Event Log'!$D$4:$D$803)))</f>
        <v/>
      </c>
      <c r="DA144" s="8" t="str">
        <f>IF($B144="","",IF(COUNTIF('Competency Event Log'!$U$4:$U$803,$B144&amp;"|"&amp;DA$5)=0,"",SUMIF('Competency Event Log'!$U$4:$U$803,$B144&amp;"|"&amp;DA$5,'Competency Event Log'!$D$4:$D$803)))</f>
        <v/>
      </c>
      <c r="DB144" s="8" t="str">
        <f>IF($B144="","",IF(COUNTIF('Competency Event Log'!$U$4:$U$803,$B144&amp;"|"&amp;DB$5)=0,"",SUMIF('Competency Event Log'!$U$4:$U$803,$B144&amp;"|"&amp;DB$5,'Competency Event Log'!$D$4:$D$803)))</f>
        <v/>
      </c>
      <c r="DC144" s="8" t="str">
        <f>IF($B144="","",IF(COUNTIF('Competency Event Log'!$U$4:$U$803,$B144&amp;"|"&amp;DC$5)=0,"",SUMIF('Competency Event Log'!$U$4:$U$803,$B144&amp;"|"&amp;DC$5,'Competency Event Log'!$D$4:$D$803)))</f>
        <v/>
      </c>
      <c r="DD144" s="8" t="str">
        <f>IF($B144="","",IF(COUNTIF('Competency Event Log'!$U$4:$U$803,$B144&amp;"|"&amp;DD$5)=0,"",SUMIF('Competency Event Log'!$U$4:$U$803,$B144&amp;"|"&amp;DD$5,'Competency Event Log'!$D$4:$D$803)))</f>
        <v/>
      </c>
      <c r="DE144" s="8" t="str">
        <f>IF($B144="","",IF(COUNTIF('Competency Event Log'!$U$4:$U$803,$B144&amp;"|"&amp;DE$5)=0,"",SUMIF('Competency Event Log'!$U$4:$U$803,$B144&amp;"|"&amp;DE$5,'Competency Event Log'!$D$4:$D$803)))</f>
        <v/>
      </c>
      <c r="DF144" s="8" t="str">
        <f t="shared" si="16"/>
        <v/>
      </c>
      <c r="DG144" s="8" t="str">
        <f t="shared" si="17"/>
        <v/>
      </c>
      <c r="DH144" s="8" t="str">
        <f t="shared" si="18"/>
        <v/>
      </c>
      <c r="DI144" s="11" t="str">
        <f t="shared" si="19"/>
        <v/>
      </c>
    </row>
    <row r="145" spans="1:113">
      <c r="A145" s="7"/>
      <c r="B145" s="7"/>
      <c r="C145" s="8"/>
      <c r="D145" s="9"/>
      <c r="E145" s="10"/>
      <c r="F145" s="8"/>
      <c r="G145" s="8" t="str">
        <f>IF($B145="","",IF(COUNTIF('Competency Event Log'!$U$4:$U$803,$B145&amp;"|"&amp;G$5)=0,"",SUMIF('Competency Event Log'!$U$4:$U$803,$B145&amp;"|"&amp;G$5,'Competency Event Log'!$D$4:$D$803)))</f>
        <v/>
      </c>
      <c r="H145" s="8" t="str">
        <f>IF($B145="","",IF(COUNTIF('Competency Event Log'!$U$4:$U$803,$B145&amp;"|"&amp;H$5)=0,"",SUMIF('Competency Event Log'!$U$4:$U$803,$B145&amp;"|"&amp;H$5,'Competency Event Log'!$D$4:$D$803)))</f>
        <v/>
      </c>
      <c r="I145" s="8" t="str">
        <f>IF($B145="","",IF(COUNTIF('Competency Event Log'!$U$4:$U$803,$B145&amp;"|"&amp;I$5)=0,"",SUMIF('Competency Event Log'!$U$4:$U$803,$B145&amp;"|"&amp;I$5,'Competency Event Log'!$D$4:$D$803)))</f>
        <v/>
      </c>
      <c r="J145" s="8" t="str">
        <f>IF($B145="","",IF(COUNTIF('Competency Event Log'!$U$4:$U$803,$B145&amp;"|"&amp;J$5)=0,"",SUMIF('Competency Event Log'!$U$4:$U$803,$B145&amp;"|"&amp;J$5,'Competency Event Log'!$D$4:$D$803)))</f>
        <v/>
      </c>
      <c r="K145" s="8" t="str">
        <f>IF($B145="","",IF(COUNTIF('Competency Event Log'!$U$4:$U$803,$B145&amp;"|"&amp;K$5)=0,"",SUMIF('Competency Event Log'!$U$4:$U$803,$B145&amp;"|"&amp;K$5,'Competency Event Log'!$D$4:$D$803)))</f>
        <v/>
      </c>
      <c r="L145" s="8" t="str">
        <f>IF($B145="","",IF(COUNTIF('Competency Event Log'!$U$4:$U$803,$B145&amp;"|"&amp;L$5)=0,"",SUMIF('Competency Event Log'!$U$4:$U$803,$B145&amp;"|"&amp;L$5,'Competency Event Log'!$D$4:$D$803)))</f>
        <v/>
      </c>
      <c r="M145" s="8" t="str">
        <f>IF($B145="","",IF(COUNTIF('Competency Event Log'!$U$4:$U$803,$B145&amp;"|"&amp;M$5)=0,"",SUMIF('Competency Event Log'!$U$4:$U$803,$B145&amp;"|"&amp;M$5,'Competency Event Log'!$D$4:$D$803)))</f>
        <v/>
      </c>
      <c r="N145" s="8" t="str">
        <f>IF($B145="","",IF(COUNTIF('Competency Event Log'!$U$4:$U$803,$B145&amp;"|"&amp;N$5)=0,"",SUMIF('Competency Event Log'!$U$4:$U$803,$B145&amp;"|"&amp;N$5,'Competency Event Log'!$D$4:$D$803)))</f>
        <v/>
      </c>
      <c r="O145" s="8" t="str">
        <f>IF($B145="","",IF(COUNTIF('Competency Event Log'!$U$4:$U$803,$B145&amp;"|"&amp;O$5)=0,"",SUMIF('Competency Event Log'!$U$4:$U$803,$B145&amp;"|"&amp;O$5,'Competency Event Log'!$D$4:$D$803)))</f>
        <v/>
      </c>
      <c r="P145" s="8" t="str">
        <f>IF($B145="","",IF(COUNTIF('Competency Event Log'!$U$4:$U$803,$B145&amp;"|"&amp;P$5)=0,"",SUMIF('Competency Event Log'!$U$4:$U$803,$B145&amp;"|"&amp;P$5,'Competency Event Log'!$D$4:$D$803)))</f>
        <v/>
      </c>
      <c r="Q145" s="8" t="str">
        <f>IF($B145="","",IF(COUNTIF('Competency Event Log'!$U$4:$U$803,$B145&amp;"|"&amp;Q$5)=0,"",SUMIF('Competency Event Log'!$U$4:$U$803,$B145&amp;"|"&amp;Q$5,'Competency Event Log'!$D$4:$D$803)))</f>
        <v/>
      </c>
      <c r="R145" s="8" t="str">
        <f>IF($B145="","",IF(COUNTIF('Competency Event Log'!$U$4:$U$803,$B145&amp;"|"&amp;R$5)=0,"",SUMIF('Competency Event Log'!$U$4:$U$803,$B145&amp;"|"&amp;R$5,'Competency Event Log'!$D$4:$D$803)))</f>
        <v/>
      </c>
      <c r="S145" s="8" t="str">
        <f>IF($B145="","",IF(COUNTIF('Competency Event Log'!$U$4:$U$803,$B145&amp;"|"&amp;S$5)=0,"",SUMIF('Competency Event Log'!$U$4:$U$803,$B145&amp;"|"&amp;S$5,'Competency Event Log'!$D$4:$D$803)))</f>
        <v/>
      </c>
      <c r="T145" s="8" t="str">
        <f>IF($B145="","",IF(COUNTIF('Competency Event Log'!$U$4:$U$803,$B145&amp;"|"&amp;T$5)=0,"",SUMIF('Competency Event Log'!$U$4:$U$803,$B145&amp;"|"&amp;T$5,'Competency Event Log'!$D$4:$D$803)))</f>
        <v/>
      </c>
      <c r="U145" s="8" t="str">
        <f>IF($B145="","",IF(COUNTIF('Competency Event Log'!$U$4:$U$803,$B145&amp;"|"&amp;U$5)=0,"",SUMIF('Competency Event Log'!$U$4:$U$803,$B145&amp;"|"&amp;U$5,'Competency Event Log'!$D$4:$D$803)))</f>
        <v/>
      </c>
      <c r="V145" s="8" t="str">
        <f>IF($B145="","",IF(COUNTIF('Competency Event Log'!$U$4:$U$803,$B145&amp;"|"&amp;V$5)=0,"",SUMIF('Competency Event Log'!$U$4:$U$803,$B145&amp;"|"&amp;V$5,'Competency Event Log'!$D$4:$D$803)))</f>
        <v/>
      </c>
      <c r="W145" s="8" t="str">
        <f>IF($B145="","",IF(COUNTIF('Competency Event Log'!$U$4:$U$803,$B145&amp;"|"&amp;W$5)=0,"",SUMIF('Competency Event Log'!$U$4:$U$803,$B145&amp;"|"&amp;W$5,'Competency Event Log'!$D$4:$D$803)))</f>
        <v/>
      </c>
      <c r="X145" s="8" t="str">
        <f>IF($B145="","",IF(COUNTIF('Competency Event Log'!$U$4:$U$803,$B145&amp;"|"&amp;X$5)=0,"",SUMIF('Competency Event Log'!$U$4:$U$803,$B145&amp;"|"&amp;X$5,'Competency Event Log'!$D$4:$D$803)))</f>
        <v/>
      </c>
      <c r="Y145" s="8" t="str">
        <f>IF($B145="","",IF(COUNTIF('Competency Event Log'!$U$4:$U$803,$B145&amp;"|"&amp;Y$5)=0,"",SUMIF('Competency Event Log'!$U$4:$U$803,$B145&amp;"|"&amp;Y$5,'Competency Event Log'!$D$4:$D$803)))</f>
        <v/>
      </c>
      <c r="Z145" s="8" t="str">
        <f>IF($B145="","",IF(COUNTIF('Competency Event Log'!$U$4:$U$803,$B145&amp;"|"&amp;Z$5)=0,"",SUMIF('Competency Event Log'!$U$4:$U$803,$B145&amp;"|"&amp;Z$5,'Competency Event Log'!$D$4:$D$803)))</f>
        <v/>
      </c>
      <c r="AA145" s="8" t="str">
        <f>IF($B145="","",IF(COUNTIF('Competency Event Log'!$U$4:$U$803,$B145&amp;"|"&amp;AA$5)=0,"",SUMIF('Competency Event Log'!$U$4:$U$803,$B145&amp;"|"&amp;AA$5,'Competency Event Log'!$D$4:$D$803)))</f>
        <v/>
      </c>
      <c r="AB145" s="8" t="str">
        <f>IF($B145="","",IF(COUNTIF('Competency Event Log'!$U$4:$U$803,$B145&amp;"|"&amp;AB$5)=0,"",SUMIF('Competency Event Log'!$U$4:$U$803,$B145&amp;"|"&amp;AB$5,'Competency Event Log'!$D$4:$D$803)))</f>
        <v/>
      </c>
      <c r="AC145" s="8" t="str">
        <f>IF($B145="","",IF(COUNTIF('Competency Event Log'!$U$4:$U$803,$B145&amp;"|"&amp;AC$5)=0,"",SUMIF('Competency Event Log'!$U$4:$U$803,$B145&amp;"|"&amp;AC$5,'Competency Event Log'!$D$4:$D$803)))</f>
        <v/>
      </c>
      <c r="AD145" s="8" t="str">
        <f>IF($B145="","",IF(COUNTIF('Competency Event Log'!$U$4:$U$803,$B145&amp;"|"&amp;AD$5)=0,"",SUMIF('Competency Event Log'!$U$4:$U$803,$B145&amp;"|"&amp;AD$5,'Competency Event Log'!$D$4:$D$803)))</f>
        <v/>
      </c>
      <c r="AE145" s="8" t="str">
        <f>IF($B145="","",IF(COUNTIF('Competency Event Log'!$U$4:$U$803,$B145&amp;"|"&amp;AE$5)=0,"",SUMIF('Competency Event Log'!$U$4:$U$803,$B145&amp;"|"&amp;AE$5,'Competency Event Log'!$D$4:$D$803)))</f>
        <v/>
      </c>
      <c r="AF145" s="8" t="str">
        <f>IF($B145="","",IF(COUNTIF('Competency Event Log'!$U$4:$U$803,$B145&amp;"|"&amp;AF$5)=0,"",SUMIF('Competency Event Log'!$U$4:$U$803,$B145&amp;"|"&amp;AF$5,'Competency Event Log'!$D$4:$D$803)))</f>
        <v/>
      </c>
      <c r="AG145" s="8" t="str">
        <f>IF($B145="","",IF(COUNTIF('Competency Event Log'!$U$4:$U$803,$B145&amp;"|"&amp;AG$5)=0,"",SUMIF('Competency Event Log'!$U$4:$U$803,$B145&amp;"|"&amp;AG$5,'Competency Event Log'!$D$4:$D$803)))</f>
        <v/>
      </c>
      <c r="AH145" s="8" t="str">
        <f>IF($B145="","",IF(COUNTIF('Competency Event Log'!$U$4:$U$803,$B145&amp;"|"&amp;AH$5)=0,"",SUMIF('Competency Event Log'!$U$4:$U$803,$B145&amp;"|"&amp;AH$5,'Competency Event Log'!$D$4:$D$803)))</f>
        <v/>
      </c>
      <c r="AI145" s="8" t="str">
        <f>IF($B145="","",IF(COUNTIF('Competency Event Log'!$U$4:$U$803,$B145&amp;"|"&amp;AI$5)=0,"",SUMIF('Competency Event Log'!$U$4:$U$803,$B145&amp;"|"&amp;AI$5,'Competency Event Log'!$D$4:$D$803)))</f>
        <v/>
      </c>
      <c r="AJ145" s="8" t="str">
        <f>IF($B145="","",IF(COUNTIF('Competency Event Log'!$U$4:$U$803,$B145&amp;"|"&amp;AJ$5)=0,"",SUMIF('Competency Event Log'!$U$4:$U$803,$B145&amp;"|"&amp;AJ$5,'Competency Event Log'!$D$4:$D$803)))</f>
        <v/>
      </c>
      <c r="AK145" s="8" t="str">
        <f>IF($B145="","",IF(COUNTIF('Competency Event Log'!$U$4:$U$803,$B145&amp;"|"&amp;AK$5)=0,"",SUMIF('Competency Event Log'!$U$4:$U$803,$B145&amp;"|"&amp;AK$5,'Competency Event Log'!$D$4:$D$803)))</f>
        <v/>
      </c>
      <c r="AL145" s="8" t="str">
        <f>IF($B145="","",IF(COUNTIF('Competency Event Log'!$U$4:$U$803,$B145&amp;"|"&amp;AL$5)=0,"",SUMIF('Competency Event Log'!$U$4:$U$803,$B145&amp;"|"&amp;AL$5,'Competency Event Log'!$D$4:$D$803)))</f>
        <v/>
      </c>
      <c r="AM145" s="8" t="str">
        <f>IF($B145="","",IF(COUNTIF('Competency Event Log'!$U$4:$U$803,$B145&amp;"|"&amp;AM$5)=0,"",SUMIF('Competency Event Log'!$U$4:$U$803,$B145&amp;"|"&amp;AM$5,'Competency Event Log'!$D$4:$D$803)))</f>
        <v/>
      </c>
      <c r="AN145" s="8" t="str">
        <f>IF($B145="","",IF(COUNTIF('Competency Event Log'!$U$4:$U$803,$B145&amp;"|"&amp;AN$5)=0,"",SUMIF('Competency Event Log'!$U$4:$U$803,$B145&amp;"|"&amp;AN$5,'Competency Event Log'!$D$4:$D$803)))</f>
        <v/>
      </c>
      <c r="AO145" s="8" t="str">
        <f>IF($B145="","",IF(COUNTIF('Competency Event Log'!$U$4:$U$803,$B145&amp;"|"&amp;AO$5)=0,"",SUMIF('Competency Event Log'!$U$4:$U$803,$B145&amp;"|"&amp;AO$5,'Competency Event Log'!$D$4:$D$803)))</f>
        <v/>
      </c>
      <c r="AP145" s="8" t="str">
        <f>IF($B145="","",IF(COUNTIF('Competency Event Log'!$U$4:$U$803,$B145&amp;"|"&amp;AP$5)=0,"",SUMIF('Competency Event Log'!$U$4:$U$803,$B145&amp;"|"&amp;AP$5,'Competency Event Log'!$D$4:$D$803)))</f>
        <v/>
      </c>
      <c r="AQ145" s="8" t="str">
        <f>IF($B145="","",IF(COUNTIF('Competency Event Log'!$U$4:$U$803,$B145&amp;"|"&amp;AQ$5)=0,"",SUMIF('Competency Event Log'!$U$4:$U$803,$B145&amp;"|"&amp;AQ$5,'Competency Event Log'!$D$4:$D$803)))</f>
        <v/>
      </c>
      <c r="AR145" s="8" t="str">
        <f>IF($B145="","",IF(COUNTIF('Competency Event Log'!$U$4:$U$803,$B145&amp;"|"&amp;AR$5)=0,"",SUMIF('Competency Event Log'!$U$4:$U$803,$B145&amp;"|"&amp;AR$5,'Competency Event Log'!$D$4:$D$803)))</f>
        <v/>
      </c>
      <c r="AS145" s="8" t="str">
        <f>IF($B145="","",IF(COUNTIF('Competency Event Log'!$U$4:$U$803,$B145&amp;"|"&amp;AS$5)=0,"",SUMIF('Competency Event Log'!$U$4:$U$803,$B145&amp;"|"&amp;AS$5,'Competency Event Log'!$D$4:$D$803)))</f>
        <v/>
      </c>
      <c r="AT145" s="8" t="str">
        <f>IF($B145="","",IF(COUNTIF('Competency Event Log'!$U$4:$U$803,$B145&amp;"|"&amp;AT$5)=0,"",SUMIF('Competency Event Log'!$U$4:$U$803,$B145&amp;"|"&amp;AT$5,'Competency Event Log'!$D$4:$D$803)))</f>
        <v/>
      </c>
      <c r="AU145" s="8" t="str">
        <f>IF($B145="","",IF(COUNTIF('Competency Event Log'!$U$4:$U$803,$B145&amp;"|"&amp;AU$5)=0,"",SUMIF('Competency Event Log'!$U$4:$U$803,$B145&amp;"|"&amp;AU$5,'Competency Event Log'!$D$4:$D$803)))</f>
        <v/>
      </c>
      <c r="AV145" s="8" t="str">
        <f>IF($B145="","",IF(COUNTIF('Competency Event Log'!$U$4:$U$803,$B145&amp;"|"&amp;AV$5)=0,"",SUMIF('Competency Event Log'!$U$4:$U$803,$B145&amp;"|"&amp;AV$5,'Competency Event Log'!$D$4:$D$803)))</f>
        <v/>
      </c>
      <c r="AW145" s="8" t="str">
        <f>IF($B145="","",IF(COUNTIF('Competency Event Log'!$U$4:$U$803,$B145&amp;"|"&amp;AW$5)=0,"",SUMIF('Competency Event Log'!$U$4:$U$803,$B145&amp;"|"&amp;AW$5,'Competency Event Log'!$D$4:$D$803)))</f>
        <v/>
      </c>
      <c r="AX145" s="8" t="str">
        <f>IF($B145="","",IF(COUNTIF('Competency Event Log'!$U$4:$U$803,$B145&amp;"|"&amp;AX$5)=0,"",SUMIF('Competency Event Log'!$U$4:$U$803,$B145&amp;"|"&amp;AX$5,'Competency Event Log'!$D$4:$D$803)))</f>
        <v/>
      </c>
      <c r="AY145" s="8" t="str">
        <f>IF($B145="","",IF(COUNTIF('Competency Event Log'!$U$4:$U$803,$B145&amp;"|"&amp;AY$5)=0,"",SUMIF('Competency Event Log'!$U$4:$U$803,$B145&amp;"|"&amp;AY$5,'Competency Event Log'!$D$4:$D$803)))</f>
        <v/>
      </c>
      <c r="AZ145" s="8" t="str">
        <f>IF($B145="","",IF(COUNTIF('Competency Event Log'!$U$4:$U$803,$B145&amp;"|"&amp;AZ$5)=0,"",SUMIF('Competency Event Log'!$U$4:$U$803,$B145&amp;"|"&amp;AZ$5,'Competency Event Log'!$D$4:$D$803)))</f>
        <v/>
      </c>
      <c r="BA145" s="8" t="str">
        <f>IF($B145="","",IF(COUNTIF('Competency Event Log'!$U$4:$U$803,$B145&amp;"|"&amp;BA$5)=0,"",SUMIF('Competency Event Log'!$U$4:$U$803,$B145&amp;"|"&amp;BA$5,'Competency Event Log'!$D$4:$D$803)))</f>
        <v/>
      </c>
      <c r="BB145" s="8" t="str">
        <f>IF($B145="","",IF(COUNTIF('Competency Event Log'!$U$4:$U$803,$B145&amp;"|"&amp;BB$5)=0,"",SUMIF('Competency Event Log'!$U$4:$U$803,$B145&amp;"|"&amp;BB$5,'Competency Event Log'!$D$4:$D$803)))</f>
        <v/>
      </c>
      <c r="BC145" s="8" t="str">
        <f>IF($B145="","",IF(COUNTIF('Competency Event Log'!$U$4:$U$803,$B145&amp;"|"&amp;BC$5)=0,"",SUMIF('Competency Event Log'!$U$4:$U$803,$B145&amp;"|"&amp;BC$5,'Competency Event Log'!$D$4:$D$803)))</f>
        <v/>
      </c>
      <c r="BD145" s="8" t="str">
        <f>IF($B145="","",IF(COUNTIF('Competency Event Log'!$U$4:$U$803,$B145&amp;"|"&amp;BD$5)=0,"",SUMIF('Competency Event Log'!$U$4:$U$803,$B145&amp;"|"&amp;BD$5,'Competency Event Log'!$D$4:$D$803)))</f>
        <v/>
      </c>
      <c r="BE145" s="8" t="str">
        <f>IF($B145="","",IF(COUNTIF('Competency Event Log'!$U$4:$U$803,$B145&amp;"|"&amp;BE$5)=0,"",SUMIF('Competency Event Log'!$U$4:$U$803,$B145&amp;"|"&amp;BE$5,'Competency Event Log'!$D$4:$D$803)))</f>
        <v/>
      </c>
      <c r="BF145" s="8" t="str">
        <f>IF($B145="","",IF(COUNTIF('Competency Event Log'!$U$4:$U$803,$B145&amp;"|"&amp;BF$5)=0,"",SUMIF('Competency Event Log'!$U$4:$U$803,$B145&amp;"|"&amp;BF$5,'Competency Event Log'!$D$4:$D$803)))</f>
        <v/>
      </c>
      <c r="BG145" s="8" t="str">
        <f>IF($B145="","",IF(COUNTIF('Competency Event Log'!$U$4:$U$803,$B145&amp;"|"&amp;BG$5)=0,"",SUMIF('Competency Event Log'!$U$4:$U$803,$B145&amp;"|"&amp;BG$5,'Competency Event Log'!$D$4:$D$803)))</f>
        <v/>
      </c>
      <c r="BH145" s="8" t="str">
        <f>IF($B145="","",IF(COUNTIF('Competency Event Log'!$U$4:$U$803,$B145&amp;"|"&amp;BH$5)=0,"",SUMIF('Competency Event Log'!$U$4:$U$803,$B145&amp;"|"&amp;BH$5,'Competency Event Log'!$D$4:$D$803)))</f>
        <v/>
      </c>
      <c r="BI145" s="8" t="str">
        <f>IF($B145="","",IF(COUNTIF('Competency Event Log'!$U$4:$U$803,$B145&amp;"|"&amp;BI$5)=0,"",SUMIF('Competency Event Log'!$U$4:$U$803,$B145&amp;"|"&amp;BI$5,'Competency Event Log'!$D$4:$D$803)))</f>
        <v/>
      </c>
      <c r="BJ145" s="8" t="str">
        <f>IF($B145="","",IF(COUNTIF('Competency Event Log'!$U$4:$U$803,$B145&amp;"|"&amp;BJ$5)=0,"",SUMIF('Competency Event Log'!$U$4:$U$803,$B145&amp;"|"&amp;BJ$5,'Competency Event Log'!$D$4:$D$803)))</f>
        <v/>
      </c>
      <c r="BK145" s="8" t="str">
        <f>IF($B145="","",IF(COUNTIF('Competency Event Log'!$U$4:$U$803,$B145&amp;"|"&amp;BK$5)=0,"",SUMIF('Competency Event Log'!$U$4:$U$803,$B145&amp;"|"&amp;BK$5,'Competency Event Log'!$D$4:$D$803)))</f>
        <v/>
      </c>
      <c r="BL145" s="8" t="str">
        <f>IF($B145="","",IF(COUNTIF('Competency Event Log'!$U$4:$U$803,$B145&amp;"|"&amp;BL$5)=0,"",SUMIF('Competency Event Log'!$U$4:$U$803,$B145&amp;"|"&amp;BL$5,'Competency Event Log'!$D$4:$D$803)))</f>
        <v/>
      </c>
      <c r="BM145" s="8" t="str">
        <f>IF($B145="","",IF(COUNTIF('Competency Event Log'!$U$4:$U$803,$B145&amp;"|"&amp;BM$5)=0,"",SUMIF('Competency Event Log'!$U$4:$U$803,$B145&amp;"|"&amp;BM$5,'Competency Event Log'!$D$4:$D$803)))</f>
        <v/>
      </c>
      <c r="BN145" s="8" t="str">
        <f>IF($B145="","",IF(COUNTIF('Competency Event Log'!$U$4:$U$803,$B145&amp;"|"&amp;BN$5)=0,"",SUMIF('Competency Event Log'!$U$4:$U$803,$B145&amp;"|"&amp;BN$5,'Competency Event Log'!$D$4:$D$803)))</f>
        <v/>
      </c>
      <c r="BO145" s="8" t="str">
        <f>IF($B145="","",IF(COUNTIF('Competency Event Log'!$U$4:$U$803,$B145&amp;"|"&amp;BO$5)=0,"",SUMIF('Competency Event Log'!$U$4:$U$803,$B145&amp;"|"&amp;BO$5,'Competency Event Log'!$D$4:$D$803)))</f>
        <v/>
      </c>
      <c r="BP145" s="8" t="str">
        <f>IF($B145="","",IF(COUNTIF('Competency Event Log'!$U$4:$U$803,$B145&amp;"|"&amp;BP$5)=0,"",SUMIF('Competency Event Log'!$U$4:$U$803,$B145&amp;"|"&amp;BP$5,'Competency Event Log'!$D$4:$D$803)))</f>
        <v/>
      </c>
      <c r="BQ145" s="8" t="str">
        <f>IF($B145="","",IF(COUNTIF('Competency Event Log'!$U$4:$U$803,$B145&amp;"|"&amp;BQ$5)=0,"",SUMIF('Competency Event Log'!$U$4:$U$803,$B145&amp;"|"&amp;BQ$5,'Competency Event Log'!$D$4:$D$803)))</f>
        <v/>
      </c>
      <c r="BR145" s="8" t="str">
        <f>IF($B145="","",IF(COUNTIF('Competency Event Log'!$U$4:$U$803,$B145&amp;"|"&amp;BR$5)=0,"",SUMIF('Competency Event Log'!$U$4:$U$803,$B145&amp;"|"&amp;BR$5,'Competency Event Log'!$D$4:$D$803)))</f>
        <v/>
      </c>
      <c r="BS145" s="8" t="str">
        <f>IF($B145="","",IF(COUNTIF('Competency Event Log'!$U$4:$U$803,$B145&amp;"|"&amp;BS$5)=0,"",SUMIF('Competency Event Log'!$U$4:$U$803,$B145&amp;"|"&amp;BS$5,'Competency Event Log'!$D$4:$D$803)))</f>
        <v/>
      </c>
      <c r="BT145" s="8" t="str">
        <f>IF($B145="","",IF(COUNTIF('Competency Event Log'!$U$4:$U$803,$B145&amp;"|"&amp;BT$5)=0,"",SUMIF('Competency Event Log'!$U$4:$U$803,$B145&amp;"|"&amp;BT$5,'Competency Event Log'!$D$4:$D$803)))</f>
        <v/>
      </c>
      <c r="BU145" s="8" t="str">
        <f>IF($B145="","",IF(COUNTIF('Competency Event Log'!$U$4:$U$803,$B145&amp;"|"&amp;BU$5)=0,"",SUMIF('Competency Event Log'!$U$4:$U$803,$B145&amp;"|"&amp;BU$5,'Competency Event Log'!$D$4:$D$803)))</f>
        <v/>
      </c>
      <c r="BV145" s="8" t="str">
        <f>IF($B145="","",IF(COUNTIF('Competency Event Log'!$U$4:$U$803,$B145&amp;"|"&amp;BV$5)=0,"",SUMIF('Competency Event Log'!$U$4:$U$803,$B145&amp;"|"&amp;BV$5,'Competency Event Log'!$D$4:$D$803)))</f>
        <v/>
      </c>
      <c r="BW145" s="8" t="str">
        <f>IF($B145="","",IF(COUNTIF('Competency Event Log'!$U$4:$U$803,$B145&amp;"|"&amp;BW$5)=0,"",SUMIF('Competency Event Log'!$U$4:$U$803,$B145&amp;"|"&amp;BW$5,'Competency Event Log'!$D$4:$D$803)))</f>
        <v/>
      </c>
      <c r="BX145" s="8" t="str">
        <f>IF($B145="","",IF(COUNTIF('Competency Event Log'!$U$4:$U$803,$B145&amp;"|"&amp;BX$5)=0,"",SUMIF('Competency Event Log'!$U$4:$U$803,$B145&amp;"|"&amp;BX$5,'Competency Event Log'!$D$4:$D$803)))</f>
        <v/>
      </c>
      <c r="BY145" s="8" t="str">
        <f>IF($B145="","",IF(COUNTIF('Competency Event Log'!$U$4:$U$803,$B145&amp;"|"&amp;BY$5)=0,"",SUMIF('Competency Event Log'!$U$4:$U$803,$B145&amp;"|"&amp;BY$5,'Competency Event Log'!$D$4:$D$803)))</f>
        <v/>
      </c>
      <c r="BZ145" s="8" t="str">
        <f>IF($B145="","",IF(COUNTIF('Competency Event Log'!$U$4:$U$803,$B145&amp;"|"&amp;BZ$5)=0,"",SUMIF('Competency Event Log'!$U$4:$U$803,$B145&amp;"|"&amp;BZ$5,'Competency Event Log'!$D$4:$D$803)))</f>
        <v/>
      </c>
      <c r="CA145" s="8" t="str">
        <f>IF($B145="","",IF(COUNTIF('Competency Event Log'!$U$4:$U$803,$B145&amp;"|"&amp;CA$5)=0,"",SUMIF('Competency Event Log'!$U$4:$U$803,$B145&amp;"|"&amp;CA$5,'Competency Event Log'!$D$4:$D$803)))</f>
        <v/>
      </c>
      <c r="CB145" s="8" t="str">
        <f>IF($B145="","",IF(COUNTIF('Competency Event Log'!$U$4:$U$803,$B145&amp;"|"&amp;CB$5)=0,"",SUMIF('Competency Event Log'!$U$4:$U$803,$B145&amp;"|"&amp;CB$5,'Competency Event Log'!$D$4:$D$803)))</f>
        <v/>
      </c>
      <c r="CC145" s="8" t="str">
        <f>IF($B145="","",IF(COUNTIF('Competency Event Log'!$U$4:$U$803,$B145&amp;"|"&amp;CC$5)=0,"",SUMIF('Competency Event Log'!$U$4:$U$803,$B145&amp;"|"&amp;CC$5,'Competency Event Log'!$D$4:$D$803)))</f>
        <v/>
      </c>
      <c r="CD145" s="8" t="str">
        <f>IF($B145="","",IF(COUNTIF('Competency Event Log'!$U$4:$U$803,$B145&amp;"|"&amp;CD$5)=0,"",SUMIF('Competency Event Log'!$U$4:$U$803,$B145&amp;"|"&amp;CD$5,'Competency Event Log'!$D$4:$D$803)))</f>
        <v/>
      </c>
      <c r="CE145" s="8" t="str">
        <f>IF($B145="","",IF(COUNTIF('Competency Event Log'!$U$4:$U$803,$B145&amp;"|"&amp;CE$5)=0,"",SUMIF('Competency Event Log'!$U$4:$U$803,$B145&amp;"|"&amp;CE$5,'Competency Event Log'!$D$4:$D$803)))</f>
        <v/>
      </c>
      <c r="CF145" s="8" t="str">
        <f>IF($B145="","",IF(COUNTIF('Competency Event Log'!$U$4:$U$803,$B145&amp;"|"&amp;CF$5)=0,"",SUMIF('Competency Event Log'!$U$4:$U$803,$B145&amp;"|"&amp;CF$5,'Competency Event Log'!$D$4:$D$803)))</f>
        <v/>
      </c>
      <c r="CG145" s="8" t="str">
        <f>IF($B145="","",IF(COUNTIF('Competency Event Log'!$U$4:$U$803,$B145&amp;"|"&amp;CG$5)=0,"",SUMIF('Competency Event Log'!$U$4:$U$803,$B145&amp;"|"&amp;CG$5,'Competency Event Log'!$D$4:$D$803)))</f>
        <v/>
      </c>
      <c r="CH145" s="8" t="str">
        <f>IF($B145="","",IF(COUNTIF('Competency Event Log'!$U$4:$U$803,$B145&amp;"|"&amp;CH$5)=0,"",SUMIF('Competency Event Log'!$U$4:$U$803,$B145&amp;"|"&amp;CH$5,'Competency Event Log'!$D$4:$D$803)))</f>
        <v/>
      </c>
      <c r="CI145" s="8" t="str">
        <f>IF($B145="","",IF(COUNTIF('Competency Event Log'!$U$4:$U$803,$B145&amp;"|"&amp;CI$5)=0,"",SUMIF('Competency Event Log'!$U$4:$U$803,$B145&amp;"|"&amp;CI$5,'Competency Event Log'!$D$4:$D$803)))</f>
        <v/>
      </c>
      <c r="CJ145" s="8" t="str">
        <f>IF($B145="","",IF(COUNTIF('Competency Event Log'!$U$4:$U$803,$B145&amp;"|"&amp;CJ$5)=0,"",SUMIF('Competency Event Log'!$U$4:$U$803,$B145&amp;"|"&amp;CJ$5,'Competency Event Log'!$D$4:$D$803)))</f>
        <v/>
      </c>
      <c r="CK145" s="8" t="str">
        <f>IF($B145="","",IF(COUNTIF('Competency Event Log'!$U$4:$U$803,$B145&amp;"|"&amp;CK$5)=0,"",SUMIF('Competency Event Log'!$U$4:$U$803,$B145&amp;"|"&amp;CK$5,'Competency Event Log'!$D$4:$D$803)))</f>
        <v/>
      </c>
      <c r="CL145" s="8" t="str">
        <f>IF($B145="","",IF(COUNTIF('Competency Event Log'!$U$4:$U$803,$B145&amp;"|"&amp;CL$5)=0,"",SUMIF('Competency Event Log'!$U$4:$U$803,$B145&amp;"|"&amp;CL$5,'Competency Event Log'!$D$4:$D$803)))</f>
        <v/>
      </c>
      <c r="CM145" s="8" t="str">
        <f>IF($B145="","",IF(COUNTIF('Competency Event Log'!$U$4:$U$803,$B145&amp;"|"&amp;CM$5)=0,"",SUMIF('Competency Event Log'!$U$4:$U$803,$B145&amp;"|"&amp;CM$5,'Competency Event Log'!$D$4:$D$803)))</f>
        <v/>
      </c>
      <c r="CN145" s="8" t="str">
        <f>IF($B145="","",IF(COUNTIF('Competency Event Log'!$U$4:$U$803,$B145&amp;"|"&amp;CN$5)=0,"",SUMIF('Competency Event Log'!$U$4:$U$803,$B145&amp;"|"&amp;CN$5,'Competency Event Log'!$D$4:$D$803)))</f>
        <v/>
      </c>
      <c r="CO145" s="8" t="str">
        <f>IF($B145="","",IF(COUNTIF('Competency Event Log'!$U$4:$U$803,$B145&amp;"|"&amp;CO$5)=0,"",SUMIF('Competency Event Log'!$U$4:$U$803,$B145&amp;"|"&amp;CO$5,'Competency Event Log'!$D$4:$D$803)))</f>
        <v/>
      </c>
      <c r="CP145" s="8" t="str">
        <f>IF($B145="","",IF(COUNTIF('Competency Event Log'!$U$4:$U$803,$B145&amp;"|"&amp;CP$5)=0,"",SUMIF('Competency Event Log'!$U$4:$U$803,$B145&amp;"|"&amp;CP$5,'Competency Event Log'!$D$4:$D$803)))</f>
        <v/>
      </c>
      <c r="CQ145" s="8" t="str">
        <f>IF($B145="","",IF(COUNTIF('Competency Event Log'!$U$4:$U$803,$B145&amp;"|"&amp;CQ$5)=0,"",SUMIF('Competency Event Log'!$U$4:$U$803,$B145&amp;"|"&amp;CQ$5,'Competency Event Log'!$D$4:$D$803)))</f>
        <v/>
      </c>
      <c r="CR145" s="8" t="str">
        <f>IF($B145="","",IF(COUNTIF('Competency Event Log'!$U$4:$U$803,$B145&amp;"|"&amp;CR$5)=0,"",SUMIF('Competency Event Log'!$U$4:$U$803,$B145&amp;"|"&amp;CR$5,'Competency Event Log'!$D$4:$D$803)))</f>
        <v/>
      </c>
      <c r="CS145" s="8" t="str">
        <f>IF($B145="","",IF(COUNTIF('Competency Event Log'!$U$4:$U$803,$B145&amp;"|"&amp;CS$5)=0,"",SUMIF('Competency Event Log'!$U$4:$U$803,$B145&amp;"|"&amp;CS$5,'Competency Event Log'!$D$4:$D$803)))</f>
        <v/>
      </c>
      <c r="CT145" s="8" t="str">
        <f>IF($B145="","",IF(COUNTIF('Competency Event Log'!$U$4:$U$803,$B145&amp;"|"&amp;CT$5)=0,"",SUMIF('Competency Event Log'!$U$4:$U$803,$B145&amp;"|"&amp;CT$5,'Competency Event Log'!$D$4:$D$803)))</f>
        <v/>
      </c>
      <c r="CU145" s="8" t="str">
        <f>IF($B145="","",IF(COUNTIF('Competency Event Log'!$U$4:$U$803,$B145&amp;"|"&amp;CU$5)=0,"",SUMIF('Competency Event Log'!$U$4:$U$803,$B145&amp;"|"&amp;CU$5,'Competency Event Log'!$D$4:$D$803)))</f>
        <v/>
      </c>
      <c r="CV145" s="8" t="str">
        <f>IF($B145="","",IF(COUNTIF('Competency Event Log'!$U$4:$U$803,$B145&amp;"|"&amp;CV$5)=0,"",SUMIF('Competency Event Log'!$U$4:$U$803,$B145&amp;"|"&amp;CV$5,'Competency Event Log'!$D$4:$D$803)))</f>
        <v/>
      </c>
      <c r="CW145" s="8" t="str">
        <f>IF($B145="","",IF(COUNTIF('Competency Event Log'!$U$4:$U$803,$B145&amp;"|"&amp;CW$5)=0,"",SUMIF('Competency Event Log'!$U$4:$U$803,$B145&amp;"|"&amp;CW$5,'Competency Event Log'!$D$4:$D$803)))</f>
        <v/>
      </c>
      <c r="CX145" s="8" t="str">
        <f>IF($B145="","",IF(COUNTIF('Competency Event Log'!$U$4:$U$803,$B145&amp;"|"&amp;CX$5)=0,"",SUMIF('Competency Event Log'!$U$4:$U$803,$B145&amp;"|"&amp;CX$5,'Competency Event Log'!$D$4:$D$803)))</f>
        <v/>
      </c>
      <c r="CY145" s="8" t="str">
        <f>IF($B145="","",IF(COUNTIF('Competency Event Log'!$U$4:$U$803,$B145&amp;"|"&amp;CY$5)=0,"",SUMIF('Competency Event Log'!$U$4:$U$803,$B145&amp;"|"&amp;CY$5,'Competency Event Log'!$D$4:$D$803)))</f>
        <v/>
      </c>
      <c r="CZ145" s="8" t="str">
        <f>IF($B145="","",IF(COUNTIF('Competency Event Log'!$U$4:$U$803,$B145&amp;"|"&amp;CZ$5)=0,"",SUMIF('Competency Event Log'!$U$4:$U$803,$B145&amp;"|"&amp;CZ$5,'Competency Event Log'!$D$4:$D$803)))</f>
        <v/>
      </c>
      <c r="DA145" s="8" t="str">
        <f>IF($B145="","",IF(COUNTIF('Competency Event Log'!$U$4:$U$803,$B145&amp;"|"&amp;DA$5)=0,"",SUMIF('Competency Event Log'!$U$4:$U$803,$B145&amp;"|"&amp;DA$5,'Competency Event Log'!$D$4:$D$803)))</f>
        <v/>
      </c>
      <c r="DB145" s="8" t="str">
        <f>IF($B145="","",IF(COUNTIF('Competency Event Log'!$U$4:$U$803,$B145&amp;"|"&amp;DB$5)=0,"",SUMIF('Competency Event Log'!$U$4:$U$803,$B145&amp;"|"&amp;DB$5,'Competency Event Log'!$D$4:$D$803)))</f>
        <v/>
      </c>
      <c r="DC145" s="8" t="str">
        <f>IF($B145="","",IF(COUNTIF('Competency Event Log'!$U$4:$U$803,$B145&amp;"|"&amp;DC$5)=0,"",SUMIF('Competency Event Log'!$U$4:$U$803,$B145&amp;"|"&amp;DC$5,'Competency Event Log'!$D$4:$D$803)))</f>
        <v/>
      </c>
      <c r="DD145" s="8" t="str">
        <f>IF($B145="","",IF(COUNTIF('Competency Event Log'!$U$4:$U$803,$B145&amp;"|"&amp;DD$5)=0,"",SUMIF('Competency Event Log'!$U$4:$U$803,$B145&amp;"|"&amp;DD$5,'Competency Event Log'!$D$4:$D$803)))</f>
        <v/>
      </c>
      <c r="DE145" s="8" t="str">
        <f>IF($B145="","",IF(COUNTIF('Competency Event Log'!$U$4:$U$803,$B145&amp;"|"&amp;DE$5)=0,"",SUMIF('Competency Event Log'!$U$4:$U$803,$B145&amp;"|"&amp;DE$5,'Competency Event Log'!$D$4:$D$803)))</f>
        <v/>
      </c>
      <c r="DF145" s="8" t="str">
        <f t="shared" si="16"/>
        <v/>
      </c>
      <c r="DG145" s="8" t="str">
        <f t="shared" si="17"/>
        <v/>
      </c>
      <c r="DH145" s="8" t="str">
        <f t="shared" si="18"/>
        <v/>
      </c>
      <c r="DI145" s="11" t="str">
        <f t="shared" si="19"/>
        <v/>
      </c>
    </row>
    <row r="146" spans="1:113">
      <c r="A146" s="7"/>
      <c r="B146" s="7"/>
      <c r="C146" s="8"/>
      <c r="D146" s="9"/>
      <c r="E146" s="10"/>
      <c r="F146" s="8"/>
      <c r="G146" s="8" t="str">
        <f>IF($B146="","",IF(COUNTIF('Competency Event Log'!$U$4:$U$803,$B146&amp;"|"&amp;G$5)=0,"",SUMIF('Competency Event Log'!$U$4:$U$803,$B146&amp;"|"&amp;G$5,'Competency Event Log'!$D$4:$D$803)))</f>
        <v/>
      </c>
      <c r="H146" s="8" t="str">
        <f>IF($B146="","",IF(COUNTIF('Competency Event Log'!$U$4:$U$803,$B146&amp;"|"&amp;H$5)=0,"",SUMIF('Competency Event Log'!$U$4:$U$803,$B146&amp;"|"&amp;H$5,'Competency Event Log'!$D$4:$D$803)))</f>
        <v/>
      </c>
      <c r="I146" s="8" t="str">
        <f>IF($B146="","",IF(COUNTIF('Competency Event Log'!$U$4:$U$803,$B146&amp;"|"&amp;I$5)=0,"",SUMIF('Competency Event Log'!$U$4:$U$803,$B146&amp;"|"&amp;I$5,'Competency Event Log'!$D$4:$D$803)))</f>
        <v/>
      </c>
      <c r="J146" s="8" t="str">
        <f>IF($B146="","",IF(COUNTIF('Competency Event Log'!$U$4:$U$803,$B146&amp;"|"&amp;J$5)=0,"",SUMIF('Competency Event Log'!$U$4:$U$803,$B146&amp;"|"&amp;J$5,'Competency Event Log'!$D$4:$D$803)))</f>
        <v/>
      </c>
      <c r="K146" s="8" t="str">
        <f>IF($B146="","",IF(COUNTIF('Competency Event Log'!$U$4:$U$803,$B146&amp;"|"&amp;K$5)=0,"",SUMIF('Competency Event Log'!$U$4:$U$803,$B146&amp;"|"&amp;K$5,'Competency Event Log'!$D$4:$D$803)))</f>
        <v/>
      </c>
      <c r="L146" s="8" t="str">
        <f>IF($B146="","",IF(COUNTIF('Competency Event Log'!$U$4:$U$803,$B146&amp;"|"&amp;L$5)=0,"",SUMIF('Competency Event Log'!$U$4:$U$803,$B146&amp;"|"&amp;L$5,'Competency Event Log'!$D$4:$D$803)))</f>
        <v/>
      </c>
      <c r="M146" s="8" t="str">
        <f>IF($B146="","",IF(COUNTIF('Competency Event Log'!$U$4:$U$803,$B146&amp;"|"&amp;M$5)=0,"",SUMIF('Competency Event Log'!$U$4:$U$803,$B146&amp;"|"&amp;M$5,'Competency Event Log'!$D$4:$D$803)))</f>
        <v/>
      </c>
      <c r="N146" s="8" t="str">
        <f>IF($B146="","",IF(COUNTIF('Competency Event Log'!$U$4:$U$803,$B146&amp;"|"&amp;N$5)=0,"",SUMIF('Competency Event Log'!$U$4:$U$803,$B146&amp;"|"&amp;N$5,'Competency Event Log'!$D$4:$D$803)))</f>
        <v/>
      </c>
      <c r="O146" s="8" t="str">
        <f>IF($B146="","",IF(COUNTIF('Competency Event Log'!$U$4:$U$803,$B146&amp;"|"&amp;O$5)=0,"",SUMIF('Competency Event Log'!$U$4:$U$803,$B146&amp;"|"&amp;O$5,'Competency Event Log'!$D$4:$D$803)))</f>
        <v/>
      </c>
      <c r="P146" s="8" t="str">
        <f>IF($B146="","",IF(COUNTIF('Competency Event Log'!$U$4:$U$803,$B146&amp;"|"&amp;P$5)=0,"",SUMIF('Competency Event Log'!$U$4:$U$803,$B146&amp;"|"&amp;P$5,'Competency Event Log'!$D$4:$D$803)))</f>
        <v/>
      </c>
      <c r="Q146" s="8" t="str">
        <f>IF($B146="","",IF(COUNTIF('Competency Event Log'!$U$4:$U$803,$B146&amp;"|"&amp;Q$5)=0,"",SUMIF('Competency Event Log'!$U$4:$U$803,$B146&amp;"|"&amp;Q$5,'Competency Event Log'!$D$4:$D$803)))</f>
        <v/>
      </c>
      <c r="R146" s="8" t="str">
        <f>IF($B146="","",IF(COUNTIF('Competency Event Log'!$U$4:$U$803,$B146&amp;"|"&amp;R$5)=0,"",SUMIF('Competency Event Log'!$U$4:$U$803,$B146&amp;"|"&amp;R$5,'Competency Event Log'!$D$4:$D$803)))</f>
        <v/>
      </c>
      <c r="S146" s="8" t="str">
        <f>IF($B146="","",IF(COUNTIF('Competency Event Log'!$U$4:$U$803,$B146&amp;"|"&amp;S$5)=0,"",SUMIF('Competency Event Log'!$U$4:$U$803,$B146&amp;"|"&amp;S$5,'Competency Event Log'!$D$4:$D$803)))</f>
        <v/>
      </c>
      <c r="T146" s="8" t="str">
        <f>IF($B146="","",IF(COUNTIF('Competency Event Log'!$U$4:$U$803,$B146&amp;"|"&amp;T$5)=0,"",SUMIF('Competency Event Log'!$U$4:$U$803,$B146&amp;"|"&amp;T$5,'Competency Event Log'!$D$4:$D$803)))</f>
        <v/>
      </c>
      <c r="U146" s="8" t="str">
        <f>IF($B146="","",IF(COUNTIF('Competency Event Log'!$U$4:$U$803,$B146&amp;"|"&amp;U$5)=0,"",SUMIF('Competency Event Log'!$U$4:$U$803,$B146&amp;"|"&amp;U$5,'Competency Event Log'!$D$4:$D$803)))</f>
        <v/>
      </c>
      <c r="V146" s="8" t="str">
        <f>IF($B146="","",IF(COUNTIF('Competency Event Log'!$U$4:$U$803,$B146&amp;"|"&amp;V$5)=0,"",SUMIF('Competency Event Log'!$U$4:$U$803,$B146&amp;"|"&amp;V$5,'Competency Event Log'!$D$4:$D$803)))</f>
        <v/>
      </c>
      <c r="W146" s="8" t="str">
        <f>IF($B146="","",IF(COUNTIF('Competency Event Log'!$U$4:$U$803,$B146&amp;"|"&amp;W$5)=0,"",SUMIF('Competency Event Log'!$U$4:$U$803,$B146&amp;"|"&amp;W$5,'Competency Event Log'!$D$4:$D$803)))</f>
        <v/>
      </c>
      <c r="X146" s="8" t="str">
        <f>IF($B146="","",IF(COUNTIF('Competency Event Log'!$U$4:$U$803,$B146&amp;"|"&amp;X$5)=0,"",SUMIF('Competency Event Log'!$U$4:$U$803,$B146&amp;"|"&amp;X$5,'Competency Event Log'!$D$4:$D$803)))</f>
        <v/>
      </c>
      <c r="Y146" s="8" t="str">
        <f>IF($B146="","",IF(COUNTIF('Competency Event Log'!$U$4:$U$803,$B146&amp;"|"&amp;Y$5)=0,"",SUMIF('Competency Event Log'!$U$4:$U$803,$B146&amp;"|"&amp;Y$5,'Competency Event Log'!$D$4:$D$803)))</f>
        <v/>
      </c>
      <c r="Z146" s="8" t="str">
        <f>IF($B146="","",IF(COUNTIF('Competency Event Log'!$U$4:$U$803,$B146&amp;"|"&amp;Z$5)=0,"",SUMIF('Competency Event Log'!$U$4:$U$803,$B146&amp;"|"&amp;Z$5,'Competency Event Log'!$D$4:$D$803)))</f>
        <v/>
      </c>
      <c r="AA146" s="8" t="str">
        <f>IF($B146="","",IF(COUNTIF('Competency Event Log'!$U$4:$U$803,$B146&amp;"|"&amp;AA$5)=0,"",SUMIF('Competency Event Log'!$U$4:$U$803,$B146&amp;"|"&amp;AA$5,'Competency Event Log'!$D$4:$D$803)))</f>
        <v/>
      </c>
      <c r="AB146" s="8" t="str">
        <f>IF($B146="","",IF(COUNTIF('Competency Event Log'!$U$4:$U$803,$B146&amp;"|"&amp;AB$5)=0,"",SUMIF('Competency Event Log'!$U$4:$U$803,$B146&amp;"|"&amp;AB$5,'Competency Event Log'!$D$4:$D$803)))</f>
        <v/>
      </c>
      <c r="AC146" s="8" t="str">
        <f>IF($B146="","",IF(COUNTIF('Competency Event Log'!$U$4:$U$803,$B146&amp;"|"&amp;AC$5)=0,"",SUMIF('Competency Event Log'!$U$4:$U$803,$B146&amp;"|"&amp;AC$5,'Competency Event Log'!$D$4:$D$803)))</f>
        <v/>
      </c>
      <c r="AD146" s="8" t="str">
        <f>IF($B146="","",IF(COUNTIF('Competency Event Log'!$U$4:$U$803,$B146&amp;"|"&amp;AD$5)=0,"",SUMIF('Competency Event Log'!$U$4:$U$803,$B146&amp;"|"&amp;AD$5,'Competency Event Log'!$D$4:$D$803)))</f>
        <v/>
      </c>
      <c r="AE146" s="8" t="str">
        <f>IF($B146="","",IF(COUNTIF('Competency Event Log'!$U$4:$U$803,$B146&amp;"|"&amp;AE$5)=0,"",SUMIF('Competency Event Log'!$U$4:$U$803,$B146&amp;"|"&amp;AE$5,'Competency Event Log'!$D$4:$D$803)))</f>
        <v/>
      </c>
      <c r="AF146" s="8" t="str">
        <f>IF($B146="","",IF(COUNTIF('Competency Event Log'!$U$4:$U$803,$B146&amp;"|"&amp;AF$5)=0,"",SUMIF('Competency Event Log'!$U$4:$U$803,$B146&amp;"|"&amp;AF$5,'Competency Event Log'!$D$4:$D$803)))</f>
        <v/>
      </c>
      <c r="AG146" s="8" t="str">
        <f>IF($B146="","",IF(COUNTIF('Competency Event Log'!$U$4:$U$803,$B146&amp;"|"&amp;AG$5)=0,"",SUMIF('Competency Event Log'!$U$4:$U$803,$B146&amp;"|"&amp;AG$5,'Competency Event Log'!$D$4:$D$803)))</f>
        <v/>
      </c>
      <c r="AH146" s="8" t="str">
        <f>IF($B146="","",IF(COUNTIF('Competency Event Log'!$U$4:$U$803,$B146&amp;"|"&amp;AH$5)=0,"",SUMIF('Competency Event Log'!$U$4:$U$803,$B146&amp;"|"&amp;AH$5,'Competency Event Log'!$D$4:$D$803)))</f>
        <v/>
      </c>
      <c r="AI146" s="8" t="str">
        <f>IF($B146="","",IF(COUNTIF('Competency Event Log'!$U$4:$U$803,$B146&amp;"|"&amp;AI$5)=0,"",SUMIF('Competency Event Log'!$U$4:$U$803,$B146&amp;"|"&amp;AI$5,'Competency Event Log'!$D$4:$D$803)))</f>
        <v/>
      </c>
      <c r="AJ146" s="8" t="str">
        <f>IF($B146="","",IF(COUNTIF('Competency Event Log'!$U$4:$U$803,$B146&amp;"|"&amp;AJ$5)=0,"",SUMIF('Competency Event Log'!$U$4:$U$803,$B146&amp;"|"&amp;AJ$5,'Competency Event Log'!$D$4:$D$803)))</f>
        <v/>
      </c>
      <c r="AK146" s="8" t="str">
        <f>IF($B146="","",IF(COUNTIF('Competency Event Log'!$U$4:$U$803,$B146&amp;"|"&amp;AK$5)=0,"",SUMIF('Competency Event Log'!$U$4:$U$803,$B146&amp;"|"&amp;AK$5,'Competency Event Log'!$D$4:$D$803)))</f>
        <v/>
      </c>
      <c r="AL146" s="8" t="str">
        <f>IF($B146="","",IF(COUNTIF('Competency Event Log'!$U$4:$U$803,$B146&amp;"|"&amp;AL$5)=0,"",SUMIF('Competency Event Log'!$U$4:$U$803,$B146&amp;"|"&amp;AL$5,'Competency Event Log'!$D$4:$D$803)))</f>
        <v/>
      </c>
      <c r="AM146" s="8" t="str">
        <f>IF($B146="","",IF(COUNTIF('Competency Event Log'!$U$4:$U$803,$B146&amp;"|"&amp;AM$5)=0,"",SUMIF('Competency Event Log'!$U$4:$U$803,$B146&amp;"|"&amp;AM$5,'Competency Event Log'!$D$4:$D$803)))</f>
        <v/>
      </c>
      <c r="AN146" s="8" t="str">
        <f>IF($B146="","",IF(COUNTIF('Competency Event Log'!$U$4:$U$803,$B146&amp;"|"&amp;AN$5)=0,"",SUMIF('Competency Event Log'!$U$4:$U$803,$B146&amp;"|"&amp;AN$5,'Competency Event Log'!$D$4:$D$803)))</f>
        <v/>
      </c>
      <c r="AO146" s="8" t="str">
        <f>IF($B146="","",IF(COUNTIF('Competency Event Log'!$U$4:$U$803,$B146&amp;"|"&amp;AO$5)=0,"",SUMIF('Competency Event Log'!$U$4:$U$803,$B146&amp;"|"&amp;AO$5,'Competency Event Log'!$D$4:$D$803)))</f>
        <v/>
      </c>
      <c r="AP146" s="8" t="str">
        <f>IF($B146="","",IF(COUNTIF('Competency Event Log'!$U$4:$U$803,$B146&amp;"|"&amp;AP$5)=0,"",SUMIF('Competency Event Log'!$U$4:$U$803,$B146&amp;"|"&amp;AP$5,'Competency Event Log'!$D$4:$D$803)))</f>
        <v/>
      </c>
      <c r="AQ146" s="8" t="str">
        <f>IF($B146="","",IF(COUNTIF('Competency Event Log'!$U$4:$U$803,$B146&amp;"|"&amp;AQ$5)=0,"",SUMIF('Competency Event Log'!$U$4:$U$803,$B146&amp;"|"&amp;AQ$5,'Competency Event Log'!$D$4:$D$803)))</f>
        <v/>
      </c>
      <c r="AR146" s="8" t="str">
        <f>IF($B146="","",IF(COUNTIF('Competency Event Log'!$U$4:$U$803,$B146&amp;"|"&amp;AR$5)=0,"",SUMIF('Competency Event Log'!$U$4:$U$803,$B146&amp;"|"&amp;AR$5,'Competency Event Log'!$D$4:$D$803)))</f>
        <v/>
      </c>
      <c r="AS146" s="8" t="str">
        <f>IF($B146="","",IF(COUNTIF('Competency Event Log'!$U$4:$U$803,$B146&amp;"|"&amp;AS$5)=0,"",SUMIF('Competency Event Log'!$U$4:$U$803,$B146&amp;"|"&amp;AS$5,'Competency Event Log'!$D$4:$D$803)))</f>
        <v/>
      </c>
      <c r="AT146" s="8" t="str">
        <f>IF($B146="","",IF(COUNTIF('Competency Event Log'!$U$4:$U$803,$B146&amp;"|"&amp;AT$5)=0,"",SUMIF('Competency Event Log'!$U$4:$U$803,$B146&amp;"|"&amp;AT$5,'Competency Event Log'!$D$4:$D$803)))</f>
        <v/>
      </c>
      <c r="AU146" s="8" t="str">
        <f>IF($B146="","",IF(COUNTIF('Competency Event Log'!$U$4:$U$803,$B146&amp;"|"&amp;AU$5)=0,"",SUMIF('Competency Event Log'!$U$4:$U$803,$B146&amp;"|"&amp;AU$5,'Competency Event Log'!$D$4:$D$803)))</f>
        <v/>
      </c>
      <c r="AV146" s="8" t="str">
        <f>IF($B146="","",IF(COUNTIF('Competency Event Log'!$U$4:$U$803,$B146&amp;"|"&amp;AV$5)=0,"",SUMIF('Competency Event Log'!$U$4:$U$803,$B146&amp;"|"&amp;AV$5,'Competency Event Log'!$D$4:$D$803)))</f>
        <v/>
      </c>
      <c r="AW146" s="8" t="str">
        <f>IF($B146="","",IF(COUNTIF('Competency Event Log'!$U$4:$U$803,$B146&amp;"|"&amp;AW$5)=0,"",SUMIF('Competency Event Log'!$U$4:$U$803,$B146&amp;"|"&amp;AW$5,'Competency Event Log'!$D$4:$D$803)))</f>
        <v/>
      </c>
      <c r="AX146" s="8" t="str">
        <f>IF($B146="","",IF(COUNTIF('Competency Event Log'!$U$4:$U$803,$B146&amp;"|"&amp;AX$5)=0,"",SUMIF('Competency Event Log'!$U$4:$U$803,$B146&amp;"|"&amp;AX$5,'Competency Event Log'!$D$4:$D$803)))</f>
        <v/>
      </c>
      <c r="AY146" s="8" t="str">
        <f>IF($B146="","",IF(COUNTIF('Competency Event Log'!$U$4:$U$803,$B146&amp;"|"&amp;AY$5)=0,"",SUMIF('Competency Event Log'!$U$4:$U$803,$B146&amp;"|"&amp;AY$5,'Competency Event Log'!$D$4:$D$803)))</f>
        <v/>
      </c>
      <c r="AZ146" s="8" t="str">
        <f>IF($B146="","",IF(COUNTIF('Competency Event Log'!$U$4:$U$803,$B146&amp;"|"&amp;AZ$5)=0,"",SUMIF('Competency Event Log'!$U$4:$U$803,$B146&amp;"|"&amp;AZ$5,'Competency Event Log'!$D$4:$D$803)))</f>
        <v/>
      </c>
      <c r="BA146" s="8" t="str">
        <f>IF($B146="","",IF(COUNTIF('Competency Event Log'!$U$4:$U$803,$B146&amp;"|"&amp;BA$5)=0,"",SUMIF('Competency Event Log'!$U$4:$U$803,$B146&amp;"|"&amp;BA$5,'Competency Event Log'!$D$4:$D$803)))</f>
        <v/>
      </c>
      <c r="BB146" s="8" t="str">
        <f>IF($B146="","",IF(COUNTIF('Competency Event Log'!$U$4:$U$803,$B146&amp;"|"&amp;BB$5)=0,"",SUMIF('Competency Event Log'!$U$4:$U$803,$B146&amp;"|"&amp;BB$5,'Competency Event Log'!$D$4:$D$803)))</f>
        <v/>
      </c>
      <c r="BC146" s="8" t="str">
        <f>IF($B146="","",IF(COUNTIF('Competency Event Log'!$U$4:$U$803,$B146&amp;"|"&amp;BC$5)=0,"",SUMIF('Competency Event Log'!$U$4:$U$803,$B146&amp;"|"&amp;BC$5,'Competency Event Log'!$D$4:$D$803)))</f>
        <v/>
      </c>
      <c r="BD146" s="8" t="str">
        <f>IF($B146="","",IF(COUNTIF('Competency Event Log'!$U$4:$U$803,$B146&amp;"|"&amp;BD$5)=0,"",SUMIF('Competency Event Log'!$U$4:$U$803,$B146&amp;"|"&amp;BD$5,'Competency Event Log'!$D$4:$D$803)))</f>
        <v/>
      </c>
      <c r="BE146" s="8" t="str">
        <f>IF($B146="","",IF(COUNTIF('Competency Event Log'!$U$4:$U$803,$B146&amp;"|"&amp;BE$5)=0,"",SUMIF('Competency Event Log'!$U$4:$U$803,$B146&amp;"|"&amp;BE$5,'Competency Event Log'!$D$4:$D$803)))</f>
        <v/>
      </c>
      <c r="BF146" s="8" t="str">
        <f>IF($B146="","",IF(COUNTIF('Competency Event Log'!$U$4:$U$803,$B146&amp;"|"&amp;BF$5)=0,"",SUMIF('Competency Event Log'!$U$4:$U$803,$B146&amp;"|"&amp;BF$5,'Competency Event Log'!$D$4:$D$803)))</f>
        <v/>
      </c>
      <c r="BG146" s="8" t="str">
        <f>IF($B146="","",IF(COUNTIF('Competency Event Log'!$U$4:$U$803,$B146&amp;"|"&amp;BG$5)=0,"",SUMIF('Competency Event Log'!$U$4:$U$803,$B146&amp;"|"&amp;BG$5,'Competency Event Log'!$D$4:$D$803)))</f>
        <v/>
      </c>
      <c r="BH146" s="8" t="str">
        <f>IF($B146="","",IF(COUNTIF('Competency Event Log'!$U$4:$U$803,$B146&amp;"|"&amp;BH$5)=0,"",SUMIF('Competency Event Log'!$U$4:$U$803,$B146&amp;"|"&amp;BH$5,'Competency Event Log'!$D$4:$D$803)))</f>
        <v/>
      </c>
      <c r="BI146" s="8" t="str">
        <f>IF($B146="","",IF(COUNTIF('Competency Event Log'!$U$4:$U$803,$B146&amp;"|"&amp;BI$5)=0,"",SUMIF('Competency Event Log'!$U$4:$U$803,$B146&amp;"|"&amp;BI$5,'Competency Event Log'!$D$4:$D$803)))</f>
        <v/>
      </c>
      <c r="BJ146" s="8" t="str">
        <f>IF($B146="","",IF(COUNTIF('Competency Event Log'!$U$4:$U$803,$B146&amp;"|"&amp;BJ$5)=0,"",SUMIF('Competency Event Log'!$U$4:$U$803,$B146&amp;"|"&amp;BJ$5,'Competency Event Log'!$D$4:$D$803)))</f>
        <v/>
      </c>
      <c r="BK146" s="8" t="str">
        <f>IF($B146="","",IF(COUNTIF('Competency Event Log'!$U$4:$U$803,$B146&amp;"|"&amp;BK$5)=0,"",SUMIF('Competency Event Log'!$U$4:$U$803,$B146&amp;"|"&amp;BK$5,'Competency Event Log'!$D$4:$D$803)))</f>
        <v/>
      </c>
      <c r="BL146" s="8" t="str">
        <f>IF($B146="","",IF(COUNTIF('Competency Event Log'!$U$4:$U$803,$B146&amp;"|"&amp;BL$5)=0,"",SUMIF('Competency Event Log'!$U$4:$U$803,$B146&amp;"|"&amp;BL$5,'Competency Event Log'!$D$4:$D$803)))</f>
        <v/>
      </c>
      <c r="BM146" s="8" t="str">
        <f>IF($B146="","",IF(COUNTIF('Competency Event Log'!$U$4:$U$803,$B146&amp;"|"&amp;BM$5)=0,"",SUMIF('Competency Event Log'!$U$4:$U$803,$B146&amp;"|"&amp;BM$5,'Competency Event Log'!$D$4:$D$803)))</f>
        <v/>
      </c>
      <c r="BN146" s="8" t="str">
        <f>IF($B146="","",IF(COUNTIF('Competency Event Log'!$U$4:$U$803,$B146&amp;"|"&amp;BN$5)=0,"",SUMIF('Competency Event Log'!$U$4:$U$803,$B146&amp;"|"&amp;BN$5,'Competency Event Log'!$D$4:$D$803)))</f>
        <v/>
      </c>
      <c r="BO146" s="8" t="str">
        <f>IF($B146="","",IF(COUNTIF('Competency Event Log'!$U$4:$U$803,$B146&amp;"|"&amp;BO$5)=0,"",SUMIF('Competency Event Log'!$U$4:$U$803,$B146&amp;"|"&amp;BO$5,'Competency Event Log'!$D$4:$D$803)))</f>
        <v/>
      </c>
      <c r="BP146" s="8" t="str">
        <f>IF($B146="","",IF(COUNTIF('Competency Event Log'!$U$4:$U$803,$B146&amp;"|"&amp;BP$5)=0,"",SUMIF('Competency Event Log'!$U$4:$U$803,$B146&amp;"|"&amp;BP$5,'Competency Event Log'!$D$4:$D$803)))</f>
        <v/>
      </c>
      <c r="BQ146" s="8" t="str">
        <f>IF($B146="","",IF(COUNTIF('Competency Event Log'!$U$4:$U$803,$B146&amp;"|"&amp;BQ$5)=0,"",SUMIF('Competency Event Log'!$U$4:$U$803,$B146&amp;"|"&amp;BQ$5,'Competency Event Log'!$D$4:$D$803)))</f>
        <v/>
      </c>
      <c r="BR146" s="8" t="str">
        <f>IF($B146="","",IF(COUNTIF('Competency Event Log'!$U$4:$U$803,$B146&amp;"|"&amp;BR$5)=0,"",SUMIF('Competency Event Log'!$U$4:$U$803,$B146&amp;"|"&amp;BR$5,'Competency Event Log'!$D$4:$D$803)))</f>
        <v/>
      </c>
      <c r="BS146" s="8" t="str">
        <f>IF($B146="","",IF(COUNTIF('Competency Event Log'!$U$4:$U$803,$B146&amp;"|"&amp;BS$5)=0,"",SUMIF('Competency Event Log'!$U$4:$U$803,$B146&amp;"|"&amp;BS$5,'Competency Event Log'!$D$4:$D$803)))</f>
        <v/>
      </c>
      <c r="BT146" s="8" t="str">
        <f>IF($B146="","",IF(COUNTIF('Competency Event Log'!$U$4:$U$803,$B146&amp;"|"&amp;BT$5)=0,"",SUMIF('Competency Event Log'!$U$4:$U$803,$B146&amp;"|"&amp;BT$5,'Competency Event Log'!$D$4:$D$803)))</f>
        <v/>
      </c>
      <c r="BU146" s="8" t="str">
        <f>IF($B146="","",IF(COUNTIF('Competency Event Log'!$U$4:$U$803,$B146&amp;"|"&amp;BU$5)=0,"",SUMIF('Competency Event Log'!$U$4:$U$803,$B146&amp;"|"&amp;BU$5,'Competency Event Log'!$D$4:$D$803)))</f>
        <v/>
      </c>
      <c r="BV146" s="8" t="str">
        <f>IF($B146="","",IF(COUNTIF('Competency Event Log'!$U$4:$U$803,$B146&amp;"|"&amp;BV$5)=0,"",SUMIF('Competency Event Log'!$U$4:$U$803,$B146&amp;"|"&amp;BV$5,'Competency Event Log'!$D$4:$D$803)))</f>
        <v/>
      </c>
      <c r="BW146" s="8" t="str">
        <f>IF($B146="","",IF(COUNTIF('Competency Event Log'!$U$4:$U$803,$B146&amp;"|"&amp;BW$5)=0,"",SUMIF('Competency Event Log'!$U$4:$U$803,$B146&amp;"|"&amp;BW$5,'Competency Event Log'!$D$4:$D$803)))</f>
        <v/>
      </c>
      <c r="BX146" s="8" t="str">
        <f>IF($B146="","",IF(COUNTIF('Competency Event Log'!$U$4:$U$803,$B146&amp;"|"&amp;BX$5)=0,"",SUMIF('Competency Event Log'!$U$4:$U$803,$B146&amp;"|"&amp;BX$5,'Competency Event Log'!$D$4:$D$803)))</f>
        <v/>
      </c>
      <c r="BY146" s="8" t="str">
        <f>IF($B146="","",IF(COUNTIF('Competency Event Log'!$U$4:$U$803,$B146&amp;"|"&amp;BY$5)=0,"",SUMIF('Competency Event Log'!$U$4:$U$803,$B146&amp;"|"&amp;BY$5,'Competency Event Log'!$D$4:$D$803)))</f>
        <v/>
      </c>
      <c r="BZ146" s="8" t="str">
        <f>IF($B146="","",IF(COUNTIF('Competency Event Log'!$U$4:$U$803,$B146&amp;"|"&amp;BZ$5)=0,"",SUMIF('Competency Event Log'!$U$4:$U$803,$B146&amp;"|"&amp;BZ$5,'Competency Event Log'!$D$4:$D$803)))</f>
        <v/>
      </c>
      <c r="CA146" s="8" t="str">
        <f>IF($B146="","",IF(COUNTIF('Competency Event Log'!$U$4:$U$803,$B146&amp;"|"&amp;CA$5)=0,"",SUMIF('Competency Event Log'!$U$4:$U$803,$B146&amp;"|"&amp;CA$5,'Competency Event Log'!$D$4:$D$803)))</f>
        <v/>
      </c>
      <c r="CB146" s="8" t="str">
        <f>IF($B146="","",IF(COUNTIF('Competency Event Log'!$U$4:$U$803,$B146&amp;"|"&amp;CB$5)=0,"",SUMIF('Competency Event Log'!$U$4:$U$803,$B146&amp;"|"&amp;CB$5,'Competency Event Log'!$D$4:$D$803)))</f>
        <v/>
      </c>
      <c r="CC146" s="8" t="str">
        <f>IF($B146="","",IF(COUNTIF('Competency Event Log'!$U$4:$U$803,$B146&amp;"|"&amp;CC$5)=0,"",SUMIF('Competency Event Log'!$U$4:$U$803,$B146&amp;"|"&amp;CC$5,'Competency Event Log'!$D$4:$D$803)))</f>
        <v/>
      </c>
      <c r="CD146" s="8" t="str">
        <f>IF($B146="","",IF(COUNTIF('Competency Event Log'!$U$4:$U$803,$B146&amp;"|"&amp;CD$5)=0,"",SUMIF('Competency Event Log'!$U$4:$U$803,$B146&amp;"|"&amp;CD$5,'Competency Event Log'!$D$4:$D$803)))</f>
        <v/>
      </c>
      <c r="CE146" s="8" t="str">
        <f>IF($B146="","",IF(COUNTIF('Competency Event Log'!$U$4:$U$803,$B146&amp;"|"&amp;CE$5)=0,"",SUMIF('Competency Event Log'!$U$4:$U$803,$B146&amp;"|"&amp;CE$5,'Competency Event Log'!$D$4:$D$803)))</f>
        <v/>
      </c>
      <c r="CF146" s="8" t="str">
        <f>IF($B146="","",IF(COUNTIF('Competency Event Log'!$U$4:$U$803,$B146&amp;"|"&amp;CF$5)=0,"",SUMIF('Competency Event Log'!$U$4:$U$803,$B146&amp;"|"&amp;CF$5,'Competency Event Log'!$D$4:$D$803)))</f>
        <v/>
      </c>
      <c r="CG146" s="8" t="str">
        <f>IF($B146="","",IF(COUNTIF('Competency Event Log'!$U$4:$U$803,$B146&amp;"|"&amp;CG$5)=0,"",SUMIF('Competency Event Log'!$U$4:$U$803,$B146&amp;"|"&amp;CG$5,'Competency Event Log'!$D$4:$D$803)))</f>
        <v/>
      </c>
      <c r="CH146" s="8" t="str">
        <f>IF($B146="","",IF(COUNTIF('Competency Event Log'!$U$4:$U$803,$B146&amp;"|"&amp;CH$5)=0,"",SUMIF('Competency Event Log'!$U$4:$U$803,$B146&amp;"|"&amp;CH$5,'Competency Event Log'!$D$4:$D$803)))</f>
        <v/>
      </c>
      <c r="CI146" s="8" t="str">
        <f>IF($B146="","",IF(COUNTIF('Competency Event Log'!$U$4:$U$803,$B146&amp;"|"&amp;CI$5)=0,"",SUMIF('Competency Event Log'!$U$4:$U$803,$B146&amp;"|"&amp;CI$5,'Competency Event Log'!$D$4:$D$803)))</f>
        <v/>
      </c>
      <c r="CJ146" s="8" t="str">
        <f>IF($B146="","",IF(COUNTIF('Competency Event Log'!$U$4:$U$803,$B146&amp;"|"&amp;CJ$5)=0,"",SUMIF('Competency Event Log'!$U$4:$U$803,$B146&amp;"|"&amp;CJ$5,'Competency Event Log'!$D$4:$D$803)))</f>
        <v/>
      </c>
      <c r="CK146" s="8" t="str">
        <f>IF($B146="","",IF(COUNTIF('Competency Event Log'!$U$4:$U$803,$B146&amp;"|"&amp;CK$5)=0,"",SUMIF('Competency Event Log'!$U$4:$U$803,$B146&amp;"|"&amp;CK$5,'Competency Event Log'!$D$4:$D$803)))</f>
        <v/>
      </c>
      <c r="CL146" s="8" t="str">
        <f>IF($B146="","",IF(COUNTIF('Competency Event Log'!$U$4:$U$803,$B146&amp;"|"&amp;CL$5)=0,"",SUMIF('Competency Event Log'!$U$4:$U$803,$B146&amp;"|"&amp;CL$5,'Competency Event Log'!$D$4:$D$803)))</f>
        <v/>
      </c>
      <c r="CM146" s="8" t="str">
        <f>IF($B146="","",IF(COUNTIF('Competency Event Log'!$U$4:$U$803,$B146&amp;"|"&amp;CM$5)=0,"",SUMIF('Competency Event Log'!$U$4:$U$803,$B146&amp;"|"&amp;CM$5,'Competency Event Log'!$D$4:$D$803)))</f>
        <v/>
      </c>
      <c r="CN146" s="8" t="str">
        <f>IF($B146="","",IF(COUNTIF('Competency Event Log'!$U$4:$U$803,$B146&amp;"|"&amp;CN$5)=0,"",SUMIF('Competency Event Log'!$U$4:$U$803,$B146&amp;"|"&amp;CN$5,'Competency Event Log'!$D$4:$D$803)))</f>
        <v/>
      </c>
      <c r="CO146" s="8" t="str">
        <f>IF($B146="","",IF(COUNTIF('Competency Event Log'!$U$4:$U$803,$B146&amp;"|"&amp;CO$5)=0,"",SUMIF('Competency Event Log'!$U$4:$U$803,$B146&amp;"|"&amp;CO$5,'Competency Event Log'!$D$4:$D$803)))</f>
        <v/>
      </c>
      <c r="CP146" s="8" t="str">
        <f>IF($B146="","",IF(COUNTIF('Competency Event Log'!$U$4:$U$803,$B146&amp;"|"&amp;CP$5)=0,"",SUMIF('Competency Event Log'!$U$4:$U$803,$B146&amp;"|"&amp;CP$5,'Competency Event Log'!$D$4:$D$803)))</f>
        <v/>
      </c>
      <c r="CQ146" s="8" t="str">
        <f>IF($B146="","",IF(COUNTIF('Competency Event Log'!$U$4:$U$803,$B146&amp;"|"&amp;CQ$5)=0,"",SUMIF('Competency Event Log'!$U$4:$U$803,$B146&amp;"|"&amp;CQ$5,'Competency Event Log'!$D$4:$D$803)))</f>
        <v/>
      </c>
      <c r="CR146" s="8" t="str">
        <f>IF($B146="","",IF(COUNTIF('Competency Event Log'!$U$4:$U$803,$B146&amp;"|"&amp;CR$5)=0,"",SUMIF('Competency Event Log'!$U$4:$U$803,$B146&amp;"|"&amp;CR$5,'Competency Event Log'!$D$4:$D$803)))</f>
        <v/>
      </c>
      <c r="CS146" s="8" t="str">
        <f>IF($B146="","",IF(COUNTIF('Competency Event Log'!$U$4:$U$803,$B146&amp;"|"&amp;CS$5)=0,"",SUMIF('Competency Event Log'!$U$4:$U$803,$B146&amp;"|"&amp;CS$5,'Competency Event Log'!$D$4:$D$803)))</f>
        <v/>
      </c>
      <c r="CT146" s="8" t="str">
        <f>IF($B146="","",IF(COUNTIF('Competency Event Log'!$U$4:$U$803,$B146&amp;"|"&amp;CT$5)=0,"",SUMIF('Competency Event Log'!$U$4:$U$803,$B146&amp;"|"&amp;CT$5,'Competency Event Log'!$D$4:$D$803)))</f>
        <v/>
      </c>
      <c r="CU146" s="8" t="str">
        <f>IF($B146="","",IF(COUNTIF('Competency Event Log'!$U$4:$U$803,$B146&amp;"|"&amp;CU$5)=0,"",SUMIF('Competency Event Log'!$U$4:$U$803,$B146&amp;"|"&amp;CU$5,'Competency Event Log'!$D$4:$D$803)))</f>
        <v/>
      </c>
      <c r="CV146" s="8" t="str">
        <f>IF($B146="","",IF(COUNTIF('Competency Event Log'!$U$4:$U$803,$B146&amp;"|"&amp;CV$5)=0,"",SUMIF('Competency Event Log'!$U$4:$U$803,$B146&amp;"|"&amp;CV$5,'Competency Event Log'!$D$4:$D$803)))</f>
        <v/>
      </c>
      <c r="CW146" s="8" t="str">
        <f>IF($B146="","",IF(COUNTIF('Competency Event Log'!$U$4:$U$803,$B146&amp;"|"&amp;CW$5)=0,"",SUMIF('Competency Event Log'!$U$4:$U$803,$B146&amp;"|"&amp;CW$5,'Competency Event Log'!$D$4:$D$803)))</f>
        <v/>
      </c>
      <c r="CX146" s="8" t="str">
        <f>IF($B146="","",IF(COUNTIF('Competency Event Log'!$U$4:$U$803,$B146&amp;"|"&amp;CX$5)=0,"",SUMIF('Competency Event Log'!$U$4:$U$803,$B146&amp;"|"&amp;CX$5,'Competency Event Log'!$D$4:$D$803)))</f>
        <v/>
      </c>
      <c r="CY146" s="8" t="str">
        <f>IF($B146="","",IF(COUNTIF('Competency Event Log'!$U$4:$U$803,$B146&amp;"|"&amp;CY$5)=0,"",SUMIF('Competency Event Log'!$U$4:$U$803,$B146&amp;"|"&amp;CY$5,'Competency Event Log'!$D$4:$D$803)))</f>
        <v/>
      </c>
      <c r="CZ146" s="8" t="str">
        <f>IF($B146="","",IF(COUNTIF('Competency Event Log'!$U$4:$U$803,$B146&amp;"|"&amp;CZ$5)=0,"",SUMIF('Competency Event Log'!$U$4:$U$803,$B146&amp;"|"&amp;CZ$5,'Competency Event Log'!$D$4:$D$803)))</f>
        <v/>
      </c>
      <c r="DA146" s="8" t="str">
        <f>IF($B146="","",IF(COUNTIF('Competency Event Log'!$U$4:$U$803,$B146&amp;"|"&amp;DA$5)=0,"",SUMIF('Competency Event Log'!$U$4:$U$803,$B146&amp;"|"&amp;DA$5,'Competency Event Log'!$D$4:$D$803)))</f>
        <v/>
      </c>
      <c r="DB146" s="8" t="str">
        <f>IF($B146="","",IF(COUNTIF('Competency Event Log'!$U$4:$U$803,$B146&amp;"|"&amp;DB$5)=0,"",SUMIF('Competency Event Log'!$U$4:$U$803,$B146&amp;"|"&amp;DB$5,'Competency Event Log'!$D$4:$D$803)))</f>
        <v/>
      </c>
      <c r="DC146" s="8" t="str">
        <f>IF($B146="","",IF(COUNTIF('Competency Event Log'!$U$4:$U$803,$B146&amp;"|"&amp;DC$5)=0,"",SUMIF('Competency Event Log'!$U$4:$U$803,$B146&amp;"|"&amp;DC$5,'Competency Event Log'!$D$4:$D$803)))</f>
        <v/>
      </c>
      <c r="DD146" s="8" t="str">
        <f>IF($B146="","",IF(COUNTIF('Competency Event Log'!$U$4:$U$803,$B146&amp;"|"&amp;DD$5)=0,"",SUMIF('Competency Event Log'!$U$4:$U$803,$B146&amp;"|"&amp;DD$5,'Competency Event Log'!$D$4:$D$803)))</f>
        <v/>
      </c>
      <c r="DE146" s="8" t="str">
        <f>IF($B146="","",IF(COUNTIF('Competency Event Log'!$U$4:$U$803,$B146&amp;"|"&amp;DE$5)=0,"",SUMIF('Competency Event Log'!$U$4:$U$803,$B146&amp;"|"&amp;DE$5,'Competency Event Log'!$D$4:$D$803)))</f>
        <v/>
      </c>
      <c r="DF146" s="8" t="str">
        <f t="shared" si="16"/>
        <v/>
      </c>
      <c r="DG146" s="8" t="str">
        <f t="shared" si="17"/>
        <v/>
      </c>
      <c r="DH146" s="8" t="str">
        <f t="shared" si="18"/>
        <v/>
      </c>
      <c r="DI146" s="11" t="str">
        <f t="shared" si="19"/>
        <v/>
      </c>
    </row>
    <row r="147" spans="1:113">
      <c r="A147" s="7"/>
      <c r="B147" s="7"/>
      <c r="C147" s="8"/>
      <c r="D147" s="9"/>
      <c r="E147" s="10"/>
      <c r="F147" s="8"/>
      <c r="G147" s="8" t="str">
        <f>IF($B147="","",IF(COUNTIF('Competency Event Log'!$U$4:$U$803,$B147&amp;"|"&amp;G$5)=0,"",SUMIF('Competency Event Log'!$U$4:$U$803,$B147&amp;"|"&amp;G$5,'Competency Event Log'!$D$4:$D$803)))</f>
        <v/>
      </c>
      <c r="H147" s="8" t="str">
        <f>IF($B147="","",IF(COUNTIF('Competency Event Log'!$U$4:$U$803,$B147&amp;"|"&amp;H$5)=0,"",SUMIF('Competency Event Log'!$U$4:$U$803,$B147&amp;"|"&amp;H$5,'Competency Event Log'!$D$4:$D$803)))</f>
        <v/>
      </c>
      <c r="I147" s="8" t="str">
        <f>IF($B147="","",IF(COUNTIF('Competency Event Log'!$U$4:$U$803,$B147&amp;"|"&amp;I$5)=0,"",SUMIF('Competency Event Log'!$U$4:$U$803,$B147&amp;"|"&amp;I$5,'Competency Event Log'!$D$4:$D$803)))</f>
        <v/>
      </c>
      <c r="J147" s="8" t="str">
        <f>IF($B147="","",IF(COUNTIF('Competency Event Log'!$U$4:$U$803,$B147&amp;"|"&amp;J$5)=0,"",SUMIF('Competency Event Log'!$U$4:$U$803,$B147&amp;"|"&amp;J$5,'Competency Event Log'!$D$4:$D$803)))</f>
        <v/>
      </c>
      <c r="K147" s="8" t="str">
        <f>IF($B147="","",IF(COUNTIF('Competency Event Log'!$U$4:$U$803,$B147&amp;"|"&amp;K$5)=0,"",SUMIF('Competency Event Log'!$U$4:$U$803,$B147&amp;"|"&amp;K$5,'Competency Event Log'!$D$4:$D$803)))</f>
        <v/>
      </c>
      <c r="L147" s="8" t="str">
        <f>IF($B147="","",IF(COUNTIF('Competency Event Log'!$U$4:$U$803,$B147&amp;"|"&amp;L$5)=0,"",SUMIF('Competency Event Log'!$U$4:$U$803,$B147&amp;"|"&amp;L$5,'Competency Event Log'!$D$4:$D$803)))</f>
        <v/>
      </c>
      <c r="M147" s="8" t="str">
        <f>IF($B147="","",IF(COUNTIF('Competency Event Log'!$U$4:$U$803,$B147&amp;"|"&amp;M$5)=0,"",SUMIF('Competency Event Log'!$U$4:$U$803,$B147&amp;"|"&amp;M$5,'Competency Event Log'!$D$4:$D$803)))</f>
        <v/>
      </c>
      <c r="N147" s="8" t="str">
        <f>IF($B147="","",IF(COUNTIF('Competency Event Log'!$U$4:$U$803,$B147&amp;"|"&amp;N$5)=0,"",SUMIF('Competency Event Log'!$U$4:$U$803,$B147&amp;"|"&amp;N$5,'Competency Event Log'!$D$4:$D$803)))</f>
        <v/>
      </c>
      <c r="O147" s="8" t="str">
        <f>IF($B147="","",IF(COUNTIF('Competency Event Log'!$U$4:$U$803,$B147&amp;"|"&amp;O$5)=0,"",SUMIF('Competency Event Log'!$U$4:$U$803,$B147&amp;"|"&amp;O$5,'Competency Event Log'!$D$4:$D$803)))</f>
        <v/>
      </c>
      <c r="P147" s="8" t="str">
        <f>IF($B147="","",IF(COUNTIF('Competency Event Log'!$U$4:$U$803,$B147&amp;"|"&amp;P$5)=0,"",SUMIF('Competency Event Log'!$U$4:$U$803,$B147&amp;"|"&amp;P$5,'Competency Event Log'!$D$4:$D$803)))</f>
        <v/>
      </c>
      <c r="Q147" s="8" t="str">
        <f>IF($B147="","",IF(COUNTIF('Competency Event Log'!$U$4:$U$803,$B147&amp;"|"&amp;Q$5)=0,"",SUMIF('Competency Event Log'!$U$4:$U$803,$B147&amp;"|"&amp;Q$5,'Competency Event Log'!$D$4:$D$803)))</f>
        <v/>
      </c>
      <c r="R147" s="8" t="str">
        <f>IF($B147="","",IF(COUNTIF('Competency Event Log'!$U$4:$U$803,$B147&amp;"|"&amp;R$5)=0,"",SUMIF('Competency Event Log'!$U$4:$U$803,$B147&amp;"|"&amp;R$5,'Competency Event Log'!$D$4:$D$803)))</f>
        <v/>
      </c>
      <c r="S147" s="8" t="str">
        <f>IF($B147="","",IF(COUNTIF('Competency Event Log'!$U$4:$U$803,$B147&amp;"|"&amp;S$5)=0,"",SUMIF('Competency Event Log'!$U$4:$U$803,$B147&amp;"|"&amp;S$5,'Competency Event Log'!$D$4:$D$803)))</f>
        <v/>
      </c>
      <c r="T147" s="8" t="str">
        <f>IF($B147="","",IF(COUNTIF('Competency Event Log'!$U$4:$U$803,$B147&amp;"|"&amp;T$5)=0,"",SUMIF('Competency Event Log'!$U$4:$U$803,$B147&amp;"|"&amp;T$5,'Competency Event Log'!$D$4:$D$803)))</f>
        <v/>
      </c>
      <c r="U147" s="8" t="str">
        <f>IF($B147="","",IF(COUNTIF('Competency Event Log'!$U$4:$U$803,$B147&amp;"|"&amp;U$5)=0,"",SUMIF('Competency Event Log'!$U$4:$U$803,$B147&amp;"|"&amp;U$5,'Competency Event Log'!$D$4:$D$803)))</f>
        <v/>
      </c>
      <c r="V147" s="8" t="str">
        <f>IF($B147="","",IF(COUNTIF('Competency Event Log'!$U$4:$U$803,$B147&amp;"|"&amp;V$5)=0,"",SUMIF('Competency Event Log'!$U$4:$U$803,$B147&amp;"|"&amp;V$5,'Competency Event Log'!$D$4:$D$803)))</f>
        <v/>
      </c>
      <c r="W147" s="8" t="str">
        <f>IF($B147="","",IF(COUNTIF('Competency Event Log'!$U$4:$U$803,$B147&amp;"|"&amp;W$5)=0,"",SUMIF('Competency Event Log'!$U$4:$U$803,$B147&amp;"|"&amp;W$5,'Competency Event Log'!$D$4:$D$803)))</f>
        <v/>
      </c>
      <c r="X147" s="8" t="str">
        <f>IF($B147="","",IF(COUNTIF('Competency Event Log'!$U$4:$U$803,$B147&amp;"|"&amp;X$5)=0,"",SUMIF('Competency Event Log'!$U$4:$U$803,$B147&amp;"|"&amp;X$5,'Competency Event Log'!$D$4:$D$803)))</f>
        <v/>
      </c>
      <c r="Y147" s="8" t="str">
        <f>IF($B147="","",IF(COUNTIF('Competency Event Log'!$U$4:$U$803,$B147&amp;"|"&amp;Y$5)=0,"",SUMIF('Competency Event Log'!$U$4:$U$803,$B147&amp;"|"&amp;Y$5,'Competency Event Log'!$D$4:$D$803)))</f>
        <v/>
      </c>
      <c r="Z147" s="8" t="str">
        <f>IF($B147="","",IF(COUNTIF('Competency Event Log'!$U$4:$U$803,$B147&amp;"|"&amp;Z$5)=0,"",SUMIF('Competency Event Log'!$U$4:$U$803,$B147&amp;"|"&amp;Z$5,'Competency Event Log'!$D$4:$D$803)))</f>
        <v/>
      </c>
      <c r="AA147" s="8" t="str">
        <f>IF($B147="","",IF(COUNTIF('Competency Event Log'!$U$4:$U$803,$B147&amp;"|"&amp;AA$5)=0,"",SUMIF('Competency Event Log'!$U$4:$U$803,$B147&amp;"|"&amp;AA$5,'Competency Event Log'!$D$4:$D$803)))</f>
        <v/>
      </c>
      <c r="AB147" s="8" t="str">
        <f>IF($B147="","",IF(COUNTIF('Competency Event Log'!$U$4:$U$803,$B147&amp;"|"&amp;AB$5)=0,"",SUMIF('Competency Event Log'!$U$4:$U$803,$B147&amp;"|"&amp;AB$5,'Competency Event Log'!$D$4:$D$803)))</f>
        <v/>
      </c>
      <c r="AC147" s="8" t="str">
        <f>IF($B147="","",IF(COUNTIF('Competency Event Log'!$U$4:$U$803,$B147&amp;"|"&amp;AC$5)=0,"",SUMIF('Competency Event Log'!$U$4:$U$803,$B147&amp;"|"&amp;AC$5,'Competency Event Log'!$D$4:$D$803)))</f>
        <v/>
      </c>
      <c r="AD147" s="8" t="str">
        <f>IF($B147="","",IF(COUNTIF('Competency Event Log'!$U$4:$U$803,$B147&amp;"|"&amp;AD$5)=0,"",SUMIF('Competency Event Log'!$U$4:$U$803,$B147&amp;"|"&amp;AD$5,'Competency Event Log'!$D$4:$D$803)))</f>
        <v/>
      </c>
      <c r="AE147" s="8" t="str">
        <f>IF($B147="","",IF(COUNTIF('Competency Event Log'!$U$4:$U$803,$B147&amp;"|"&amp;AE$5)=0,"",SUMIF('Competency Event Log'!$U$4:$U$803,$B147&amp;"|"&amp;AE$5,'Competency Event Log'!$D$4:$D$803)))</f>
        <v/>
      </c>
      <c r="AF147" s="8" t="str">
        <f>IF($B147="","",IF(COUNTIF('Competency Event Log'!$U$4:$U$803,$B147&amp;"|"&amp;AF$5)=0,"",SUMIF('Competency Event Log'!$U$4:$U$803,$B147&amp;"|"&amp;AF$5,'Competency Event Log'!$D$4:$D$803)))</f>
        <v/>
      </c>
      <c r="AG147" s="8" t="str">
        <f>IF($B147="","",IF(COUNTIF('Competency Event Log'!$U$4:$U$803,$B147&amp;"|"&amp;AG$5)=0,"",SUMIF('Competency Event Log'!$U$4:$U$803,$B147&amp;"|"&amp;AG$5,'Competency Event Log'!$D$4:$D$803)))</f>
        <v/>
      </c>
      <c r="AH147" s="8" t="str">
        <f>IF($B147="","",IF(COUNTIF('Competency Event Log'!$U$4:$U$803,$B147&amp;"|"&amp;AH$5)=0,"",SUMIF('Competency Event Log'!$U$4:$U$803,$B147&amp;"|"&amp;AH$5,'Competency Event Log'!$D$4:$D$803)))</f>
        <v/>
      </c>
      <c r="AI147" s="8" t="str">
        <f>IF($B147="","",IF(COUNTIF('Competency Event Log'!$U$4:$U$803,$B147&amp;"|"&amp;AI$5)=0,"",SUMIF('Competency Event Log'!$U$4:$U$803,$B147&amp;"|"&amp;AI$5,'Competency Event Log'!$D$4:$D$803)))</f>
        <v/>
      </c>
      <c r="AJ147" s="8" t="str">
        <f>IF($B147="","",IF(COUNTIF('Competency Event Log'!$U$4:$U$803,$B147&amp;"|"&amp;AJ$5)=0,"",SUMIF('Competency Event Log'!$U$4:$U$803,$B147&amp;"|"&amp;AJ$5,'Competency Event Log'!$D$4:$D$803)))</f>
        <v/>
      </c>
      <c r="AK147" s="8" t="str">
        <f>IF($B147="","",IF(COUNTIF('Competency Event Log'!$U$4:$U$803,$B147&amp;"|"&amp;AK$5)=0,"",SUMIF('Competency Event Log'!$U$4:$U$803,$B147&amp;"|"&amp;AK$5,'Competency Event Log'!$D$4:$D$803)))</f>
        <v/>
      </c>
      <c r="AL147" s="8" t="str">
        <f>IF($B147="","",IF(COUNTIF('Competency Event Log'!$U$4:$U$803,$B147&amp;"|"&amp;AL$5)=0,"",SUMIF('Competency Event Log'!$U$4:$U$803,$B147&amp;"|"&amp;AL$5,'Competency Event Log'!$D$4:$D$803)))</f>
        <v/>
      </c>
      <c r="AM147" s="8" t="str">
        <f>IF($B147="","",IF(COUNTIF('Competency Event Log'!$U$4:$U$803,$B147&amp;"|"&amp;AM$5)=0,"",SUMIF('Competency Event Log'!$U$4:$U$803,$B147&amp;"|"&amp;AM$5,'Competency Event Log'!$D$4:$D$803)))</f>
        <v/>
      </c>
      <c r="AN147" s="8" t="str">
        <f>IF($B147="","",IF(COUNTIF('Competency Event Log'!$U$4:$U$803,$B147&amp;"|"&amp;AN$5)=0,"",SUMIF('Competency Event Log'!$U$4:$U$803,$B147&amp;"|"&amp;AN$5,'Competency Event Log'!$D$4:$D$803)))</f>
        <v/>
      </c>
      <c r="AO147" s="8" t="str">
        <f>IF($B147="","",IF(COUNTIF('Competency Event Log'!$U$4:$U$803,$B147&amp;"|"&amp;AO$5)=0,"",SUMIF('Competency Event Log'!$U$4:$U$803,$B147&amp;"|"&amp;AO$5,'Competency Event Log'!$D$4:$D$803)))</f>
        <v/>
      </c>
      <c r="AP147" s="8" t="str">
        <f>IF($B147="","",IF(COUNTIF('Competency Event Log'!$U$4:$U$803,$B147&amp;"|"&amp;AP$5)=0,"",SUMIF('Competency Event Log'!$U$4:$U$803,$B147&amp;"|"&amp;AP$5,'Competency Event Log'!$D$4:$D$803)))</f>
        <v/>
      </c>
      <c r="AQ147" s="8" t="str">
        <f>IF($B147="","",IF(COUNTIF('Competency Event Log'!$U$4:$U$803,$B147&amp;"|"&amp;AQ$5)=0,"",SUMIF('Competency Event Log'!$U$4:$U$803,$B147&amp;"|"&amp;AQ$5,'Competency Event Log'!$D$4:$D$803)))</f>
        <v/>
      </c>
      <c r="AR147" s="8" t="str">
        <f>IF($B147="","",IF(COUNTIF('Competency Event Log'!$U$4:$U$803,$B147&amp;"|"&amp;AR$5)=0,"",SUMIF('Competency Event Log'!$U$4:$U$803,$B147&amp;"|"&amp;AR$5,'Competency Event Log'!$D$4:$D$803)))</f>
        <v/>
      </c>
      <c r="AS147" s="8" t="str">
        <f>IF($B147="","",IF(COUNTIF('Competency Event Log'!$U$4:$U$803,$B147&amp;"|"&amp;AS$5)=0,"",SUMIF('Competency Event Log'!$U$4:$U$803,$B147&amp;"|"&amp;AS$5,'Competency Event Log'!$D$4:$D$803)))</f>
        <v/>
      </c>
      <c r="AT147" s="8" t="str">
        <f>IF($B147="","",IF(COUNTIF('Competency Event Log'!$U$4:$U$803,$B147&amp;"|"&amp;AT$5)=0,"",SUMIF('Competency Event Log'!$U$4:$U$803,$B147&amp;"|"&amp;AT$5,'Competency Event Log'!$D$4:$D$803)))</f>
        <v/>
      </c>
      <c r="AU147" s="8" t="str">
        <f>IF($B147="","",IF(COUNTIF('Competency Event Log'!$U$4:$U$803,$B147&amp;"|"&amp;AU$5)=0,"",SUMIF('Competency Event Log'!$U$4:$U$803,$B147&amp;"|"&amp;AU$5,'Competency Event Log'!$D$4:$D$803)))</f>
        <v/>
      </c>
      <c r="AV147" s="8" t="str">
        <f>IF($B147="","",IF(COUNTIF('Competency Event Log'!$U$4:$U$803,$B147&amp;"|"&amp;AV$5)=0,"",SUMIF('Competency Event Log'!$U$4:$U$803,$B147&amp;"|"&amp;AV$5,'Competency Event Log'!$D$4:$D$803)))</f>
        <v/>
      </c>
      <c r="AW147" s="8" t="str">
        <f>IF($B147="","",IF(COUNTIF('Competency Event Log'!$U$4:$U$803,$B147&amp;"|"&amp;AW$5)=0,"",SUMIF('Competency Event Log'!$U$4:$U$803,$B147&amp;"|"&amp;AW$5,'Competency Event Log'!$D$4:$D$803)))</f>
        <v/>
      </c>
      <c r="AX147" s="8" t="str">
        <f>IF($B147="","",IF(COUNTIF('Competency Event Log'!$U$4:$U$803,$B147&amp;"|"&amp;AX$5)=0,"",SUMIF('Competency Event Log'!$U$4:$U$803,$B147&amp;"|"&amp;AX$5,'Competency Event Log'!$D$4:$D$803)))</f>
        <v/>
      </c>
      <c r="AY147" s="8" t="str">
        <f>IF($B147="","",IF(COUNTIF('Competency Event Log'!$U$4:$U$803,$B147&amp;"|"&amp;AY$5)=0,"",SUMIF('Competency Event Log'!$U$4:$U$803,$B147&amp;"|"&amp;AY$5,'Competency Event Log'!$D$4:$D$803)))</f>
        <v/>
      </c>
      <c r="AZ147" s="8" t="str">
        <f>IF($B147="","",IF(COUNTIF('Competency Event Log'!$U$4:$U$803,$B147&amp;"|"&amp;AZ$5)=0,"",SUMIF('Competency Event Log'!$U$4:$U$803,$B147&amp;"|"&amp;AZ$5,'Competency Event Log'!$D$4:$D$803)))</f>
        <v/>
      </c>
      <c r="BA147" s="8" t="str">
        <f>IF($B147="","",IF(COUNTIF('Competency Event Log'!$U$4:$U$803,$B147&amp;"|"&amp;BA$5)=0,"",SUMIF('Competency Event Log'!$U$4:$U$803,$B147&amp;"|"&amp;BA$5,'Competency Event Log'!$D$4:$D$803)))</f>
        <v/>
      </c>
      <c r="BB147" s="8" t="str">
        <f>IF($B147="","",IF(COUNTIF('Competency Event Log'!$U$4:$U$803,$B147&amp;"|"&amp;BB$5)=0,"",SUMIF('Competency Event Log'!$U$4:$U$803,$B147&amp;"|"&amp;BB$5,'Competency Event Log'!$D$4:$D$803)))</f>
        <v/>
      </c>
      <c r="BC147" s="8" t="str">
        <f>IF($B147="","",IF(COUNTIF('Competency Event Log'!$U$4:$U$803,$B147&amp;"|"&amp;BC$5)=0,"",SUMIF('Competency Event Log'!$U$4:$U$803,$B147&amp;"|"&amp;BC$5,'Competency Event Log'!$D$4:$D$803)))</f>
        <v/>
      </c>
      <c r="BD147" s="8" t="str">
        <f>IF($B147="","",IF(COUNTIF('Competency Event Log'!$U$4:$U$803,$B147&amp;"|"&amp;BD$5)=0,"",SUMIF('Competency Event Log'!$U$4:$U$803,$B147&amp;"|"&amp;BD$5,'Competency Event Log'!$D$4:$D$803)))</f>
        <v/>
      </c>
      <c r="BE147" s="8" t="str">
        <f>IF($B147="","",IF(COUNTIF('Competency Event Log'!$U$4:$U$803,$B147&amp;"|"&amp;BE$5)=0,"",SUMIF('Competency Event Log'!$U$4:$U$803,$B147&amp;"|"&amp;BE$5,'Competency Event Log'!$D$4:$D$803)))</f>
        <v/>
      </c>
      <c r="BF147" s="8" t="str">
        <f>IF($B147="","",IF(COUNTIF('Competency Event Log'!$U$4:$U$803,$B147&amp;"|"&amp;BF$5)=0,"",SUMIF('Competency Event Log'!$U$4:$U$803,$B147&amp;"|"&amp;BF$5,'Competency Event Log'!$D$4:$D$803)))</f>
        <v/>
      </c>
      <c r="BG147" s="8" t="str">
        <f>IF($B147="","",IF(COUNTIF('Competency Event Log'!$U$4:$U$803,$B147&amp;"|"&amp;BG$5)=0,"",SUMIF('Competency Event Log'!$U$4:$U$803,$B147&amp;"|"&amp;BG$5,'Competency Event Log'!$D$4:$D$803)))</f>
        <v/>
      </c>
      <c r="BH147" s="8" t="str">
        <f>IF($B147="","",IF(COUNTIF('Competency Event Log'!$U$4:$U$803,$B147&amp;"|"&amp;BH$5)=0,"",SUMIF('Competency Event Log'!$U$4:$U$803,$B147&amp;"|"&amp;BH$5,'Competency Event Log'!$D$4:$D$803)))</f>
        <v/>
      </c>
      <c r="BI147" s="8" t="str">
        <f>IF($B147="","",IF(COUNTIF('Competency Event Log'!$U$4:$U$803,$B147&amp;"|"&amp;BI$5)=0,"",SUMIF('Competency Event Log'!$U$4:$U$803,$B147&amp;"|"&amp;BI$5,'Competency Event Log'!$D$4:$D$803)))</f>
        <v/>
      </c>
      <c r="BJ147" s="8" t="str">
        <f>IF($B147="","",IF(COUNTIF('Competency Event Log'!$U$4:$U$803,$B147&amp;"|"&amp;BJ$5)=0,"",SUMIF('Competency Event Log'!$U$4:$U$803,$B147&amp;"|"&amp;BJ$5,'Competency Event Log'!$D$4:$D$803)))</f>
        <v/>
      </c>
      <c r="BK147" s="8" t="str">
        <f>IF($B147="","",IF(COUNTIF('Competency Event Log'!$U$4:$U$803,$B147&amp;"|"&amp;BK$5)=0,"",SUMIF('Competency Event Log'!$U$4:$U$803,$B147&amp;"|"&amp;BK$5,'Competency Event Log'!$D$4:$D$803)))</f>
        <v/>
      </c>
      <c r="BL147" s="8" t="str">
        <f>IF($B147="","",IF(COUNTIF('Competency Event Log'!$U$4:$U$803,$B147&amp;"|"&amp;BL$5)=0,"",SUMIF('Competency Event Log'!$U$4:$U$803,$B147&amp;"|"&amp;BL$5,'Competency Event Log'!$D$4:$D$803)))</f>
        <v/>
      </c>
      <c r="BM147" s="8" t="str">
        <f>IF($B147="","",IF(COUNTIF('Competency Event Log'!$U$4:$U$803,$B147&amp;"|"&amp;BM$5)=0,"",SUMIF('Competency Event Log'!$U$4:$U$803,$B147&amp;"|"&amp;BM$5,'Competency Event Log'!$D$4:$D$803)))</f>
        <v/>
      </c>
      <c r="BN147" s="8" t="str">
        <f>IF($B147="","",IF(COUNTIF('Competency Event Log'!$U$4:$U$803,$B147&amp;"|"&amp;BN$5)=0,"",SUMIF('Competency Event Log'!$U$4:$U$803,$B147&amp;"|"&amp;BN$5,'Competency Event Log'!$D$4:$D$803)))</f>
        <v/>
      </c>
      <c r="BO147" s="8" t="str">
        <f>IF($B147="","",IF(COUNTIF('Competency Event Log'!$U$4:$U$803,$B147&amp;"|"&amp;BO$5)=0,"",SUMIF('Competency Event Log'!$U$4:$U$803,$B147&amp;"|"&amp;BO$5,'Competency Event Log'!$D$4:$D$803)))</f>
        <v/>
      </c>
      <c r="BP147" s="8" t="str">
        <f>IF($B147="","",IF(COUNTIF('Competency Event Log'!$U$4:$U$803,$B147&amp;"|"&amp;BP$5)=0,"",SUMIF('Competency Event Log'!$U$4:$U$803,$B147&amp;"|"&amp;BP$5,'Competency Event Log'!$D$4:$D$803)))</f>
        <v/>
      </c>
      <c r="BQ147" s="8" t="str">
        <f>IF($B147="","",IF(COUNTIF('Competency Event Log'!$U$4:$U$803,$B147&amp;"|"&amp;BQ$5)=0,"",SUMIF('Competency Event Log'!$U$4:$U$803,$B147&amp;"|"&amp;BQ$5,'Competency Event Log'!$D$4:$D$803)))</f>
        <v/>
      </c>
      <c r="BR147" s="8" t="str">
        <f>IF($B147="","",IF(COUNTIF('Competency Event Log'!$U$4:$U$803,$B147&amp;"|"&amp;BR$5)=0,"",SUMIF('Competency Event Log'!$U$4:$U$803,$B147&amp;"|"&amp;BR$5,'Competency Event Log'!$D$4:$D$803)))</f>
        <v/>
      </c>
      <c r="BS147" s="8" t="str">
        <f>IF($B147="","",IF(COUNTIF('Competency Event Log'!$U$4:$U$803,$B147&amp;"|"&amp;BS$5)=0,"",SUMIF('Competency Event Log'!$U$4:$U$803,$B147&amp;"|"&amp;BS$5,'Competency Event Log'!$D$4:$D$803)))</f>
        <v/>
      </c>
      <c r="BT147" s="8" t="str">
        <f>IF($B147="","",IF(COUNTIF('Competency Event Log'!$U$4:$U$803,$B147&amp;"|"&amp;BT$5)=0,"",SUMIF('Competency Event Log'!$U$4:$U$803,$B147&amp;"|"&amp;BT$5,'Competency Event Log'!$D$4:$D$803)))</f>
        <v/>
      </c>
      <c r="BU147" s="8" t="str">
        <f>IF($B147="","",IF(COUNTIF('Competency Event Log'!$U$4:$U$803,$B147&amp;"|"&amp;BU$5)=0,"",SUMIF('Competency Event Log'!$U$4:$U$803,$B147&amp;"|"&amp;BU$5,'Competency Event Log'!$D$4:$D$803)))</f>
        <v/>
      </c>
      <c r="BV147" s="8" t="str">
        <f>IF($B147="","",IF(COUNTIF('Competency Event Log'!$U$4:$U$803,$B147&amp;"|"&amp;BV$5)=0,"",SUMIF('Competency Event Log'!$U$4:$U$803,$B147&amp;"|"&amp;BV$5,'Competency Event Log'!$D$4:$D$803)))</f>
        <v/>
      </c>
      <c r="BW147" s="8" t="str">
        <f>IF($B147="","",IF(COUNTIF('Competency Event Log'!$U$4:$U$803,$B147&amp;"|"&amp;BW$5)=0,"",SUMIF('Competency Event Log'!$U$4:$U$803,$B147&amp;"|"&amp;BW$5,'Competency Event Log'!$D$4:$D$803)))</f>
        <v/>
      </c>
      <c r="BX147" s="8" t="str">
        <f>IF($B147="","",IF(COUNTIF('Competency Event Log'!$U$4:$U$803,$B147&amp;"|"&amp;BX$5)=0,"",SUMIF('Competency Event Log'!$U$4:$U$803,$B147&amp;"|"&amp;BX$5,'Competency Event Log'!$D$4:$D$803)))</f>
        <v/>
      </c>
      <c r="BY147" s="8" t="str">
        <f>IF($B147="","",IF(COUNTIF('Competency Event Log'!$U$4:$U$803,$B147&amp;"|"&amp;BY$5)=0,"",SUMIF('Competency Event Log'!$U$4:$U$803,$B147&amp;"|"&amp;BY$5,'Competency Event Log'!$D$4:$D$803)))</f>
        <v/>
      </c>
      <c r="BZ147" s="8" t="str">
        <f>IF($B147="","",IF(COUNTIF('Competency Event Log'!$U$4:$U$803,$B147&amp;"|"&amp;BZ$5)=0,"",SUMIF('Competency Event Log'!$U$4:$U$803,$B147&amp;"|"&amp;BZ$5,'Competency Event Log'!$D$4:$D$803)))</f>
        <v/>
      </c>
      <c r="CA147" s="8" t="str">
        <f>IF($B147="","",IF(COUNTIF('Competency Event Log'!$U$4:$U$803,$B147&amp;"|"&amp;CA$5)=0,"",SUMIF('Competency Event Log'!$U$4:$U$803,$B147&amp;"|"&amp;CA$5,'Competency Event Log'!$D$4:$D$803)))</f>
        <v/>
      </c>
      <c r="CB147" s="8" t="str">
        <f>IF($B147="","",IF(COUNTIF('Competency Event Log'!$U$4:$U$803,$B147&amp;"|"&amp;CB$5)=0,"",SUMIF('Competency Event Log'!$U$4:$U$803,$B147&amp;"|"&amp;CB$5,'Competency Event Log'!$D$4:$D$803)))</f>
        <v/>
      </c>
      <c r="CC147" s="8" t="str">
        <f>IF($B147="","",IF(COUNTIF('Competency Event Log'!$U$4:$U$803,$B147&amp;"|"&amp;CC$5)=0,"",SUMIF('Competency Event Log'!$U$4:$U$803,$B147&amp;"|"&amp;CC$5,'Competency Event Log'!$D$4:$D$803)))</f>
        <v/>
      </c>
      <c r="CD147" s="8" t="str">
        <f>IF($B147="","",IF(COUNTIF('Competency Event Log'!$U$4:$U$803,$B147&amp;"|"&amp;CD$5)=0,"",SUMIF('Competency Event Log'!$U$4:$U$803,$B147&amp;"|"&amp;CD$5,'Competency Event Log'!$D$4:$D$803)))</f>
        <v/>
      </c>
      <c r="CE147" s="8" t="str">
        <f>IF($B147="","",IF(COUNTIF('Competency Event Log'!$U$4:$U$803,$B147&amp;"|"&amp;CE$5)=0,"",SUMIF('Competency Event Log'!$U$4:$U$803,$B147&amp;"|"&amp;CE$5,'Competency Event Log'!$D$4:$D$803)))</f>
        <v/>
      </c>
      <c r="CF147" s="8" t="str">
        <f>IF($B147="","",IF(COUNTIF('Competency Event Log'!$U$4:$U$803,$B147&amp;"|"&amp;CF$5)=0,"",SUMIF('Competency Event Log'!$U$4:$U$803,$B147&amp;"|"&amp;CF$5,'Competency Event Log'!$D$4:$D$803)))</f>
        <v/>
      </c>
      <c r="CG147" s="8" t="str">
        <f>IF($B147="","",IF(COUNTIF('Competency Event Log'!$U$4:$U$803,$B147&amp;"|"&amp;CG$5)=0,"",SUMIF('Competency Event Log'!$U$4:$U$803,$B147&amp;"|"&amp;CG$5,'Competency Event Log'!$D$4:$D$803)))</f>
        <v/>
      </c>
      <c r="CH147" s="8" t="str">
        <f>IF($B147="","",IF(COUNTIF('Competency Event Log'!$U$4:$U$803,$B147&amp;"|"&amp;CH$5)=0,"",SUMIF('Competency Event Log'!$U$4:$U$803,$B147&amp;"|"&amp;CH$5,'Competency Event Log'!$D$4:$D$803)))</f>
        <v/>
      </c>
      <c r="CI147" s="8" t="str">
        <f>IF($B147="","",IF(COUNTIF('Competency Event Log'!$U$4:$U$803,$B147&amp;"|"&amp;CI$5)=0,"",SUMIF('Competency Event Log'!$U$4:$U$803,$B147&amp;"|"&amp;CI$5,'Competency Event Log'!$D$4:$D$803)))</f>
        <v/>
      </c>
      <c r="CJ147" s="8" t="str">
        <f>IF($B147="","",IF(COUNTIF('Competency Event Log'!$U$4:$U$803,$B147&amp;"|"&amp;CJ$5)=0,"",SUMIF('Competency Event Log'!$U$4:$U$803,$B147&amp;"|"&amp;CJ$5,'Competency Event Log'!$D$4:$D$803)))</f>
        <v/>
      </c>
      <c r="CK147" s="8" t="str">
        <f>IF($B147="","",IF(COUNTIF('Competency Event Log'!$U$4:$U$803,$B147&amp;"|"&amp;CK$5)=0,"",SUMIF('Competency Event Log'!$U$4:$U$803,$B147&amp;"|"&amp;CK$5,'Competency Event Log'!$D$4:$D$803)))</f>
        <v/>
      </c>
      <c r="CL147" s="8" t="str">
        <f>IF($B147="","",IF(COUNTIF('Competency Event Log'!$U$4:$U$803,$B147&amp;"|"&amp;CL$5)=0,"",SUMIF('Competency Event Log'!$U$4:$U$803,$B147&amp;"|"&amp;CL$5,'Competency Event Log'!$D$4:$D$803)))</f>
        <v/>
      </c>
      <c r="CM147" s="8" t="str">
        <f>IF($B147="","",IF(COUNTIF('Competency Event Log'!$U$4:$U$803,$B147&amp;"|"&amp;CM$5)=0,"",SUMIF('Competency Event Log'!$U$4:$U$803,$B147&amp;"|"&amp;CM$5,'Competency Event Log'!$D$4:$D$803)))</f>
        <v/>
      </c>
      <c r="CN147" s="8" t="str">
        <f>IF($B147="","",IF(COUNTIF('Competency Event Log'!$U$4:$U$803,$B147&amp;"|"&amp;CN$5)=0,"",SUMIF('Competency Event Log'!$U$4:$U$803,$B147&amp;"|"&amp;CN$5,'Competency Event Log'!$D$4:$D$803)))</f>
        <v/>
      </c>
      <c r="CO147" s="8" t="str">
        <f>IF($B147="","",IF(COUNTIF('Competency Event Log'!$U$4:$U$803,$B147&amp;"|"&amp;CO$5)=0,"",SUMIF('Competency Event Log'!$U$4:$U$803,$B147&amp;"|"&amp;CO$5,'Competency Event Log'!$D$4:$D$803)))</f>
        <v/>
      </c>
      <c r="CP147" s="8" t="str">
        <f>IF($B147="","",IF(COUNTIF('Competency Event Log'!$U$4:$U$803,$B147&amp;"|"&amp;CP$5)=0,"",SUMIF('Competency Event Log'!$U$4:$U$803,$B147&amp;"|"&amp;CP$5,'Competency Event Log'!$D$4:$D$803)))</f>
        <v/>
      </c>
      <c r="CQ147" s="8" t="str">
        <f>IF($B147="","",IF(COUNTIF('Competency Event Log'!$U$4:$U$803,$B147&amp;"|"&amp;CQ$5)=0,"",SUMIF('Competency Event Log'!$U$4:$U$803,$B147&amp;"|"&amp;CQ$5,'Competency Event Log'!$D$4:$D$803)))</f>
        <v/>
      </c>
      <c r="CR147" s="8" t="str">
        <f>IF($B147="","",IF(COUNTIF('Competency Event Log'!$U$4:$U$803,$B147&amp;"|"&amp;CR$5)=0,"",SUMIF('Competency Event Log'!$U$4:$U$803,$B147&amp;"|"&amp;CR$5,'Competency Event Log'!$D$4:$D$803)))</f>
        <v/>
      </c>
      <c r="CS147" s="8" t="str">
        <f>IF($B147="","",IF(COUNTIF('Competency Event Log'!$U$4:$U$803,$B147&amp;"|"&amp;CS$5)=0,"",SUMIF('Competency Event Log'!$U$4:$U$803,$B147&amp;"|"&amp;CS$5,'Competency Event Log'!$D$4:$D$803)))</f>
        <v/>
      </c>
      <c r="CT147" s="8" t="str">
        <f>IF($B147="","",IF(COUNTIF('Competency Event Log'!$U$4:$U$803,$B147&amp;"|"&amp;CT$5)=0,"",SUMIF('Competency Event Log'!$U$4:$U$803,$B147&amp;"|"&amp;CT$5,'Competency Event Log'!$D$4:$D$803)))</f>
        <v/>
      </c>
      <c r="CU147" s="8" t="str">
        <f>IF($B147="","",IF(COUNTIF('Competency Event Log'!$U$4:$U$803,$B147&amp;"|"&amp;CU$5)=0,"",SUMIF('Competency Event Log'!$U$4:$U$803,$B147&amp;"|"&amp;CU$5,'Competency Event Log'!$D$4:$D$803)))</f>
        <v/>
      </c>
      <c r="CV147" s="8" t="str">
        <f>IF($B147="","",IF(COUNTIF('Competency Event Log'!$U$4:$U$803,$B147&amp;"|"&amp;CV$5)=0,"",SUMIF('Competency Event Log'!$U$4:$U$803,$B147&amp;"|"&amp;CV$5,'Competency Event Log'!$D$4:$D$803)))</f>
        <v/>
      </c>
      <c r="CW147" s="8" t="str">
        <f>IF($B147="","",IF(COUNTIF('Competency Event Log'!$U$4:$U$803,$B147&amp;"|"&amp;CW$5)=0,"",SUMIF('Competency Event Log'!$U$4:$U$803,$B147&amp;"|"&amp;CW$5,'Competency Event Log'!$D$4:$D$803)))</f>
        <v/>
      </c>
      <c r="CX147" s="8" t="str">
        <f>IF($B147="","",IF(COUNTIF('Competency Event Log'!$U$4:$U$803,$B147&amp;"|"&amp;CX$5)=0,"",SUMIF('Competency Event Log'!$U$4:$U$803,$B147&amp;"|"&amp;CX$5,'Competency Event Log'!$D$4:$D$803)))</f>
        <v/>
      </c>
      <c r="CY147" s="8" t="str">
        <f>IF($B147="","",IF(COUNTIF('Competency Event Log'!$U$4:$U$803,$B147&amp;"|"&amp;CY$5)=0,"",SUMIF('Competency Event Log'!$U$4:$U$803,$B147&amp;"|"&amp;CY$5,'Competency Event Log'!$D$4:$D$803)))</f>
        <v/>
      </c>
      <c r="CZ147" s="8" t="str">
        <f>IF($B147="","",IF(COUNTIF('Competency Event Log'!$U$4:$U$803,$B147&amp;"|"&amp;CZ$5)=0,"",SUMIF('Competency Event Log'!$U$4:$U$803,$B147&amp;"|"&amp;CZ$5,'Competency Event Log'!$D$4:$D$803)))</f>
        <v/>
      </c>
      <c r="DA147" s="8" t="str">
        <f>IF($B147="","",IF(COUNTIF('Competency Event Log'!$U$4:$U$803,$B147&amp;"|"&amp;DA$5)=0,"",SUMIF('Competency Event Log'!$U$4:$U$803,$B147&amp;"|"&amp;DA$5,'Competency Event Log'!$D$4:$D$803)))</f>
        <v/>
      </c>
      <c r="DB147" s="8" t="str">
        <f>IF($B147="","",IF(COUNTIF('Competency Event Log'!$U$4:$U$803,$B147&amp;"|"&amp;DB$5)=0,"",SUMIF('Competency Event Log'!$U$4:$U$803,$B147&amp;"|"&amp;DB$5,'Competency Event Log'!$D$4:$D$803)))</f>
        <v/>
      </c>
      <c r="DC147" s="8" t="str">
        <f>IF($B147="","",IF(COUNTIF('Competency Event Log'!$U$4:$U$803,$B147&amp;"|"&amp;DC$5)=0,"",SUMIF('Competency Event Log'!$U$4:$U$803,$B147&amp;"|"&amp;DC$5,'Competency Event Log'!$D$4:$D$803)))</f>
        <v/>
      </c>
      <c r="DD147" s="8" t="str">
        <f>IF($B147="","",IF(COUNTIF('Competency Event Log'!$U$4:$U$803,$B147&amp;"|"&amp;DD$5)=0,"",SUMIF('Competency Event Log'!$U$4:$U$803,$B147&amp;"|"&amp;DD$5,'Competency Event Log'!$D$4:$D$803)))</f>
        <v/>
      </c>
      <c r="DE147" s="8" t="str">
        <f>IF($B147="","",IF(COUNTIF('Competency Event Log'!$U$4:$U$803,$B147&amp;"|"&amp;DE$5)=0,"",SUMIF('Competency Event Log'!$U$4:$U$803,$B147&amp;"|"&amp;DE$5,'Competency Event Log'!$D$4:$D$803)))</f>
        <v/>
      </c>
      <c r="DF147" s="8" t="str">
        <f t="shared" si="16"/>
        <v/>
      </c>
      <c r="DG147" s="8" t="str">
        <f t="shared" si="17"/>
        <v/>
      </c>
      <c r="DH147" s="8" t="str">
        <f t="shared" si="18"/>
        <v/>
      </c>
      <c r="DI147" s="11" t="str">
        <f t="shared" si="19"/>
        <v/>
      </c>
    </row>
    <row r="148" spans="1:113">
      <c r="A148" s="7"/>
      <c r="B148" s="7"/>
      <c r="C148" s="8"/>
      <c r="D148" s="9"/>
      <c r="E148" s="10"/>
      <c r="F148" s="8"/>
      <c r="G148" s="8" t="str">
        <f>IF($B148="","",IF(COUNTIF('Competency Event Log'!$U$4:$U$803,$B148&amp;"|"&amp;G$5)=0,"",SUMIF('Competency Event Log'!$U$4:$U$803,$B148&amp;"|"&amp;G$5,'Competency Event Log'!$D$4:$D$803)))</f>
        <v/>
      </c>
      <c r="H148" s="8" t="str">
        <f>IF($B148="","",IF(COUNTIF('Competency Event Log'!$U$4:$U$803,$B148&amp;"|"&amp;H$5)=0,"",SUMIF('Competency Event Log'!$U$4:$U$803,$B148&amp;"|"&amp;H$5,'Competency Event Log'!$D$4:$D$803)))</f>
        <v/>
      </c>
      <c r="I148" s="8" t="str">
        <f>IF($B148="","",IF(COUNTIF('Competency Event Log'!$U$4:$U$803,$B148&amp;"|"&amp;I$5)=0,"",SUMIF('Competency Event Log'!$U$4:$U$803,$B148&amp;"|"&amp;I$5,'Competency Event Log'!$D$4:$D$803)))</f>
        <v/>
      </c>
      <c r="J148" s="8" t="str">
        <f>IF($B148="","",IF(COUNTIF('Competency Event Log'!$U$4:$U$803,$B148&amp;"|"&amp;J$5)=0,"",SUMIF('Competency Event Log'!$U$4:$U$803,$B148&amp;"|"&amp;J$5,'Competency Event Log'!$D$4:$D$803)))</f>
        <v/>
      </c>
      <c r="K148" s="8" t="str">
        <f>IF($B148="","",IF(COUNTIF('Competency Event Log'!$U$4:$U$803,$B148&amp;"|"&amp;K$5)=0,"",SUMIF('Competency Event Log'!$U$4:$U$803,$B148&amp;"|"&amp;K$5,'Competency Event Log'!$D$4:$D$803)))</f>
        <v/>
      </c>
      <c r="L148" s="8" t="str">
        <f>IF($B148="","",IF(COUNTIF('Competency Event Log'!$U$4:$U$803,$B148&amp;"|"&amp;L$5)=0,"",SUMIF('Competency Event Log'!$U$4:$U$803,$B148&amp;"|"&amp;L$5,'Competency Event Log'!$D$4:$D$803)))</f>
        <v/>
      </c>
      <c r="M148" s="8" t="str">
        <f>IF($B148="","",IF(COUNTIF('Competency Event Log'!$U$4:$U$803,$B148&amp;"|"&amp;M$5)=0,"",SUMIF('Competency Event Log'!$U$4:$U$803,$B148&amp;"|"&amp;M$5,'Competency Event Log'!$D$4:$D$803)))</f>
        <v/>
      </c>
      <c r="N148" s="8" t="str">
        <f>IF($B148="","",IF(COUNTIF('Competency Event Log'!$U$4:$U$803,$B148&amp;"|"&amp;N$5)=0,"",SUMIF('Competency Event Log'!$U$4:$U$803,$B148&amp;"|"&amp;N$5,'Competency Event Log'!$D$4:$D$803)))</f>
        <v/>
      </c>
      <c r="O148" s="8" t="str">
        <f>IF($B148="","",IF(COUNTIF('Competency Event Log'!$U$4:$U$803,$B148&amp;"|"&amp;O$5)=0,"",SUMIF('Competency Event Log'!$U$4:$U$803,$B148&amp;"|"&amp;O$5,'Competency Event Log'!$D$4:$D$803)))</f>
        <v/>
      </c>
      <c r="P148" s="8" t="str">
        <f>IF($B148="","",IF(COUNTIF('Competency Event Log'!$U$4:$U$803,$B148&amp;"|"&amp;P$5)=0,"",SUMIF('Competency Event Log'!$U$4:$U$803,$B148&amp;"|"&amp;P$5,'Competency Event Log'!$D$4:$D$803)))</f>
        <v/>
      </c>
      <c r="Q148" s="8" t="str">
        <f>IF($B148="","",IF(COUNTIF('Competency Event Log'!$U$4:$U$803,$B148&amp;"|"&amp;Q$5)=0,"",SUMIF('Competency Event Log'!$U$4:$U$803,$B148&amp;"|"&amp;Q$5,'Competency Event Log'!$D$4:$D$803)))</f>
        <v/>
      </c>
      <c r="R148" s="8" t="str">
        <f>IF($B148="","",IF(COUNTIF('Competency Event Log'!$U$4:$U$803,$B148&amp;"|"&amp;R$5)=0,"",SUMIF('Competency Event Log'!$U$4:$U$803,$B148&amp;"|"&amp;R$5,'Competency Event Log'!$D$4:$D$803)))</f>
        <v/>
      </c>
      <c r="S148" s="8" t="str">
        <f>IF($B148="","",IF(COUNTIF('Competency Event Log'!$U$4:$U$803,$B148&amp;"|"&amp;S$5)=0,"",SUMIF('Competency Event Log'!$U$4:$U$803,$B148&amp;"|"&amp;S$5,'Competency Event Log'!$D$4:$D$803)))</f>
        <v/>
      </c>
      <c r="T148" s="8" t="str">
        <f>IF($B148="","",IF(COUNTIF('Competency Event Log'!$U$4:$U$803,$B148&amp;"|"&amp;T$5)=0,"",SUMIF('Competency Event Log'!$U$4:$U$803,$B148&amp;"|"&amp;T$5,'Competency Event Log'!$D$4:$D$803)))</f>
        <v/>
      </c>
      <c r="U148" s="8" t="str">
        <f>IF($B148="","",IF(COUNTIF('Competency Event Log'!$U$4:$U$803,$B148&amp;"|"&amp;U$5)=0,"",SUMIF('Competency Event Log'!$U$4:$U$803,$B148&amp;"|"&amp;U$5,'Competency Event Log'!$D$4:$D$803)))</f>
        <v/>
      </c>
      <c r="V148" s="8" t="str">
        <f>IF($B148="","",IF(COUNTIF('Competency Event Log'!$U$4:$U$803,$B148&amp;"|"&amp;V$5)=0,"",SUMIF('Competency Event Log'!$U$4:$U$803,$B148&amp;"|"&amp;V$5,'Competency Event Log'!$D$4:$D$803)))</f>
        <v/>
      </c>
      <c r="W148" s="8" t="str">
        <f>IF($B148="","",IF(COUNTIF('Competency Event Log'!$U$4:$U$803,$B148&amp;"|"&amp;W$5)=0,"",SUMIF('Competency Event Log'!$U$4:$U$803,$B148&amp;"|"&amp;W$5,'Competency Event Log'!$D$4:$D$803)))</f>
        <v/>
      </c>
      <c r="X148" s="8" t="str">
        <f>IF($B148="","",IF(COUNTIF('Competency Event Log'!$U$4:$U$803,$B148&amp;"|"&amp;X$5)=0,"",SUMIF('Competency Event Log'!$U$4:$U$803,$B148&amp;"|"&amp;X$5,'Competency Event Log'!$D$4:$D$803)))</f>
        <v/>
      </c>
      <c r="Y148" s="8" t="str">
        <f>IF($B148="","",IF(COUNTIF('Competency Event Log'!$U$4:$U$803,$B148&amp;"|"&amp;Y$5)=0,"",SUMIF('Competency Event Log'!$U$4:$U$803,$B148&amp;"|"&amp;Y$5,'Competency Event Log'!$D$4:$D$803)))</f>
        <v/>
      </c>
      <c r="Z148" s="8" t="str">
        <f>IF($B148="","",IF(COUNTIF('Competency Event Log'!$U$4:$U$803,$B148&amp;"|"&amp;Z$5)=0,"",SUMIF('Competency Event Log'!$U$4:$U$803,$B148&amp;"|"&amp;Z$5,'Competency Event Log'!$D$4:$D$803)))</f>
        <v/>
      </c>
      <c r="AA148" s="8" t="str">
        <f>IF($B148="","",IF(COUNTIF('Competency Event Log'!$U$4:$U$803,$B148&amp;"|"&amp;AA$5)=0,"",SUMIF('Competency Event Log'!$U$4:$U$803,$B148&amp;"|"&amp;AA$5,'Competency Event Log'!$D$4:$D$803)))</f>
        <v/>
      </c>
      <c r="AB148" s="8" t="str">
        <f>IF($B148="","",IF(COUNTIF('Competency Event Log'!$U$4:$U$803,$B148&amp;"|"&amp;AB$5)=0,"",SUMIF('Competency Event Log'!$U$4:$U$803,$B148&amp;"|"&amp;AB$5,'Competency Event Log'!$D$4:$D$803)))</f>
        <v/>
      </c>
      <c r="AC148" s="8" t="str">
        <f>IF($B148="","",IF(COUNTIF('Competency Event Log'!$U$4:$U$803,$B148&amp;"|"&amp;AC$5)=0,"",SUMIF('Competency Event Log'!$U$4:$U$803,$B148&amp;"|"&amp;AC$5,'Competency Event Log'!$D$4:$D$803)))</f>
        <v/>
      </c>
      <c r="AD148" s="8" t="str">
        <f>IF($B148="","",IF(COUNTIF('Competency Event Log'!$U$4:$U$803,$B148&amp;"|"&amp;AD$5)=0,"",SUMIF('Competency Event Log'!$U$4:$U$803,$B148&amp;"|"&amp;AD$5,'Competency Event Log'!$D$4:$D$803)))</f>
        <v/>
      </c>
      <c r="AE148" s="8" t="str">
        <f>IF($B148="","",IF(COUNTIF('Competency Event Log'!$U$4:$U$803,$B148&amp;"|"&amp;AE$5)=0,"",SUMIF('Competency Event Log'!$U$4:$U$803,$B148&amp;"|"&amp;AE$5,'Competency Event Log'!$D$4:$D$803)))</f>
        <v/>
      </c>
      <c r="AF148" s="8" t="str">
        <f>IF($B148="","",IF(COUNTIF('Competency Event Log'!$U$4:$U$803,$B148&amp;"|"&amp;AF$5)=0,"",SUMIF('Competency Event Log'!$U$4:$U$803,$B148&amp;"|"&amp;AF$5,'Competency Event Log'!$D$4:$D$803)))</f>
        <v/>
      </c>
      <c r="AG148" s="8" t="str">
        <f>IF($B148="","",IF(COUNTIF('Competency Event Log'!$U$4:$U$803,$B148&amp;"|"&amp;AG$5)=0,"",SUMIF('Competency Event Log'!$U$4:$U$803,$B148&amp;"|"&amp;AG$5,'Competency Event Log'!$D$4:$D$803)))</f>
        <v/>
      </c>
      <c r="AH148" s="8" t="str">
        <f>IF($B148="","",IF(COUNTIF('Competency Event Log'!$U$4:$U$803,$B148&amp;"|"&amp;AH$5)=0,"",SUMIF('Competency Event Log'!$U$4:$U$803,$B148&amp;"|"&amp;AH$5,'Competency Event Log'!$D$4:$D$803)))</f>
        <v/>
      </c>
      <c r="AI148" s="8" t="str">
        <f>IF($B148="","",IF(COUNTIF('Competency Event Log'!$U$4:$U$803,$B148&amp;"|"&amp;AI$5)=0,"",SUMIF('Competency Event Log'!$U$4:$U$803,$B148&amp;"|"&amp;AI$5,'Competency Event Log'!$D$4:$D$803)))</f>
        <v/>
      </c>
      <c r="AJ148" s="8" t="str">
        <f>IF($B148="","",IF(COUNTIF('Competency Event Log'!$U$4:$U$803,$B148&amp;"|"&amp;AJ$5)=0,"",SUMIF('Competency Event Log'!$U$4:$U$803,$B148&amp;"|"&amp;AJ$5,'Competency Event Log'!$D$4:$D$803)))</f>
        <v/>
      </c>
      <c r="AK148" s="8" t="str">
        <f>IF($B148="","",IF(COUNTIF('Competency Event Log'!$U$4:$U$803,$B148&amp;"|"&amp;AK$5)=0,"",SUMIF('Competency Event Log'!$U$4:$U$803,$B148&amp;"|"&amp;AK$5,'Competency Event Log'!$D$4:$D$803)))</f>
        <v/>
      </c>
      <c r="AL148" s="8" t="str">
        <f>IF($B148="","",IF(COUNTIF('Competency Event Log'!$U$4:$U$803,$B148&amp;"|"&amp;AL$5)=0,"",SUMIF('Competency Event Log'!$U$4:$U$803,$B148&amp;"|"&amp;AL$5,'Competency Event Log'!$D$4:$D$803)))</f>
        <v/>
      </c>
      <c r="AM148" s="8" t="str">
        <f>IF($B148="","",IF(COUNTIF('Competency Event Log'!$U$4:$U$803,$B148&amp;"|"&amp;AM$5)=0,"",SUMIF('Competency Event Log'!$U$4:$U$803,$B148&amp;"|"&amp;AM$5,'Competency Event Log'!$D$4:$D$803)))</f>
        <v/>
      </c>
      <c r="AN148" s="8" t="str">
        <f>IF($B148="","",IF(COUNTIF('Competency Event Log'!$U$4:$U$803,$B148&amp;"|"&amp;AN$5)=0,"",SUMIF('Competency Event Log'!$U$4:$U$803,$B148&amp;"|"&amp;AN$5,'Competency Event Log'!$D$4:$D$803)))</f>
        <v/>
      </c>
      <c r="AO148" s="8" t="str">
        <f>IF($B148="","",IF(COUNTIF('Competency Event Log'!$U$4:$U$803,$B148&amp;"|"&amp;AO$5)=0,"",SUMIF('Competency Event Log'!$U$4:$U$803,$B148&amp;"|"&amp;AO$5,'Competency Event Log'!$D$4:$D$803)))</f>
        <v/>
      </c>
      <c r="AP148" s="8" t="str">
        <f>IF($B148="","",IF(COUNTIF('Competency Event Log'!$U$4:$U$803,$B148&amp;"|"&amp;AP$5)=0,"",SUMIF('Competency Event Log'!$U$4:$U$803,$B148&amp;"|"&amp;AP$5,'Competency Event Log'!$D$4:$D$803)))</f>
        <v/>
      </c>
      <c r="AQ148" s="8" t="str">
        <f>IF($B148="","",IF(COUNTIF('Competency Event Log'!$U$4:$U$803,$B148&amp;"|"&amp;AQ$5)=0,"",SUMIF('Competency Event Log'!$U$4:$U$803,$B148&amp;"|"&amp;AQ$5,'Competency Event Log'!$D$4:$D$803)))</f>
        <v/>
      </c>
      <c r="AR148" s="8" t="str">
        <f>IF($B148="","",IF(COUNTIF('Competency Event Log'!$U$4:$U$803,$B148&amp;"|"&amp;AR$5)=0,"",SUMIF('Competency Event Log'!$U$4:$U$803,$B148&amp;"|"&amp;AR$5,'Competency Event Log'!$D$4:$D$803)))</f>
        <v/>
      </c>
      <c r="AS148" s="8" t="str">
        <f>IF($B148="","",IF(COUNTIF('Competency Event Log'!$U$4:$U$803,$B148&amp;"|"&amp;AS$5)=0,"",SUMIF('Competency Event Log'!$U$4:$U$803,$B148&amp;"|"&amp;AS$5,'Competency Event Log'!$D$4:$D$803)))</f>
        <v/>
      </c>
      <c r="AT148" s="8" t="str">
        <f>IF($B148="","",IF(COUNTIF('Competency Event Log'!$U$4:$U$803,$B148&amp;"|"&amp;AT$5)=0,"",SUMIF('Competency Event Log'!$U$4:$U$803,$B148&amp;"|"&amp;AT$5,'Competency Event Log'!$D$4:$D$803)))</f>
        <v/>
      </c>
      <c r="AU148" s="8" t="str">
        <f>IF($B148="","",IF(COUNTIF('Competency Event Log'!$U$4:$U$803,$B148&amp;"|"&amp;AU$5)=0,"",SUMIF('Competency Event Log'!$U$4:$U$803,$B148&amp;"|"&amp;AU$5,'Competency Event Log'!$D$4:$D$803)))</f>
        <v/>
      </c>
      <c r="AV148" s="8" t="str">
        <f>IF($B148="","",IF(COUNTIF('Competency Event Log'!$U$4:$U$803,$B148&amp;"|"&amp;AV$5)=0,"",SUMIF('Competency Event Log'!$U$4:$U$803,$B148&amp;"|"&amp;AV$5,'Competency Event Log'!$D$4:$D$803)))</f>
        <v/>
      </c>
      <c r="AW148" s="8" t="str">
        <f>IF($B148="","",IF(COUNTIF('Competency Event Log'!$U$4:$U$803,$B148&amp;"|"&amp;AW$5)=0,"",SUMIF('Competency Event Log'!$U$4:$U$803,$B148&amp;"|"&amp;AW$5,'Competency Event Log'!$D$4:$D$803)))</f>
        <v/>
      </c>
      <c r="AX148" s="8" t="str">
        <f>IF($B148="","",IF(COUNTIF('Competency Event Log'!$U$4:$U$803,$B148&amp;"|"&amp;AX$5)=0,"",SUMIF('Competency Event Log'!$U$4:$U$803,$B148&amp;"|"&amp;AX$5,'Competency Event Log'!$D$4:$D$803)))</f>
        <v/>
      </c>
      <c r="AY148" s="8" t="str">
        <f>IF($B148="","",IF(COUNTIF('Competency Event Log'!$U$4:$U$803,$B148&amp;"|"&amp;AY$5)=0,"",SUMIF('Competency Event Log'!$U$4:$U$803,$B148&amp;"|"&amp;AY$5,'Competency Event Log'!$D$4:$D$803)))</f>
        <v/>
      </c>
      <c r="AZ148" s="8" t="str">
        <f>IF($B148="","",IF(COUNTIF('Competency Event Log'!$U$4:$U$803,$B148&amp;"|"&amp;AZ$5)=0,"",SUMIF('Competency Event Log'!$U$4:$U$803,$B148&amp;"|"&amp;AZ$5,'Competency Event Log'!$D$4:$D$803)))</f>
        <v/>
      </c>
      <c r="BA148" s="8" t="str">
        <f>IF($B148="","",IF(COUNTIF('Competency Event Log'!$U$4:$U$803,$B148&amp;"|"&amp;BA$5)=0,"",SUMIF('Competency Event Log'!$U$4:$U$803,$B148&amp;"|"&amp;BA$5,'Competency Event Log'!$D$4:$D$803)))</f>
        <v/>
      </c>
      <c r="BB148" s="8" t="str">
        <f>IF($B148="","",IF(COUNTIF('Competency Event Log'!$U$4:$U$803,$B148&amp;"|"&amp;BB$5)=0,"",SUMIF('Competency Event Log'!$U$4:$U$803,$B148&amp;"|"&amp;BB$5,'Competency Event Log'!$D$4:$D$803)))</f>
        <v/>
      </c>
      <c r="BC148" s="8" t="str">
        <f>IF($B148="","",IF(COUNTIF('Competency Event Log'!$U$4:$U$803,$B148&amp;"|"&amp;BC$5)=0,"",SUMIF('Competency Event Log'!$U$4:$U$803,$B148&amp;"|"&amp;BC$5,'Competency Event Log'!$D$4:$D$803)))</f>
        <v/>
      </c>
      <c r="BD148" s="8" t="str">
        <f>IF($B148="","",IF(COUNTIF('Competency Event Log'!$U$4:$U$803,$B148&amp;"|"&amp;BD$5)=0,"",SUMIF('Competency Event Log'!$U$4:$U$803,$B148&amp;"|"&amp;BD$5,'Competency Event Log'!$D$4:$D$803)))</f>
        <v/>
      </c>
      <c r="BE148" s="8" t="str">
        <f>IF($B148="","",IF(COUNTIF('Competency Event Log'!$U$4:$U$803,$B148&amp;"|"&amp;BE$5)=0,"",SUMIF('Competency Event Log'!$U$4:$U$803,$B148&amp;"|"&amp;BE$5,'Competency Event Log'!$D$4:$D$803)))</f>
        <v/>
      </c>
      <c r="BF148" s="8" t="str">
        <f>IF($B148="","",IF(COUNTIF('Competency Event Log'!$U$4:$U$803,$B148&amp;"|"&amp;BF$5)=0,"",SUMIF('Competency Event Log'!$U$4:$U$803,$B148&amp;"|"&amp;BF$5,'Competency Event Log'!$D$4:$D$803)))</f>
        <v/>
      </c>
      <c r="BG148" s="8" t="str">
        <f>IF($B148="","",IF(COUNTIF('Competency Event Log'!$U$4:$U$803,$B148&amp;"|"&amp;BG$5)=0,"",SUMIF('Competency Event Log'!$U$4:$U$803,$B148&amp;"|"&amp;BG$5,'Competency Event Log'!$D$4:$D$803)))</f>
        <v/>
      </c>
      <c r="BH148" s="8" t="str">
        <f>IF($B148="","",IF(COUNTIF('Competency Event Log'!$U$4:$U$803,$B148&amp;"|"&amp;BH$5)=0,"",SUMIF('Competency Event Log'!$U$4:$U$803,$B148&amp;"|"&amp;BH$5,'Competency Event Log'!$D$4:$D$803)))</f>
        <v/>
      </c>
      <c r="BI148" s="8" t="str">
        <f>IF($B148="","",IF(COUNTIF('Competency Event Log'!$U$4:$U$803,$B148&amp;"|"&amp;BI$5)=0,"",SUMIF('Competency Event Log'!$U$4:$U$803,$B148&amp;"|"&amp;BI$5,'Competency Event Log'!$D$4:$D$803)))</f>
        <v/>
      </c>
      <c r="BJ148" s="8" t="str">
        <f>IF($B148="","",IF(COUNTIF('Competency Event Log'!$U$4:$U$803,$B148&amp;"|"&amp;BJ$5)=0,"",SUMIF('Competency Event Log'!$U$4:$U$803,$B148&amp;"|"&amp;BJ$5,'Competency Event Log'!$D$4:$D$803)))</f>
        <v/>
      </c>
      <c r="BK148" s="8" t="str">
        <f>IF($B148="","",IF(COUNTIF('Competency Event Log'!$U$4:$U$803,$B148&amp;"|"&amp;BK$5)=0,"",SUMIF('Competency Event Log'!$U$4:$U$803,$B148&amp;"|"&amp;BK$5,'Competency Event Log'!$D$4:$D$803)))</f>
        <v/>
      </c>
      <c r="BL148" s="8" t="str">
        <f>IF($B148="","",IF(COUNTIF('Competency Event Log'!$U$4:$U$803,$B148&amp;"|"&amp;BL$5)=0,"",SUMIF('Competency Event Log'!$U$4:$U$803,$B148&amp;"|"&amp;BL$5,'Competency Event Log'!$D$4:$D$803)))</f>
        <v/>
      </c>
      <c r="BM148" s="8" t="str">
        <f>IF($B148="","",IF(COUNTIF('Competency Event Log'!$U$4:$U$803,$B148&amp;"|"&amp;BM$5)=0,"",SUMIF('Competency Event Log'!$U$4:$U$803,$B148&amp;"|"&amp;BM$5,'Competency Event Log'!$D$4:$D$803)))</f>
        <v/>
      </c>
      <c r="BN148" s="8" t="str">
        <f>IF($B148="","",IF(COUNTIF('Competency Event Log'!$U$4:$U$803,$B148&amp;"|"&amp;BN$5)=0,"",SUMIF('Competency Event Log'!$U$4:$U$803,$B148&amp;"|"&amp;BN$5,'Competency Event Log'!$D$4:$D$803)))</f>
        <v/>
      </c>
      <c r="BO148" s="8" t="str">
        <f>IF($B148="","",IF(COUNTIF('Competency Event Log'!$U$4:$U$803,$B148&amp;"|"&amp;BO$5)=0,"",SUMIF('Competency Event Log'!$U$4:$U$803,$B148&amp;"|"&amp;BO$5,'Competency Event Log'!$D$4:$D$803)))</f>
        <v/>
      </c>
      <c r="BP148" s="8" t="str">
        <f>IF($B148="","",IF(COUNTIF('Competency Event Log'!$U$4:$U$803,$B148&amp;"|"&amp;BP$5)=0,"",SUMIF('Competency Event Log'!$U$4:$U$803,$B148&amp;"|"&amp;BP$5,'Competency Event Log'!$D$4:$D$803)))</f>
        <v/>
      </c>
      <c r="BQ148" s="8" t="str">
        <f>IF($B148="","",IF(COUNTIF('Competency Event Log'!$U$4:$U$803,$B148&amp;"|"&amp;BQ$5)=0,"",SUMIF('Competency Event Log'!$U$4:$U$803,$B148&amp;"|"&amp;BQ$5,'Competency Event Log'!$D$4:$D$803)))</f>
        <v/>
      </c>
      <c r="BR148" s="8" t="str">
        <f>IF($B148="","",IF(COUNTIF('Competency Event Log'!$U$4:$U$803,$B148&amp;"|"&amp;BR$5)=0,"",SUMIF('Competency Event Log'!$U$4:$U$803,$B148&amp;"|"&amp;BR$5,'Competency Event Log'!$D$4:$D$803)))</f>
        <v/>
      </c>
      <c r="BS148" s="8" t="str">
        <f>IF($B148="","",IF(COUNTIF('Competency Event Log'!$U$4:$U$803,$B148&amp;"|"&amp;BS$5)=0,"",SUMIF('Competency Event Log'!$U$4:$U$803,$B148&amp;"|"&amp;BS$5,'Competency Event Log'!$D$4:$D$803)))</f>
        <v/>
      </c>
      <c r="BT148" s="8" t="str">
        <f>IF($B148="","",IF(COUNTIF('Competency Event Log'!$U$4:$U$803,$B148&amp;"|"&amp;BT$5)=0,"",SUMIF('Competency Event Log'!$U$4:$U$803,$B148&amp;"|"&amp;BT$5,'Competency Event Log'!$D$4:$D$803)))</f>
        <v/>
      </c>
      <c r="BU148" s="8" t="str">
        <f>IF($B148="","",IF(COUNTIF('Competency Event Log'!$U$4:$U$803,$B148&amp;"|"&amp;BU$5)=0,"",SUMIF('Competency Event Log'!$U$4:$U$803,$B148&amp;"|"&amp;BU$5,'Competency Event Log'!$D$4:$D$803)))</f>
        <v/>
      </c>
      <c r="BV148" s="8" t="str">
        <f>IF($B148="","",IF(COUNTIF('Competency Event Log'!$U$4:$U$803,$B148&amp;"|"&amp;BV$5)=0,"",SUMIF('Competency Event Log'!$U$4:$U$803,$B148&amp;"|"&amp;BV$5,'Competency Event Log'!$D$4:$D$803)))</f>
        <v/>
      </c>
      <c r="BW148" s="8" t="str">
        <f>IF($B148="","",IF(COUNTIF('Competency Event Log'!$U$4:$U$803,$B148&amp;"|"&amp;BW$5)=0,"",SUMIF('Competency Event Log'!$U$4:$U$803,$B148&amp;"|"&amp;BW$5,'Competency Event Log'!$D$4:$D$803)))</f>
        <v/>
      </c>
      <c r="BX148" s="8" t="str">
        <f>IF($B148="","",IF(COUNTIF('Competency Event Log'!$U$4:$U$803,$B148&amp;"|"&amp;BX$5)=0,"",SUMIF('Competency Event Log'!$U$4:$U$803,$B148&amp;"|"&amp;BX$5,'Competency Event Log'!$D$4:$D$803)))</f>
        <v/>
      </c>
      <c r="BY148" s="8" t="str">
        <f>IF($B148="","",IF(COUNTIF('Competency Event Log'!$U$4:$U$803,$B148&amp;"|"&amp;BY$5)=0,"",SUMIF('Competency Event Log'!$U$4:$U$803,$B148&amp;"|"&amp;BY$5,'Competency Event Log'!$D$4:$D$803)))</f>
        <v/>
      </c>
      <c r="BZ148" s="8" t="str">
        <f>IF($B148="","",IF(COUNTIF('Competency Event Log'!$U$4:$U$803,$B148&amp;"|"&amp;BZ$5)=0,"",SUMIF('Competency Event Log'!$U$4:$U$803,$B148&amp;"|"&amp;BZ$5,'Competency Event Log'!$D$4:$D$803)))</f>
        <v/>
      </c>
      <c r="CA148" s="8" t="str">
        <f>IF($B148="","",IF(COUNTIF('Competency Event Log'!$U$4:$U$803,$B148&amp;"|"&amp;CA$5)=0,"",SUMIF('Competency Event Log'!$U$4:$U$803,$B148&amp;"|"&amp;CA$5,'Competency Event Log'!$D$4:$D$803)))</f>
        <v/>
      </c>
      <c r="CB148" s="8" t="str">
        <f>IF($B148="","",IF(COUNTIF('Competency Event Log'!$U$4:$U$803,$B148&amp;"|"&amp;CB$5)=0,"",SUMIF('Competency Event Log'!$U$4:$U$803,$B148&amp;"|"&amp;CB$5,'Competency Event Log'!$D$4:$D$803)))</f>
        <v/>
      </c>
      <c r="CC148" s="8" t="str">
        <f>IF($B148="","",IF(COUNTIF('Competency Event Log'!$U$4:$U$803,$B148&amp;"|"&amp;CC$5)=0,"",SUMIF('Competency Event Log'!$U$4:$U$803,$B148&amp;"|"&amp;CC$5,'Competency Event Log'!$D$4:$D$803)))</f>
        <v/>
      </c>
      <c r="CD148" s="8" t="str">
        <f>IF($B148="","",IF(COUNTIF('Competency Event Log'!$U$4:$U$803,$B148&amp;"|"&amp;CD$5)=0,"",SUMIF('Competency Event Log'!$U$4:$U$803,$B148&amp;"|"&amp;CD$5,'Competency Event Log'!$D$4:$D$803)))</f>
        <v/>
      </c>
      <c r="CE148" s="8" t="str">
        <f>IF($B148="","",IF(COUNTIF('Competency Event Log'!$U$4:$U$803,$B148&amp;"|"&amp;CE$5)=0,"",SUMIF('Competency Event Log'!$U$4:$U$803,$B148&amp;"|"&amp;CE$5,'Competency Event Log'!$D$4:$D$803)))</f>
        <v/>
      </c>
      <c r="CF148" s="8" t="str">
        <f>IF($B148="","",IF(COUNTIF('Competency Event Log'!$U$4:$U$803,$B148&amp;"|"&amp;CF$5)=0,"",SUMIF('Competency Event Log'!$U$4:$U$803,$B148&amp;"|"&amp;CF$5,'Competency Event Log'!$D$4:$D$803)))</f>
        <v/>
      </c>
      <c r="CG148" s="8" t="str">
        <f>IF($B148="","",IF(COUNTIF('Competency Event Log'!$U$4:$U$803,$B148&amp;"|"&amp;CG$5)=0,"",SUMIF('Competency Event Log'!$U$4:$U$803,$B148&amp;"|"&amp;CG$5,'Competency Event Log'!$D$4:$D$803)))</f>
        <v/>
      </c>
      <c r="CH148" s="8" t="str">
        <f>IF($B148="","",IF(COUNTIF('Competency Event Log'!$U$4:$U$803,$B148&amp;"|"&amp;CH$5)=0,"",SUMIF('Competency Event Log'!$U$4:$U$803,$B148&amp;"|"&amp;CH$5,'Competency Event Log'!$D$4:$D$803)))</f>
        <v/>
      </c>
      <c r="CI148" s="8" t="str">
        <f>IF($B148="","",IF(COUNTIF('Competency Event Log'!$U$4:$U$803,$B148&amp;"|"&amp;CI$5)=0,"",SUMIF('Competency Event Log'!$U$4:$U$803,$B148&amp;"|"&amp;CI$5,'Competency Event Log'!$D$4:$D$803)))</f>
        <v/>
      </c>
      <c r="CJ148" s="8" t="str">
        <f>IF($B148="","",IF(COUNTIF('Competency Event Log'!$U$4:$U$803,$B148&amp;"|"&amp;CJ$5)=0,"",SUMIF('Competency Event Log'!$U$4:$U$803,$B148&amp;"|"&amp;CJ$5,'Competency Event Log'!$D$4:$D$803)))</f>
        <v/>
      </c>
      <c r="CK148" s="8" t="str">
        <f>IF($B148="","",IF(COUNTIF('Competency Event Log'!$U$4:$U$803,$B148&amp;"|"&amp;CK$5)=0,"",SUMIF('Competency Event Log'!$U$4:$U$803,$B148&amp;"|"&amp;CK$5,'Competency Event Log'!$D$4:$D$803)))</f>
        <v/>
      </c>
      <c r="CL148" s="8" t="str">
        <f>IF($B148="","",IF(COUNTIF('Competency Event Log'!$U$4:$U$803,$B148&amp;"|"&amp;CL$5)=0,"",SUMIF('Competency Event Log'!$U$4:$U$803,$B148&amp;"|"&amp;CL$5,'Competency Event Log'!$D$4:$D$803)))</f>
        <v/>
      </c>
      <c r="CM148" s="8" t="str">
        <f>IF($B148="","",IF(COUNTIF('Competency Event Log'!$U$4:$U$803,$B148&amp;"|"&amp;CM$5)=0,"",SUMIF('Competency Event Log'!$U$4:$U$803,$B148&amp;"|"&amp;CM$5,'Competency Event Log'!$D$4:$D$803)))</f>
        <v/>
      </c>
      <c r="CN148" s="8" t="str">
        <f>IF($B148="","",IF(COUNTIF('Competency Event Log'!$U$4:$U$803,$B148&amp;"|"&amp;CN$5)=0,"",SUMIF('Competency Event Log'!$U$4:$U$803,$B148&amp;"|"&amp;CN$5,'Competency Event Log'!$D$4:$D$803)))</f>
        <v/>
      </c>
      <c r="CO148" s="8" t="str">
        <f>IF($B148="","",IF(COUNTIF('Competency Event Log'!$U$4:$U$803,$B148&amp;"|"&amp;CO$5)=0,"",SUMIF('Competency Event Log'!$U$4:$U$803,$B148&amp;"|"&amp;CO$5,'Competency Event Log'!$D$4:$D$803)))</f>
        <v/>
      </c>
      <c r="CP148" s="8" t="str">
        <f>IF($B148="","",IF(COUNTIF('Competency Event Log'!$U$4:$U$803,$B148&amp;"|"&amp;CP$5)=0,"",SUMIF('Competency Event Log'!$U$4:$U$803,$B148&amp;"|"&amp;CP$5,'Competency Event Log'!$D$4:$D$803)))</f>
        <v/>
      </c>
      <c r="CQ148" s="8" t="str">
        <f>IF($B148="","",IF(COUNTIF('Competency Event Log'!$U$4:$U$803,$B148&amp;"|"&amp;CQ$5)=0,"",SUMIF('Competency Event Log'!$U$4:$U$803,$B148&amp;"|"&amp;CQ$5,'Competency Event Log'!$D$4:$D$803)))</f>
        <v/>
      </c>
      <c r="CR148" s="8" t="str">
        <f>IF($B148="","",IF(COUNTIF('Competency Event Log'!$U$4:$U$803,$B148&amp;"|"&amp;CR$5)=0,"",SUMIF('Competency Event Log'!$U$4:$U$803,$B148&amp;"|"&amp;CR$5,'Competency Event Log'!$D$4:$D$803)))</f>
        <v/>
      </c>
      <c r="CS148" s="8" t="str">
        <f>IF($B148="","",IF(COUNTIF('Competency Event Log'!$U$4:$U$803,$B148&amp;"|"&amp;CS$5)=0,"",SUMIF('Competency Event Log'!$U$4:$U$803,$B148&amp;"|"&amp;CS$5,'Competency Event Log'!$D$4:$D$803)))</f>
        <v/>
      </c>
      <c r="CT148" s="8" t="str">
        <f>IF($B148="","",IF(COUNTIF('Competency Event Log'!$U$4:$U$803,$B148&amp;"|"&amp;CT$5)=0,"",SUMIF('Competency Event Log'!$U$4:$U$803,$B148&amp;"|"&amp;CT$5,'Competency Event Log'!$D$4:$D$803)))</f>
        <v/>
      </c>
      <c r="CU148" s="8" t="str">
        <f>IF($B148="","",IF(COUNTIF('Competency Event Log'!$U$4:$U$803,$B148&amp;"|"&amp;CU$5)=0,"",SUMIF('Competency Event Log'!$U$4:$U$803,$B148&amp;"|"&amp;CU$5,'Competency Event Log'!$D$4:$D$803)))</f>
        <v/>
      </c>
      <c r="CV148" s="8" t="str">
        <f>IF($B148="","",IF(COUNTIF('Competency Event Log'!$U$4:$U$803,$B148&amp;"|"&amp;CV$5)=0,"",SUMIF('Competency Event Log'!$U$4:$U$803,$B148&amp;"|"&amp;CV$5,'Competency Event Log'!$D$4:$D$803)))</f>
        <v/>
      </c>
      <c r="CW148" s="8" t="str">
        <f>IF($B148="","",IF(COUNTIF('Competency Event Log'!$U$4:$U$803,$B148&amp;"|"&amp;CW$5)=0,"",SUMIF('Competency Event Log'!$U$4:$U$803,$B148&amp;"|"&amp;CW$5,'Competency Event Log'!$D$4:$D$803)))</f>
        <v/>
      </c>
      <c r="CX148" s="8" t="str">
        <f>IF($B148="","",IF(COUNTIF('Competency Event Log'!$U$4:$U$803,$B148&amp;"|"&amp;CX$5)=0,"",SUMIF('Competency Event Log'!$U$4:$U$803,$B148&amp;"|"&amp;CX$5,'Competency Event Log'!$D$4:$D$803)))</f>
        <v/>
      </c>
      <c r="CY148" s="8" t="str">
        <f>IF($B148="","",IF(COUNTIF('Competency Event Log'!$U$4:$U$803,$B148&amp;"|"&amp;CY$5)=0,"",SUMIF('Competency Event Log'!$U$4:$U$803,$B148&amp;"|"&amp;CY$5,'Competency Event Log'!$D$4:$D$803)))</f>
        <v/>
      </c>
      <c r="CZ148" s="8" t="str">
        <f>IF($B148="","",IF(COUNTIF('Competency Event Log'!$U$4:$U$803,$B148&amp;"|"&amp;CZ$5)=0,"",SUMIF('Competency Event Log'!$U$4:$U$803,$B148&amp;"|"&amp;CZ$5,'Competency Event Log'!$D$4:$D$803)))</f>
        <v/>
      </c>
      <c r="DA148" s="8" t="str">
        <f>IF($B148="","",IF(COUNTIF('Competency Event Log'!$U$4:$U$803,$B148&amp;"|"&amp;DA$5)=0,"",SUMIF('Competency Event Log'!$U$4:$U$803,$B148&amp;"|"&amp;DA$5,'Competency Event Log'!$D$4:$D$803)))</f>
        <v/>
      </c>
      <c r="DB148" s="8" t="str">
        <f>IF($B148="","",IF(COUNTIF('Competency Event Log'!$U$4:$U$803,$B148&amp;"|"&amp;DB$5)=0,"",SUMIF('Competency Event Log'!$U$4:$U$803,$B148&amp;"|"&amp;DB$5,'Competency Event Log'!$D$4:$D$803)))</f>
        <v/>
      </c>
      <c r="DC148" s="8" t="str">
        <f>IF($B148="","",IF(COUNTIF('Competency Event Log'!$U$4:$U$803,$B148&amp;"|"&amp;DC$5)=0,"",SUMIF('Competency Event Log'!$U$4:$U$803,$B148&amp;"|"&amp;DC$5,'Competency Event Log'!$D$4:$D$803)))</f>
        <v/>
      </c>
      <c r="DD148" s="8" t="str">
        <f>IF($B148="","",IF(COUNTIF('Competency Event Log'!$U$4:$U$803,$B148&amp;"|"&amp;DD$5)=0,"",SUMIF('Competency Event Log'!$U$4:$U$803,$B148&amp;"|"&amp;DD$5,'Competency Event Log'!$D$4:$D$803)))</f>
        <v/>
      </c>
      <c r="DE148" s="8" t="str">
        <f>IF($B148="","",IF(COUNTIF('Competency Event Log'!$U$4:$U$803,$B148&amp;"|"&amp;DE$5)=0,"",SUMIF('Competency Event Log'!$U$4:$U$803,$B148&amp;"|"&amp;DE$5,'Competency Event Log'!$D$4:$D$803)))</f>
        <v/>
      </c>
      <c r="DF148" s="8" t="str">
        <f t="shared" si="16"/>
        <v/>
      </c>
      <c r="DG148" s="8" t="str">
        <f t="shared" si="17"/>
        <v/>
      </c>
      <c r="DH148" s="8" t="str">
        <f t="shared" si="18"/>
        <v/>
      </c>
      <c r="DI148" s="11" t="str">
        <f t="shared" si="19"/>
        <v/>
      </c>
    </row>
    <row r="149" spans="1:113">
      <c r="A149" s="7"/>
      <c r="B149" s="7"/>
      <c r="C149" s="8"/>
      <c r="D149" s="9"/>
      <c r="E149" s="10"/>
      <c r="F149" s="8"/>
      <c r="G149" s="8" t="str">
        <f>IF($B149="","",IF(COUNTIF('Competency Event Log'!$U$4:$U$803,$B149&amp;"|"&amp;G$5)=0,"",SUMIF('Competency Event Log'!$U$4:$U$803,$B149&amp;"|"&amp;G$5,'Competency Event Log'!$D$4:$D$803)))</f>
        <v/>
      </c>
      <c r="H149" s="8" t="str">
        <f>IF($B149="","",IF(COUNTIF('Competency Event Log'!$U$4:$U$803,$B149&amp;"|"&amp;H$5)=0,"",SUMIF('Competency Event Log'!$U$4:$U$803,$B149&amp;"|"&amp;H$5,'Competency Event Log'!$D$4:$D$803)))</f>
        <v/>
      </c>
      <c r="I149" s="8" t="str">
        <f>IF($B149="","",IF(COUNTIF('Competency Event Log'!$U$4:$U$803,$B149&amp;"|"&amp;I$5)=0,"",SUMIF('Competency Event Log'!$U$4:$U$803,$B149&amp;"|"&amp;I$5,'Competency Event Log'!$D$4:$D$803)))</f>
        <v/>
      </c>
      <c r="J149" s="8" t="str">
        <f>IF($B149="","",IF(COUNTIF('Competency Event Log'!$U$4:$U$803,$B149&amp;"|"&amp;J$5)=0,"",SUMIF('Competency Event Log'!$U$4:$U$803,$B149&amp;"|"&amp;J$5,'Competency Event Log'!$D$4:$D$803)))</f>
        <v/>
      </c>
      <c r="K149" s="8" t="str">
        <f>IF($B149="","",IF(COUNTIF('Competency Event Log'!$U$4:$U$803,$B149&amp;"|"&amp;K$5)=0,"",SUMIF('Competency Event Log'!$U$4:$U$803,$B149&amp;"|"&amp;K$5,'Competency Event Log'!$D$4:$D$803)))</f>
        <v/>
      </c>
      <c r="L149" s="8" t="str">
        <f>IF($B149="","",IF(COUNTIF('Competency Event Log'!$U$4:$U$803,$B149&amp;"|"&amp;L$5)=0,"",SUMIF('Competency Event Log'!$U$4:$U$803,$B149&amp;"|"&amp;L$5,'Competency Event Log'!$D$4:$D$803)))</f>
        <v/>
      </c>
      <c r="M149" s="8" t="str">
        <f>IF($B149="","",IF(COUNTIF('Competency Event Log'!$U$4:$U$803,$B149&amp;"|"&amp;M$5)=0,"",SUMIF('Competency Event Log'!$U$4:$U$803,$B149&amp;"|"&amp;M$5,'Competency Event Log'!$D$4:$D$803)))</f>
        <v/>
      </c>
      <c r="N149" s="8" t="str">
        <f>IF($B149="","",IF(COUNTIF('Competency Event Log'!$U$4:$U$803,$B149&amp;"|"&amp;N$5)=0,"",SUMIF('Competency Event Log'!$U$4:$U$803,$B149&amp;"|"&amp;N$5,'Competency Event Log'!$D$4:$D$803)))</f>
        <v/>
      </c>
      <c r="O149" s="8" t="str">
        <f>IF($B149="","",IF(COUNTIF('Competency Event Log'!$U$4:$U$803,$B149&amp;"|"&amp;O$5)=0,"",SUMIF('Competency Event Log'!$U$4:$U$803,$B149&amp;"|"&amp;O$5,'Competency Event Log'!$D$4:$D$803)))</f>
        <v/>
      </c>
      <c r="P149" s="8" t="str">
        <f>IF($B149="","",IF(COUNTIF('Competency Event Log'!$U$4:$U$803,$B149&amp;"|"&amp;P$5)=0,"",SUMIF('Competency Event Log'!$U$4:$U$803,$B149&amp;"|"&amp;P$5,'Competency Event Log'!$D$4:$D$803)))</f>
        <v/>
      </c>
      <c r="Q149" s="8" t="str">
        <f>IF($B149="","",IF(COUNTIF('Competency Event Log'!$U$4:$U$803,$B149&amp;"|"&amp;Q$5)=0,"",SUMIF('Competency Event Log'!$U$4:$U$803,$B149&amp;"|"&amp;Q$5,'Competency Event Log'!$D$4:$D$803)))</f>
        <v/>
      </c>
      <c r="R149" s="8" t="str">
        <f>IF($B149="","",IF(COUNTIF('Competency Event Log'!$U$4:$U$803,$B149&amp;"|"&amp;R$5)=0,"",SUMIF('Competency Event Log'!$U$4:$U$803,$B149&amp;"|"&amp;R$5,'Competency Event Log'!$D$4:$D$803)))</f>
        <v/>
      </c>
      <c r="S149" s="8" t="str">
        <f>IF($B149="","",IF(COUNTIF('Competency Event Log'!$U$4:$U$803,$B149&amp;"|"&amp;S$5)=0,"",SUMIF('Competency Event Log'!$U$4:$U$803,$B149&amp;"|"&amp;S$5,'Competency Event Log'!$D$4:$D$803)))</f>
        <v/>
      </c>
      <c r="T149" s="8" t="str">
        <f>IF($B149="","",IF(COUNTIF('Competency Event Log'!$U$4:$U$803,$B149&amp;"|"&amp;T$5)=0,"",SUMIF('Competency Event Log'!$U$4:$U$803,$B149&amp;"|"&amp;T$5,'Competency Event Log'!$D$4:$D$803)))</f>
        <v/>
      </c>
      <c r="U149" s="8" t="str">
        <f>IF($B149="","",IF(COUNTIF('Competency Event Log'!$U$4:$U$803,$B149&amp;"|"&amp;U$5)=0,"",SUMIF('Competency Event Log'!$U$4:$U$803,$B149&amp;"|"&amp;U$5,'Competency Event Log'!$D$4:$D$803)))</f>
        <v/>
      </c>
      <c r="V149" s="8" t="str">
        <f>IF($B149="","",IF(COUNTIF('Competency Event Log'!$U$4:$U$803,$B149&amp;"|"&amp;V$5)=0,"",SUMIF('Competency Event Log'!$U$4:$U$803,$B149&amp;"|"&amp;V$5,'Competency Event Log'!$D$4:$D$803)))</f>
        <v/>
      </c>
      <c r="W149" s="8" t="str">
        <f>IF($B149="","",IF(COUNTIF('Competency Event Log'!$U$4:$U$803,$B149&amp;"|"&amp;W$5)=0,"",SUMIF('Competency Event Log'!$U$4:$U$803,$B149&amp;"|"&amp;W$5,'Competency Event Log'!$D$4:$D$803)))</f>
        <v/>
      </c>
      <c r="X149" s="8" t="str">
        <f>IF($B149="","",IF(COUNTIF('Competency Event Log'!$U$4:$U$803,$B149&amp;"|"&amp;X$5)=0,"",SUMIF('Competency Event Log'!$U$4:$U$803,$B149&amp;"|"&amp;X$5,'Competency Event Log'!$D$4:$D$803)))</f>
        <v/>
      </c>
      <c r="Y149" s="8" t="str">
        <f>IF($B149="","",IF(COUNTIF('Competency Event Log'!$U$4:$U$803,$B149&amp;"|"&amp;Y$5)=0,"",SUMIF('Competency Event Log'!$U$4:$U$803,$B149&amp;"|"&amp;Y$5,'Competency Event Log'!$D$4:$D$803)))</f>
        <v/>
      </c>
      <c r="Z149" s="8" t="str">
        <f>IF($B149="","",IF(COUNTIF('Competency Event Log'!$U$4:$U$803,$B149&amp;"|"&amp;Z$5)=0,"",SUMIF('Competency Event Log'!$U$4:$U$803,$B149&amp;"|"&amp;Z$5,'Competency Event Log'!$D$4:$D$803)))</f>
        <v/>
      </c>
      <c r="AA149" s="8" t="str">
        <f>IF($B149="","",IF(COUNTIF('Competency Event Log'!$U$4:$U$803,$B149&amp;"|"&amp;AA$5)=0,"",SUMIF('Competency Event Log'!$U$4:$U$803,$B149&amp;"|"&amp;AA$5,'Competency Event Log'!$D$4:$D$803)))</f>
        <v/>
      </c>
      <c r="AB149" s="8" t="str">
        <f>IF($B149="","",IF(COUNTIF('Competency Event Log'!$U$4:$U$803,$B149&amp;"|"&amp;AB$5)=0,"",SUMIF('Competency Event Log'!$U$4:$U$803,$B149&amp;"|"&amp;AB$5,'Competency Event Log'!$D$4:$D$803)))</f>
        <v/>
      </c>
      <c r="AC149" s="8" t="str">
        <f>IF($B149="","",IF(COUNTIF('Competency Event Log'!$U$4:$U$803,$B149&amp;"|"&amp;AC$5)=0,"",SUMIF('Competency Event Log'!$U$4:$U$803,$B149&amp;"|"&amp;AC$5,'Competency Event Log'!$D$4:$D$803)))</f>
        <v/>
      </c>
      <c r="AD149" s="8" t="str">
        <f>IF($B149="","",IF(COUNTIF('Competency Event Log'!$U$4:$U$803,$B149&amp;"|"&amp;AD$5)=0,"",SUMIF('Competency Event Log'!$U$4:$U$803,$B149&amp;"|"&amp;AD$5,'Competency Event Log'!$D$4:$D$803)))</f>
        <v/>
      </c>
      <c r="AE149" s="8" t="str">
        <f>IF($B149="","",IF(COUNTIF('Competency Event Log'!$U$4:$U$803,$B149&amp;"|"&amp;AE$5)=0,"",SUMIF('Competency Event Log'!$U$4:$U$803,$B149&amp;"|"&amp;AE$5,'Competency Event Log'!$D$4:$D$803)))</f>
        <v/>
      </c>
      <c r="AF149" s="8" t="str">
        <f>IF($B149="","",IF(COUNTIF('Competency Event Log'!$U$4:$U$803,$B149&amp;"|"&amp;AF$5)=0,"",SUMIF('Competency Event Log'!$U$4:$U$803,$B149&amp;"|"&amp;AF$5,'Competency Event Log'!$D$4:$D$803)))</f>
        <v/>
      </c>
      <c r="AG149" s="8" t="str">
        <f>IF($B149="","",IF(COUNTIF('Competency Event Log'!$U$4:$U$803,$B149&amp;"|"&amp;AG$5)=0,"",SUMIF('Competency Event Log'!$U$4:$U$803,$B149&amp;"|"&amp;AG$5,'Competency Event Log'!$D$4:$D$803)))</f>
        <v/>
      </c>
      <c r="AH149" s="8" t="str">
        <f>IF($B149="","",IF(COUNTIF('Competency Event Log'!$U$4:$U$803,$B149&amp;"|"&amp;AH$5)=0,"",SUMIF('Competency Event Log'!$U$4:$U$803,$B149&amp;"|"&amp;AH$5,'Competency Event Log'!$D$4:$D$803)))</f>
        <v/>
      </c>
      <c r="AI149" s="8" t="str">
        <f>IF($B149="","",IF(COUNTIF('Competency Event Log'!$U$4:$U$803,$B149&amp;"|"&amp;AI$5)=0,"",SUMIF('Competency Event Log'!$U$4:$U$803,$B149&amp;"|"&amp;AI$5,'Competency Event Log'!$D$4:$D$803)))</f>
        <v/>
      </c>
      <c r="AJ149" s="8" t="str">
        <f>IF($B149="","",IF(COUNTIF('Competency Event Log'!$U$4:$U$803,$B149&amp;"|"&amp;AJ$5)=0,"",SUMIF('Competency Event Log'!$U$4:$U$803,$B149&amp;"|"&amp;AJ$5,'Competency Event Log'!$D$4:$D$803)))</f>
        <v/>
      </c>
      <c r="AK149" s="8" t="str">
        <f>IF($B149="","",IF(COUNTIF('Competency Event Log'!$U$4:$U$803,$B149&amp;"|"&amp;AK$5)=0,"",SUMIF('Competency Event Log'!$U$4:$U$803,$B149&amp;"|"&amp;AK$5,'Competency Event Log'!$D$4:$D$803)))</f>
        <v/>
      </c>
      <c r="AL149" s="8" t="str">
        <f>IF($B149="","",IF(COUNTIF('Competency Event Log'!$U$4:$U$803,$B149&amp;"|"&amp;AL$5)=0,"",SUMIF('Competency Event Log'!$U$4:$U$803,$B149&amp;"|"&amp;AL$5,'Competency Event Log'!$D$4:$D$803)))</f>
        <v/>
      </c>
      <c r="AM149" s="8" t="str">
        <f>IF($B149="","",IF(COUNTIF('Competency Event Log'!$U$4:$U$803,$B149&amp;"|"&amp;AM$5)=0,"",SUMIF('Competency Event Log'!$U$4:$U$803,$B149&amp;"|"&amp;AM$5,'Competency Event Log'!$D$4:$D$803)))</f>
        <v/>
      </c>
      <c r="AN149" s="8" t="str">
        <f>IF($B149="","",IF(COUNTIF('Competency Event Log'!$U$4:$U$803,$B149&amp;"|"&amp;AN$5)=0,"",SUMIF('Competency Event Log'!$U$4:$U$803,$B149&amp;"|"&amp;AN$5,'Competency Event Log'!$D$4:$D$803)))</f>
        <v/>
      </c>
      <c r="AO149" s="8" t="str">
        <f>IF($B149="","",IF(COUNTIF('Competency Event Log'!$U$4:$U$803,$B149&amp;"|"&amp;AO$5)=0,"",SUMIF('Competency Event Log'!$U$4:$U$803,$B149&amp;"|"&amp;AO$5,'Competency Event Log'!$D$4:$D$803)))</f>
        <v/>
      </c>
      <c r="AP149" s="8" t="str">
        <f>IF($B149="","",IF(COUNTIF('Competency Event Log'!$U$4:$U$803,$B149&amp;"|"&amp;AP$5)=0,"",SUMIF('Competency Event Log'!$U$4:$U$803,$B149&amp;"|"&amp;AP$5,'Competency Event Log'!$D$4:$D$803)))</f>
        <v/>
      </c>
      <c r="AQ149" s="8" t="str">
        <f>IF($B149="","",IF(COUNTIF('Competency Event Log'!$U$4:$U$803,$B149&amp;"|"&amp;AQ$5)=0,"",SUMIF('Competency Event Log'!$U$4:$U$803,$B149&amp;"|"&amp;AQ$5,'Competency Event Log'!$D$4:$D$803)))</f>
        <v/>
      </c>
      <c r="AR149" s="8" t="str">
        <f>IF($B149="","",IF(COUNTIF('Competency Event Log'!$U$4:$U$803,$B149&amp;"|"&amp;AR$5)=0,"",SUMIF('Competency Event Log'!$U$4:$U$803,$B149&amp;"|"&amp;AR$5,'Competency Event Log'!$D$4:$D$803)))</f>
        <v/>
      </c>
      <c r="AS149" s="8" t="str">
        <f>IF($B149="","",IF(COUNTIF('Competency Event Log'!$U$4:$U$803,$B149&amp;"|"&amp;AS$5)=0,"",SUMIF('Competency Event Log'!$U$4:$U$803,$B149&amp;"|"&amp;AS$5,'Competency Event Log'!$D$4:$D$803)))</f>
        <v/>
      </c>
      <c r="AT149" s="8" t="str">
        <f>IF($B149="","",IF(COUNTIF('Competency Event Log'!$U$4:$U$803,$B149&amp;"|"&amp;AT$5)=0,"",SUMIF('Competency Event Log'!$U$4:$U$803,$B149&amp;"|"&amp;AT$5,'Competency Event Log'!$D$4:$D$803)))</f>
        <v/>
      </c>
      <c r="AU149" s="8" t="str">
        <f>IF($B149="","",IF(COUNTIF('Competency Event Log'!$U$4:$U$803,$B149&amp;"|"&amp;AU$5)=0,"",SUMIF('Competency Event Log'!$U$4:$U$803,$B149&amp;"|"&amp;AU$5,'Competency Event Log'!$D$4:$D$803)))</f>
        <v/>
      </c>
      <c r="AV149" s="8" t="str">
        <f>IF($B149="","",IF(COUNTIF('Competency Event Log'!$U$4:$U$803,$B149&amp;"|"&amp;AV$5)=0,"",SUMIF('Competency Event Log'!$U$4:$U$803,$B149&amp;"|"&amp;AV$5,'Competency Event Log'!$D$4:$D$803)))</f>
        <v/>
      </c>
      <c r="AW149" s="8" t="str">
        <f>IF($B149="","",IF(COUNTIF('Competency Event Log'!$U$4:$U$803,$B149&amp;"|"&amp;AW$5)=0,"",SUMIF('Competency Event Log'!$U$4:$U$803,$B149&amp;"|"&amp;AW$5,'Competency Event Log'!$D$4:$D$803)))</f>
        <v/>
      </c>
      <c r="AX149" s="8" t="str">
        <f>IF($B149="","",IF(COUNTIF('Competency Event Log'!$U$4:$U$803,$B149&amp;"|"&amp;AX$5)=0,"",SUMIF('Competency Event Log'!$U$4:$U$803,$B149&amp;"|"&amp;AX$5,'Competency Event Log'!$D$4:$D$803)))</f>
        <v/>
      </c>
      <c r="AY149" s="8" t="str">
        <f>IF($B149="","",IF(COUNTIF('Competency Event Log'!$U$4:$U$803,$B149&amp;"|"&amp;AY$5)=0,"",SUMIF('Competency Event Log'!$U$4:$U$803,$B149&amp;"|"&amp;AY$5,'Competency Event Log'!$D$4:$D$803)))</f>
        <v/>
      </c>
      <c r="AZ149" s="8" t="str">
        <f>IF($B149="","",IF(COUNTIF('Competency Event Log'!$U$4:$U$803,$B149&amp;"|"&amp;AZ$5)=0,"",SUMIF('Competency Event Log'!$U$4:$U$803,$B149&amp;"|"&amp;AZ$5,'Competency Event Log'!$D$4:$D$803)))</f>
        <v/>
      </c>
      <c r="BA149" s="8" t="str">
        <f>IF($B149="","",IF(COUNTIF('Competency Event Log'!$U$4:$U$803,$B149&amp;"|"&amp;BA$5)=0,"",SUMIF('Competency Event Log'!$U$4:$U$803,$B149&amp;"|"&amp;BA$5,'Competency Event Log'!$D$4:$D$803)))</f>
        <v/>
      </c>
      <c r="BB149" s="8" t="str">
        <f>IF($B149="","",IF(COUNTIF('Competency Event Log'!$U$4:$U$803,$B149&amp;"|"&amp;BB$5)=0,"",SUMIF('Competency Event Log'!$U$4:$U$803,$B149&amp;"|"&amp;BB$5,'Competency Event Log'!$D$4:$D$803)))</f>
        <v/>
      </c>
      <c r="BC149" s="8" t="str">
        <f>IF($B149="","",IF(COUNTIF('Competency Event Log'!$U$4:$U$803,$B149&amp;"|"&amp;BC$5)=0,"",SUMIF('Competency Event Log'!$U$4:$U$803,$B149&amp;"|"&amp;BC$5,'Competency Event Log'!$D$4:$D$803)))</f>
        <v/>
      </c>
      <c r="BD149" s="8" t="str">
        <f>IF($B149="","",IF(COUNTIF('Competency Event Log'!$U$4:$U$803,$B149&amp;"|"&amp;BD$5)=0,"",SUMIF('Competency Event Log'!$U$4:$U$803,$B149&amp;"|"&amp;BD$5,'Competency Event Log'!$D$4:$D$803)))</f>
        <v/>
      </c>
      <c r="BE149" s="8" t="str">
        <f>IF($B149="","",IF(COUNTIF('Competency Event Log'!$U$4:$U$803,$B149&amp;"|"&amp;BE$5)=0,"",SUMIF('Competency Event Log'!$U$4:$U$803,$B149&amp;"|"&amp;BE$5,'Competency Event Log'!$D$4:$D$803)))</f>
        <v/>
      </c>
      <c r="BF149" s="8" t="str">
        <f>IF($B149="","",IF(COUNTIF('Competency Event Log'!$U$4:$U$803,$B149&amp;"|"&amp;BF$5)=0,"",SUMIF('Competency Event Log'!$U$4:$U$803,$B149&amp;"|"&amp;BF$5,'Competency Event Log'!$D$4:$D$803)))</f>
        <v/>
      </c>
      <c r="BG149" s="8" t="str">
        <f>IF($B149="","",IF(COUNTIF('Competency Event Log'!$U$4:$U$803,$B149&amp;"|"&amp;BG$5)=0,"",SUMIF('Competency Event Log'!$U$4:$U$803,$B149&amp;"|"&amp;BG$5,'Competency Event Log'!$D$4:$D$803)))</f>
        <v/>
      </c>
      <c r="BH149" s="8" t="str">
        <f>IF($B149="","",IF(COUNTIF('Competency Event Log'!$U$4:$U$803,$B149&amp;"|"&amp;BH$5)=0,"",SUMIF('Competency Event Log'!$U$4:$U$803,$B149&amp;"|"&amp;BH$5,'Competency Event Log'!$D$4:$D$803)))</f>
        <v/>
      </c>
      <c r="BI149" s="8" t="str">
        <f>IF($B149="","",IF(COUNTIF('Competency Event Log'!$U$4:$U$803,$B149&amp;"|"&amp;BI$5)=0,"",SUMIF('Competency Event Log'!$U$4:$U$803,$B149&amp;"|"&amp;BI$5,'Competency Event Log'!$D$4:$D$803)))</f>
        <v/>
      </c>
      <c r="BJ149" s="8" t="str">
        <f>IF($B149="","",IF(COUNTIF('Competency Event Log'!$U$4:$U$803,$B149&amp;"|"&amp;BJ$5)=0,"",SUMIF('Competency Event Log'!$U$4:$U$803,$B149&amp;"|"&amp;BJ$5,'Competency Event Log'!$D$4:$D$803)))</f>
        <v/>
      </c>
      <c r="BK149" s="8" t="str">
        <f>IF($B149="","",IF(COUNTIF('Competency Event Log'!$U$4:$U$803,$B149&amp;"|"&amp;BK$5)=0,"",SUMIF('Competency Event Log'!$U$4:$U$803,$B149&amp;"|"&amp;BK$5,'Competency Event Log'!$D$4:$D$803)))</f>
        <v/>
      </c>
      <c r="BL149" s="8" t="str">
        <f>IF($B149="","",IF(COUNTIF('Competency Event Log'!$U$4:$U$803,$B149&amp;"|"&amp;BL$5)=0,"",SUMIF('Competency Event Log'!$U$4:$U$803,$B149&amp;"|"&amp;BL$5,'Competency Event Log'!$D$4:$D$803)))</f>
        <v/>
      </c>
      <c r="BM149" s="8" t="str">
        <f>IF($B149="","",IF(COUNTIF('Competency Event Log'!$U$4:$U$803,$B149&amp;"|"&amp;BM$5)=0,"",SUMIF('Competency Event Log'!$U$4:$U$803,$B149&amp;"|"&amp;BM$5,'Competency Event Log'!$D$4:$D$803)))</f>
        <v/>
      </c>
      <c r="BN149" s="8" t="str">
        <f>IF($B149="","",IF(COUNTIF('Competency Event Log'!$U$4:$U$803,$B149&amp;"|"&amp;BN$5)=0,"",SUMIF('Competency Event Log'!$U$4:$U$803,$B149&amp;"|"&amp;BN$5,'Competency Event Log'!$D$4:$D$803)))</f>
        <v/>
      </c>
      <c r="BO149" s="8" t="str">
        <f>IF($B149="","",IF(COUNTIF('Competency Event Log'!$U$4:$U$803,$B149&amp;"|"&amp;BO$5)=0,"",SUMIF('Competency Event Log'!$U$4:$U$803,$B149&amp;"|"&amp;BO$5,'Competency Event Log'!$D$4:$D$803)))</f>
        <v/>
      </c>
      <c r="BP149" s="8" t="str">
        <f>IF($B149="","",IF(COUNTIF('Competency Event Log'!$U$4:$U$803,$B149&amp;"|"&amp;BP$5)=0,"",SUMIF('Competency Event Log'!$U$4:$U$803,$B149&amp;"|"&amp;BP$5,'Competency Event Log'!$D$4:$D$803)))</f>
        <v/>
      </c>
      <c r="BQ149" s="8" t="str">
        <f>IF($B149="","",IF(COUNTIF('Competency Event Log'!$U$4:$U$803,$B149&amp;"|"&amp;BQ$5)=0,"",SUMIF('Competency Event Log'!$U$4:$U$803,$B149&amp;"|"&amp;BQ$5,'Competency Event Log'!$D$4:$D$803)))</f>
        <v/>
      </c>
      <c r="BR149" s="8" t="str">
        <f>IF($B149="","",IF(COUNTIF('Competency Event Log'!$U$4:$U$803,$B149&amp;"|"&amp;BR$5)=0,"",SUMIF('Competency Event Log'!$U$4:$U$803,$B149&amp;"|"&amp;BR$5,'Competency Event Log'!$D$4:$D$803)))</f>
        <v/>
      </c>
      <c r="BS149" s="8" t="str">
        <f>IF($B149="","",IF(COUNTIF('Competency Event Log'!$U$4:$U$803,$B149&amp;"|"&amp;BS$5)=0,"",SUMIF('Competency Event Log'!$U$4:$U$803,$B149&amp;"|"&amp;BS$5,'Competency Event Log'!$D$4:$D$803)))</f>
        <v/>
      </c>
      <c r="BT149" s="8" t="str">
        <f>IF($B149="","",IF(COUNTIF('Competency Event Log'!$U$4:$U$803,$B149&amp;"|"&amp;BT$5)=0,"",SUMIF('Competency Event Log'!$U$4:$U$803,$B149&amp;"|"&amp;BT$5,'Competency Event Log'!$D$4:$D$803)))</f>
        <v/>
      </c>
      <c r="BU149" s="8" t="str">
        <f>IF($B149="","",IF(COUNTIF('Competency Event Log'!$U$4:$U$803,$B149&amp;"|"&amp;BU$5)=0,"",SUMIF('Competency Event Log'!$U$4:$U$803,$B149&amp;"|"&amp;BU$5,'Competency Event Log'!$D$4:$D$803)))</f>
        <v/>
      </c>
      <c r="BV149" s="8" t="str">
        <f>IF($B149="","",IF(COUNTIF('Competency Event Log'!$U$4:$U$803,$B149&amp;"|"&amp;BV$5)=0,"",SUMIF('Competency Event Log'!$U$4:$U$803,$B149&amp;"|"&amp;BV$5,'Competency Event Log'!$D$4:$D$803)))</f>
        <v/>
      </c>
      <c r="BW149" s="8" t="str">
        <f>IF($B149="","",IF(COUNTIF('Competency Event Log'!$U$4:$U$803,$B149&amp;"|"&amp;BW$5)=0,"",SUMIF('Competency Event Log'!$U$4:$U$803,$B149&amp;"|"&amp;BW$5,'Competency Event Log'!$D$4:$D$803)))</f>
        <v/>
      </c>
      <c r="BX149" s="8" t="str">
        <f>IF($B149="","",IF(COUNTIF('Competency Event Log'!$U$4:$U$803,$B149&amp;"|"&amp;BX$5)=0,"",SUMIF('Competency Event Log'!$U$4:$U$803,$B149&amp;"|"&amp;BX$5,'Competency Event Log'!$D$4:$D$803)))</f>
        <v/>
      </c>
      <c r="BY149" s="8" t="str">
        <f>IF($B149="","",IF(COUNTIF('Competency Event Log'!$U$4:$U$803,$B149&amp;"|"&amp;BY$5)=0,"",SUMIF('Competency Event Log'!$U$4:$U$803,$B149&amp;"|"&amp;BY$5,'Competency Event Log'!$D$4:$D$803)))</f>
        <v/>
      </c>
      <c r="BZ149" s="8" t="str">
        <f>IF($B149="","",IF(COUNTIF('Competency Event Log'!$U$4:$U$803,$B149&amp;"|"&amp;BZ$5)=0,"",SUMIF('Competency Event Log'!$U$4:$U$803,$B149&amp;"|"&amp;BZ$5,'Competency Event Log'!$D$4:$D$803)))</f>
        <v/>
      </c>
      <c r="CA149" s="8" t="str">
        <f>IF($B149="","",IF(COUNTIF('Competency Event Log'!$U$4:$U$803,$B149&amp;"|"&amp;CA$5)=0,"",SUMIF('Competency Event Log'!$U$4:$U$803,$B149&amp;"|"&amp;CA$5,'Competency Event Log'!$D$4:$D$803)))</f>
        <v/>
      </c>
      <c r="CB149" s="8" t="str">
        <f>IF($B149="","",IF(COUNTIF('Competency Event Log'!$U$4:$U$803,$B149&amp;"|"&amp;CB$5)=0,"",SUMIF('Competency Event Log'!$U$4:$U$803,$B149&amp;"|"&amp;CB$5,'Competency Event Log'!$D$4:$D$803)))</f>
        <v/>
      </c>
      <c r="CC149" s="8" t="str">
        <f>IF($B149="","",IF(COUNTIF('Competency Event Log'!$U$4:$U$803,$B149&amp;"|"&amp;CC$5)=0,"",SUMIF('Competency Event Log'!$U$4:$U$803,$B149&amp;"|"&amp;CC$5,'Competency Event Log'!$D$4:$D$803)))</f>
        <v/>
      </c>
      <c r="CD149" s="8" t="str">
        <f>IF($B149="","",IF(COUNTIF('Competency Event Log'!$U$4:$U$803,$B149&amp;"|"&amp;CD$5)=0,"",SUMIF('Competency Event Log'!$U$4:$U$803,$B149&amp;"|"&amp;CD$5,'Competency Event Log'!$D$4:$D$803)))</f>
        <v/>
      </c>
      <c r="CE149" s="8" t="str">
        <f>IF($B149="","",IF(COUNTIF('Competency Event Log'!$U$4:$U$803,$B149&amp;"|"&amp;CE$5)=0,"",SUMIF('Competency Event Log'!$U$4:$U$803,$B149&amp;"|"&amp;CE$5,'Competency Event Log'!$D$4:$D$803)))</f>
        <v/>
      </c>
      <c r="CF149" s="8" t="str">
        <f>IF($B149="","",IF(COUNTIF('Competency Event Log'!$U$4:$U$803,$B149&amp;"|"&amp;CF$5)=0,"",SUMIF('Competency Event Log'!$U$4:$U$803,$B149&amp;"|"&amp;CF$5,'Competency Event Log'!$D$4:$D$803)))</f>
        <v/>
      </c>
      <c r="CG149" s="8" t="str">
        <f>IF($B149="","",IF(COUNTIF('Competency Event Log'!$U$4:$U$803,$B149&amp;"|"&amp;CG$5)=0,"",SUMIF('Competency Event Log'!$U$4:$U$803,$B149&amp;"|"&amp;CG$5,'Competency Event Log'!$D$4:$D$803)))</f>
        <v/>
      </c>
      <c r="CH149" s="8" t="str">
        <f>IF($B149="","",IF(COUNTIF('Competency Event Log'!$U$4:$U$803,$B149&amp;"|"&amp;CH$5)=0,"",SUMIF('Competency Event Log'!$U$4:$U$803,$B149&amp;"|"&amp;CH$5,'Competency Event Log'!$D$4:$D$803)))</f>
        <v/>
      </c>
      <c r="CI149" s="8" t="str">
        <f>IF($B149="","",IF(COUNTIF('Competency Event Log'!$U$4:$U$803,$B149&amp;"|"&amp;CI$5)=0,"",SUMIF('Competency Event Log'!$U$4:$U$803,$B149&amp;"|"&amp;CI$5,'Competency Event Log'!$D$4:$D$803)))</f>
        <v/>
      </c>
      <c r="CJ149" s="8" t="str">
        <f>IF($B149="","",IF(COUNTIF('Competency Event Log'!$U$4:$U$803,$B149&amp;"|"&amp;CJ$5)=0,"",SUMIF('Competency Event Log'!$U$4:$U$803,$B149&amp;"|"&amp;CJ$5,'Competency Event Log'!$D$4:$D$803)))</f>
        <v/>
      </c>
      <c r="CK149" s="8" t="str">
        <f>IF($B149="","",IF(COUNTIF('Competency Event Log'!$U$4:$U$803,$B149&amp;"|"&amp;CK$5)=0,"",SUMIF('Competency Event Log'!$U$4:$U$803,$B149&amp;"|"&amp;CK$5,'Competency Event Log'!$D$4:$D$803)))</f>
        <v/>
      </c>
      <c r="CL149" s="8" t="str">
        <f>IF($B149="","",IF(COUNTIF('Competency Event Log'!$U$4:$U$803,$B149&amp;"|"&amp;CL$5)=0,"",SUMIF('Competency Event Log'!$U$4:$U$803,$B149&amp;"|"&amp;CL$5,'Competency Event Log'!$D$4:$D$803)))</f>
        <v/>
      </c>
      <c r="CM149" s="8" t="str">
        <f>IF($B149="","",IF(COUNTIF('Competency Event Log'!$U$4:$U$803,$B149&amp;"|"&amp;CM$5)=0,"",SUMIF('Competency Event Log'!$U$4:$U$803,$B149&amp;"|"&amp;CM$5,'Competency Event Log'!$D$4:$D$803)))</f>
        <v/>
      </c>
      <c r="CN149" s="8" t="str">
        <f>IF($B149="","",IF(COUNTIF('Competency Event Log'!$U$4:$U$803,$B149&amp;"|"&amp;CN$5)=0,"",SUMIF('Competency Event Log'!$U$4:$U$803,$B149&amp;"|"&amp;CN$5,'Competency Event Log'!$D$4:$D$803)))</f>
        <v/>
      </c>
      <c r="CO149" s="8" t="str">
        <f>IF($B149="","",IF(COUNTIF('Competency Event Log'!$U$4:$U$803,$B149&amp;"|"&amp;CO$5)=0,"",SUMIF('Competency Event Log'!$U$4:$U$803,$B149&amp;"|"&amp;CO$5,'Competency Event Log'!$D$4:$D$803)))</f>
        <v/>
      </c>
      <c r="CP149" s="8" t="str">
        <f>IF($B149="","",IF(COUNTIF('Competency Event Log'!$U$4:$U$803,$B149&amp;"|"&amp;CP$5)=0,"",SUMIF('Competency Event Log'!$U$4:$U$803,$B149&amp;"|"&amp;CP$5,'Competency Event Log'!$D$4:$D$803)))</f>
        <v/>
      </c>
      <c r="CQ149" s="8" t="str">
        <f>IF($B149="","",IF(COUNTIF('Competency Event Log'!$U$4:$U$803,$B149&amp;"|"&amp;CQ$5)=0,"",SUMIF('Competency Event Log'!$U$4:$U$803,$B149&amp;"|"&amp;CQ$5,'Competency Event Log'!$D$4:$D$803)))</f>
        <v/>
      </c>
      <c r="CR149" s="8" t="str">
        <f>IF($B149="","",IF(COUNTIF('Competency Event Log'!$U$4:$U$803,$B149&amp;"|"&amp;CR$5)=0,"",SUMIF('Competency Event Log'!$U$4:$U$803,$B149&amp;"|"&amp;CR$5,'Competency Event Log'!$D$4:$D$803)))</f>
        <v/>
      </c>
      <c r="CS149" s="8" t="str">
        <f>IF($B149="","",IF(COUNTIF('Competency Event Log'!$U$4:$U$803,$B149&amp;"|"&amp;CS$5)=0,"",SUMIF('Competency Event Log'!$U$4:$U$803,$B149&amp;"|"&amp;CS$5,'Competency Event Log'!$D$4:$D$803)))</f>
        <v/>
      </c>
      <c r="CT149" s="8" t="str">
        <f>IF($B149="","",IF(COUNTIF('Competency Event Log'!$U$4:$U$803,$B149&amp;"|"&amp;CT$5)=0,"",SUMIF('Competency Event Log'!$U$4:$U$803,$B149&amp;"|"&amp;CT$5,'Competency Event Log'!$D$4:$D$803)))</f>
        <v/>
      </c>
      <c r="CU149" s="8" t="str">
        <f>IF($B149="","",IF(COUNTIF('Competency Event Log'!$U$4:$U$803,$B149&amp;"|"&amp;CU$5)=0,"",SUMIF('Competency Event Log'!$U$4:$U$803,$B149&amp;"|"&amp;CU$5,'Competency Event Log'!$D$4:$D$803)))</f>
        <v/>
      </c>
      <c r="CV149" s="8" t="str">
        <f>IF($B149="","",IF(COUNTIF('Competency Event Log'!$U$4:$U$803,$B149&amp;"|"&amp;CV$5)=0,"",SUMIF('Competency Event Log'!$U$4:$U$803,$B149&amp;"|"&amp;CV$5,'Competency Event Log'!$D$4:$D$803)))</f>
        <v/>
      </c>
      <c r="CW149" s="8" t="str">
        <f>IF($B149="","",IF(COUNTIF('Competency Event Log'!$U$4:$U$803,$B149&amp;"|"&amp;CW$5)=0,"",SUMIF('Competency Event Log'!$U$4:$U$803,$B149&amp;"|"&amp;CW$5,'Competency Event Log'!$D$4:$D$803)))</f>
        <v/>
      </c>
      <c r="CX149" s="8" t="str">
        <f>IF($B149="","",IF(COUNTIF('Competency Event Log'!$U$4:$U$803,$B149&amp;"|"&amp;CX$5)=0,"",SUMIF('Competency Event Log'!$U$4:$U$803,$B149&amp;"|"&amp;CX$5,'Competency Event Log'!$D$4:$D$803)))</f>
        <v/>
      </c>
      <c r="CY149" s="8" t="str">
        <f>IF($B149="","",IF(COUNTIF('Competency Event Log'!$U$4:$U$803,$B149&amp;"|"&amp;CY$5)=0,"",SUMIF('Competency Event Log'!$U$4:$U$803,$B149&amp;"|"&amp;CY$5,'Competency Event Log'!$D$4:$D$803)))</f>
        <v/>
      </c>
      <c r="CZ149" s="8" t="str">
        <f>IF($B149="","",IF(COUNTIF('Competency Event Log'!$U$4:$U$803,$B149&amp;"|"&amp;CZ$5)=0,"",SUMIF('Competency Event Log'!$U$4:$U$803,$B149&amp;"|"&amp;CZ$5,'Competency Event Log'!$D$4:$D$803)))</f>
        <v/>
      </c>
      <c r="DA149" s="8" t="str">
        <f>IF($B149="","",IF(COUNTIF('Competency Event Log'!$U$4:$U$803,$B149&amp;"|"&amp;DA$5)=0,"",SUMIF('Competency Event Log'!$U$4:$U$803,$B149&amp;"|"&amp;DA$5,'Competency Event Log'!$D$4:$D$803)))</f>
        <v/>
      </c>
      <c r="DB149" s="8" t="str">
        <f>IF($B149="","",IF(COUNTIF('Competency Event Log'!$U$4:$U$803,$B149&amp;"|"&amp;DB$5)=0,"",SUMIF('Competency Event Log'!$U$4:$U$803,$B149&amp;"|"&amp;DB$5,'Competency Event Log'!$D$4:$D$803)))</f>
        <v/>
      </c>
      <c r="DC149" s="8" t="str">
        <f>IF($B149="","",IF(COUNTIF('Competency Event Log'!$U$4:$U$803,$B149&amp;"|"&amp;DC$5)=0,"",SUMIF('Competency Event Log'!$U$4:$U$803,$B149&amp;"|"&amp;DC$5,'Competency Event Log'!$D$4:$D$803)))</f>
        <v/>
      </c>
      <c r="DD149" s="8" t="str">
        <f>IF($B149="","",IF(COUNTIF('Competency Event Log'!$U$4:$U$803,$B149&amp;"|"&amp;DD$5)=0,"",SUMIF('Competency Event Log'!$U$4:$U$803,$B149&amp;"|"&amp;DD$5,'Competency Event Log'!$D$4:$D$803)))</f>
        <v/>
      </c>
      <c r="DE149" s="8" t="str">
        <f>IF($B149="","",IF(COUNTIF('Competency Event Log'!$U$4:$U$803,$B149&amp;"|"&amp;DE$5)=0,"",SUMIF('Competency Event Log'!$U$4:$U$803,$B149&amp;"|"&amp;DE$5,'Competency Event Log'!$D$4:$D$803)))</f>
        <v/>
      </c>
      <c r="DF149" s="8" t="str">
        <f t="shared" si="16"/>
        <v/>
      </c>
      <c r="DG149" s="8" t="str">
        <f t="shared" si="17"/>
        <v/>
      </c>
      <c r="DH149" s="8" t="str">
        <f t="shared" si="18"/>
        <v/>
      </c>
      <c r="DI149" s="11" t="str">
        <f t="shared" si="19"/>
        <v/>
      </c>
    </row>
    <row r="150" spans="1:113">
      <c r="A150" s="7"/>
      <c r="B150" s="7"/>
      <c r="C150" s="8"/>
      <c r="D150" s="9"/>
      <c r="E150" s="10"/>
      <c r="F150" s="8"/>
      <c r="G150" s="8" t="str">
        <f>IF($B150="","",IF(COUNTIF('Competency Event Log'!$U$4:$U$803,$B150&amp;"|"&amp;G$5)=0,"",SUMIF('Competency Event Log'!$U$4:$U$803,$B150&amp;"|"&amp;G$5,'Competency Event Log'!$D$4:$D$803)))</f>
        <v/>
      </c>
      <c r="H150" s="8" t="str">
        <f>IF($B150="","",IF(COUNTIF('Competency Event Log'!$U$4:$U$803,$B150&amp;"|"&amp;H$5)=0,"",SUMIF('Competency Event Log'!$U$4:$U$803,$B150&amp;"|"&amp;H$5,'Competency Event Log'!$D$4:$D$803)))</f>
        <v/>
      </c>
      <c r="I150" s="8" t="str">
        <f>IF($B150="","",IF(COUNTIF('Competency Event Log'!$U$4:$U$803,$B150&amp;"|"&amp;I$5)=0,"",SUMIF('Competency Event Log'!$U$4:$U$803,$B150&amp;"|"&amp;I$5,'Competency Event Log'!$D$4:$D$803)))</f>
        <v/>
      </c>
      <c r="J150" s="8" t="str">
        <f>IF($B150="","",IF(COUNTIF('Competency Event Log'!$U$4:$U$803,$B150&amp;"|"&amp;J$5)=0,"",SUMIF('Competency Event Log'!$U$4:$U$803,$B150&amp;"|"&amp;J$5,'Competency Event Log'!$D$4:$D$803)))</f>
        <v/>
      </c>
      <c r="K150" s="8" t="str">
        <f>IF($B150="","",IF(COUNTIF('Competency Event Log'!$U$4:$U$803,$B150&amp;"|"&amp;K$5)=0,"",SUMIF('Competency Event Log'!$U$4:$U$803,$B150&amp;"|"&amp;K$5,'Competency Event Log'!$D$4:$D$803)))</f>
        <v/>
      </c>
      <c r="L150" s="8" t="str">
        <f>IF($B150="","",IF(COUNTIF('Competency Event Log'!$U$4:$U$803,$B150&amp;"|"&amp;L$5)=0,"",SUMIF('Competency Event Log'!$U$4:$U$803,$B150&amp;"|"&amp;L$5,'Competency Event Log'!$D$4:$D$803)))</f>
        <v/>
      </c>
      <c r="M150" s="8" t="str">
        <f>IF($B150="","",IF(COUNTIF('Competency Event Log'!$U$4:$U$803,$B150&amp;"|"&amp;M$5)=0,"",SUMIF('Competency Event Log'!$U$4:$U$803,$B150&amp;"|"&amp;M$5,'Competency Event Log'!$D$4:$D$803)))</f>
        <v/>
      </c>
      <c r="N150" s="8" t="str">
        <f>IF($B150="","",IF(COUNTIF('Competency Event Log'!$U$4:$U$803,$B150&amp;"|"&amp;N$5)=0,"",SUMIF('Competency Event Log'!$U$4:$U$803,$B150&amp;"|"&amp;N$5,'Competency Event Log'!$D$4:$D$803)))</f>
        <v/>
      </c>
      <c r="O150" s="8" t="str">
        <f>IF($B150="","",IF(COUNTIF('Competency Event Log'!$U$4:$U$803,$B150&amp;"|"&amp;O$5)=0,"",SUMIF('Competency Event Log'!$U$4:$U$803,$B150&amp;"|"&amp;O$5,'Competency Event Log'!$D$4:$D$803)))</f>
        <v/>
      </c>
      <c r="P150" s="8" t="str">
        <f>IF($B150="","",IF(COUNTIF('Competency Event Log'!$U$4:$U$803,$B150&amp;"|"&amp;P$5)=0,"",SUMIF('Competency Event Log'!$U$4:$U$803,$B150&amp;"|"&amp;P$5,'Competency Event Log'!$D$4:$D$803)))</f>
        <v/>
      </c>
      <c r="Q150" s="8" t="str">
        <f>IF($B150="","",IF(COUNTIF('Competency Event Log'!$U$4:$U$803,$B150&amp;"|"&amp;Q$5)=0,"",SUMIF('Competency Event Log'!$U$4:$U$803,$B150&amp;"|"&amp;Q$5,'Competency Event Log'!$D$4:$D$803)))</f>
        <v/>
      </c>
      <c r="R150" s="8" t="str">
        <f>IF($B150="","",IF(COUNTIF('Competency Event Log'!$U$4:$U$803,$B150&amp;"|"&amp;R$5)=0,"",SUMIF('Competency Event Log'!$U$4:$U$803,$B150&amp;"|"&amp;R$5,'Competency Event Log'!$D$4:$D$803)))</f>
        <v/>
      </c>
      <c r="S150" s="8" t="str">
        <f>IF($B150="","",IF(COUNTIF('Competency Event Log'!$U$4:$U$803,$B150&amp;"|"&amp;S$5)=0,"",SUMIF('Competency Event Log'!$U$4:$U$803,$B150&amp;"|"&amp;S$5,'Competency Event Log'!$D$4:$D$803)))</f>
        <v/>
      </c>
      <c r="T150" s="8" t="str">
        <f>IF($B150="","",IF(COUNTIF('Competency Event Log'!$U$4:$U$803,$B150&amp;"|"&amp;T$5)=0,"",SUMIF('Competency Event Log'!$U$4:$U$803,$B150&amp;"|"&amp;T$5,'Competency Event Log'!$D$4:$D$803)))</f>
        <v/>
      </c>
      <c r="U150" s="8" t="str">
        <f>IF($B150="","",IF(COUNTIF('Competency Event Log'!$U$4:$U$803,$B150&amp;"|"&amp;U$5)=0,"",SUMIF('Competency Event Log'!$U$4:$U$803,$B150&amp;"|"&amp;U$5,'Competency Event Log'!$D$4:$D$803)))</f>
        <v/>
      </c>
      <c r="V150" s="8" t="str">
        <f>IF($B150="","",IF(COUNTIF('Competency Event Log'!$U$4:$U$803,$B150&amp;"|"&amp;V$5)=0,"",SUMIF('Competency Event Log'!$U$4:$U$803,$B150&amp;"|"&amp;V$5,'Competency Event Log'!$D$4:$D$803)))</f>
        <v/>
      </c>
      <c r="W150" s="8" t="str">
        <f>IF($B150="","",IF(COUNTIF('Competency Event Log'!$U$4:$U$803,$B150&amp;"|"&amp;W$5)=0,"",SUMIF('Competency Event Log'!$U$4:$U$803,$B150&amp;"|"&amp;W$5,'Competency Event Log'!$D$4:$D$803)))</f>
        <v/>
      </c>
      <c r="X150" s="8" t="str">
        <f>IF($B150="","",IF(COUNTIF('Competency Event Log'!$U$4:$U$803,$B150&amp;"|"&amp;X$5)=0,"",SUMIF('Competency Event Log'!$U$4:$U$803,$B150&amp;"|"&amp;X$5,'Competency Event Log'!$D$4:$D$803)))</f>
        <v/>
      </c>
      <c r="Y150" s="8" t="str">
        <f>IF($B150="","",IF(COUNTIF('Competency Event Log'!$U$4:$U$803,$B150&amp;"|"&amp;Y$5)=0,"",SUMIF('Competency Event Log'!$U$4:$U$803,$B150&amp;"|"&amp;Y$5,'Competency Event Log'!$D$4:$D$803)))</f>
        <v/>
      </c>
      <c r="Z150" s="8" t="str">
        <f>IF($B150="","",IF(COUNTIF('Competency Event Log'!$U$4:$U$803,$B150&amp;"|"&amp;Z$5)=0,"",SUMIF('Competency Event Log'!$U$4:$U$803,$B150&amp;"|"&amp;Z$5,'Competency Event Log'!$D$4:$D$803)))</f>
        <v/>
      </c>
      <c r="AA150" s="8" t="str">
        <f>IF($B150="","",IF(COUNTIF('Competency Event Log'!$U$4:$U$803,$B150&amp;"|"&amp;AA$5)=0,"",SUMIF('Competency Event Log'!$U$4:$U$803,$B150&amp;"|"&amp;AA$5,'Competency Event Log'!$D$4:$D$803)))</f>
        <v/>
      </c>
      <c r="AB150" s="8" t="str">
        <f>IF($B150="","",IF(COUNTIF('Competency Event Log'!$U$4:$U$803,$B150&amp;"|"&amp;AB$5)=0,"",SUMIF('Competency Event Log'!$U$4:$U$803,$B150&amp;"|"&amp;AB$5,'Competency Event Log'!$D$4:$D$803)))</f>
        <v/>
      </c>
      <c r="AC150" s="8" t="str">
        <f>IF($B150="","",IF(COUNTIF('Competency Event Log'!$U$4:$U$803,$B150&amp;"|"&amp;AC$5)=0,"",SUMIF('Competency Event Log'!$U$4:$U$803,$B150&amp;"|"&amp;AC$5,'Competency Event Log'!$D$4:$D$803)))</f>
        <v/>
      </c>
      <c r="AD150" s="8" t="str">
        <f>IF($B150="","",IF(COUNTIF('Competency Event Log'!$U$4:$U$803,$B150&amp;"|"&amp;AD$5)=0,"",SUMIF('Competency Event Log'!$U$4:$U$803,$B150&amp;"|"&amp;AD$5,'Competency Event Log'!$D$4:$D$803)))</f>
        <v/>
      </c>
      <c r="AE150" s="8" t="str">
        <f>IF($B150="","",IF(COUNTIF('Competency Event Log'!$U$4:$U$803,$B150&amp;"|"&amp;AE$5)=0,"",SUMIF('Competency Event Log'!$U$4:$U$803,$B150&amp;"|"&amp;AE$5,'Competency Event Log'!$D$4:$D$803)))</f>
        <v/>
      </c>
      <c r="AF150" s="8" t="str">
        <f>IF($B150="","",IF(COUNTIF('Competency Event Log'!$U$4:$U$803,$B150&amp;"|"&amp;AF$5)=0,"",SUMIF('Competency Event Log'!$U$4:$U$803,$B150&amp;"|"&amp;AF$5,'Competency Event Log'!$D$4:$D$803)))</f>
        <v/>
      </c>
      <c r="AG150" s="8" t="str">
        <f>IF($B150="","",IF(COUNTIF('Competency Event Log'!$U$4:$U$803,$B150&amp;"|"&amp;AG$5)=0,"",SUMIF('Competency Event Log'!$U$4:$U$803,$B150&amp;"|"&amp;AG$5,'Competency Event Log'!$D$4:$D$803)))</f>
        <v/>
      </c>
      <c r="AH150" s="8" t="str">
        <f>IF($B150="","",IF(COUNTIF('Competency Event Log'!$U$4:$U$803,$B150&amp;"|"&amp;AH$5)=0,"",SUMIF('Competency Event Log'!$U$4:$U$803,$B150&amp;"|"&amp;AH$5,'Competency Event Log'!$D$4:$D$803)))</f>
        <v/>
      </c>
      <c r="AI150" s="8" t="str">
        <f>IF($B150="","",IF(COUNTIF('Competency Event Log'!$U$4:$U$803,$B150&amp;"|"&amp;AI$5)=0,"",SUMIF('Competency Event Log'!$U$4:$U$803,$B150&amp;"|"&amp;AI$5,'Competency Event Log'!$D$4:$D$803)))</f>
        <v/>
      </c>
      <c r="AJ150" s="8" t="str">
        <f>IF($B150="","",IF(COUNTIF('Competency Event Log'!$U$4:$U$803,$B150&amp;"|"&amp;AJ$5)=0,"",SUMIF('Competency Event Log'!$U$4:$U$803,$B150&amp;"|"&amp;AJ$5,'Competency Event Log'!$D$4:$D$803)))</f>
        <v/>
      </c>
      <c r="AK150" s="8" t="str">
        <f>IF($B150="","",IF(COUNTIF('Competency Event Log'!$U$4:$U$803,$B150&amp;"|"&amp;AK$5)=0,"",SUMIF('Competency Event Log'!$U$4:$U$803,$B150&amp;"|"&amp;AK$5,'Competency Event Log'!$D$4:$D$803)))</f>
        <v/>
      </c>
      <c r="AL150" s="8" t="str">
        <f>IF($B150="","",IF(COUNTIF('Competency Event Log'!$U$4:$U$803,$B150&amp;"|"&amp;AL$5)=0,"",SUMIF('Competency Event Log'!$U$4:$U$803,$B150&amp;"|"&amp;AL$5,'Competency Event Log'!$D$4:$D$803)))</f>
        <v/>
      </c>
      <c r="AM150" s="8" t="str">
        <f>IF($B150="","",IF(COUNTIF('Competency Event Log'!$U$4:$U$803,$B150&amp;"|"&amp;AM$5)=0,"",SUMIF('Competency Event Log'!$U$4:$U$803,$B150&amp;"|"&amp;AM$5,'Competency Event Log'!$D$4:$D$803)))</f>
        <v/>
      </c>
      <c r="AN150" s="8" t="str">
        <f>IF($B150="","",IF(COUNTIF('Competency Event Log'!$U$4:$U$803,$B150&amp;"|"&amp;AN$5)=0,"",SUMIF('Competency Event Log'!$U$4:$U$803,$B150&amp;"|"&amp;AN$5,'Competency Event Log'!$D$4:$D$803)))</f>
        <v/>
      </c>
      <c r="AO150" s="8" t="str">
        <f>IF($B150="","",IF(COUNTIF('Competency Event Log'!$U$4:$U$803,$B150&amp;"|"&amp;AO$5)=0,"",SUMIF('Competency Event Log'!$U$4:$U$803,$B150&amp;"|"&amp;AO$5,'Competency Event Log'!$D$4:$D$803)))</f>
        <v/>
      </c>
      <c r="AP150" s="8" t="str">
        <f>IF($B150="","",IF(COUNTIF('Competency Event Log'!$U$4:$U$803,$B150&amp;"|"&amp;AP$5)=0,"",SUMIF('Competency Event Log'!$U$4:$U$803,$B150&amp;"|"&amp;AP$5,'Competency Event Log'!$D$4:$D$803)))</f>
        <v/>
      </c>
      <c r="AQ150" s="8" t="str">
        <f>IF($B150="","",IF(COUNTIF('Competency Event Log'!$U$4:$U$803,$B150&amp;"|"&amp;AQ$5)=0,"",SUMIF('Competency Event Log'!$U$4:$U$803,$B150&amp;"|"&amp;AQ$5,'Competency Event Log'!$D$4:$D$803)))</f>
        <v/>
      </c>
      <c r="AR150" s="8" t="str">
        <f>IF($B150="","",IF(COUNTIF('Competency Event Log'!$U$4:$U$803,$B150&amp;"|"&amp;AR$5)=0,"",SUMIF('Competency Event Log'!$U$4:$U$803,$B150&amp;"|"&amp;AR$5,'Competency Event Log'!$D$4:$D$803)))</f>
        <v/>
      </c>
      <c r="AS150" s="8" t="str">
        <f>IF($B150="","",IF(COUNTIF('Competency Event Log'!$U$4:$U$803,$B150&amp;"|"&amp;AS$5)=0,"",SUMIF('Competency Event Log'!$U$4:$U$803,$B150&amp;"|"&amp;AS$5,'Competency Event Log'!$D$4:$D$803)))</f>
        <v/>
      </c>
      <c r="AT150" s="8" t="str">
        <f>IF($B150="","",IF(COUNTIF('Competency Event Log'!$U$4:$U$803,$B150&amp;"|"&amp;AT$5)=0,"",SUMIF('Competency Event Log'!$U$4:$U$803,$B150&amp;"|"&amp;AT$5,'Competency Event Log'!$D$4:$D$803)))</f>
        <v/>
      </c>
      <c r="AU150" s="8" t="str">
        <f>IF($B150="","",IF(COUNTIF('Competency Event Log'!$U$4:$U$803,$B150&amp;"|"&amp;AU$5)=0,"",SUMIF('Competency Event Log'!$U$4:$U$803,$B150&amp;"|"&amp;AU$5,'Competency Event Log'!$D$4:$D$803)))</f>
        <v/>
      </c>
      <c r="AV150" s="8" t="str">
        <f>IF($B150="","",IF(COUNTIF('Competency Event Log'!$U$4:$U$803,$B150&amp;"|"&amp;AV$5)=0,"",SUMIF('Competency Event Log'!$U$4:$U$803,$B150&amp;"|"&amp;AV$5,'Competency Event Log'!$D$4:$D$803)))</f>
        <v/>
      </c>
      <c r="AW150" s="8" t="str">
        <f>IF($B150="","",IF(COUNTIF('Competency Event Log'!$U$4:$U$803,$B150&amp;"|"&amp;AW$5)=0,"",SUMIF('Competency Event Log'!$U$4:$U$803,$B150&amp;"|"&amp;AW$5,'Competency Event Log'!$D$4:$D$803)))</f>
        <v/>
      </c>
      <c r="AX150" s="8" t="str">
        <f>IF($B150="","",IF(COUNTIF('Competency Event Log'!$U$4:$U$803,$B150&amp;"|"&amp;AX$5)=0,"",SUMIF('Competency Event Log'!$U$4:$U$803,$B150&amp;"|"&amp;AX$5,'Competency Event Log'!$D$4:$D$803)))</f>
        <v/>
      </c>
      <c r="AY150" s="8" t="str">
        <f>IF($B150="","",IF(COUNTIF('Competency Event Log'!$U$4:$U$803,$B150&amp;"|"&amp;AY$5)=0,"",SUMIF('Competency Event Log'!$U$4:$U$803,$B150&amp;"|"&amp;AY$5,'Competency Event Log'!$D$4:$D$803)))</f>
        <v/>
      </c>
      <c r="AZ150" s="8" t="str">
        <f>IF($B150="","",IF(COUNTIF('Competency Event Log'!$U$4:$U$803,$B150&amp;"|"&amp;AZ$5)=0,"",SUMIF('Competency Event Log'!$U$4:$U$803,$B150&amp;"|"&amp;AZ$5,'Competency Event Log'!$D$4:$D$803)))</f>
        <v/>
      </c>
      <c r="BA150" s="8" t="str">
        <f>IF($B150="","",IF(COUNTIF('Competency Event Log'!$U$4:$U$803,$B150&amp;"|"&amp;BA$5)=0,"",SUMIF('Competency Event Log'!$U$4:$U$803,$B150&amp;"|"&amp;BA$5,'Competency Event Log'!$D$4:$D$803)))</f>
        <v/>
      </c>
      <c r="BB150" s="8" t="str">
        <f>IF($B150="","",IF(COUNTIF('Competency Event Log'!$U$4:$U$803,$B150&amp;"|"&amp;BB$5)=0,"",SUMIF('Competency Event Log'!$U$4:$U$803,$B150&amp;"|"&amp;BB$5,'Competency Event Log'!$D$4:$D$803)))</f>
        <v/>
      </c>
      <c r="BC150" s="8" t="str">
        <f>IF($B150="","",IF(COUNTIF('Competency Event Log'!$U$4:$U$803,$B150&amp;"|"&amp;BC$5)=0,"",SUMIF('Competency Event Log'!$U$4:$U$803,$B150&amp;"|"&amp;BC$5,'Competency Event Log'!$D$4:$D$803)))</f>
        <v/>
      </c>
      <c r="BD150" s="8" t="str">
        <f>IF($B150="","",IF(COUNTIF('Competency Event Log'!$U$4:$U$803,$B150&amp;"|"&amp;BD$5)=0,"",SUMIF('Competency Event Log'!$U$4:$U$803,$B150&amp;"|"&amp;BD$5,'Competency Event Log'!$D$4:$D$803)))</f>
        <v/>
      </c>
      <c r="BE150" s="8" t="str">
        <f>IF($B150="","",IF(COUNTIF('Competency Event Log'!$U$4:$U$803,$B150&amp;"|"&amp;BE$5)=0,"",SUMIF('Competency Event Log'!$U$4:$U$803,$B150&amp;"|"&amp;BE$5,'Competency Event Log'!$D$4:$D$803)))</f>
        <v/>
      </c>
      <c r="BF150" s="8" t="str">
        <f>IF($B150="","",IF(COUNTIF('Competency Event Log'!$U$4:$U$803,$B150&amp;"|"&amp;BF$5)=0,"",SUMIF('Competency Event Log'!$U$4:$U$803,$B150&amp;"|"&amp;BF$5,'Competency Event Log'!$D$4:$D$803)))</f>
        <v/>
      </c>
      <c r="BG150" s="8" t="str">
        <f>IF($B150="","",IF(COUNTIF('Competency Event Log'!$U$4:$U$803,$B150&amp;"|"&amp;BG$5)=0,"",SUMIF('Competency Event Log'!$U$4:$U$803,$B150&amp;"|"&amp;BG$5,'Competency Event Log'!$D$4:$D$803)))</f>
        <v/>
      </c>
      <c r="BH150" s="8" t="str">
        <f>IF($B150="","",IF(COUNTIF('Competency Event Log'!$U$4:$U$803,$B150&amp;"|"&amp;BH$5)=0,"",SUMIF('Competency Event Log'!$U$4:$U$803,$B150&amp;"|"&amp;BH$5,'Competency Event Log'!$D$4:$D$803)))</f>
        <v/>
      </c>
      <c r="BI150" s="8" t="str">
        <f>IF($B150="","",IF(COUNTIF('Competency Event Log'!$U$4:$U$803,$B150&amp;"|"&amp;BI$5)=0,"",SUMIF('Competency Event Log'!$U$4:$U$803,$B150&amp;"|"&amp;BI$5,'Competency Event Log'!$D$4:$D$803)))</f>
        <v/>
      </c>
      <c r="BJ150" s="8" t="str">
        <f>IF($B150="","",IF(COUNTIF('Competency Event Log'!$U$4:$U$803,$B150&amp;"|"&amp;BJ$5)=0,"",SUMIF('Competency Event Log'!$U$4:$U$803,$B150&amp;"|"&amp;BJ$5,'Competency Event Log'!$D$4:$D$803)))</f>
        <v/>
      </c>
      <c r="BK150" s="8" t="str">
        <f>IF($B150="","",IF(COUNTIF('Competency Event Log'!$U$4:$U$803,$B150&amp;"|"&amp;BK$5)=0,"",SUMIF('Competency Event Log'!$U$4:$U$803,$B150&amp;"|"&amp;BK$5,'Competency Event Log'!$D$4:$D$803)))</f>
        <v/>
      </c>
      <c r="BL150" s="8" t="str">
        <f>IF($B150="","",IF(COUNTIF('Competency Event Log'!$U$4:$U$803,$B150&amp;"|"&amp;BL$5)=0,"",SUMIF('Competency Event Log'!$U$4:$U$803,$B150&amp;"|"&amp;BL$5,'Competency Event Log'!$D$4:$D$803)))</f>
        <v/>
      </c>
      <c r="BM150" s="8" t="str">
        <f>IF($B150="","",IF(COUNTIF('Competency Event Log'!$U$4:$U$803,$B150&amp;"|"&amp;BM$5)=0,"",SUMIF('Competency Event Log'!$U$4:$U$803,$B150&amp;"|"&amp;BM$5,'Competency Event Log'!$D$4:$D$803)))</f>
        <v/>
      </c>
      <c r="BN150" s="8" t="str">
        <f>IF($B150="","",IF(COUNTIF('Competency Event Log'!$U$4:$U$803,$B150&amp;"|"&amp;BN$5)=0,"",SUMIF('Competency Event Log'!$U$4:$U$803,$B150&amp;"|"&amp;BN$5,'Competency Event Log'!$D$4:$D$803)))</f>
        <v/>
      </c>
      <c r="BO150" s="8" t="str">
        <f>IF($B150="","",IF(COUNTIF('Competency Event Log'!$U$4:$U$803,$B150&amp;"|"&amp;BO$5)=0,"",SUMIF('Competency Event Log'!$U$4:$U$803,$B150&amp;"|"&amp;BO$5,'Competency Event Log'!$D$4:$D$803)))</f>
        <v/>
      </c>
      <c r="BP150" s="8" t="str">
        <f>IF($B150="","",IF(COUNTIF('Competency Event Log'!$U$4:$U$803,$B150&amp;"|"&amp;BP$5)=0,"",SUMIF('Competency Event Log'!$U$4:$U$803,$B150&amp;"|"&amp;BP$5,'Competency Event Log'!$D$4:$D$803)))</f>
        <v/>
      </c>
      <c r="BQ150" s="8" t="str">
        <f>IF($B150="","",IF(COUNTIF('Competency Event Log'!$U$4:$U$803,$B150&amp;"|"&amp;BQ$5)=0,"",SUMIF('Competency Event Log'!$U$4:$U$803,$B150&amp;"|"&amp;BQ$5,'Competency Event Log'!$D$4:$D$803)))</f>
        <v/>
      </c>
      <c r="BR150" s="8" t="str">
        <f>IF($B150="","",IF(COUNTIF('Competency Event Log'!$U$4:$U$803,$B150&amp;"|"&amp;BR$5)=0,"",SUMIF('Competency Event Log'!$U$4:$U$803,$B150&amp;"|"&amp;BR$5,'Competency Event Log'!$D$4:$D$803)))</f>
        <v/>
      </c>
      <c r="BS150" s="8" t="str">
        <f>IF($B150="","",IF(COUNTIF('Competency Event Log'!$U$4:$U$803,$B150&amp;"|"&amp;BS$5)=0,"",SUMIF('Competency Event Log'!$U$4:$U$803,$B150&amp;"|"&amp;BS$5,'Competency Event Log'!$D$4:$D$803)))</f>
        <v/>
      </c>
      <c r="BT150" s="8" t="str">
        <f>IF($B150="","",IF(COUNTIF('Competency Event Log'!$U$4:$U$803,$B150&amp;"|"&amp;BT$5)=0,"",SUMIF('Competency Event Log'!$U$4:$U$803,$B150&amp;"|"&amp;BT$5,'Competency Event Log'!$D$4:$D$803)))</f>
        <v/>
      </c>
      <c r="BU150" s="8" t="str">
        <f>IF($B150="","",IF(COUNTIF('Competency Event Log'!$U$4:$U$803,$B150&amp;"|"&amp;BU$5)=0,"",SUMIF('Competency Event Log'!$U$4:$U$803,$B150&amp;"|"&amp;BU$5,'Competency Event Log'!$D$4:$D$803)))</f>
        <v/>
      </c>
      <c r="BV150" s="8" t="str">
        <f>IF($B150="","",IF(COUNTIF('Competency Event Log'!$U$4:$U$803,$B150&amp;"|"&amp;BV$5)=0,"",SUMIF('Competency Event Log'!$U$4:$U$803,$B150&amp;"|"&amp;BV$5,'Competency Event Log'!$D$4:$D$803)))</f>
        <v/>
      </c>
      <c r="BW150" s="8" t="str">
        <f>IF($B150="","",IF(COUNTIF('Competency Event Log'!$U$4:$U$803,$B150&amp;"|"&amp;BW$5)=0,"",SUMIF('Competency Event Log'!$U$4:$U$803,$B150&amp;"|"&amp;BW$5,'Competency Event Log'!$D$4:$D$803)))</f>
        <v/>
      </c>
      <c r="BX150" s="8" t="str">
        <f>IF($B150="","",IF(COUNTIF('Competency Event Log'!$U$4:$U$803,$B150&amp;"|"&amp;BX$5)=0,"",SUMIF('Competency Event Log'!$U$4:$U$803,$B150&amp;"|"&amp;BX$5,'Competency Event Log'!$D$4:$D$803)))</f>
        <v/>
      </c>
      <c r="BY150" s="8" t="str">
        <f>IF($B150="","",IF(COUNTIF('Competency Event Log'!$U$4:$U$803,$B150&amp;"|"&amp;BY$5)=0,"",SUMIF('Competency Event Log'!$U$4:$U$803,$B150&amp;"|"&amp;BY$5,'Competency Event Log'!$D$4:$D$803)))</f>
        <v/>
      </c>
      <c r="BZ150" s="8" t="str">
        <f>IF($B150="","",IF(COUNTIF('Competency Event Log'!$U$4:$U$803,$B150&amp;"|"&amp;BZ$5)=0,"",SUMIF('Competency Event Log'!$U$4:$U$803,$B150&amp;"|"&amp;BZ$5,'Competency Event Log'!$D$4:$D$803)))</f>
        <v/>
      </c>
      <c r="CA150" s="8" t="str">
        <f>IF($B150="","",IF(COUNTIF('Competency Event Log'!$U$4:$U$803,$B150&amp;"|"&amp;CA$5)=0,"",SUMIF('Competency Event Log'!$U$4:$U$803,$B150&amp;"|"&amp;CA$5,'Competency Event Log'!$D$4:$D$803)))</f>
        <v/>
      </c>
      <c r="CB150" s="8" t="str">
        <f>IF($B150="","",IF(COUNTIF('Competency Event Log'!$U$4:$U$803,$B150&amp;"|"&amp;CB$5)=0,"",SUMIF('Competency Event Log'!$U$4:$U$803,$B150&amp;"|"&amp;CB$5,'Competency Event Log'!$D$4:$D$803)))</f>
        <v/>
      </c>
      <c r="CC150" s="8" t="str">
        <f>IF($B150="","",IF(COUNTIF('Competency Event Log'!$U$4:$U$803,$B150&amp;"|"&amp;CC$5)=0,"",SUMIF('Competency Event Log'!$U$4:$U$803,$B150&amp;"|"&amp;CC$5,'Competency Event Log'!$D$4:$D$803)))</f>
        <v/>
      </c>
      <c r="CD150" s="8" t="str">
        <f>IF($B150="","",IF(COUNTIF('Competency Event Log'!$U$4:$U$803,$B150&amp;"|"&amp;CD$5)=0,"",SUMIF('Competency Event Log'!$U$4:$U$803,$B150&amp;"|"&amp;CD$5,'Competency Event Log'!$D$4:$D$803)))</f>
        <v/>
      </c>
      <c r="CE150" s="8" t="str">
        <f>IF($B150="","",IF(COUNTIF('Competency Event Log'!$U$4:$U$803,$B150&amp;"|"&amp;CE$5)=0,"",SUMIF('Competency Event Log'!$U$4:$U$803,$B150&amp;"|"&amp;CE$5,'Competency Event Log'!$D$4:$D$803)))</f>
        <v/>
      </c>
      <c r="CF150" s="8" t="str">
        <f>IF($B150="","",IF(COUNTIF('Competency Event Log'!$U$4:$U$803,$B150&amp;"|"&amp;CF$5)=0,"",SUMIF('Competency Event Log'!$U$4:$U$803,$B150&amp;"|"&amp;CF$5,'Competency Event Log'!$D$4:$D$803)))</f>
        <v/>
      </c>
      <c r="CG150" s="8" t="str">
        <f>IF($B150="","",IF(COUNTIF('Competency Event Log'!$U$4:$U$803,$B150&amp;"|"&amp;CG$5)=0,"",SUMIF('Competency Event Log'!$U$4:$U$803,$B150&amp;"|"&amp;CG$5,'Competency Event Log'!$D$4:$D$803)))</f>
        <v/>
      </c>
      <c r="CH150" s="8" t="str">
        <f>IF($B150="","",IF(COUNTIF('Competency Event Log'!$U$4:$U$803,$B150&amp;"|"&amp;CH$5)=0,"",SUMIF('Competency Event Log'!$U$4:$U$803,$B150&amp;"|"&amp;CH$5,'Competency Event Log'!$D$4:$D$803)))</f>
        <v/>
      </c>
      <c r="CI150" s="8" t="str">
        <f>IF($B150="","",IF(COUNTIF('Competency Event Log'!$U$4:$U$803,$B150&amp;"|"&amp;CI$5)=0,"",SUMIF('Competency Event Log'!$U$4:$U$803,$B150&amp;"|"&amp;CI$5,'Competency Event Log'!$D$4:$D$803)))</f>
        <v/>
      </c>
      <c r="CJ150" s="8" t="str">
        <f>IF($B150="","",IF(COUNTIF('Competency Event Log'!$U$4:$U$803,$B150&amp;"|"&amp;CJ$5)=0,"",SUMIF('Competency Event Log'!$U$4:$U$803,$B150&amp;"|"&amp;CJ$5,'Competency Event Log'!$D$4:$D$803)))</f>
        <v/>
      </c>
      <c r="CK150" s="8" t="str">
        <f>IF($B150="","",IF(COUNTIF('Competency Event Log'!$U$4:$U$803,$B150&amp;"|"&amp;CK$5)=0,"",SUMIF('Competency Event Log'!$U$4:$U$803,$B150&amp;"|"&amp;CK$5,'Competency Event Log'!$D$4:$D$803)))</f>
        <v/>
      </c>
      <c r="CL150" s="8" t="str">
        <f>IF($B150="","",IF(COUNTIF('Competency Event Log'!$U$4:$U$803,$B150&amp;"|"&amp;CL$5)=0,"",SUMIF('Competency Event Log'!$U$4:$U$803,$B150&amp;"|"&amp;CL$5,'Competency Event Log'!$D$4:$D$803)))</f>
        <v/>
      </c>
      <c r="CM150" s="8" t="str">
        <f>IF($B150="","",IF(COUNTIF('Competency Event Log'!$U$4:$U$803,$B150&amp;"|"&amp;CM$5)=0,"",SUMIF('Competency Event Log'!$U$4:$U$803,$B150&amp;"|"&amp;CM$5,'Competency Event Log'!$D$4:$D$803)))</f>
        <v/>
      </c>
      <c r="CN150" s="8" t="str">
        <f>IF($B150="","",IF(COUNTIF('Competency Event Log'!$U$4:$U$803,$B150&amp;"|"&amp;CN$5)=0,"",SUMIF('Competency Event Log'!$U$4:$U$803,$B150&amp;"|"&amp;CN$5,'Competency Event Log'!$D$4:$D$803)))</f>
        <v/>
      </c>
      <c r="CO150" s="8" t="str">
        <f>IF($B150="","",IF(COUNTIF('Competency Event Log'!$U$4:$U$803,$B150&amp;"|"&amp;CO$5)=0,"",SUMIF('Competency Event Log'!$U$4:$U$803,$B150&amp;"|"&amp;CO$5,'Competency Event Log'!$D$4:$D$803)))</f>
        <v/>
      </c>
      <c r="CP150" s="8" t="str">
        <f>IF($B150="","",IF(COUNTIF('Competency Event Log'!$U$4:$U$803,$B150&amp;"|"&amp;CP$5)=0,"",SUMIF('Competency Event Log'!$U$4:$U$803,$B150&amp;"|"&amp;CP$5,'Competency Event Log'!$D$4:$D$803)))</f>
        <v/>
      </c>
      <c r="CQ150" s="8" t="str">
        <f>IF($B150="","",IF(COUNTIF('Competency Event Log'!$U$4:$U$803,$B150&amp;"|"&amp;CQ$5)=0,"",SUMIF('Competency Event Log'!$U$4:$U$803,$B150&amp;"|"&amp;CQ$5,'Competency Event Log'!$D$4:$D$803)))</f>
        <v/>
      </c>
      <c r="CR150" s="8" t="str">
        <f>IF($B150="","",IF(COUNTIF('Competency Event Log'!$U$4:$U$803,$B150&amp;"|"&amp;CR$5)=0,"",SUMIF('Competency Event Log'!$U$4:$U$803,$B150&amp;"|"&amp;CR$5,'Competency Event Log'!$D$4:$D$803)))</f>
        <v/>
      </c>
      <c r="CS150" s="8" t="str">
        <f>IF($B150="","",IF(COUNTIF('Competency Event Log'!$U$4:$U$803,$B150&amp;"|"&amp;CS$5)=0,"",SUMIF('Competency Event Log'!$U$4:$U$803,$B150&amp;"|"&amp;CS$5,'Competency Event Log'!$D$4:$D$803)))</f>
        <v/>
      </c>
      <c r="CT150" s="8" t="str">
        <f>IF($B150="","",IF(COUNTIF('Competency Event Log'!$U$4:$U$803,$B150&amp;"|"&amp;CT$5)=0,"",SUMIF('Competency Event Log'!$U$4:$U$803,$B150&amp;"|"&amp;CT$5,'Competency Event Log'!$D$4:$D$803)))</f>
        <v/>
      </c>
      <c r="CU150" s="8" t="str">
        <f>IF($B150="","",IF(COUNTIF('Competency Event Log'!$U$4:$U$803,$B150&amp;"|"&amp;CU$5)=0,"",SUMIF('Competency Event Log'!$U$4:$U$803,$B150&amp;"|"&amp;CU$5,'Competency Event Log'!$D$4:$D$803)))</f>
        <v/>
      </c>
      <c r="CV150" s="8" t="str">
        <f>IF($B150="","",IF(COUNTIF('Competency Event Log'!$U$4:$U$803,$B150&amp;"|"&amp;CV$5)=0,"",SUMIF('Competency Event Log'!$U$4:$U$803,$B150&amp;"|"&amp;CV$5,'Competency Event Log'!$D$4:$D$803)))</f>
        <v/>
      </c>
      <c r="CW150" s="8" t="str">
        <f>IF($B150="","",IF(COUNTIF('Competency Event Log'!$U$4:$U$803,$B150&amp;"|"&amp;CW$5)=0,"",SUMIF('Competency Event Log'!$U$4:$U$803,$B150&amp;"|"&amp;CW$5,'Competency Event Log'!$D$4:$D$803)))</f>
        <v/>
      </c>
      <c r="CX150" s="8" t="str">
        <f>IF($B150="","",IF(COUNTIF('Competency Event Log'!$U$4:$U$803,$B150&amp;"|"&amp;CX$5)=0,"",SUMIF('Competency Event Log'!$U$4:$U$803,$B150&amp;"|"&amp;CX$5,'Competency Event Log'!$D$4:$D$803)))</f>
        <v/>
      </c>
      <c r="CY150" s="8" t="str">
        <f>IF($B150="","",IF(COUNTIF('Competency Event Log'!$U$4:$U$803,$B150&amp;"|"&amp;CY$5)=0,"",SUMIF('Competency Event Log'!$U$4:$U$803,$B150&amp;"|"&amp;CY$5,'Competency Event Log'!$D$4:$D$803)))</f>
        <v/>
      </c>
      <c r="CZ150" s="8" t="str">
        <f>IF($B150="","",IF(COUNTIF('Competency Event Log'!$U$4:$U$803,$B150&amp;"|"&amp;CZ$5)=0,"",SUMIF('Competency Event Log'!$U$4:$U$803,$B150&amp;"|"&amp;CZ$5,'Competency Event Log'!$D$4:$D$803)))</f>
        <v/>
      </c>
      <c r="DA150" s="8" t="str">
        <f>IF($B150="","",IF(COUNTIF('Competency Event Log'!$U$4:$U$803,$B150&amp;"|"&amp;DA$5)=0,"",SUMIF('Competency Event Log'!$U$4:$U$803,$B150&amp;"|"&amp;DA$5,'Competency Event Log'!$D$4:$D$803)))</f>
        <v/>
      </c>
      <c r="DB150" s="8" t="str">
        <f>IF($B150="","",IF(COUNTIF('Competency Event Log'!$U$4:$U$803,$B150&amp;"|"&amp;DB$5)=0,"",SUMIF('Competency Event Log'!$U$4:$U$803,$B150&amp;"|"&amp;DB$5,'Competency Event Log'!$D$4:$D$803)))</f>
        <v/>
      </c>
      <c r="DC150" s="8" t="str">
        <f>IF($B150="","",IF(COUNTIF('Competency Event Log'!$U$4:$U$803,$B150&amp;"|"&amp;DC$5)=0,"",SUMIF('Competency Event Log'!$U$4:$U$803,$B150&amp;"|"&amp;DC$5,'Competency Event Log'!$D$4:$D$803)))</f>
        <v/>
      </c>
      <c r="DD150" s="8" t="str">
        <f>IF($B150="","",IF(COUNTIF('Competency Event Log'!$U$4:$U$803,$B150&amp;"|"&amp;DD$5)=0,"",SUMIF('Competency Event Log'!$U$4:$U$803,$B150&amp;"|"&amp;DD$5,'Competency Event Log'!$D$4:$D$803)))</f>
        <v/>
      </c>
      <c r="DE150" s="8" t="str">
        <f>IF($B150="","",IF(COUNTIF('Competency Event Log'!$U$4:$U$803,$B150&amp;"|"&amp;DE$5)=0,"",SUMIF('Competency Event Log'!$U$4:$U$803,$B150&amp;"|"&amp;DE$5,'Competency Event Log'!$D$4:$D$803)))</f>
        <v/>
      </c>
      <c r="DF150" s="8" t="str">
        <f t="shared" si="16"/>
        <v/>
      </c>
      <c r="DG150" s="8" t="str">
        <f t="shared" si="17"/>
        <v/>
      </c>
      <c r="DH150" s="8" t="str">
        <f t="shared" si="18"/>
        <v/>
      </c>
      <c r="DI150" s="11" t="str">
        <f t="shared" si="19"/>
        <v/>
      </c>
    </row>
    <row r="151" spans="1:113">
      <c r="A151" s="7"/>
      <c r="B151" s="7"/>
      <c r="C151" s="8"/>
      <c r="D151" s="9"/>
      <c r="E151" s="10"/>
      <c r="F151" s="8"/>
      <c r="G151" s="8" t="str">
        <f>IF($B151="","",IF(COUNTIF('Competency Event Log'!$U$4:$U$803,$B151&amp;"|"&amp;G$5)=0,"",SUMIF('Competency Event Log'!$U$4:$U$803,$B151&amp;"|"&amp;G$5,'Competency Event Log'!$D$4:$D$803)))</f>
        <v/>
      </c>
      <c r="H151" s="8" t="str">
        <f>IF($B151="","",IF(COUNTIF('Competency Event Log'!$U$4:$U$803,$B151&amp;"|"&amp;H$5)=0,"",SUMIF('Competency Event Log'!$U$4:$U$803,$B151&amp;"|"&amp;H$5,'Competency Event Log'!$D$4:$D$803)))</f>
        <v/>
      </c>
      <c r="I151" s="8" t="str">
        <f>IF($B151="","",IF(COUNTIF('Competency Event Log'!$U$4:$U$803,$B151&amp;"|"&amp;I$5)=0,"",SUMIF('Competency Event Log'!$U$4:$U$803,$B151&amp;"|"&amp;I$5,'Competency Event Log'!$D$4:$D$803)))</f>
        <v/>
      </c>
      <c r="J151" s="8" t="str">
        <f>IF($B151="","",IF(COUNTIF('Competency Event Log'!$U$4:$U$803,$B151&amp;"|"&amp;J$5)=0,"",SUMIF('Competency Event Log'!$U$4:$U$803,$B151&amp;"|"&amp;J$5,'Competency Event Log'!$D$4:$D$803)))</f>
        <v/>
      </c>
      <c r="K151" s="8" t="str">
        <f>IF($B151="","",IF(COUNTIF('Competency Event Log'!$U$4:$U$803,$B151&amp;"|"&amp;K$5)=0,"",SUMIF('Competency Event Log'!$U$4:$U$803,$B151&amp;"|"&amp;K$5,'Competency Event Log'!$D$4:$D$803)))</f>
        <v/>
      </c>
      <c r="L151" s="8" t="str">
        <f>IF($B151="","",IF(COUNTIF('Competency Event Log'!$U$4:$U$803,$B151&amp;"|"&amp;L$5)=0,"",SUMIF('Competency Event Log'!$U$4:$U$803,$B151&amp;"|"&amp;L$5,'Competency Event Log'!$D$4:$D$803)))</f>
        <v/>
      </c>
      <c r="M151" s="8" t="str">
        <f>IF($B151="","",IF(COUNTIF('Competency Event Log'!$U$4:$U$803,$B151&amp;"|"&amp;M$5)=0,"",SUMIF('Competency Event Log'!$U$4:$U$803,$B151&amp;"|"&amp;M$5,'Competency Event Log'!$D$4:$D$803)))</f>
        <v/>
      </c>
      <c r="N151" s="8" t="str">
        <f>IF($B151="","",IF(COUNTIF('Competency Event Log'!$U$4:$U$803,$B151&amp;"|"&amp;N$5)=0,"",SUMIF('Competency Event Log'!$U$4:$U$803,$B151&amp;"|"&amp;N$5,'Competency Event Log'!$D$4:$D$803)))</f>
        <v/>
      </c>
      <c r="O151" s="8" t="str">
        <f>IF($B151="","",IF(COUNTIF('Competency Event Log'!$U$4:$U$803,$B151&amp;"|"&amp;O$5)=0,"",SUMIF('Competency Event Log'!$U$4:$U$803,$B151&amp;"|"&amp;O$5,'Competency Event Log'!$D$4:$D$803)))</f>
        <v/>
      </c>
      <c r="P151" s="8" t="str">
        <f>IF($B151="","",IF(COUNTIF('Competency Event Log'!$U$4:$U$803,$B151&amp;"|"&amp;P$5)=0,"",SUMIF('Competency Event Log'!$U$4:$U$803,$B151&amp;"|"&amp;P$5,'Competency Event Log'!$D$4:$D$803)))</f>
        <v/>
      </c>
      <c r="Q151" s="8" t="str">
        <f>IF($B151="","",IF(COUNTIF('Competency Event Log'!$U$4:$U$803,$B151&amp;"|"&amp;Q$5)=0,"",SUMIF('Competency Event Log'!$U$4:$U$803,$B151&amp;"|"&amp;Q$5,'Competency Event Log'!$D$4:$D$803)))</f>
        <v/>
      </c>
      <c r="R151" s="8" t="str">
        <f>IF($B151="","",IF(COUNTIF('Competency Event Log'!$U$4:$U$803,$B151&amp;"|"&amp;R$5)=0,"",SUMIF('Competency Event Log'!$U$4:$U$803,$B151&amp;"|"&amp;R$5,'Competency Event Log'!$D$4:$D$803)))</f>
        <v/>
      </c>
      <c r="S151" s="8" t="str">
        <f>IF($B151="","",IF(COUNTIF('Competency Event Log'!$U$4:$U$803,$B151&amp;"|"&amp;S$5)=0,"",SUMIF('Competency Event Log'!$U$4:$U$803,$B151&amp;"|"&amp;S$5,'Competency Event Log'!$D$4:$D$803)))</f>
        <v/>
      </c>
      <c r="T151" s="8" t="str">
        <f>IF($B151="","",IF(COUNTIF('Competency Event Log'!$U$4:$U$803,$B151&amp;"|"&amp;T$5)=0,"",SUMIF('Competency Event Log'!$U$4:$U$803,$B151&amp;"|"&amp;T$5,'Competency Event Log'!$D$4:$D$803)))</f>
        <v/>
      </c>
      <c r="U151" s="8" t="str">
        <f>IF($B151="","",IF(COUNTIF('Competency Event Log'!$U$4:$U$803,$B151&amp;"|"&amp;U$5)=0,"",SUMIF('Competency Event Log'!$U$4:$U$803,$B151&amp;"|"&amp;U$5,'Competency Event Log'!$D$4:$D$803)))</f>
        <v/>
      </c>
      <c r="V151" s="8" t="str">
        <f>IF($B151="","",IF(COUNTIF('Competency Event Log'!$U$4:$U$803,$B151&amp;"|"&amp;V$5)=0,"",SUMIF('Competency Event Log'!$U$4:$U$803,$B151&amp;"|"&amp;V$5,'Competency Event Log'!$D$4:$D$803)))</f>
        <v/>
      </c>
      <c r="W151" s="8" t="str">
        <f>IF($B151="","",IF(COUNTIF('Competency Event Log'!$U$4:$U$803,$B151&amp;"|"&amp;W$5)=0,"",SUMIF('Competency Event Log'!$U$4:$U$803,$B151&amp;"|"&amp;W$5,'Competency Event Log'!$D$4:$D$803)))</f>
        <v/>
      </c>
      <c r="X151" s="8" t="str">
        <f>IF($B151="","",IF(COUNTIF('Competency Event Log'!$U$4:$U$803,$B151&amp;"|"&amp;X$5)=0,"",SUMIF('Competency Event Log'!$U$4:$U$803,$B151&amp;"|"&amp;X$5,'Competency Event Log'!$D$4:$D$803)))</f>
        <v/>
      </c>
      <c r="Y151" s="8" t="str">
        <f>IF($B151="","",IF(COUNTIF('Competency Event Log'!$U$4:$U$803,$B151&amp;"|"&amp;Y$5)=0,"",SUMIF('Competency Event Log'!$U$4:$U$803,$B151&amp;"|"&amp;Y$5,'Competency Event Log'!$D$4:$D$803)))</f>
        <v/>
      </c>
      <c r="Z151" s="8" t="str">
        <f>IF($B151="","",IF(COUNTIF('Competency Event Log'!$U$4:$U$803,$B151&amp;"|"&amp;Z$5)=0,"",SUMIF('Competency Event Log'!$U$4:$U$803,$B151&amp;"|"&amp;Z$5,'Competency Event Log'!$D$4:$D$803)))</f>
        <v/>
      </c>
      <c r="AA151" s="8" t="str">
        <f>IF($B151="","",IF(COUNTIF('Competency Event Log'!$U$4:$U$803,$B151&amp;"|"&amp;AA$5)=0,"",SUMIF('Competency Event Log'!$U$4:$U$803,$B151&amp;"|"&amp;AA$5,'Competency Event Log'!$D$4:$D$803)))</f>
        <v/>
      </c>
      <c r="AB151" s="8" t="str">
        <f>IF($B151="","",IF(COUNTIF('Competency Event Log'!$U$4:$U$803,$B151&amp;"|"&amp;AB$5)=0,"",SUMIF('Competency Event Log'!$U$4:$U$803,$B151&amp;"|"&amp;AB$5,'Competency Event Log'!$D$4:$D$803)))</f>
        <v/>
      </c>
      <c r="AC151" s="8" t="str">
        <f>IF($B151="","",IF(COUNTIF('Competency Event Log'!$U$4:$U$803,$B151&amp;"|"&amp;AC$5)=0,"",SUMIF('Competency Event Log'!$U$4:$U$803,$B151&amp;"|"&amp;AC$5,'Competency Event Log'!$D$4:$D$803)))</f>
        <v/>
      </c>
      <c r="AD151" s="8" t="str">
        <f>IF($B151="","",IF(COUNTIF('Competency Event Log'!$U$4:$U$803,$B151&amp;"|"&amp;AD$5)=0,"",SUMIF('Competency Event Log'!$U$4:$U$803,$B151&amp;"|"&amp;AD$5,'Competency Event Log'!$D$4:$D$803)))</f>
        <v/>
      </c>
      <c r="AE151" s="8" t="str">
        <f>IF($B151="","",IF(COUNTIF('Competency Event Log'!$U$4:$U$803,$B151&amp;"|"&amp;AE$5)=0,"",SUMIF('Competency Event Log'!$U$4:$U$803,$B151&amp;"|"&amp;AE$5,'Competency Event Log'!$D$4:$D$803)))</f>
        <v/>
      </c>
      <c r="AF151" s="8" t="str">
        <f>IF($B151="","",IF(COUNTIF('Competency Event Log'!$U$4:$U$803,$B151&amp;"|"&amp;AF$5)=0,"",SUMIF('Competency Event Log'!$U$4:$U$803,$B151&amp;"|"&amp;AF$5,'Competency Event Log'!$D$4:$D$803)))</f>
        <v/>
      </c>
      <c r="AG151" s="8" t="str">
        <f>IF($B151="","",IF(COUNTIF('Competency Event Log'!$U$4:$U$803,$B151&amp;"|"&amp;AG$5)=0,"",SUMIF('Competency Event Log'!$U$4:$U$803,$B151&amp;"|"&amp;AG$5,'Competency Event Log'!$D$4:$D$803)))</f>
        <v/>
      </c>
      <c r="AH151" s="8" t="str">
        <f>IF($B151="","",IF(COUNTIF('Competency Event Log'!$U$4:$U$803,$B151&amp;"|"&amp;AH$5)=0,"",SUMIF('Competency Event Log'!$U$4:$U$803,$B151&amp;"|"&amp;AH$5,'Competency Event Log'!$D$4:$D$803)))</f>
        <v/>
      </c>
      <c r="AI151" s="8" t="str">
        <f>IF($B151="","",IF(COUNTIF('Competency Event Log'!$U$4:$U$803,$B151&amp;"|"&amp;AI$5)=0,"",SUMIF('Competency Event Log'!$U$4:$U$803,$B151&amp;"|"&amp;AI$5,'Competency Event Log'!$D$4:$D$803)))</f>
        <v/>
      </c>
      <c r="AJ151" s="8" t="str">
        <f>IF($B151="","",IF(COUNTIF('Competency Event Log'!$U$4:$U$803,$B151&amp;"|"&amp;AJ$5)=0,"",SUMIF('Competency Event Log'!$U$4:$U$803,$B151&amp;"|"&amp;AJ$5,'Competency Event Log'!$D$4:$D$803)))</f>
        <v/>
      </c>
      <c r="AK151" s="8" t="str">
        <f>IF($B151="","",IF(COUNTIF('Competency Event Log'!$U$4:$U$803,$B151&amp;"|"&amp;AK$5)=0,"",SUMIF('Competency Event Log'!$U$4:$U$803,$B151&amp;"|"&amp;AK$5,'Competency Event Log'!$D$4:$D$803)))</f>
        <v/>
      </c>
      <c r="AL151" s="8" t="str">
        <f>IF($B151="","",IF(COUNTIF('Competency Event Log'!$U$4:$U$803,$B151&amp;"|"&amp;AL$5)=0,"",SUMIF('Competency Event Log'!$U$4:$U$803,$B151&amp;"|"&amp;AL$5,'Competency Event Log'!$D$4:$D$803)))</f>
        <v/>
      </c>
      <c r="AM151" s="8" t="str">
        <f>IF($B151="","",IF(COUNTIF('Competency Event Log'!$U$4:$U$803,$B151&amp;"|"&amp;AM$5)=0,"",SUMIF('Competency Event Log'!$U$4:$U$803,$B151&amp;"|"&amp;AM$5,'Competency Event Log'!$D$4:$D$803)))</f>
        <v/>
      </c>
      <c r="AN151" s="8" t="str">
        <f>IF($B151="","",IF(COUNTIF('Competency Event Log'!$U$4:$U$803,$B151&amp;"|"&amp;AN$5)=0,"",SUMIF('Competency Event Log'!$U$4:$U$803,$B151&amp;"|"&amp;AN$5,'Competency Event Log'!$D$4:$D$803)))</f>
        <v/>
      </c>
      <c r="AO151" s="8" t="str">
        <f>IF($B151="","",IF(COUNTIF('Competency Event Log'!$U$4:$U$803,$B151&amp;"|"&amp;AO$5)=0,"",SUMIF('Competency Event Log'!$U$4:$U$803,$B151&amp;"|"&amp;AO$5,'Competency Event Log'!$D$4:$D$803)))</f>
        <v/>
      </c>
      <c r="AP151" s="8" t="str">
        <f>IF($B151="","",IF(COUNTIF('Competency Event Log'!$U$4:$U$803,$B151&amp;"|"&amp;AP$5)=0,"",SUMIF('Competency Event Log'!$U$4:$U$803,$B151&amp;"|"&amp;AP$5,'Competency Event Log'!$D$4:$D$803)))</f>
        <v/>
      </c>
      <c r="AQ151" s="8" t="str">
        <f>IF($B151="","",IF(COUNTIF('Competency Event Log'!$U$4:$U$803,$B151&amp;"|"&amp;AQ$5)=0,"",SUMIF('Competency Event Log'!$U$4:$U$803,$B151&amp;"|"&amp;AQ$5,'Competency Event Log'!$D$4:$D$803)))</f>
        <v/>
      </c>
      <c r="AR151" s="8" t="str">
        <f>IF($B151="","",IF(COUNTIF('Competency Event Log'!$U$4:$U$803,$B151&amp;"|"&amp;AR$5)=0,"",SUMIF('Competency Event Log'!$U$4:$U$803,$B151&amp;"|"&amp;AR$5,'Competency Event Log'!$D$4:$D$803)))</f>
        <v/>
      </c>
      <c r="AS151" s="8" t="str">
        <f>IF($B151="","",IF(COUNTIF('Competency Event Log'!$U$4:$U$803,$B151&amp;"|"&amp;AS$5)=0,"",SUMIF('Competency Event Log'!$U$4:$U$803,$B151&amp;"|"&amp;AS$5,'Competency Event Log'!$D$4:$D$803)))</f>
        <v/>
      </c>
      <c r="AT151" s="8" t="str">
        <f>IF($B151="","",IF(COUNTIF('Competency Event Log'!$U$4:$U$803,$B151&amp;"|"&amp;AT$5)=0,"",SUMIF('Competency Event Log'!$U$4:$U$803,$B151&amp;"|"&amp;AT$5,'Competency Event Log'!$D$4:$D$803)))</f>
        <v/>
      </c>
      <c r="AU151" s="8" t="str">
        <f>IF($B151="","",IF(COUNTIF('Competency Event Log'!$U$4:$U$803,$B151&amp;"|"&amp;AU$5)=0,"",SUMIF('Competency Event Log'!$U$4:$U$803,$B151&amp;"|"&amp;AU$5,'Competency Event Log'!$D$4:$D$803)))</f>
        <v/>
      </c>
      <c r="AV151" s="8" t="str">
        <f>IF($B151="","",IF(COUNTIF('Competency Event Log'!$U$4:$U$803,$B151&amp;"|"&amp;AV$5)=0,"",SUMIF('Competency Event Log'!$U$4:$U$803,$B151&amp;"|"&amp;AV$5,'Competency Event Log'!$D$4:$D$803)))</f>
        <v/>
      </c>
      <c r="AW151" s="8" t="str">
        <f>IF($B151="","",IF(COUNTIF('Competency Event Log'!$U$4:$U$803,$B151&amp;"|"&amp;AW$5)=0,"",SUMIF('Competency Event Log'!$U$4:$U$803,$B151&amp;"|"&amp;AW$5,'Competency Event Log'!$D$4:$D$803)))</f>
        <v/>
      </c>
      <c r="AX151" s="8" t="str">
        <f>IF($B151="","",IF(COUNTIF('Competency Event Log'!$U$4:$U$803,$B151&amp;"|"&amp;AX$5)=0,"",SUMIF('Competency Event Log'!$U$4:$U$803,$B151&amp;"|"&amp;AX$5,'Competency Event Log'!$D$4:$D$803)))</f>
        <v/>
      </c>
      <c r="AY151" s="8" t="str">
        <f>IF($B151="","",IF(COUNTIF('Competency Event Log'!$U$4:$U$803,$B151&amp;"|"&amp;AY$5)=0,"",SUMIF('Competency Event Log'!$U$4:$U$803,$B151&amp;"|"&amp;AY$5,'Competency Event Log'!$D$4:$D$803)))</f>
        <v/>
      </c>
      <c r="AZ151" s="8" t="str">
        <f>IF($B151="","",IF(COUNTIF('Competency Event Log'!$U$4:$U$803,$B151&amp;"|"&amp;AZ$5)=0,"",SUMIF('Competency Event Log'!$U$4:$U$803,$B151&amp;"|"&amp;AZ$5,'Competency Event Log'!$D$4:$D$803)))</f>
        <v/>
      </c>
      <c r="BA151" s="8" t="str">
        <f>IF($B151="","",IF(COUNTIF('Competency Event Log'!$U$4:$U$803,$B151&amp;"|"&amp;BA$5)=0,"",SUMIF('Competency Event Log'!$U$4:$U$803,$B151&amp;"|"&amp;BA$5,'Competency Event Log'!$D$4:$D$803)))</f>
        <v/>
      </c>
      <c r="BB151" s="8" t="str">
        <f>IF($B151="","",IF(COUNTIF('Competency Event Log'!$U$4:$U$803,$B151&amp;"|"&amp;BB$5)=0,"",SUMIF('Competency Event Log'!$U$4:$U$803,$B151&amp;"|"&amp;BB$5,'Competency Event Log'!$D$4:$D$803)))</f>
        <v/>
      </c>
      <c r="BC151" s="8" t="str">
        <f>IF($B151="","",IF(COUNTIF('Competency Event Log'!$U$4:$U$803,$B151&amp;"|"&amp;BC$5)=0,"",SUMIF('Competency Event Log'!$U$4:$U$803,$B151&amp;"|"&amp;BC$5,'Competency Event Log'!$D$4:$D$803)))</f>
        <v/>
      </c>
      <c r="BD151" s="8" t="str">
        <f>IF($B151="","",IF(COUNTIF('Competency Event Log'!$U$4:$U$803,$B151&amp;"|"&amp;BD$5)=0,"",SUMIF('Competency Event Log'!$U$4:$U$803,$B151&amp;"|"&amp;BD$5,'Competency Event Log'!$D$4:$D$803)))</f>
        <v/>
      </c>
      <c r="BE151" s="8" t="str">
        <f>IF($B151="","",IF(COUNTIF('Competency Event Log'!$U$4:$U$803,$B151&amp;"|"&amp;BE$5)=0,"",SUMIF('Competency Event Log'!$U$4:$U$803,$B151&amp;"|"&amp;BE$5,'Competency Event Log'!$D$4:$D$803)))</f>
        <v/>
      </c>
      <c r="BF151" s="8" t="str">
        <f>IF($B151="","",IF(COUNTIF('Competency Event Log'!$U$4:$U$803,$B151&amp;"|"&amp;BF$5)=0,"",SUMIF('Competency Event Log'!$U$4:$U$803,$B151&amp;"|"&amp;BF$5,'Competency Event Log'!$D$4:$D$803)))</f>
        <v/>
      </c>
      <c r="BG151" s="8" t="str">
        <f>IF($B151="","",IF(COUNTIF('Competency Event Log'!$U$4:$U$803,$B151&amp;"|"&amp;BG$5)=0,"",SUMIF('Competency Event Log'!$U$4:$U$803,$B151&amp;"|"&amp;BG$5,'Competency Event Log'!$D$4:$D$803)))</f>
        <v/>
      </c>
      <c r="BH151" s="8" t="str">
        <f>IF($B151="","",IF(COUNTIF('Competency Event Log'!$U$4:$U$803,$B151&amp;"|"&amp;BH$5)=0,"",SUMIF('Competency Event Log'!$U$4:$U$803,$B151&amp;"|"&amp;BH$5,'Competency Event Log'!$D$4:$D$803)))</f>
        <v/>
      </c>
      <c r="BI151" s="8" t="str">
        <f>IF($B151="","",IF(COUNTIF('Competency Event Log'!$U$4:$U$803,$B151&amp;"|"&amp;BI$5)=0,"",SUMIF('Competency Event Log'!$U$4:$U$803,$B151&amp;"|"&amp;BI$5,'Competency Event Log'!$D$4:$D$803)))</f>
        <v/>
      </c>
      <c r="BJ151" s="8" t="str">
        <f>IF($B151="","",IF(COUNTIF('Competency Event Log'!$U$4:$U$803,$B151&amp;"|"&amp;BJ$5)=0,"",SUMIF('Competency Event Log'!$U$4:$U$803,$B151&amp;"|"&amp;BJ$5,'Competency Event Log'!$D$4:$D$803)))</f>
        <v/>
      </c>
      <c r="BK151" s="8" t="str">
        <f>IF($B151="","",IF(COUNTIF('Competency Event Log'!$U$4:$U$803,$B151&amp;"|"&amp;BK$5)=0,"",SUMIF('Competency Event Log'!$U$4:$U$803,$B151&amp;"|"&amp;BK$5,'Competency Event Log'!$D$4:$D$803)))</f>
        <v/>
      </c>
      <c r="BL151" s="8" t="str">
        <f>IF($B151="","",IF(COUNTIF('Competency Event Log'!$U$4:$U$803,$B151&amp;"|"&amp;BL$5)=0,"",SUMIF('Competency Event Log'!$U$4:$U$803,$B151&amp;"|"&amp;BL$5,'Competency Event Log'!$D$4:$D$803)))</f>
        <v/>
      </c>
      <c r="BM151" s="8" t="str">
        <f>IF($B151="","",IF(COUNTIF('Competency Event Log'!$U$4:$U$803,$B151&amp;"|"&amp;BM$5)=0,"",SUMIF('Competency Event Log'!$U$4:$U$803,$B151&amp;"|"&amp;BM$5,'Competency Event Log'!$D$4:$D$803)))</f>
        <v/>
      </c>
      <c r="BN151" s="8" t="str">
        <f>IF($B151="","",IF(COUNTIF('Competency Event Log'!$U$4:$U$803,$B151&amp;"|"&amp;BN$5)=0,"",SUMIF('Competency Event Log'!$U$4:$U$803,$B151&amp;"|"&amp;BN$5,'Competency Event Log'!$D$4:$D$803)))</f>
        <v/>
      </c>
      <c r="BO151" s="8" t="str">
        <f>IF($B151="","",IF(COUNTIF('Competency Event Log'!$U$4:$U$803,$B151&amp;"|"&amp;BO$5)=0,"",SUMIF('Competency Event Log'!$U$4:$U$803,$B151&amp;"|"&amp;BO$5,'Competency Event Log'!$D$4:$D$803)))</f>
        <v/>
      </c>
      <c r="BP151" s="8" t="str">
        <f>IF($B151="","",IF(COUNTIF('Competency Event Log'!$U$4:$U$803,$B151&amp;"|"&amp;BP$5)=0,"",SUMIF('Competency Event Log'!$U$4:$U$803,$B151&amp;"|"&amp;BP$5,'Competency Event Log'!$D$4:$D$803)))</f>
        <v/>
      </c>
      <c r="BQ151" s="8" t="str">
        <f>IF($B151="","",IF(COUNTIF('Competency Event Log'!$U$4:$U$803,$B151&amp;"|"&amp;BQ$5)=0,"",SUMIF('Competency Event Log'!$U$4:$U$803,$B151&amp;"|"&amp;BQ$5,'Competency Event Log'!$D$4:$D$803)))</f>
        <v/>
      </c>
      <c r="BR151" s="8" t="str">
        <f>IF($B151="","",IF(COUNTIF('Competency Event Log'!$U$4:$U$803,$B151&amp;"|"&amp;BR$5)=0,"",SUMIF('Competency Event Log'!$U$4:$U$803,$B151&amp;"|"&amp;BR$5,'Competency Event Log'!$D$4:$D$803)))</f>
        <v/>
      </c>
      <c r="BS151" s="8" t="str">
        <f>IF($B151="","",IF(COUNTIF('Competency Event Log'!$U$4:$U$803,$B151&amp;"|"&amp;BS$5)=0,"",SUMIF('Competency Event Log'!$U$4:$U$803,$B151&amp;"|"&amp;BS$5,'Competency Event Log'!$D$4:$D$803)))</f>
        <v/>
      </c>
      <c r="BT151" s="8" t="str">
        <f>IF($B151="","",IF(COUNTIF('Competency Event Log'!$U$4:$U$803,$B151&amp;"|"&amp;BT$5)=0,"",SUMIF('Competency Event Log'!$U$4:$U$803,$B151&amp;"|"&amp;BT$5,'Competency Event Log'!$D$4:$D$803)))</f>
        <v/>
      </c>
      <c r="BU151" s="8" t="str">
        <f>IF($B151="","",IF(COUNTIF('Competency Event Log'!$U$4:$U$803,$B151&amp;"|"&amp;BU$5)=0,"",SUMIF('Competency Event Log'!$U$4:$U$803,$B151&amp;"|"&amp;BU$5,'Competency Event Log'!$D$4:$D$803)))</f>
        <v/>
      </c>
      <c r="BV151" s="8" t="str">
        <f>IF($B151="","",IF(COUNTIF('Competency Event Log'!$U$4:$U$803,$B151&amp;"|"&amp;BV$5)=0,"",SUMIF('Competency Event Log'!$U$4:$U$803,$B151&amp;"|"&amp;BV$5,'Competency Event Log'!$D$4:$D$803)))</f>
        <v/>
      </c>
      <c r="BW151" s="8" t="str">
        <f>IF($B151="","",IF(COUNTIF('Competency Event Log'!$U$4:$U$803,$B151&amp;"|"&amp;BW$5)=0,"",SUMIF('Competency Event Log'!$U$4:$U$803,$B151&amp;"|"&amp;BW$5,'Competency Event Log'!$D$4:$D$803)))</f>
        <v/>
      </c>
      <c r="BX151" s="8" t="str">
        <f>IF($B151="","",IF(COUNTIF('Competency Event Log'!$U$4:$U$803,$B151&amp;"|"&amp;BX$5)=0,"",SUMIF('Competency Event Log'!$U$4:$U$803,$B151&amp;"|"&amp;BX$5,'Competency Event Log'!$D$4:$D$803)))</f>
        <v/>
      </c>
      <c r="BY151" s="8" t="str">
        <f>IF($B151="","",IF(COUNTIF('Competency Event Log'!$U$4:$U$803,$B151&amp;"|"&amp;BY$5)=0,"",SUMIF('Competency Event Log'!$U$4:$U$803,$B151&amp;"|"&amp;BY$5,'Competency Event Log'!$D$4:$D$803)))</f>
        <v/>
      </c>
      <c r="BZ151" s="8" t="str">
        <f>IF($B151="","",IF(COUNTIF('Competency Event Log'!$U$4:$U$803,$B151&amp;"|"&amp;BZ$5)=0,"",SUMIF('Competency Event Log'!$U$4:$U$803,$B151&amp;"|"&amp;BZ$5,'Competency Event Log'!$D$4:$D$803)))</f>
        <v/>
      </c>
      <c r="CA151" s="8" t="str">
        <f>IF($B151="","",IF(COUNTIF('Competency Event Log'!$U$4:$U$803,$B151&amp;"|"&amp;CA$5)=0,"",SUMIF('Competency Event Log'!$U$4:$U$803,$B151&amp;"|"&amp;CA$5,'Competency Event Log'!$D$4:$D$803)))</f>
        <v/>
      </c>
      <c r="CB151" s="8" t="str">
        <f>IF($B151="","",IF(COUNTIF('Competency Event Log'!$U$4:$U$803,$B151&amp;"|"&amp;CB$5)=0,"",SUMIF('Competency Event Log'!$U$4:$U$803,$B151&amp;"|"&amp;CB$5,'Competency Event Log'!$D$4:$D$803)))</f>
        <v/>
      </c>
      <c r="CC151" s="8" t="str">
        <f>IF($B151="","",IF(COUNTIF('Competency Event Log'!$U$4:$U$803,$B151&amp;"|"&amp;CC$5)=0,"",SUMIF('Competency Event Log'!$U$4:$U$803,$B151&amp;"|"&amp;CC$5,'Competency Event Log'!$D$4:$D$803)))</f>
        <v/>
      </c>
      <c r="CD151" s="8" t="str">
        <f>IF($B151="","",IF(COUNTIF('Competency Event Log'!$U$4:$U$803,$B151&amp;"|"&amp;CD$5)=0,"",SUMIF('Competency Event Log'!$U$4:$U$803,$B151&amp;"|"&amp;CD$5,'Competency Event Log'!$D$4:$D$803)))</f>
        <v/>
      </c>
      <c r="CE151" s="8" t="str">
        <f>IF($B151="","",IF(COUNTIF('Competency Event Log'!$U$4:$U$803,$B151&amp;"|"&amp;CE$5)=0,"",SUMIF('Competency Event Log'!$U$4:$U$803,$B151&amp;"|"&amp;CE$5,'Competency Event Log'!$D$4:$D$803)))</f>
        <v/>
      </c>
      <c r="CF151" s="8" t="str">
        <f>IF($B151="","",IF(COUNTIF('Competency Event Log'!$U$4:$U$803,$B151&amp;"|"&amp;CF$5)=0,"",SUMIF('Competency Event Log'!$U$4:$U$803,$B151&amp;"|"&amp;CF$5,'Competency Event Log'!$D$4:$D$803)))</f>
        <v/>
      </c>
      <c r="CG151" s="8" t="str">
        <f>IF($B151="","",IF(COUNTIF('Competency Event Log'!$U$4:$U$803,$B151&amp;"|"&amp;CG$5)=0,"",SUMIF('Competency Event Log'!$U$4:$U$803,$B151&amp;"|"&amp;CG$5,'Competency Event Log'!$D$4:$D$803)))</f>
        <v/>
      </c>
      <c r="CH151" s="8" t="str">
        <f>IF($B151="","",IF(COUNTIF('Competency Event Log'!$U$4:$U$803,$B151&amp;"|"&amp;CH$5)=0,"",SUMIF('Competency Event Log'!$U$4:$U$803,$B151&amp;"|"&amp;CH$5,'Competency Event Log'!$D$4:$D$803)))</f>
        <v/>
      </c>
      <c r="CI151" s="8" t="str">
        <f>IF($B151="","",IF(COUNTIF('Competency Event Log'!$U$4:$U$803,$B151&amp;"|"&amp;CI$5)=0,"",SUMIF('Competency Event Log'!$U$4:$U$803,$B151&amp;"|"&amp;CI$5,'Competency Event Log'!$D$4:$D$803)))</f>
        <v/>
      </c>
      <c r="CJ151" s="8" t="str">
        <f>IF($B151="","",IF(COUNTIF('Competency Event Log'!$U$4:$U$803,$B151&amp;"|"&amp;CJ$5)=0,"",SUMIF('Competency Event Log'!$U$4:$U$803,$B151&amp;"|"&amp;CJ$5,'Competency Event Log'!$D$4:$D$803)))</f>
        <v/>
      </c>
      <c r="CK151" s="8" t="str">
        <f>IF($B151="","",IF(COUNTIF('Competency Event Log'!$U$4:$U$803,$B151&amp;"|"&amp;CK$5)=0,"",SUMIF('Competency Event Log'!$U$4:$U$803,$B151&amp;"|"&amp;CK$5,'Competency Event Log'!$D$4:$D$803)))</f>
        <v/>
      </c>
      <c r="CL151" s="8" t="str">
        <f>IF($B151="","",IF(COUNTIF('Competency Event Log'!$U$4:$U$803,$B151&amp;"|"&amp;CL$5)=0,"",SUMIF('Competency Event Log'!$U$4:$U$803,$B151&amp;"|"&amp;CL$5,'Competency Event Log'!$D$4:$D$803)))</f>
        <v/>
      </c>
      <c r="CM151" s="8" t="str">
        <f>IF($B151="","",IF(COUNTIF('Competency Event Log'!$U$4:$U$803,$B151&amp;"|"&amp;CM$5)=0,"",SUMIF('Competency Event Log'!$U$4:$U$803,$B151&amp;"|"&amp;CM$5,'Competency Event Log'!$D$4:$D$803)))</f>
        <v/>
      </c>
      <c r="CN151" s="8" t="str">
        <f>IF($B151="","",IF(COUNTIF('Competency Event Log'!$U$4:$U$803,$B151&amp;"|"&amp;CN$5)=0,"",SUMIF('Competency Event Log'!$U$4:$U$803,$B151&amp;"|"&amp;CN$5,'Competency Event Log'!$D$4:$D$803)))</f>
        <v/>
      </c>
      <c r="CO151" s="8" t="str">
        <f>IF($B151="","",IF(COUNTIF('Competency Event Log'!$U$4:$U$803,$B151&amp;"|"&amp;CO$5)=0,"",SUMIF('Competency Event Log'!$U$4:$U$803,$B151&amp;"|"&amp;CO$5,'Competency Event Log'!$D$4:$D$803)))</f>
        <v/>
      </c>
      <c r="CP151" s="8" t="str">
        <f>IF($B151="","",IF(COUNTIF('Competency Event Log'!$U$4:$U$803,$B151&amp;"|"&amp;CP$5)=0,"",SUMIF('Competency Event Log'!$U$4:$U$803,$B151&amp;"|"&amp;CP$5,'Competency Event Log'!$D$4:$D$803)))</f>
        <v/>
      </c>
      <c r="CQ151" s="8" t="str">
        <f>IF($B151="","",IF(COUNTIF('Competency Event Log'!$U$4:$U$803,$B151&amp;"|"&amp;CQ$5)=0,"",SUMIF('Competency Event Log'!$U$4:$U$803,$B151&amp;"|"&amp;CQ$5,'Competency Event Log'!$D$4:$D$803)))</f>
        <v/>
      </c>
      <c r="CR151" s="8" t="str">
        <f>IF($B151="","",IF(COUNTIF('Competency Event Log'!$U$4:$U$803,$B151&amp;"|"&amp;CR$5)=0,"",SUMIF('Competency Event Log'!$U$4:$U$803,$B151&amp;"|"&amp;CR$5,'Competency Event Log'!$D$4:$D$803)))</f>
        <v/>
      </c>
      <c r="CS151" s="8" t="str">
        <f>IF($B151="","",IF(COUNTIF('Competency Event Log'!$U$4:$U$803,$B151&amp;"|"&amp;CS$5)=0,"",SUMIF('Competency Event Log'!$U$4:$U$803,$B151&amp;"|"&amp;CS$5,'Competency Event Log'!$D$4:$D$803)))</f>
        <v/>
      </c>
      <c r="CT151" s="8" t="str">
        <f>IF($B151="","",IF(COUNTIF('Competency Event Log'!$U$4:$U$803,$B151&amp;"|"&amp;CT$5)=0,"",SUMIF('Competency Event Log'!$U$4:$U$803,$B151&amp;"|"&amp;CT$5,'Competency Event Log'!$D$4:$D$803)))</f>
        <v/>
      </c>
      <c r="CU151" s="8" t="str">
        <f>IF($B151="","",IF(COUNTIF('Competency Event Log'!$U$4:$U$803,$B151&amp;"|"&amp;CU$5)=0,"",SUMIF('Competency Event Log'!$U$4:$U$803,$B151&amp;"|"&amp;CU$5,'Competency Event Log'!$D$4:$D$803)))</f>
        <v/>
      </c>
      <c r="CV151" s="8" t="str">
        <f>IF($B151="","",IF(COUNTIF('Competency Event Log'!$U$4:$U$803,$B151&amp;"|"&amp;CV$5)=0,"",SUMIF('Competency Event Log'!$U$4:$U$803,$B151&amp;"|"&amp;CV$5,'Competency Event Log'!$D$4:$D$803)))</f>
        <v/>
      </c>
      <c r="CW151" s="8" t="str">
        <f>IF($B151="","",IF(COUNTIF('Competency Event Log'!$U$4:$U$803,$B151&amp;"|"&amp;CW$5)=0,"",SUMIF('Competency Event Log'!$U$4:$U$803,$B151&amp;"|"&amp;CW$5,'Competency Event Log'!$D$4:$D$803)))</f>
        <v/>
      </c>
      <c r="CX151" s="8" t="str">
        <f>IF($B151="","",IF(COUNTIF('Competency Event Log'!$U$4:$U$803,$B151&amp;"|"&amp;CX$5)=0,"",SUMIF('Competency Event Log'!$U$4:$U$803,$B151&amp;"|"&amp;CX$5,'Competency Event Log'!$D$4:$D$803)))</f>
        <v/>
      </c>
      <c r="CY151" s="8" t="str">
        <f>IF($B151="","",IF(COUNTIF('Competency Event Log'!$U$4:$U$803,$B151&amp;"|"&amp;CY$5)=0,"",SUMIF('Competency Event Log'!$U$4:$U$803,$B151&amp;"|"&amp;CY$5,'Competency Event Log'!$D$4:$D$803)))</f>
        <v/>
      </c>
      <c r="CZ151" s="8" t="str">
        <f>IF($B151="","",IF(COUNTIF('Competency Event Log'!$U$4:$U$803,$B151&amp;"|"&amp;CZ$5)=0,"",SUMIF('Competency Event Log'!$U$4:$U$803,$B151&amp;"|"&amp;CZ$5,'Competency Event Log'!$D$4:$D$803)))</f>
        <v/>
      </c>
      <c r="DA151" s="8" t="str">
        <f>IF($B151="","",IF(COUNTIF('Competency Event Log'!$U$4:$U$803,$B151&amp;"|"&amp;DA$5)=0,"",SUMIF('Competency Event Log'!$U$4:$U$803,$B151&amp;"|"&amp;DA$5,'Competency Event Log'!$D$4:$D$803)))</f>
        <v/>
      </c>
      <c r="DB151" s="8" t="str">
        <f>IF($B151="","",IF(COUNTIF('Competency Event Log'!$U$4:$U$803,$B151&amp;"|"&amp;DB$5)=0,"",SUMIF('Competency Event Log'!$U$4:$U$803,$B151&amp;"|"&amp;DB$5,'Competency Event Log'!$D$4:$D$803)))</f>
        <v/>
      </c>
      <c r="DC151" s="8" t="str">
        <f>IF($B151="","",IF(COUNTIF('Competency Event Log'!$U$4:$U$803,$B151&amp;"|"&amp;DC$5)=0,"",SUMIF('Competency Event Log'!$U$4:$U$803,$B151&amp;"|"&amp;DC$5,'Competency Event Log'!$D$4:$D$803)))</f>
        <v/>
      </c>
      <c r="DD151" s="8" t="str">
        <f>IF($B151="","",IF(COUNTIF('Competency Event Log'!$U$4:$U$803,$B151&amp;"|"&amp;DD$5)=0,"",SUMIF('Competency Event Log'!$U$4:$U$803,$B151&amp;"|"&amp;DD$5,'Competency Event Log'!$D$4:$D$803)))</f>
        <v/>
      </c>
      <c r="DE151" s="8" t="str">
        <f>IF($B151="","",IF(COUNTIF('Competency Event Log'!$U$4:$U$803,$B151&amp;"|"&amp;DE$5)=0,"",SUMIF('Competency Event Log'!$U$4:$U$803,$B151&amp;"|"&amp;DE$5,'Competency Event Log'!$D$4:$D$803)))</f>
        <v/>
      </c>
      <c r="DF151" s="8" t="str">
        <f t="shared" si="16"/>
        <v/>
      </c>
      <c r="DG151" s="8" t="str">
        <f t="shared" si="17"/>
        <v/>
      </c>
      <c r="DH151" s="8" t="str">
        <f t="shared" si="18"/>
        <v/>
      </c>
      <c r="DI151" s="11" t="str">
        <f t="shared" si="19"/>
        <v/>
      </c>
    </row>
    <row r="152" spans="1:113">
      <c r="A152" s="7"/>
      <c r="B152" s="7"/>
      <c r="C152" s="8"/>
      <c r="D152" s="9"/>
      <c r="E152" s="10"/>
      <c r="F152" s="8"/>
      <c r="G152" s="8" t="str">
        <f>IF($B152="","",IF(COUNTIF('Competency Event Log'!$U$4:$U$803,$B152&amp;"|"&amp;G$5)=0,"",SUMIF('Competency Event Log'!$U$4:$U$803,$B152&amp;"|"&amp;G$5,'Competency Event Log'!$D$4:$D$803)))</f>
        <v/>
      </c>
      <c r="H152" s="8" t="str">
        <f>IF($B152="","",IF(COUNTIF('Competency Event Log'!$U$4:$U$803,$B152&amp;"|"&amp;H$5)=0,"",SUMIF('Competency Event Log'!$U$4:$U$803,$B152&amp;"|"&amp;H$5,'Competency Event Log'!$D$4:$D$803)))</f>
        <v/>
      </c>
      <c r="I152" s="8" t="str">
        <f>IF($B152="","",IF(COUNTIF('Competency Event Log'!$U$4:$U$803,$B152&amp;"|"&amp;I$5)=0,"",SUMIF('Competency Event Log'!$U$4:$U$803,$B152&amp;"|"&amp;I$5,'Competency Event Log'!$D$4:$D$803)))</f>
        <v/>
      </c>
      <c r="J152" s="8" t="str">
        <f>IF($B152="","",IF(COUNTIF('Competency Event Log'!$U$4:$U$803,$B152&amp;"|"&amp;J$5)=0,"",SUMIF('Competency Event Log'!$U$4:$U$803,$B152&amp;"|"&amp;J$5,'Competency Event Log'!$D$4:$D$803)))</f>
        <v/>
      </c>
      <c r="K152" s="8" t="str">
        <f>IF($B152="","",IF(COUNTIF('Competency Event Log'!$U$4:$U$803,$B152&amp;"|"&amp;K$5)=0,"",SUMIF('Competency Event Log'!$U$4:$U$803,$B152&amp;"|"&amp;K$5,'Competency Event Log'!$D$4:$D$803)))</f>
        <v/>
      </c>
      <c r="L152" s="8" t="str">
        <f>IF($B152="","",IF(COUNTIF('Competency Event Log'!$U$4:$U$803,$B152&amp;"|"&amp;L$5)=0,"",SUMIF('Competency Event Log'!$U$4:$U$803,$B152&amp;"|"&amp;L$5,'Competency Event Log'!$D$4:$D$803)))</f>
        <v/>
      </c>
      <c r="M152" s="8" t="str">
        <f>IF($B152="","",IF(COUNTIF('Competency Event Log'!$U$4:$U$803,$B152&amp;"|"&amp;M$5)=0,"",SUMIF('Competency Event Log'!$U$4:$U$803,$B152&amp;"|"&amp;M$5,'Competency Event Log'!$D$4:$D$803)))</f>
        <v/>
      </c>
      <c r="N152" s="8" t="str">
        <f>IF($B152="","",IF(COUNTIF('Competency Event Log'!$U$4:$U$803,$B152&amp;"|"&amp;N$5)=0,"",SUMIF('Competency Event Log'!$U$4:$U$803,$B152&amp;"|"&amp;N$5,'Competency Event Log'!$D$4:$D$803)))</f>
        <v/>
      </c>
      <c r="O152" s="8" t="str">
        <f>IF($B152="","",IF(COUNTIF('Competency Event Log'!$U$4:$U$803,$B152&amp;"|"&amp;O$5)=0,"",SUMIF('Competency Event Log'!$U$4:$U$803,$B152&amp;"|"&amp;O$5,'Competency Event Log'!$D$4:$D$803)))</f>
        <v/>
      </c>
      <c r="P152" s="8" t="str">
        <f>IF($B152="","",IF(COUNTIF('Competency Event Log'!$U$4:$U$803,$B152&amp;"|"&amp;P$5)=0,"",SUMIF('Competency Event Log'!$U$4:$U$803,$B152&amp;"|"&amp;P$5,'Competency Event Log'!$D$4:$D$803)))</f>
        <v/>
      </c>
      <c r="Q152" s="8" t="str">
        <f>IF($B152="","",IF(COUNTIF('Competency Event Log'!$U$4:$U$803,$B152&amp;"|"&amp;Q$5)=0,"",SUMIF('Competency Event Log'!$U$4:$U$803,$B152&amp;"|"&amp;Q$5,'Competency Event Log'!$D$4:$D$803)))</f>
        <v/>
      </c>
      <c r="R152" s="8" t="str">
        <f>IF($B152="","",IF(COUNTIF('Competency Event Log'!$U$4:$U$803,$B152&amp;"|"&amp;R$5)=0,"",SUMIF('Competency Event Log'!$U$4:$U$803,$B152&amp;"|"&amp;R$5,'Competency Event Log'!$D$4:$D$803)))</f>
        <v/>
      </c>
      <c r="S152" s="8" t="str">
        <f>IF($B152="","",IF(COUNTIF('Competency Event Log'!$U$4:$U$803,$B152&amp;"|"&amp;S$5)=0,"",SUMIF('Competency Event Log'!$U$4:$U$803,$B152&amp;"|"&amp;S$5,'Competency Event Log'!$D$4:$D$803)))</f>
        <v/>
      </c>
      <c r="T152" s="8" t="str">
        <f>IF($B152="","",IF(COUNTIF('Competency Event Log'!$U$4:$U$803,$B152&amp;"|"&amp;T$5)=0,"",SUMIF('Competency Event Log'!$U$4:$U$803,$B152&amp;"|"&amp;T$5,'Competency Event Log'!$D$4:$D$803)))</f>
        <v/>
      </c>
      <c r="U152" s="8" t="str">
        <f>IF($B152="","",IF(COUNTIF('Competency Event Log'!$U$4:$U$803,$B152&amp;"|"&amp;U$5)=0,"",SUMIF('Competency Event Log'!$U$4:$U$803,$B152&amp;"|"&amp;U$5,'Competency Event Log'!$D$4:$D$803)))</f>
        <v/>
      </c>
      <c r="V152" s="8" t="str">
        <f>IF($B152="","",IF(COUNTIF('Competency Event Log'!$U$4:$U$803,$B152&amp;"|"&amp;V$5)=0,"",SUMIF('Competency Event Log'!$U$4:$U$803,$B152&amp;"|"&amp;V$5,'Competency Event Log'!$D$4:$D$803)))</f>
        <v/>
      </c>
      <c r="W152" s="8" t="str">
        <f>IF($B152="","",IF(COUNTIF('Competency Event Log'!$U$4:$U$803,$B152&amp;"|"&amp;W$5)=0,"",SUMIF('Competency Event Log'!$U$4:$U$803,$B152&amp;"|"&amp;W$5,'Competency Event Log'!$D$4:$D$803)))</f>
        <v/>
      </c>
      <c r="X152" s="8" t="str">
        <f>IF($B152="","",IF(COUNTIF('Competency Event Log'!$U$4:$U$803,$B152&amp;"|"&amp;X$5)=0,"",SUMIF('Competency Event Log'!$U$4:$U$803,$B152&amp;"|"&amp;X$5,'Competency Event Log'!$D$4:$D$803)))</f>
        <v/>
      </c>
      <c r="Y152" s="8" t="str">
        <f>IF($B152="","",IF(COUNTIF('Competency Event Log'!$U$4:$U$803,$B152&amp;"|"&amp;Y$5)=0,"",SUMIF('Competency Event Log'!$U$4:$U$803,$B152&amp;"|"&amp;Y$5,'Competency Event Log'!$D$4:$D$803)))</f>
        <v/>
      </c>
      <c r="Z152" s="8" t="str">
        <f>IF($B152="","",IF(COUNTIF('Competency Event Log'!$U$4:$U$803,$B152&amp;"|"&amp;Z$5)=0,"",SUMIF('Competency Event Log'!$U$4:$U$803,$B152&amp;"|"&amp;Z$5,'Competency Event Log'!$D$4:$D$803)))</f>
        <v/>
      </c>
      <c r="AA152" s="8" t="str">
        <f>IF($B152="","",IF(COUNTIF('Competency Event Log'!$U$4:$U$803,$B152&amp;"|"&amp;AA$5)=0,"",SUMIF('Competency Event Log'!$U$4:$U$803,$B152&amp;"|"&amp;AA$5,'Competency Event Log'!$D$4:$D$803)))</f>
        <v/>
      </c>
      <c r="AB152" s="8" t="str">
        <f>IF($B152="","",IF(COUNTIF('Competency Event Log'!$U$4:$U$803,$B152&amp;"|"&amp;AB$5)=0,"",SUMIF('Competency Event Log'!$U$4:$U$803,$B152&amp;"|"&amp;AB$5,'Competency Event Log'!$D$4:$D$803)))</f>
        <v/>
      </c>
      <c r="AC152" s="8" t="str">
        <f>IF($B152="","",IF(COUNTIF('Competency Event Log'!$U$4:$U$803,$B152&amp;"|"&amp;AC$5)=0,"",SUMIF('Competency Event Log'!$U$4:$U$803,$B152&amp;"|"&amp;AC$5,'Competency Event Log'!$D$4:$D$803)))</f>
        <v/>
      </c>
      <c r="AD152" s="8" t="str">
        <f>IF($B152="","",IF(COUNTIF('Competency Event Log'!$U$4:$U$803,$B152&amp;"|"&amp;AD$5)=0,"",SUMIF('Competency Event Log'!$U$4:$U$803,$B152&amp;"|"&amp;AD$5,'Competency Event Log'!$D$4:$D$803)))</f>
        <v/>
      </c>
      <c r="AE152" s="8" t="str">
        <f>IF($B152="","",IF(COUNTIF('Competency Event Log'!$U$4:$U$803,$B152&amp;"|"&amp;AE$5)=0,"",SUMIF('Competency Event Log'!$U$4:$U$803,$B152&amp;"|"&amp;AE$5,'Competency Event Log'!$D$4:$D$803)))</f>
        <v/>
      </c>
      <c r="AF152" s="8" t="str">
        <f>IF($B152="","",IF(COUNTIF('Competency Event Log'!$U$4:$U$803,$B152&amp;"|"&amp;AF$5)=0,"",SUMIF('Competency Event Log'!$U$4:$U$803,$B152&amp;"|"&amp;AF$5,'Competency Event Log'!$D$4:$D$803)))</f>
        <v/>
      </c>
      <c r="AG152" s="8" t="str">
        <f>IF($B152="","",IF(COUNTIF('Competency Event Log'!$U$4:$U$803,$B152&amp;"|"&amp;AG$5)=0,"",SUMIF('Competency Event Log'!$U$4:$U$803,$B152&amp;"|"&amp;AG$5,'Competency Event Log'!$D$4:$D$803)))</f>
        <v/>
      </c>
      <c r="AH152" s="8" t="str">
        <f>IF($B152="","",IF(COUNTIF('Competency Event Log'!$U$4:$U$803,$B152&amp;"|"&amp;AH$5)=0,"",SUMIF('Competency Event Log'!$U$4:$U$803,$B152&amp;"|"&amp;AH$5,'Competency Event Log'!$D$4:$D$803)))</f>
        <v/>
      </c>
      <c r="AI152" s="8" t="str">
        <f>IF($B152="","",IF(COUNTIF('Competency Event Log'!$U$4:$U$803,$B152&amp;"|"&amp;AI$5)=0,"",SUMIF('Competency Event Log'!$U$4:$U$803,$B152&amp;"|"&amp;AI$5,'Competency Event Log'!$D$4:$D$803)))</f>
        <v/>
      </c>
      <c r="AJ152" s="8" t="str">
        <f>IF($B152="","",IF(COUNTIF('Competency Event Log'!$U$4:$U$803,$B152&amp;"|"&amp;AJ$5)=0,"",SUMIF('Competency Event Log'!$U$4:$U$803,$B152&amp;"|"&amp;AJ$5,'Competency Event Log'!$D$4:$D$803)))</f>
        <v/>
      </c>
      <c r="AK152" s="8" t="str">
        <f>IF($B152="","",IF(COUNTIF('Competency Event Log'!$U$4:$U$803,$B152&amp;"|"&amp;AK$5)=0,"",SUMIF('Competency Event Log'!$U$4:$U$803,$B152&amp;"|"&amp;AK$5,'Competency Event Log'!$D$4:$D$803)))</f>
        <v/>
      </c>
      <c r="AL152" s="8" t="str">
        <f>IF($B152="","",IF(COUNTIF('Competency Event Log'!$U$4:$U$803,$B152&amp;"|"&amp;AL$5)=0,"",SUMIF('Competency Event Log'!$U$4:$U$803,$B152&amp;"|"&amp;AL$5,'Competency Event Log'!$D$4:$D$803)))</f>
        <v/>
      </c>
      <c r="AM152" s="8" t="str">
        <f>IF($B152="","",IF(COUNTIF('Competency Event Log'!$U$4:$U$803,$B152&amp;"|"&amp;AM$5)=0,"",SUMIF('Competency Event Log'!$U$4:$U$803,$B152&amp;"|"&amp;AM$5,'Competency Event Log'!$D$4:$D$803)))</f>
        <v/>
      </c>
      <c r="AN152" s="8" t="str">
        <f>IF($B152="","",IF(COUNTIF('Competency Event Log'!$U$4:$U$803,$B152&amp;"|"&amp;AN$5)=0,"",SUMIF('Competency Event Log'!$U$4:$U$803,$B152&amp;"|"&amp;AN$5,'Competency Event Log'!$D$4:$D$803)))</f>
        <v/>
      </c>
      <c r="AO152" s="8" t="str">
        <f>IF($B152="","",IF(COUNTIF('Competency Event Log'!$U$4:$U$803,$B152&amp;"|"&amp;AO$5)=0,"",SUMIF('Competency Event Log'!$U$4:$U$803,$B152&amp;"|"&amp;AO$5,'Competency Event Log'!$D$4:$D$803)))</f>
        <v/>
      </c>
      <c r="AP152" s="8" t="str">
        <f>IF($B152="","",IF(COUNTIF('Competency Event Log'!$U$4:$U$803,$B152&amp;"|"&amp;AP$5)=0,"",SUMIF('Competency Event Log'!$U$4:$U$803,$B152&amp;"|"&amp;AP$5,'Competency Event Log'!$D$4:$D$803)))</f>
        <v/>
      </c>
      <c r="AQ152" s="8" t="str">
        <f>IF($B152="","",IF(COUNTIF('Competency Event Log'!$U$4:$U$803,$B152&amp;"|"&amp;AQ$5)=0,"",SUMIF('Competency Event Log'!$U$4:$U$803,$B152&amp;"|"&amp;AQ$5,'Competency Event Log'!$D$4:$D$803)))</f>
        <v/>
      </c>
      <c r="AR152" s="8" t="str">
        <f>IF($B152="","",IF(COUNTIF('Competency Event Log'!$U$4:$U$803,$B152&amp;"|"&amp;AR$5)=0,"",SUMIF('Competency Event Log'!$U$4:$U$803,$B152&amp;"|"&amp;AR$5,'Competency Event Log'!$D$4:$D$803)))</f>
        <v/>
      </c>
      <c r="AS152" s="8" t="str">
        <f>IF($B152="","",IF(COUNTIF('Competency Event Log'!$U$4:$U$803,$B152&amp;"|"&amp;AS$5)=0,"",SUMIF('Competency Event Log'!$U$4:$U$803,$B152&amp;"|"&amp;AS$5,'Competency Event Log'!$D$4:$D$803)))</f>
        <v/>
      </c>
      <c r="AT152" s="8" t="str">
        <f>IF($B152="","",IF(COUNTIF('Competency Event Log'!$U$4:$U$803,$B152&amp;"|"&amp;AT$5)=0,"",SUMIF('Competency Event Log'!$U$4:$U$803,$B152&amp;"|"&amp;AT$5,'Competency Event Log'!$D$4:$D$803)))</f>
        <v/>
      </c>
      <c r="AU152" s="8" t="str">
        <f>IF($B152="","",IF(COUNTIF('Competency Event Log'!$U$4:$U$803,$B152&amp;"|"&amp;AU$5)=0,"",SUMIF('Competency Event Log'!$U$4:$U$803,$B152&amp;"|"&amp;AU$5,'Competency Event Log'!$D$4:$D$803)))</f>
        <v/>
      </c>
      <c r="AV152" s="8" t="str">
        <f>IF($B152="","",IF(COUNTIF('Competency Event Log'!$U$4:$U$803,$B152&amp;"|"&amp;AV$5)=0,"",SUMIF('Competency Event Log'!$U$4:$U$803,$B152&amp;"|"&amp;AV$5,'Competency Event Log'!$D$4:$D$803)))</f>
        <v/>
      </c>
      <c r="AW152" s="8" t="str">
        <f>IF($B152="","",IF(COUNTIF('Competency Event Log'!$U$4:$U$803,$B152&amp;"|"&amp;AW$5)=0,"",SUMIF('Competency Event Log'!$U$4:$U$803,$B152&amp;"|"&amp;AW$5,'Competency Event Log'!$D$4:$D$803)))</f>
        <v/>
      </c>
      <c r="AX152" s="8" t="str">
        <f>IF($B152="","",IF(COUNTIF('Competency Event Log'!$U$4:$U$803,$B152&amp;"|"&amp;AX$5)=0,"",SUMIF('Competency Event Log'!$U$4:$U$803,$B152&amp;"|"&amp;AX$5,'Competency Event Log'!$D$4:$D$803)))</f>
        <v/>
      </c>
      <c r="AY152" s="8" t="str">
        <f>IF($B152="","",IF(COUNTIF('Competency Event Log'!$U$4:$U$803,$B152&amp;"|"&amp;AY$5)=0,"",SUMIF('Competency Event Log'!$U$4:$U$803,$B152&amp;"|"&amp;AY$5,'Competency Event Log'!$D$4:$D$803)))</f>
        <v/>
      </c>
      <c r="AZ152" s="8" t="str">
        <f>IF($B152="","",IF(COUNTIF('Competency Event Log'!$U$4:$U$803,$B152&amp;"|"&amp;AZ$5)=0,"",SUMIF('Competency Event Log'!$U$4:$U$803,$B152&amp;"|"&amp;AZ$5,'Competency Event Log'!$D$4:$D$803)))</f>
        <v/>
      </c>
      <c r="BA152" s="8" t="str">
        <f>IF($B152="","",IF(COUNTIF('Competency Event Log'!$U$4:$U$803,$B152&amp;"|"&amp;BA$5)=0,"",SUMIF('Competency Event Log'!$U$4:$U$803,$B152&amp;"|"&amp;BA$5,'Competency Event Log'!$D$4:$D$803)))</f>
        <v/>
      </c>
      <c r="BB152" s="8" t="str">
        <f>IF($B152="","",IF(COUNTIF('Competency Event Log'!$U$4:$U$803,$B152&amp;"|"&amp;BB$5)=0,"",SUMIF('Competency Event Log'!$U$4:$U$803,$B152&amp;"|"&amp;BB$5,'Competency Event Log'!$D$4:$D$803)))</f>
        <v/>
      </c>
      <c r="BC152" s="8" t="str">
        <f>IF($B152="","",IF(COUNTIF('Competency Event Log'!$U$4:$U$803,$B152&amp;"|"&amp;BC$5)=0,"",SUMIF('Competency Event Log'!$U$4:$U$803,$B152&amp;"|"&amp;BC$5,'Competency Event Log'!$D$4:$D$803)))</f>
        <v/>
      </c>
      <c r="BD152" s="8" t="str">
        <f>IF($B152="","",IF(COUNTIF('Competency Event Log'!$U$4:$U$803,$B152&amp;"|"&amp;BD$5)=0,"",SUMIF('Competency Event Log'!$U$4:$U$803,$B152&amp;"|"&amp;BD$5,'Competency Event Log'!$D$4:$D$803)))</f>
        <v/>
      </c>
      <c r="BE152" s="8" t="str">
        <f>IF($B152="","",IF(COUNTIF('Competency Event Log'!$U$4:$U$803,$B152&amp;"|"&amp;BE$5)=0,"",SUMIF('Competency Event Log'!$U$4:$U$803,$B152&amp;"|"&amp;BE$5,'Competency Event Log'!$D$4:$D$803)))</f>
        <v/>
      </c>
      <c r="BF152" s="8" t="str">
        <f>IF($B152="","",IF(COUNTIF('Competency Event Log'!$U$4:$U$803,$B152&amp;"|"&amp;BF$5)=0,"",SUMIF('Competency Event Log'!$U$4:$U$803,$B152&amp;"|"&amp;BF$5,'Competency Event Log'!$D$4:$D$803)))</f>
        <v/>
      </c>
      <c r="BG152" s="8" t="str">
        <f>IF($B152="","",IF(COUNTIF('Competency Event Log'!$U$4:$U$803,$B152&amp;"|"&amp;BG$5)=0,"",SUMIF('Competency Event Log'!$U$4:$U$803,$B152&amp;"|"&amp;BG$5,'Competency Event Log'!$D$4:$D$803)))</f>
        <v/>
      </c>
      <c r="BH152" s="8" t="str">
        <f>IF($B152="","",IF(COUNTIF('Competency Event Log'!$U$4:$U$803,$B152&amp;"|"&amp;BH$5)=0,"",SUMIF('Competency Event Log'!$U$4:$U$803,$B152&amp;"|"&amp;BH$5,'Competency Event Log'!$D$4:$D$803)))</f>
        <v/>
      </c>
      <c r="BI152" s="8" t="str">
        <f>IF($B152="","",IF(COUNTIF('Competency Event Log'!$U$4:$U$803,$B152&amp;"|"&amp;BI$5)=0,"",SUMIF('Competency Event Log'!$U$4:$U$803,$B152&amp;"|"&amp;BI$5,'Competency Event Log'!$D$4:$D$803)))</f>
        <v/>
      </c>
      <c r="BJ152" s="8" t="str">
        <f>IF($B152="","",IF(COUNTIF('Competency Event Log'!$U$4:$U$803,$B152&amp;"|"&amp;BJ$5)=0,"",SUMIF('Competency Event Log'!$U$4:$U$803,$B152&amp;"|"&amp;BJ$5,'Competency Event Log'!$D$4:$D$803)))</f>
        <v/>
      </c>
      <c r="BK152" s="8" t="str">
        <f>IF($B152="","",IF(COUNTIF('Competency Event Log'!$U$4:$U$803,$B152&amp;"|"&amp;BK$5)=0,"",SUMIF('Competency Event Log'!$U$4:$U$803,$B152&amp;"|"&amp;BK$5,'Competency Event Log'!$D$4:$D$803)))</f>
        <v/>
      </c>
      <c r="BL152" s="8" t="str">
        <f>IF($B152="","",IF(COUNTIF('Competency Event Log'!$U$4:$U$803,$B152&amp;"|"&amp;BL$5)=0,"",SUMIF('Competency Event Log'!$U$4:$U$803,$B152&amp;"|"&amp;BL$5,'Competency Event Log'!$D$4:$D$803)))</f>
        <v/>
      </c>
      <c r="BM152" s="8" t="str">
        <f>IF($B152="","",IF(COUNTIF('Competency Event Log'!$U$4:$U$803,$B152&amp;"|"&amp;BM$5)=0,"",SUMIF('Competency Event Log'!$U$4:$U$803,$B152&amp;"|"&amp;BM$5,'Competency Event Log'!$D$4:$D$803)))</f>
        <v/>
      </c>
      <c r="BN152" s="8" t="str">
        <f>IF($B152="","",IF(COUNTIF('Competency Event Log'!$U$4:$U$803,$B152&amp;"|"&amp;BN$5)=0,"",SUMIF('Competency Event Log'!$U$4:$U$803,$B152&amp;"|"&amp;BN$5,'Competency Event Log'!$D$4:$D$803)))</f>
        <v/>
      </c>
      <c r="BO152" s="8" t="str">
        <f>IF($B152="","",IF(COUNTIF('Competency Event Log'!$U$4:$U$803,$B152&amp;"|"&amp;BO$5)=0,"",SUMIF('Competency Event Log'!$U$4:$U$803,$B152&amp;"|"&amp;BO$5,'Competency Event Log'!$D$4:$D$803)))</f>
        <v/>
      </c>
      <c r="BP152" s="8" t="str">
        <f>IF($B152="","",IF(COUNTIF('Competency Event Log'!$U$4:$U$803,$B152&amp;"|"&amp;BP$5)=0,"",SUMIF('Competency Event Log'!$U$4:$U$803,$B152&amp;"|"&amp;BP$5,'Competency Event Log'!$D$4:$D$803)))</f>
        <v/>
      </c>
      <c r="BQ152" s="8" t="str">
        <f>IF($B152="","",IF(COUNTIF('Competency Event Log'!$U$4:$U$803,$B152&amp;"|"&amp;BQ$5)=0,"",SUMIF('Competency Event Log'!$U$4:$U$803,$B152&amp;"|"&amp;BQ$5,'Competency Event Log'!$D$4:$D$803)))</f>
        <v/>
      </c>
      <c r="BR152" s="8" t="str">
        <f>IF($B152="","",IF(COUNTIF('Competency Event Log'!$U$4:$U$803,$B152&amp;"|"&amp;BR$5)=0,"",SUMIF('Competency Event Log'!$U$4:$U$803,$B152&amp;"|"&amp;BR$5,'Competency Event Log'!$D$4:$D$803)))</f>
        <v/>
      </c>
      <c r="BS152" s="8" t="str">
        <f>IF($B152="","",IF(COUNTIF('Competency Event Log'!$U$4:$U$803,$B152&amp;"|"&amp;BS$5)=0,"",SUMIF('Competency Event Log'!$U$4:$U$803,$B152&amp;"|"&amp;BS$5,'Competency Event Log'!$D$4:$D$803)))</f>
        <v/>
      </c>
      <c r="BT152" s="8" t="str">
        <f>IF($B152="","",IF(COUNTIF('Competency Event Log'!$U$4:$U$803,$B152&amp;"|"&amp;BT$5)=0,"",SUMIF('Competency Event Log'!$U$4:$U$803,$B152&amp;"|"&amp;BT$5,'Competency Event Log'!$D$4:$D$803)))</f>
        <v/>
      </c>
      <c r="BU152" s="8" t="str">
        <f>IF($B152="","",IF(COUNTIF('Competency Event Log'!$U$4:$U$803,$B152&amp;"|"&amp;BU$5)=0,"",SUMIF('Competency Event Log'!$U$4:$U$803,$B152&amp;"|"&amp;BU$5,'Competency Event Log'!$D$4:$D$803)))</f>
        <v/>
      </c>
      <c r="BV152" s="8" t="str">
        <f>IF($B152="","",IF(COUNTIF('Competency Event Log'!$U$4:$U$803,$B152&amp;"|"&amp;BV$5)=0,"",SUMIF('Competency Event Log'!$U$4:$U$803,$B152&amp;"|"&amp;BV$5,'Competency Event Log'!$D$4:$D$803)))</f>
        <v/>
      </c>
      <c r="BW152" s="8" t="str">
        <f>IF($B152="","",IF(COUNTIF('Competency Event Log'!$U$4:$U$803,$B152&amp;"|"&amp;BW$5)=0,"",SUMIF('Competency Event Log'!$U$4:$U$803,$B152&amp;"|"&amp;BW$5,'Competency Event Log'!$D$4:$D$803)))</f>
        <v/>
      </c>
      <c r="BX152" s="8" t="str">
        <f>IF($B152="","",IF(COUNTIF('Competency Event Log'!$U$4:$U$803,$B152&amp;"|"&amp;BX$5)=0,"",SUMIF('Competency Event Log'!$U$4:$U$803,$B152&amp;"|"&amp;BX$5,'Competency Event Log'!$D$4:$D$803)))</f>
        <v/>
      </c>
      <c r="BY152" s="8" t="str">
        <f>IF($B152="","",IF(COUNTIF('Competency Event Log'!$U$4:$U$803,$B152&amp;"|"&amp;BY$5)=0,"",SUMIF('Competency Event Log'!$U$4:$U$803,$B152&amp;"|"&amp;BY$5,'Competency Event Log'!$D$4:$D$803)))</f>
        <v/>
      </c>
      <c r="BZ152" s="8" t="str">
        <f>IF($B152="","",IF(COUNTIF('Competency Event Log'!$U$4:$U$803,$B152&amp;"|"&amp;BZ$5)=0,"",SUMIF('Competency Event Log'!$U$4:$U$803,$B152&amp;"|"&amp;BZ$5,'Competency Event Log'!$D$4:$D$803)))</f>
        <v/>
      </c>
      <c r="CA152" s="8" t="str">
        <f>IF($B152="","",IF(COUNTIF('Competency Event Log'!$U$4:$U$803,$B152&amp;"|"&amp;CA$5)=0,"",SUMIF('Competency Event Log'!$U$4:$U$803,$B152&amp;"|"&amp;CA$5,'Competency Event Log'!$D$4:$D$803)))</f>
        <v/>
      </c>
      <c r="CB152" s="8" t="str">
        <f>IF($B152="","",IF(COUNTIF('Competency Event Log'!$U$4:$U$803,$B152&amp;"|"&amp;CB$5)=0,"",SUMIF('Competency Event Log'!$U$4:$U$803,$B152&amp;"|"&amp;CB$5,'Competency Event Log'!$D$4:$D$803)))</f>
        <v/>
      </c>
      <c r="CC152" s="8" t="str">
        <f>IF($B152="","",IF(COUNTIF('Competency Event Log'!$U$4:$U$803,$B152&amp;"|"&amp;CC$5)=0,"",SUMIF('Competency Event Log'!$U$4:$U$803,$B152&amp;"|"&amp;CC$5,'Competency Event Log'!$D$4:$D$803)))</f>
        <v/>
      </c>
      <c r="CD152" s="8" t="str">
        <f>IF($B152="","",IF(COUNTIF('Competency Event Log'!$U$4:$U$803,$B152&amp;"|"&amp;CD$5)=0,"",SUMIF('Competency Event Log'!$U$4:$U$803,$B152&amp;"|"&amp;CD$5,'Competency Event Log'!$D$4:$D$803)))</f>
        <v/>
      </c>
      <c r="CE152" s="8" t="str">
        <f>IF($B152="","",IF(COUNTIF('Competency Event Log'!$U$4:$U$803,$B152&amp;"|"&amp;CE$5)=0,"",SUMIF('Competency Event Log'!$U$4:$U$803,$B152&amp;"|"&amp;CE$5,'Competency Event Log'!$D$4:$D$803)))</f>
        <v/>
      </c>
      <c r="CF152" s="8" t="str">
        <f>IF($B152="","",IF(COUNTIF('Competency Event Log'!$U$4:$U$803,$B152&amp;"|"&amp;CF$5)=0,"",SUMIF('Competency Event Log'!$U$4:$U$803,$B152&amp;"|"&amp;CF$5,'Competency Event Log'!$D$4:$D$803)))</f>
        <v/>
      </c>
      <c r="CG152" s="8" t="str">
        <f>IF($B152="","",IF(COUNTIF('Competency Event Log'!$U$4:$U$803,$B152&amp;"|"&amp;CG$5)=0,"",SUMIF('Competency Event Log'!$U$4:$U$803,$B152&amp;"|"&amp;CG$5,'Competency Event Log'!$D$4:$D$803)))</f>
        <v/>
      </c>
      <c r="CH152" s="8" t="str">
        <f>IF($B152="","",IF(COUNTIF('Competency Event Log'!$U$4:$U$803,$B152&amp;"|"&amp;CH$5)=0,"",SUMIF('Competency Event Log'!$U$4:$U$803,$B152&amp;"|"&amp;CH$5,'Competency Event Log'!$D$4:$D$803)))</f>
        <v/>
      </c>
      <c r="CI152" s="8" t="str">
        <f>IF($B152="","",IF(COUNTIF('Competency Event Log'!$U$4:$U$803,$B152&amp;"|"&amp;CI$5)=0,"",SUMIF('Competency Event Log'!$U$4:$U$803,$B152&amp;"|"&amp;CI$5,'Competency Event Log'!$D$4:$D$803)))</f>
        <v/>
      </c>
      <c r="CJ152" s="8" t="str">
        <f>IF($B152="","",IF(COUNTIF('Competency Event Log'!$U$4:$U$803,$B152&amp;"|"&amp;CJ$5)=0,"",SUMIF('Competency Event Log'!$U$4:$U$803,$B152&amp;"|"&amp;CJ$5,'Competency Event Log'!$D$4:$D$803)))</f>
        <v/>
      </c>
      <c r="CK152" s="8" t="str">
        <f>IF($B152="","",IF(COUNTIF('Competency Event Log'!$U$4:$U$803,$B152&amp;"|"&amp;CK$5)=0,"",SUMIF('Competency Event Log'!$U$4:$U$803,$B152&amp;"|"&amp;CK$5,'Competency Event Log'!$D$4:$D$803)))</f>
        <v/>
      </c>
      <c r="CL152" s="8" t="str">
        <f>IF($B152="","",IF(COUNTIF('Competency Event Log'!$U$4:$U$803,$B152&amp;"|"&amp;CL$5)=0,"",SUMIF('Competency Event Log'!$U$4:$U$803,$B152&amp;"|"&amp;CL$5,'Competency Event Log'!$D$4:$D$803)))</f>
        <v/>
      </c>
      <c r="CM152" s="8" t="str">
        <f>IF($B152="","",IF(COUNTIF('Competency Event Log'!$U$4:$U$803,$B152&amp;"|"&amp;CM$5)=0,"",SUMIF('Competency Event Log'!$U$4:$U$803,$B152&amp;"|"&amp;CM$5,'Competency Event Log'!$D$4:$D$803)))</f>
        <v/>
      </c>
      <c r="CN152" s="8" t="str">
        <f>IF($B152="","",IF(COUNTIF('Competency Event Log'!$U$4:$U$803,$B152&amp;"|"&amp;CN$5)=0,"",SUMIF('Competency Event Log'!$U$4:$U$803,$B152&amp;"|"&amp;CN$5,'Competency Event Log'!$D$4:$D$803)))</f>
        <v/>
      </c>
      <c r="CO152" s="8" t="str">
        <f>IF($B152="","",IF(COUNTIF('Competency Event Log'!$U$4:$U$803,$B152&amp;"|"&amp;CO$5)=0,"",SUMIF('Competency Event Log'!$U$4:$U$803,$B152&amp;"|"&amp;CO$5,'Competency Event Log'!$D$4:$D$803)))</f>
        <v/>
      </c>
      <c r="CP152" s="8" t="str">
        <f>IF($B152="","",IF(COUNTIF('Competency Event Log'!$U$4:$U$803,$B152&amp;"|"&amp;CP$5)=0,"",SUMIF('Competency Event Log'!$U$4:$U$803,$B152&amp;"|"&amp;CP$5,'Competency Event Log'!$D$4:$D$803)))</f>
        <v/>
      </c>
      <c r="CQ152" s="8" t="str">
        <f>IF($B152="","",IF(COUNTIF('Competency Event Log'!$U$4:$U$803,$B152&amp;"|"&amp;CQ$5)=0,"",SUMIF('Competency Event Log'!$U$4:$U$803,$B152&amp;"|"&amp;CQ$5,'Competency Event Log'!$D$4:$D$803)))</f>
        <v/>
      </c>
      <c r="CR152" s="8" t="str">
        <f>IF($B152="","",IF(COUNTIF('Competency Event Log'!$U$4:$U$803,$B152&amp;"|"&amp;CR$5)=0,"",SUMIF('Competency Event Log'!$U$4:$U$803,$B152&amp;"|"&amp;CR$5,'Competency Event Log'!$D$4:$D$803)))</f>
        <v/>
      </c>
      <c r="CS152" s="8" t="str">
        <f>IF($B152="","",IF(COUNTIF('Competency Event Log'!$U$4:$U$803,$B152&amp;"|"&amp;CS$5)=0,"",SUMIF('Competency Event Log'!$U$4:$U$803,$B152&amp;"|"&amp;CS$5,'Competency Event Log'!$D$4:$D$803)))</f>
        <v/>
      </c>
      <c r="CT152" s="8" t="str">
        <f>IF($B152="","",IF(COUNTIF('Competency Event Log'!$U$4:$U$803,$B152&amp;"|"&amp;CT$5)=0,"",SUMIF('Competency Event Log'!$U$4:$U$803,$B152&amp;"|"&amp;CT$5,'Competency Event Log'!$D$4:$D$803)))</f>
        <v/>
      </c>
      <c r="CU152" s="8" t="str">
        <f>IF($B152="","",IF(COUNTIF('Competency Event Log'!$U$4:$U$803,$B152&amp;"|"&amp;CU$5)=0,"",SUMIF('Competency Event Log'!$U$4:$U$803,$B152&amp;"|"&amp;CU$5,'Competency Event Log'!$D$4:$D$803)))</f>
        <v/>
      </c>
      <c r="CV152" s="8" t="str">
        <f>IF($B152="","",IF(COUNTIF('Competency Event Log'!$U$4:$U$803,$B152&amp;"|"&amp;CV$5)=0,"",SUMIF('Competency Event Log'!$U$4:$U$803,$B152&amp;"|"&amp;CV$5,'Competency Event Log'!$D$4:$D$803)))</f>
        <v/>
      </c>
      <c r="CW152" s="8" t="str">
        <f>IF($B152="","",IF(COUNTIF('Competency Event Log'!$U$4:$U$803,$B152&amp;"|"&amp;CW$5)=0,"",SUMIF('Competency Event Log'!$U$4:$U$803,$B152&amp;"|"&amp;CW$5,'Competency Event Log'!$D$4:$D$803)))</f>
        <v/>
      </c>
      <c r="CX152" s="8" t="str">
        <f>IF($B152="","",IF(COUNTIF('Competency Event Log'!$U$4:$U$803,$B152&amp;"|"&amp;CX$5)=0,"",SUMIF('Competency Event Log'!$U$4:$U$803,$B152&amp;"|"&amp;CX$5,'Competency Event Log'!$D$4:$D$803)))</f>
        <v/>
      </c>
      <c r="CY152" s="8" t="str">
        <f>IF($B152="","",IF(COUNTIF('Competency Event Log'!$U$4:$U$803,$B152&amp;"|"&amp;CY$5)=0,"",SUMIF('Competency Event Log'!$U$4:$U$803,$B152&amp;"|"&amp;CY$5,'Competency Event Log'!$D$4:$D$803)))</f>
        <v/>
      </c>
      <c r="CZ152" s="8" t="str">
        <f>IF($B152="","",IF(COUNTIF('Competency Event Log'!$U$4:$U$803,$B152&amp;"|"&amp;CZ$5)=0,"",SUMIF('Competency Event Log'!$U$4:$U$803,$B152&amp;"|"&amp;CZ$5,'Competency Event Log'!$D$4:$D$803)))</f>
        <v/>
      </c>
      <c r="DA152" s="8" t="str">
        <f>IF($B152="","",IF(COUNTIF('Competency Event Log'!$U$4:$U$803,$B152&amp;"|"&amp;DA$5)=0,"",SUMIF('Competency Event Log'!$U$4:$U$803,$B152&amp;"|"&amp;DA$5,'Competency Event Log'!$D$4:$D$803)))</f>
        <v/>
      </c>
      <c r="DB152" s="8" t="str">
        <f>IF($B152="","",IF(COUNTIF('Competency Event Log'!$U$4:$U$803,$B152&amp;"|"&amp;DB$5)=0,"",SUMIF('Competency Event Log'!$U$4:$U$803,$B152&amp;"|"&amp;DB$5,'Competency Event Log'!$D$4:$D$803)))</f>
        <v/>
      </c>
      <c r="DC152" s="8" t="str">
        <f>IF($B152="","",IF(COUNTIF('Competency Event Log'!$U$4:$U$803,$B152&amp;"|"&amp;DC$5)=0,"",SUMIF('Competency Event Log'!$U$4:$U$803,$B152&amp;"|"&amp;DC$5,'Competency Event Log'!$D$4:$D$803)))</f>
        <v/>
      </c>
      <c r="DD152" s="8" t="str">
        <f>IF($B152="","",IF(COUNTIF('Competency Event Log'!$U$4:$U$803,$B152&amp;"|"&amp;DD$5)=0,"",SUMIF('Competency Event Log'!$U$4:$U$803,$B152&amp;"|"&amp;DD$5,'Competency Event Log'!$D$4:$D$803)))</f>
        <v/>
      </c>
      <c r="DE152" s="8" t="str">
        <f>IF($B152="","",IF(COUNTIF('Competency Event Log'!$U$4:$U$803,$B152&amp;"|"&amp;DE$5)=0,"",SUMIF('Competency Event Log'!$U$4:$U$803,$B152&amp;"|"&amp;DE$5,'Competency Event Log'!$D$4:$D$803)))</f>
        <v/>
      </c>
      <c r="DF152" s="8" t="str">
        <f t="shared" si="16"/>
        <v/>
      </c>
      <c r="DG152" s="8" t="str">
        <f t="shared" si="17"/>
        <v/>
      </c>
      <c r="DH152" s="8" t="str">
        <f t="shared" si="18"/>
        <v/>
      </c>
      <c r="DI152" s="11" t="str">
        <f t="shared" si="19"/>
        <v/>
      </c>
    </row>
    <row r="153" spans="1:113">
      <c r="A153" s="7"/>
      <c r="B153" s="7"/>
      <c r="C153" s="8"/>
      <c r="D153" s="9"/>
      <c r="E153" s="10"/>
      <c r="F153" s="8"/>
      <c r="G153" s="8" t="str">
        <f>IF($B153="","",IF(COUNTIF('Competency Event Log'!$U$4:$U$803,$B153&amp;"|"&amp;G$5)=0,"",SUMIF('Competency Event Log'!$U$4:$U$803,$B153&amp;"|"&amp;G$5,'Competency Event Log'!$D$4:$D$803)))</f>
        <v/>
      </c>
      <c r="H153" s="8" t="str">
        <f>IF($B153="","",IF(COUNTIF('Competency Event Log'!$U$4:$U$803,$B153&amp;"|"&amp;H$5)=0,"",SUMIF('Competency Event Log'!$U$4:$U$803,$B153&amp;"|"&amp;H$5,'Competency Event Log'!$D$4:$D$803)))</f>
        <v/>
      </c>
      <c r="I153" s="8" t="str">
        <f>IF($B153="","",IF(COUNTIF('Competency Event Log'!$U$4:$U$803,$B153&amp;"|"&amp;I$5)=0,"",SUMIF('Competency Event Log'!$U$4:$U$803,$B153&amp;"|"&amp;I$5,'Competency Event Log'!$D$4:$D$803)))</f>
        <v/>
      </c>
      <c r="J153" s="8" t="str">
        <f>IF($B153="","",IF(COUNTIF('Competency Event Log'!$U$4:$U$803,$B153&amp;"|"&amp;J$5)=0,"",SUMIF('Competency Event Log'!$U$4:$U$803,$B153&amp;"|"&amp;J$5,'Competency Event Log'!$D$4:$D$803)))</f>
        <v/>
      </c>
      <c r="K153" s="8" t="str">
        <f>IF($B153="","",IF(COUNTIF('Competency Event Log'!$U$4:$U$803,$B153&amp;"|"&amp;K$5)=0,"",SUMIF('Competency Event Log'!$U$4:$U$803,$B153&amp;"|"&amp;K$5,'Competency Event Log'!$D$4:$D$803)))</f>
        <v/>
      </c>
      <c r="L153" s="8" t="str">
        <f>IF($B153="","",IF(COUNTIF('Competency Event Log'!$U$4:$U$803,$B153&amp;"|"&amp;L$5)=0,"",SUMIF('Competency Event Log'!$U$4:$U$803,$B153&amp;"|"&amp;L$5,'Competency Event Log'!$D$4:$D$803)))</f>
        <v/>
      </c>
      <c r="M153" s="8" t="str">
        <f>IF($B153="","",IF(COUNTIF('Competency Event Log'!$U$4:$U$803,$B153&amp;"|"&amp;M$5)=0,"",SUMIF('Competency Event Log'!$U$4:$U$803,$B153&amp;"|"&amp;M$5,'Competency Event Log'!$D$4:$D$803)))</f>
        <v/>
      </c>
      <c r="N153" s="8" t="str">
        <f>IF($B153="","",IF(COUNTIF('Competency Event Log'!$U$4:$U$803,$B153&amp;"|"&amp;N$5)=0,"",SUMIF('Competency Event Log'!$U$4:$U$803,$B153&amp;"|"&amp;N$5,'Competency Event Log'!$D$4:$D$803)))</f>
        <v/>
      </c>
      <c r="O153" s="8" t="str">
        <f>IF($B153="","",IF(COUNTIF('Competency Event Log'!$U$4:$U$803,$B153&amp;"|"&amp;O$5)=0,"",SUMIF('Competency Event Log'!$U$4:$U$803,$B153&amp;"|"&amp;O$5,'Competency Event Log'!$D$4:$D$803)))</f>
        <v/>
      </c>
      <c r="P153" s="8" t="str">
        <f>IF($B153="","",IF(COUNTIF('Competency Event Log'!$U$4:$U$803,$B153&amp;"|"&amp;P$5)=0,"",SUMIF('Competency Event Log'!$U$4:$U$803,$B153&amp;"|"&amp;P$5,'Competency Event Log'!$D$4:$D$803)))</f>
        <v/>
      </c>
      <c r="Q153" s="8" t="str">
        <f>IF($B153="","",IF(COUNTIF('Competency Event Log'!$U$4:$U$803,$B153&amp;"|"&amp;Q$5)=0,"",SUMIF('Competency Event Log'!$U$4:$U$803,$B153&amp;"|"&amp;Q$5,'Competency Event Log'!$D$4:$D$803)))</f>
        <v/>
      </c>
      <c r="R153" s="8" t="str">
        <f>IF($B153="","",IF(COUNTIF('Competency Event Log'!$U$4:$U$803,$B153&amp;"|"&amp;R$5)=0,"",SUMIF('Competency Event Log'!$U$4:$U$803,$B153&amp;"|"&amp;R$5,'Competency Event Log'!$D$4:$D$803)))</f>
        <v/>
      </c>
      <c r="S153" s="8" t="str">
        <f>IF($B153="","",IF(COUNTIF('Competency Event Log'!$U$4:$U$803,$B153&amp;"|"&amp;S$5)=0,"",SUMIF('Competency Event Log'!$U$4:$U$803,$B153&amp;"|"&amp;S$5,'Competency Event Log'!$D$4:$D$803)))</f>
        <v/>
      </c>
      <c r="T153" s="8" t="str">
        <f>IF($B153="","",IF(COUNTIF('Competency Event Log'!$U$4:$U$803,$B153&amp;"|"&amp;T$5)=0,"",SUMIF('Competency Event Log'!$U$4:$U$803,$B153&amp;"|"&amp;T$5,'Competency Event Log'!$D$4:$D$803)))</f>
        <v/>
      </c>
      <c r="U153" s="8" t="str">
        <f>IF($B153="","",IF(COUNTIF('Competency Event Log'!$U$4:$U$803,$B153&amp;"|"&amp;U$5)=0,"",SUMIF('Competency Event Log'!$U$4:$U$803,$B153&amp;"|"&amp;U$5,'Competency Event Log'!$D$4:$D$803)))</f>
        <v/>
      </c>
      <c r="V153" s="8" t="str">
        <f>IF($B153="","",IF(COUNTIF('Competency Event Log'!$U$4:$U$803,$B153&amp;"|"&amp;V$5)=0,"",SUMIF('Competency Event Log'!$U$4:$U$803,$B153&amp;"|"&amp;V$5,'Competency Event Log'!$D$4:$D$803)))</f>
        <v/>
      </c>
      <c r="W153" s="8" t="str">
        <f>IF($B153="","",IF(COUNTIF('Competency Event Log'!$U$4:$U$803,$B153&amp;"|"&amp;W$5)=0,"",SUMIF('Competency Event Log'!$U$4:$U$803,$B153&amp;"|"&amp;W$5,'Competency Event Log'!$D$4:$D$803)))</f>
        <v/>
      </c>
      <c r="X153" s="8" t="str">
        <f>IF($B153="","",IF(COUNTIF('Competency Event Log'!$U$4:$U$803,$B153&amp;"|"&amp;X$5)=0,"",SUMIF('Competency Event Log'!$U$4:$U$803,$B153&amp;"|"&amp;X$5,'Competency Event Log'!$D$4:$D$803)))</f>
        <v/>
      </c>
      <c r="Y153" s="8" t="str">
        <f>IF($B153="","",IF(COUNTIF('Competency Event Log'!$U$4:$U$803,$B153&amp;"|"&amp;Y$5)=0,"",SUMIF('Competency Event Log'!$U$4:$U$803,$B153&amp;"|"&amp;Y$5,'Competency Event Log'!$D$4:$D$803)))</f>
        <v/>
      </c>
      <c r="Z153" s="8" t="str">
        <f>IF($B153="","",IF(COUNTIF('Competency Event Log'!$U$4:$U$803,$B153&amp;"|"&amp;Z$5)=0,"",SUMIF('Competency Event Log'!$U$4:$U$803,$B153&amp;"|"&amp;Z$5,'Competency Event Log'!$D$4:$D$803)))</f>
        <v/>
      </c>
      <c r="AA153" s="8" t="str">
        <f>IF($B153="","",IF(COUNTIF('Competency Event Log'!$U$4:$U$803,$B153&amp;"|"&amp;AA$5)=0,"",SUMIF('Competency Event Log'!$U$4:$U$803,$B153&amp;"|"&amp;AA$5,'Competency Event Log'!$D$4:$D$803)))</f>
        <v/>
      </c>
      <c r="AB153" s="8" t="str">
        <f>IF($B153="","",IF(COUNTIF('Competency Event Log'!$U$4:$U$803,$B153&amp;"|"&amp;AB$5)=0,"",SUMIF('Competency Event Log'!$U$4:$U$803,$B153&amp;"|"&amp;AB$5,'Competency Event Log'!$D$4:$D$803)))</f>
        <v/>
      </c>
      <c r="AC153" s="8" t="str">
        <f>IF($B153="","",IF(COUNTIF('Competency Event Log'!$U$4:$U$803,$B153&amp;"|"&amp;AC$5)=0,"",SUMIF('Competency Event Log'!$U$4:$U$803,$B153&amp;"|"&amp;AC$5,'Competency Event Log'!$D$4:$D$803)))</f>
        <v/>
      </c>
      <c r="AD153" s="8" t="str">
        <f>IF($B153="","",IF(COUNTIF('Competency Event Log'!$U$4:$U$803,$B153&amp;"|"&amp;AD$5)=0,"",SUMIF('Competency Event Log'!$U$4:$U$803,$B153&amp;"|"&amp;AD$5,'Competency Event Log'!$D$4:$D$803)))</f>
        <v/>
      </c>
      <c r="AE153" s="8" t="str">
        <f>IF($B153="","",IF(COUNTIF('Competency Event Log'!$U$4:$U$803,$B153&amp;"|"&amp;AE$5)=0,"",SUMIF('Competency Event Log'!$U$4:$U$803,$B153&amp;"|"&amp;AE$5,'Competency Event Log'!$D$4:$D$803)))</f>
        <v/>
      </c>
      <c r="AF153" s="8" t="str">
        <f>IF($B153="","",IF(COUNTIF('Competency Event Log'!$U$4:$U$803,$B153&amp;"|"&amp;AF$5)=0,"",SUMIF('Competency Event Log'!$U$4:$U$803,$B153&amp;"|"&amp;AF$5,'Competency Event Log'!$D$4:$D$803)))</f>
        <v/>
      </c>
      <c r="AG153" s="8" t="str">
        <f>IF($B153="","",IF(COUNTIF('Competency Event Log'!$U$4:$U$803,$B153&amp;"|"&amp;AG$5)=0,"",SUMIF('Competency Event Log'!$U$4:$U$803,$B153&amp;"|"&amp;AG$5,'Competency Event Log'!$D$4:$D$803)))</f>
        <v/>
      </c>
      <c r="AH153" s="8" t="str">
        <f>IF($B153="","",IF(COUNTIF('Competency Event Log'!$U$4:$U$803,$B153&amp;"|"&amp;AH$5)=0,"",SUMIF('Competency Event Log'!$U$4:$U$803,$B153&amp;"|"&amp;AH$5,'Competency Event Log'!$D$4:$D$803)))</f>
        <v/>
      </c>
      <c r="AI153" s="8" t="str">
        <f>IF($B153="","",IF(COUNTIF('Competency Event Log'!$U$4:$U$803,$B153&amp;"|"&amp;AI$5)=0,"",SUMIF('Competency Event Log'!$U$4:$U$803,$B153&amp;"|"&amp;AI$5,'Competency Event Log'!$D$4:$D$803)))</f>
        <v/>
      </c>
      <c r="AJ153" s="8" t="str">
        <f>IF($B153="","",IF(COUNTIF('Competency Event Log'!$U$4:$U$803,$B153&amp;"|"&amp;AJ$5)=0,"",SUMIF('Competency Event Log'!$U$4:$U$803,$B153&amp;"|"&amp;AJ$5,'Competency Event Log'!$D$4:$D$803)))</f>
        <v/>
      </c>
      <c r="AK153" s="8" t="str">
        <f>IF($B153="","",IF(COUNTIF('Competency Event Log'!$U$4:$U$803,$B153&amp;"|"&amp;AK$5)=0,"",SUMIF('Competency Event Log'!$U$4:$U$803,$B153&amp;"|"&amp;AK$5,'Competency Event Log'!$D$4:$D$803)))</f>
        <v/>
      </c>
      <c r="AL153" s="8" t="str">
        <f>IF($B153="","",IF(COUNTIF('Competency Event Log'!$U$4:$U$803,$B153&amp;"|"&amp;AL$5)=0,"",SUMIF('Competency Event Log'!$U$4:$U$803,$B153&amp;"|"&amp;AL$5,'Competency Event Log'!$D$4:$D$803)))</f>
        <v/>
      </c>
      <c r="AM153" s="8" t="str">
        <f>IF($B153="","",IF(COUNTIF('Competency Event Log'!$U$4:$U$803,$B153&amp;"|"&amp;AM$5)=0,"",SUMIF('Competency Event Log'!$U$4:$U$803,$B153&amp;"|"&amp;AM$5,'Competency Event Log'!$D$4:$D$803)))</f>
        <v/>
      </c>
      <c r="AN153" s="8" t="str">
        <f>IF($B153="","",IF(COUNTIF('Competency Event Log'!$U$4:$U$803,$B153&amp;"|"&amp;AN$5)=0,"",SUMIF('Competency Event Log'!$U$4:$U$803,$B153&amp;"|"&amp;AN$5,'Competency Event Log'!$D$4:$D$803)))</f>
        <v/>
      </c>
      <c r="AO153" s="8" t="str">
        <f>IF($B153="","",IF(COUNTIF('Competency Event Log'!$U$4:$U$803,$B153&amp;"|"&amp;AO$5)=0,"",SUMIF('Competency Event Log'!$U$4:$U$803,$B153&amp;"|"&amp;AO$5,'Competency Event Log'!$D$4:$D$803)))</f>
        <v/>
      </c>
      <c r="AP153" s="8" t="str">
        <f>IF($B153="","",IF(COUNTIF('Competency Event Log'!$U$4:$U$803,$B153&amp;"|"&amp;AP$5)=0,"",SUMIF('Competency Event Log'!$U$4:$U$803,$B153&amp;"|"&amp;AP$5,'Competency Event Log'!$D$4:$D$803)))</f>
        <v/>
      </c>
      <c r="AQ153" s="8" t="str">
        <f>IF($B153="","",IF(COUNTIF('Competency Event Log'!$U$4:$U$803,$B153&amp;"|"&amp;AQ$5)=0,"",SUMIF('Competency Event Log'!$U$4:$U$803,$B153&amp;"|"&amp;AQ$5,'Competency Event Log'!$D$4:$D$803)))</f>
        <v/>
      </c>
      <c r="AR153" s="8" t="str">
        <f>IF($B153="","",IF(COUNTIF('Competency Event Log'!$U$4:$U$803,$B153&amp;"|"&amp;AR$5)=0,"",SUMIF('Competency Event Log'!$U$4:$U$803,$B153&amp;"|"&amp;AR$5,'Competency Event Log'!$D$4:$D$803)))</f>
        <v/>
      </c>
      <c r="AS153" s="8" t="str">
        <f>IF($B153="","",IF(COUNTIF('Competency Event Log'!$U$4:$U$803,$B153&amp;"|"&amp;AS$5)=0,"",SUMIF('Competency Event Log'!$U$4:$U$803,$B153&amp;"|"&amp;AS$5,'Competency Event Log'!$D$4:$D$803)))</f>
        <v/>
      </c>
      <c r="AT153" s="8" t="str">
        <f>IF($B153="","",IF(COUNTIF('Competency Event Log'!$U$4:$U$803,$B153&amp;"|"&amp;AT$5)=0,"",SUMIF('Competency Event Log'!$U$4:$U$803,$B153&amp;"|"&amp;AT$5,'Competency Event Log'!$D$4:$D$803)))</f>
        <v/>
      </c>
      <c r="AU153" s="8" t="str">
        <f>IF($B153="","",IF(COUNTIF('Competency Event Log'!$U$4:$U$803,$B153&amp;"|"&amp;AU$5)=0,"",SUMIF('Competency Event Log'!$U$4:$U$803,$B153&amp;"|"&amp;AU$5,'Competency Event Log'!$D$4:$D$803)))</f>
        <v/>
      </c>
      <c r="AV153" s="8" t="str">
        <f>IF($B153="","",IF(COUNTIF('Competency Event Log'!$U$4:$U$803,$B153&amp;"|"&amp;AV$5)=0,"",SUMIF('Competency Event Log'!$U$4:$U$803,$B153&amp;"|"&amp;AV$5,'Competency Event Log'!$D$4:$D$803)))</f>
        <v/>
      </c>
      <c r="AW153" s="8" t="str">
        <f>IF($B153="","",IF(COUNTIF('Competency Event Log'!$U$4:$U$803,$B153&amp;"|"&amp;AW$5)=0,"",SUMIF('Competency Event Log'!$U$4:$U$803,$B153&amp;"|"&amp;AW$5,'Competency Event Log'!$D$4:$D$803)))</f>
        <v/>
      </c>
      <c r="AX153" s="8" t="str">
        <f>IF($B153="","",IF(COUNTIF('Competency Event Log'!$U$4:$U$803,$B153&amp;"|"&amp;AX$5)=0,"",SUMIF('Competency Event Log'!$U$4:$U$803,$B153&amp;"|"&amp;AX$5,'Competency Event Log'!$D$4:$D$803)))</f>
        <v/>
      </c>
      <c r="AY153" s="8" t="str">
        <f>IF($B153="","",IF(COUNTIF('Competency Event Log'!$U$4:$U$803,$B153&amp;"|"&amp;AY$5)=0,"",SUMIF('Competency Event Log'!$U$4:$U$803,$B153&amp;"|"&amp;AY$5,'Competency Event Log'!$D$4:$D$803)))</f>
        <v/>
      </c>
      <c r="AZ153" s="8" t="str">
        <f>IF($B153="","",IF(COUNTIF('Competency Event Log'!$U$4:$U$803,$B153&amp;"|"&amp;AZ$5)=0,"",SUMIF('Competency Event Log'!$U$4:$U$803,$B153&amp;"|"&amp;AZ$5,'Competency Event Log'!$D$4:$D$803)))</f>
        <v/>
      </c>
      <c r="BA153" s="8" t="str">
        <f>IF($B153="","",IF(COUNTIF('Competency Event Log'!$U$4:$U$803,$B153&amp;"|"&amp;BA$5)=0,"",SUMIF('Competency Event Log'!$U$4:$U$803,$B153&amp;"|"&amp;BA$5,'Competency Event Log'!$D$4:$D$803)))</f>
        <v/>
      </c>
      <c r="BB153" s="8" t="str">
        <f>IF($B153="","",IF(COUNTIF('Competency Event Log'!$U$4:$U$803,$B153&amp;"|"&amp;BB$5)=0,"",SUMIF('Competency Event Log'!$U$4:$U$803,$B153&amp;"|"&amp;BB$5,'Competency Event Log'!$D$4:$D$803)))</f>
        <v/>
      </c>
      <c r="BC153" s="8" t="str">
        <f>IF($B153="","",IF(COUNTIF('Competency Event Log'!$U$4:$U$803,$B153&amp;"|"&amp;BC$5)=0,"",SUMIF('Competency Event Log'!$U$4:$U$803,$B153&amp;"|"&amp;BC$5,'Competency Event Log'!$D$4:$D$803)))</f>
        <v/>
      </c>
      <c r="BD153" s="8" t="str">
        <f>IF($B153="","",IF(COUNTIF('Competency Event Log'!$U$4:$U$803,$B153&amp;"|"&amp;BD$5)=0,"",SUMIF('Competency Event Log'!$U$4:$U$803,$B153&amp;"|"&amp;BD$5,'Competency Event Log'!$D$4:$D$803)))</f>
        <v/>
      </c>
      <c r="BE153" s="8" t="str">
        <f>IF($B153="","",IF(COUNTIF('Competency Event Log'!$U$4:$U$803,$B153&amp;"|"&amp;BE$5)=0,"",SUMIF('Competency Event Log'!$U$4:$U$803,$B153&amp;"|"&amp;BE$5,'Competency Event Log'!$D$4:$D$803)))</f>
        <v/>
      </c>
      <c r="BF153" s="8" t="str">
        <f>IF($B153="","",IF(COUNTIF('Competency Event Log'!$U$4:$U$803,$B153&amp;"|"&amp;BF$5)=0,"",SUMIF('Competency Event Log'!$U$4:$U$803,$B153&amp;"|"&amp;BF$5,'Competency Event Log'!$D$4:$D$803)))</f>
        <v/>
      </c>
      <c r="BG153" s="8" t="str">
        <f>IF($B153="","",IF(COUNTIF('Competency Event Log'!$U$4:$U$803,$B153&amp;"|"&amp;BG$5)=0,"",SUMIF('Competency Event Log'!$U$4:$U$803,$B153&amp;"|"&amp;BG$5,'Competency Event Log'!$D$4:$D$803)))</f>
        <v/>
      </c>
      <c r="BH153" s="8" t="str">
        <f>IF($B153="","",IF(COUNTIF('Competency Event Log'!$U$4:$U$803,$B153&amp;"|"&amp;BH$5)=0,"",SUMIF('Competency Event Log'!$U$4:$U$803,$B153&amp;"|"&amp;BH$5,'Competency Event Log'!$D$4:$D$803)))</f>
        <v/>
      </c>
      <c r="BI153" s="8" t="str">
        <f>IF($B153="","",IF(COUNTIF('Competency Event Log'!$U$4:$U$803,$B153&amp;"|"&amp;BI$5)=0,"",SUMIF('Competency Event Log'!$U$4:$U$803,$B153&amp;"|"&amp;BI$5,'Competency Event Log'!$D$4:$D$803)))</f>
        <v/>
      </c>
      <c r="BJ153" s="8" t="str">
        <f>IF($B153="","",IF(COUNTIF('Competency Event Log'!$U$4:$U$803,$B153&amp;"|"&amp;BJ$5)=0,"",SUMIF('Competency Event Log'!$U$4:$U$803,$B153&amp;"|"&amp;BJ$5,'Competency Event Log'!$D$4:$D$803)))</f>
        <v/>
      </c>
      <c r="BK153" s="8" t="str">
        <f>IF($B153="","",IF(COUNTIF('Competency Event Log'!$U$4:$U$803,$B153&amp;"|"&amp;BK$5)=0,"",SUMIF('Competency Event Log'!$U$4:$U$803,$B153&amp;"|"&amp;BK$5,'Competency Event Log'!$D$4:$D$803)))</f>
        <v/>
      </c>
      <c r="BL153" s="8" t="str">
        <f>IF($B153="","",IF(COUNTIF('Competency Event Log'!$U$4:$U$803,$B153&amp;"|"&amp;BL$5)=0,"",SUMIF('Competency Event Log'!$U$4:$U$803,$B153&amp;"|"&amp;BL$5,'Competency Event Log'!$D$4:$D$803)))</f>
        <v/>
      </c>
      <c r="BM153" s="8" t="str">
        <f>IF($B153="","",IF(COUNTIF('Competency Event Log'!$U$4:$U$803,$B153&amp;"|"&amp;BM$5)=0,"",SUMIF('Competency Event Log'!$U$4:$U$803,$B153&amp;"|"&amp;BM$5,'Competency Event Log'!$D$4:$D$803)))</f>
        <v/>
      </c>
      <c r="BN153" s="8" t="str">
        <f>IF($B153="","",IF(COUNTIF('Competency Event Log'!$U$4:$U$803,$B153&amp;"|"&amp;BN$5)=0,"",SUMIF('Competency Event Log'!$U$4:$U$803,$B153&amp;"|"&amp;BN$5,'Competency Event Log'!$D$4:$D$803)))</f>
        <v/>
      </c>
      <c r="BO153" s="8" t="str">
        <f>IF($B153="","",IF(COUNTIF('Competency Event Log'!$U$4:$U$803,$B153&amp;"|"&amp;BO$5)=0,"",SUMIF('Competency Event Log'!$U$4:$U$803,$B153&amp;"|"&amp;BO$5,'Competency Event Log'!$D$4:$D$803)))</f>
        <v/>
      </c>
      <c r="BP153" s="8" t="str">
        <f>IF($B153="","",IF(COUNTIF('Competency Event Log'!$U$4:$U$803,$B153&amp;"|"&amp;BP$5)=0,"",SUMIF('Competency Event Log'!$U$4:$U$803,$B153&amp;"|"&amp;BP$5,'Competency Event Log'!$D$4:$D$803)))</f>
        <v/>
      </c>
      <c r="BQ153" s="8" t="str">
        <f>IF($B153="","",IF(COUNTIF('Competency Event Log'!$U$4:$U$803,$B153&amp;"|"&amp;BQ$5)=0,"",SUMIF('Competency Event Log'!$U$4:$U$803,$B153&amp;"|"&amp;BQ$5,'Competency Event Log'!$D$4:$D$803)))</f>
        <v/>
      </c>
      <c r="BR153" s="8" t="str">
        <f>IF($B153="","",IF(COUNTIF('Competency Event Log'!$U$4:$U$803,$B153&amp;"|"&amp;BR$5)=0,"",SUMIF('Competency Event Log'!$U$4:$U$803,$B153&amp;"|"&amp;BR$5,'Competency Event Log'!$D$4:$D$803)))</f>
        <v/>
      </c>
      <c r="BS153" s="8" t="str">
        <f>IF($B153="","",IF(COUNTIF('Competency Event Log'!$U$4:$U$803,$B153&amp;"|"&amp;BS$5)=0,"",SUMIF('Competency Event Log'!$U$4:$U$803,$B153&amp;"|"&amp;BS$5,'Competency Event Log'!$D$4:$D$803)))</f>
        <v/>
      </c>
      <c r="BT153" s="8" t="str">
        <f>IF($B153="","",IF(COUNTIF('Competency Event Log'!$U$4:$U$803,$B153&amp;"|"&amp;BT$5)=0,"",SUMIF('Competency Event Log'!$U$4:$U$803,$B153&amp;"|"&amp;BT$5,'Competency Event Log'!$D$4:$D$803)))</f>
        <v/>
      </c>
      <c r="BU153" s="8" t="str">
        <f>IF($B153="","",IF(COUNTIF('Competency Event Log'!$U$4:$U$803,$B153&amp;"|"&amp;BU$5)=0,"",SUMIF('Competency Event Log'!$U$4:$U$803,$B153&amp;"|"&amp;BU$5,'Competency Event Log'!$D$4:$D$803)))</f>
        <v/>
      </c>
      <c r="BV153" s="8" t="str">
        <f>IF($B153="","",IF(COUNTIF('Competency Event Log'!$U$4:$U$803,$B153&amp;"|"&amp;BV$5)=0,"",SUMIF('Competency Event Log'!$U$4:$U$803,$B153&amp;"|"&amp;BV$5,'Competency Event Log'!$D$4:$D$803)))</f>
        <v/>
      </c>
      <c r="BW153" s="8" t="str">
        <f>IF($B153="","",IF(COUNTIF('Competency Event Log'!$U$4:$U$803,$B153&amp;"|"&amp;BW$5)=0,"",SUMIF('Competency Event Log'!$U$4:$U$803,$B153&amp;"|"&amp;BW$5,'Competency Event Log'!$D$4:$D$803)))</f>
        <v/>
      </c>
      <c r="BX153" s="8" t="str">
        <f>IF($B153="","",IF(COUNTIF('Competency Event Log'!$U$4:$U$803,$B153&amp;"|"&amp;BX$5)=0,"",SUMIF('Competency Event Log'!$U$4:$U$803,$B153&amp;"|"&amp;BX$5,'Competency Event Log'!$D$4:$D$803)))</f>
        <v/>
      </c>
      <c r="BY153" s="8" t="str">
        <f>IF($B153="","",IF(COUNTIF('Competency Event Log'!$U$4:$U$803,$B153&amp;"|"&amp;BY$5)=0,"",SUMIF('Competency Event Log'!$U$4:$U$803,$B153&amp;"|"&amp;BY$5,'Competency Event Log'!$D$4:$D$803)))</f>
        <v/>
      </c>
      <c r="BZ153" s="8" t="str">
        <f>IF($B153="","",IF(COUNTIF('Competency Event Log'!$U$4:$U$803,$B153&amp;"|"&amp;BZ$5)=0,"",SUMIF('Competency Event Log'!$U$4:$U$803,$B153&amp;"|"&amp;BZ$5,'Competency Event Log'!$D$4:$D$803)))</f>
        <v/>
      </c>
      <c r="CA153" s="8" t="str">
        <f>IF($B153="","",IF(COUNTIF('Competency Event Log'!$U$4:$U$803,$B153&amp;"|"&amp;CA$5)=0,"",SUMIF('Competency Event Log'!$U$4:$U$803,$B153&amp;"|"&amp;CA$5,'Competency Event Log'!$D$4:$D$803)))</f>
        <v/>
      </c>
      <c r="CB153" s="8" t="str">
        <f>IF($B153="","",IF(COUNTIF('Competency Event Log'!$U$4:$U$803,$B153&amp;"|"&amp;CB$5)=0,"",SUMIF('Competency Event Log'!$U$4:$U$803,$B153&amp;"|"&amp;CB$5,'Competency Event Log'!$D$4:$D$803)))</f>
        <v/>
      </c>
      <c r="CC153" s="8" t="str">
        <f>IF($B153="","",IF(COUNTIF('Competency Event Log'!$U$4:$U$803,$B153&amp;"|"&amp;CC$5)=0,"",SUMIF('Competency Event Log'!$U$4:$U$803,$B153&amp;"|"&amp;CC$5,'Competency Event Log'!$D$4:$D$803)))</f>
        <v/>
      </c>
      <c r="CD153" s="8" t="str">
        <f>IF($B153="","",IF(COUNTIF('Competency Event Log'!$U$4:$U$803,$B153&amp;"|"&amp;CD$5)=0,"",SUMIF('Competency Event Log'!$U$4:$U$803,$B153&amp;"|"&amp;CD$5,'Competency Event Log'!$D$4:$D$803)))</f>
        <v/>
      </c>
      <c r="CE153" s="8" t="str">
        <f>IF($B153="","",IF(COUNTIF('Competency Event Log'!$U$4:$U$803,$B153&amp;"|"&amp;CE$5)=0,"",SUMIF('Competency Event Log'!$U$4:$U$803,$B153&amp;"|"&amp;CE$5,'Competency Event Log'!$D$4:$D$803)))</f>
        <v/>
      </c>
      <c r="CF153" s="8" t="str">
        <f>IF($B153="","",IF(COUNTIF('Competency Event Log'!$U$4:$U$803,$B153&amp;"|"&amp;CF$5)=0,"",SUMIF('Competency Event Log'!$U$4:$U$803,$B153&amp;"|"&amp;CF$5,'Competency Event Log'!$D$4:$D$803)))</f>
        <v/>
      </c>
      <c r="CG153" s="8" t="str">
        <f>IF($B153="","",IF(COUNTIF('Competency Event Log'!$U$4:$U$803,$B153&amp;"|"&amp;CG$5)=0,"",SUMIF('Competency Event Log'!$U$4:$U$803,$B153&amp;"|"&amp;CG$5,'Competency Event Log'!$D$4:$D$803)))</f>
        <v/>
      </c>
      <c r="CH153" s="8" t="str">
        <f>IF($B153="","",IF(COUNTIF('Competency Event Log'!$U$4:$U$803,$B153&amp;"|"&amp;CH$5)=0,"",SUMIF('Competency Event Log'!$U$4:$U$803,$B153&amp;"|"&amp;CH$5,'Competency Event Log'!$D$4:$D$803)))</f>
        <v/>
      </c>
      <c r="CI153" s="8" t="str">
        <f>IF($B153="","",IF(COUNTIF('Competency Event Log'!$U$4:$U$803,$B153&amp;"|"&amp;CI$5)=0,"",SUMIF('Competency Event Log'!$U$4:$U$803,$B153&amp;"|"&amp;CI$5,'Competency Event Log'!$D$4:$D$803)))</f>
        <v/>
      </c>
      <c r="CJ153" s="8" t="str">
        <f>IF($B153="","",IF(COUNTIF('Competency Event Log'!$U$4:$U$803,$B153&amp;"|"&amp;CJ$5)=0,"",SUMIF('Competency Event Log'!$U$4:$U$803,$B153&amp;"|"&amp;CJ$5,'Competency Event Log'!$D$4:$D$803)))</f>
        <v/>
      </c>
      <c r="CK153" s="8" t="str">
        <f>IF($B153="","",IF(COUNTIF('Competency Event Log'!$U$4:$U$803,$B153&amp;"|"&amp;CK$5)=0,"",SUMIF('Competency Event Log'!$U$4:$U$803,$B153&amp;"|"&amp;CK$5,'Competency Event Log'!$D$4:$D$803)))</f>
        <v/>
      </c>
      <c r="CL153" s="8" t="str">
        <f>IF($B153="","",IF(COUNTIF('Competency Event Log'!$U$4:$U$803,$B153&amp;"|"&amp;CL$5)=0,"",SUMIF('Competency Event Log'!$U$4:$U$803,$B153&amp;"|"&amp;CL$5,'Competency Event Log'!$D$4:$D$803)))</f>
        <v/>
      </c>
      <c r="CM153" s="8" t="str">
        <f>IF($B153="","",IF(COUNTIF('Competency Event Log'!$U$4:$U$803,$B153&amp;"|"&amp;CM$5)=0,"",SUMIF('Competency Event Log'!$U$4:$U$803,$B153&amp;"|"&amp;CM$5,'Competency Event Log'!$D$4:$D$803)))</f>
        <v/>
      </c>
      <c r="CN153" s="8" t="str">
        <f>IF($B153="","",IF(COUNTIF('Competency Event Log'!$U$4:$U$803,$B153&amp;"|"&amp;CN$5)=0,"",SUMIF('Competency Event Log'!$U$4:$U$803,$B153&amp;"|"&amp;CN$5,'Competency Event Log'!$D$4:$D$803)))</f>
        <v/>
      </c>
      <c r="CO153" s="8" t="str">
        <f>IF($B153="","",IF(COUNTIF('Competency Event Log'!$U$4:$U$803,$B153&amp;"|"&amp;CO$5)=0,"",SUMIF('Competency Event Log'!$U$4:$U$803,$B153&amp;"|"&amp;CO$5,'Competency Event Log'!$D$4:$D$803)))</f>
        <v/>
      </c>
      <c r="CP153" s="8" t="str">
        <f>IF($B153="","",IF(COUNTIF('Competency Event Log'!$U$4:$U$803,$B153&amp;"|"&amp;CP$5)=0,"",SUMIF('Competency Event Log'!$U$4:$U$803,$B153&amp;"|"&amp;CP$5,'Competency Event Log'!$D$4:$D$803)))</f>
        <v/>
      </c>
      <c r="CQ153" s="8" t="str">
        <f>IF($B153="","",IF(COUNTIF('Competency Event Log'!$U$4:$U$803,$B153&amp;"|"&amp;CQ$5)=0,"",SUMIF('Competency Event Log'!$U$4:$U$803,$B153&amp;"|"&amp;CQ$5,'Competency Event Log'!$D$4:$D$803)))</f>
        <v/>
      </c>
      <c r="CR153" s="8" t="str">
        <f>IF($B153="","",IF(COUNTIF('Competency Event Log'!$U$4:$U$803,$B153&amp;"|"&amp;CR$5)=0,"",SUMIF('Competency Event Log'!$U$4:$U$803,$B153&amp;"|"&amp;CR$5,'Competency Event Log'!$D$4:$D$803)))</f>
        <v/>
      </c>
      <c r="CS153" s="8" t="str">
        <f>IF($B153="","",IF(COUNTIF('Competency Event Log'!$U$4:$U$803,$B153&amp;"|"&amp;CS$5)=0,"",SUMIF('Competency Event Log'!$U$4:$U$803,$B153&amp;"|"&amp;CS$5,'Competency Event Log'!$D$4:$D$803)))</f>
        <v/>
      </c>
      <c r="CT153" s="8" t="str">
        <f>IF($B153="","",IF(COUNTIF('Competency Event Log'!$U$4:$U$803,$B153&amp;"|"&amp;CT$5)=0,"",SUMIF('Competency Event Log'!$U$4:$U$803,$B153&amp;"|"&amp;CT$5,'Competency Event Log'!$D$4:$D$803)))</f>
        <v/>
      </c>
      <c r="CU153" s="8" t="str">
        <f>IF($B153="","",IF(COUNTIF('Competency Event Log'!$U$4:$U$803,$B153&amp;"|"&amp;CU$5)=0,"",SUMIF('Competency Event Log'!$U$4:$U$803,$B153&amp;"|"&amp;CU$5,'Competency Event Log'!$D$4:$D$803)))</f>
        <v/>
      </c>
      <c r="CV153" s="8" t="str">
        <f>IF($B153="","",IF(COUNTIF('Competency Event Log'!$U$4:$U$803,$B153&amp;"|"&amp;CV$5)=0,"",SUMIF('Competency Event Log'!$U$4:$U$803,$B153&amp;"|"&amp;CV$5,'Competency Event Log'!$D$4:$D$803)))</f>
        <v/>
      </c>
      <c r="CW153" s="8" t="str">
        <f>IF($B153="","",IF(COUNTIF('Competency Event Log'!$U$4:$U$803,$B153&amp;"|"&amp;CW$5)=0,"",SUMIF('Competency Event Log'!$U$4:$U$803,$B153&amp;"|"&amp;CW$5,'Competency Event Log'!$D$4:$D$803)))</f>
        <v/>
      </c>
      <c r="CX153" s="8" t="str">
        <f>IF($B153="","",IF(COUNTIF('Competency Event Log'!$U$4:$U$803,$B153&amp;"|"&amp;CX$5)=0,"",SUMIF('Competency Event Log'!$U$4:$U$803,$B153&amp;"|"&amp;CX$5,'Competency Event Log'!$D$4:$D$803)))</f>
        <v/>
      </c>
      <c r="CY153" s="8" t="str">
        <f>IF($B153="","",IF(COUNTIF('Competency Event Log'!$U$4:$U$803,$B153&amp;"|"&amp;CY$5)=0,"",SUMIF('Competency Event Log'!$U$4:$U$803,$B153&amp;"|"&amp;CY$5,'Competency Event Log'!$D$4:$D$803)))</f>
        <v/>
      </c>
      <c r="CZ153" s="8" t="str">
        <f>IF($B153="","",IF(COUNTIF('Competency Event Log'!$U$4:$U$803,$B153&amp;"|"&amp;CZ$5)=0,"",SUMIF('Competency Event Log'!$U$4:$U$803,$B153&amp;"|"&amp;CZ$5,'Competency Event Log'!$D$4:$D$803)))</f>
        <v/>
      </c>
      <c r="DA153" s="8" t="str">
        <f>IF($B153="","",IF(COUNTIF('Competency Event Log'!$U$4:$U$803,$B153&amp;"|"&amp;DA$5)=0,"",SUMIF('Competency Event Log'!$U$4:$U$803,$B153&amp;"|"&amp;DA$5,'Competency Event Log'!$D$4:$D$803)))</f>
        <v/>
      </c>
      <c r="DB153" s="8" t="str">
        <f>IF($B153="","",IF(COUNTIF('Competency Event Log'!$U$4:$U$803,$B153&amp;"|"&amp;DB$5)=0,"",SUMIF('Competency Event Log'!$U$4:$U$803,$B153&amp;"|"&amp;DB$5,'Competency Event Log'!$D$4:$D$803)))</f>
        <v/>
      </c>
      <c r="DC153" s="8" t="str">
        <f>IF($B153="","",IF(COUNTIF('Competency Event Log'!$U$4:$U$803,$B153&amp;"|"&amp;DC$5)=0,"",SUMIF('Competency Event Log'!$U$4:$U$803,$B153&amp;"|"&amp;DC$5,'Competency Event Log'!$D$4:$D$803)))</f>
        <v/>
      </c>
      <c r="DD153" s="8" t="str">
        <f>IF($B153="","",IF(COUNTIF('Competency Event Log'!$U$4:$U$803,$B153&amp;"|"&amp;DD$5)=0,"",SUMIF('Competency Event Log'!$U$4:$U$803,$B153&amp;"|"&amp;DD$5,'Competency Event Log'!$D$4:$D$803)))</f>
        <v/>
      </c>
      <c r="DE153" s="8" t="str">
        <f>IF($B153="","",IF(COUNTIF('Competency Event Log'!$U$4:$U$803,$B153&amp;"|"&amp;DE$5)=0,"",SUMIF('Competency Event Log'!$U$4:$U$803,$B153&amp;"|"&amp;DE$5,'Competency Event Log'!$D$4:$D$803)))</f>
        <v/>
      </c>
      <c r="DF153" s="8" t="str">
        <f t="shared" si="16"/>
        <v/>
      </c>
      <c r="DG153" s="8" t="str">
        <f t="shared" si="17"/>
        <v/>
      </c>
      <c r="DH153" s="8" t="str">
        <f t="shared" si="18"/>
        <v/>
      </c>
      <c r="DI153" s="11" t="str">
        <f t="shared" si="19"/>
        <v/>
      </c>
    </row>
    <row r="154" spans="1:113">
      <c r="A154" s="7"/>
      <c r="B154" s="7"/>
      <c r="C154" s="8"/>
      <c r="D154" s="9"/>
      <c r="E154" s="10"/>
      <c r="F154" s="8"/>
      <c r="G154" s="8" t="str">
        <f>IF($B154="","",IF(COUNTIF('Competency Event Log'!$U$4:$U$803,$B154&amp;"|"&amp;G$5)=0,"",SUMIF('Competency Event Log'!$U$4:$U$803,$B154&amp;"|"&amp;G$5,'Competency Event Log'!$D$4:$D$803)))</f>
        <v/>
      </c>
      <c r="H154" s="8" t="str">
        <f>IF($B154="","",IF(COUNTIF('Competency Event Log'!$U$4:$U$803,$B154&amp;"|"&amp;H$5)=0,"",SUMIF('Competency Event Log'!$U$4:$U$803,$B154&amp;"|"&amp;H$5,'Competency Event Log'!$D$4:$D$803)))</f>
        <v/>
      </c>
      <c r="I154" s="8" t="str">
        <f>IF($B154="","",IF(COUNTIF('Competency Event Log'!$U$4:$U$803,$B154&amp;"|"&amp;I$5)=0,"",SUMIF('Competency Event Log'!$U$4:$U$803,$B154&amp;"|"&amp;I$5,'Competency Event Log'!$D$4:$D$803)))</f>
        <v/>
      </c>
      <c r="J154" s="8" t="str">
        <f>IF($B154="","",IF(COUNTIF('Competency Event Log'!$U$4:$U$803,$B154&amp;"|"&amp;J$5)=0,"",SUMIF('Competency Event Log'!$U$4:$U$803,$B154&amp;"|"&amp;J$5,'Competency Event Log'!$D$4:$D$803)))</f>
        <v/>
      </c>
      <c r="K154" s="8" t="str">
        <f>IF($B154="","",IF(COUNTIF('Competency Event Log'!$U$4:$U$803,$B154&amp;"|"&amp;K$5)=0,"",SUMIF('Competency Event Log'!$U$4:$U$803,$B154&amp;"|"&amp;K$5,'Competency Event Log'!$D$4:$D$803)))</f>
        <v/>
      </c>
      <c r="L154" s="8" t="str">
        <f>IF($B154="","",IF(COUNTIF('Competency Event Log'!$U$4:$U$803,$B154&amp;"|"&amp;L$5)=0,"",SUMIF('Competency Event Log'!$U$4:$U$803,$B154&amp;"|"&amp;L$5,'Competency Event Log'!$D$4:$D$803)))</f>
        <v/>
      </c>
      <c r="M154" s="8" t="str">
        <f>IF($B154="","",IF(COUNTIF('Competency Event Log'!$U$4:$U$803,$B154&amp;"|"&amp;M$5)=0,"",SUMIF('Competency Event Log'!$U$4:$U$803,$B154&amp;"|"&amp;M$5,'Competency Event Log'!$D$4:$D$803)))</f>
        <v/>
      </c>
      <c r="N154" s="8" t="str">
        <f>IF($B154="","",IF(COUNTIF('Competency Event Log'!$U$4:$U$803,$B154&amp;"|"&amp;N$5)=0,"",SUMIF('Competency Event Log'!$U$4:$U$803,$B154&amp;"|"&amp;N$5,'Competency Event Log'!$D$4:$D$803)))</f>
        <v/>
      </c>
      <c r="O154" s="8" t="str">
        <f>IF($B154="","",IF(COUNTIF('Competency Event Log'!$U$4:$U$803,$B154&amp;"|"&amp;O$5)=0,"",SUMIF('Competency Event Log'!$U$4:$U$803,$B154&amp;"|"&amp;O$5,'Competency Event Log'!$D$4:$D$803)))</f>
        <v/>
      </c>
      <c r="P154" s="8" t="str">
        <f>IF($B154="","",IF(COUNTIF('Competency Event Log'!$U$4:$U$803,$B154&amp;"|"&amp;P$5)=0,"",SUMIF('Competency Event Log'!$U$4:$U$803,$B154&amp;"|"&amp;P$5,'Competency Event Log'!$D$4:$D$803)))</f>
        <v/>
      </c>
      <c r="Q154" s="8" t="str">
        <f>IF($B154="","",IF(COUNTIF('Competency Event Log'!$U$4:$U$803,$B154&amp;"|"&amp;Q$5)=0,"",SUMIF('Competency Event Log'!$U$4:$U$803,$B154&amp;"|"&amp;Q$5,'Competency Event Log'!$D$4:$D$803)))</f>
        <v/>
      </c>
      <c r="R154" s="8" t="str">
        <f>IF($B154="","",IF(COUNTIF('Competency Event Log'!$U$4:$U$803,$B154&amp;"|"&amp;R$5)=0,"",SUMIF('Competency Event Log'!$U$4:$U$803,$B154&amp;"|"&amp;R$5,'Competency Event Log'!$D$4:$D$803)))</f>
        <v/>
      </c>
      <c r="S154" s="8" t="str">
        <f>IF($B154="","",IF(COUNTIF('Competency Event Log'!$U$4:$U$803,$B154&amp;"|"&amp;S$5)=0,"",SUMIF('Competency Event Log'!$U$4:$U$803,$B154&amp;"|"&amp;S$5,'Competency Event Log'!$D$4:$D$803)))</f>
        <v/>
      </c>
      <c r="T154" s="8" t="str">
        <f>IF($B154="","",IF(COUNTIF('Competency Event Log'!$U$4:$U$803,$B154&amp;"|"&amp;T$5)=0,"",SUMIF('Competency Event Log'!$U$4:$U$803,$B154&amp;"|"&amp;T$5,'Competency Event Log'!$D$4:$D$803)))</f>
        <v/>
      </c>
      <c r="U154" s="8" t="str">
        <f>IF($B154="","",IF(COUNTIF('Competency Event Log'!$U$4:$U$803,$B154&amp;"|"&amp;U$5)=0,"",SUMIF('Competency Event Log'!$U$4:$U$803,$B154&amp;"|"&amp;U$5,'Competency Event Log'!$D$4:$D$803)))</f>
        <v/>
      </c>
      <c r="V154" s="8" t="str">
        <f>IF($B154="","",IF(COUNTIF('Competency Event Log'!$U$4:$U$803,$B154&amp;"|"&amp;V$5)=0,"",SUMIF('Competency Event Log'!$U$4:$U$803,$B154&amp;"|"&amp;V$5,'Competency Event Log'!$D$4:$D$803)))</f>
        <v/>
      </c>
      <c r="W154" s="8" t="str">
        <f>IF($B154="","",IF(COUNTIF('Competency Event Log'!$U$4:$U$803,$B154&amp;"|"&amp;W$5)=0,"",SUMIF('Competency Event Log'!$U$4:$U$803,$B154&amp;"|"&amp;W$5,'Competency Event Log'!$D$4:$D$803)))</f>
        <v/>
      </c>
      <c r="X154" s="8" t="str">
        <f>IF($B154="","",IF(COUNTIF('Competency Event Log'!$U$4:$U$803,$B154&amp;"|"&amp;X$5)=0,"",SUMIF('Competency Event Log'!$U$4:$U$803,$B154&amp;"|"&amp;X$5,'Competency Event Log'!$D$4:$D$803)))</f>
        <v/>
      </c>
      <c r="Y154" s="8" t="str">
        <f>IF($B154="","",IF(COUNTIF('Competency Event Log'!$U$4:$U$803,$B154&amp;"|"&amp;Y$5)=0,"",SUMIF('Competency Event Log'!$U$4:$U$803,$B154&amp;"|"&amp;Y$5,'Competency Event Log'!$D$4:$D$803)))</f>
        <v/>
      </c>
      <c r="Z154" s="8" t="str">
        <f>IF($B154="","",IF(COUNTIF('Competency Event Log'!$U$4:$U$803,$B154&amp;"|"&amp;Z$5)=0,"",SUMIF('Competency Event Log'!$U$4:$U$803,$B154&amp;"|"&amp;Z$5,'Competency Event Log'!$D$4:$D$803)))</f>
        <v/>
      </c>
      <c r="AA154" s="8" t="str">
        <f>IF($B154="","",IF(COUNTIF('Competency Event Log'!$U$4:$U$803,$B154&amp;"|"&amp;AA$5)=0,"",SUMIF('Competency Event Log'!$U$4:$U$803,$B154&amp;"|"&amp;AA$5,'Competency Event Log'!$D$4:$D$803)))</f>
        <v/>
      </c>
      <c r="AB154" s="8" t="str">
        <f>IF($B154="","",IF(COUNTIF('Competency Event Log'!$U$4:$U$803,$B154&amp;"|"&amp;AB$5)=0,"",SUMIF('Competency Event Log'!$U$4:$U$803,$B154&amp;"|"&amp;AB$5,'Competency Event Log'!$D$4:$D$803)))</f>
        <v/>
      </c>
      <c r="AC154" s="8" t="str">
        <f>IF($B154="","",IF(COUNTIF('Competency Event Log'!$U$4:$U$803,$B154&amp;"|"&amp;AC$5)=0,"",SUMIF('Competency Event Log'!$U$4:$U$803,$B154&amp;"|"&amp;AC$5,'Competency Event Log'!$D$4:$D$803)))</f>
        <v/>
      </c>
      <c r="AD154" s="8" t="str">
        <f>IF($B154="","",IF(COUNTIF('Competency Event Log'!$U$4:$U$803,$B154&amp;"|"&amp;AD$5)=0,"",SUMIF('Competency Event Log'!$U$4:$U$803,$B154&amp;"|"&amp;AD$5,'Competency Event Log'!$D$4:$D$803)))</f>
        <v/>
      </c>
      <c r="AE154" s="8" t="str">
        <f>IF($B154="","",IF(COUNTIF('Competency Event Log'!$U$4:$U$803,$B154&amp;"|"&amp;AE$5)=0,"",SUMIF('Competency Event Log'!$U$4:$U$803,$B154&amp;"|"&amp;AE$5,'Competency Event Log'!$D$4:$D$803)))</f>
        <v/>
      </c>
      <c r="AF154" s="8" t="str">
        <f>IF($B154="","",IF(COUNTIF('Competency Event Log'!$U$4:$U$803,$B154&amp;"|"&amp;AF$5)=0,"",SUMIF('Competency Event Log'!$U$4:$U$803,$B154&amp;"|"&amp;AF$5,'Competency Event Log'!$D$4:$D$803)))</f>
        <v/>
      </c>
      <c r="AG154" s="8" t="str">
        <f>IF($B154="","",IF(COUNTIF('Competency Event Log'!$U$4:$U$803,$B154&amp;"|"&amp;AG$5)=0,"",SUMIF('Competency Event Log'!$U$4:$U$803,$B154&amp;"|"&amp;AG$5,'Competency Event Log'!$D$4:$D$803)))</f>
        <v/>
      </c>
      <c r="AH154" s="8" t="str">
        <f>IF($B154="","",IF(COUNTIF('Competency Event Log'!$U$4:$U$803,$B154&amp;"|"&amp;AH$5)=0,"",SUMIF('Competency Event Log'!$U$4:$U$803,$B154&amp;"|"&amp;AH$5,'Competency Event Log'!$D$4:$D$803)))</f>
        <v/>
      </c>
      <c r="AI154" s="8" t="str">
        <f>IF($B154="","",IF(COUNTIF('Competency Event Log'!$U$4:$U$803,$B154&amp;"|"&amp;AI$5)=0,"",SUMIF('Competency Event Log'!$U$4:$U$803,$B154&amp;"|"&amp;AI$5,'Competency Event Log'!$D$4:$D$803)))</f>
        <v/>
      </c>
      <c r="AJ154" s="8" t="str">
        <f>IF($B154="","",IF(COUNTIF('Competency Event Log'!$U$4:$U$803,$B154&amp;"|"&amp;AJ$5)=0,"",SUMIF('Competency Event Log'!$U$4:$U$803,$B154&amp;"|"&amp;AJ$5,'Competency Event Log'!$D$4:$D$803)))</f>
        <v/>
      </c>
      <c r="AK154" s="8" t="str">
        <f>IF($B154="","",IF(COUNTIF('Competency Event Log'!$U$4:$U$803,$B154&amp;"|"&amp;AK$5)=0,"",SUMIF('Competency Event Log'!$U$4:$U$803,$B154&amp;"|"&amp;AK$5,'Competency Event Log'!$D$4:$D$803)))</f>
        <v/>
      </c>
      <c r="AL154" s="8" t="str">
        <f>IF($B154="","",IF(COUNTIF('Competency Event Log'!$U$4:$U$803,$B154&amp;"|"&amp;AL$5)=0,"",SUMIF('Competency Event Log'!$U$4:$U$803,$B154&amp;"|"&amp;AL$5,'Competency Event Log'!$D$4:$D$803)))</f>
        <v/>
      </c>
      <c r="AM154" s="8" t="str">
        <f>IF($B154="","",IF(COUNTIF('Competency Event Log'!$U$4:$U$803,$B154&amp;"|"&amp;AM$5)=0,"",SUMIF('Competency Event Log'!$U$4:$U$803,$B154&amp;"|"&amp;AM$5,'Competency Event Log'!$D$4:$D$803)))</f>
        <v/>
      </c>
      <c r="AN154" s="8" t="str">
        <f>IF($B154="","",IF(COUNTIF('Competency Event Log'!$U$4:$U$803,$B154&amp;"|"&amp;AN$5)=0,"",SUMIF('Competency Event Log'!$U$4:$U$803,$B154&amp;"|"&amp;AN$5,'Competency Event Log'!$D$4:$D$803)))</f>
        <v/>
      </c>
      <c r="AO154" s="8" t="str">
        <f>IF($B154="","",IF(COUNTIF('Competency Event Log'!$U$4:$U$803,$B154&amp;"|"&amp;AO$5)=0,"",SUMIF('Competency Event Log'!$U$4:$U$803,$B154&amp;"|"&amp;AO$5,'Competency Event Log'!$D$4:$D$803)))</f>
        <v/>
      </c>
      <c r="AP154" s="8" t="str">
        <f>IF($B154="","",IF(COUNTIF('Competency Event Log'!$U$4:$U$803,$B154&amp;"|"&amp;AP$5)=0,"",SUMIF('Competency Event Log'!$U$4:$U$803,$B154&amp;"|"&amp;AP$5,'Competency Event Log'!$D$4:$D$803)))</f>
        <v/>
      </c>
      <c r="AQ154" s="8" t="str">
        <f>IF($B154="","",IF(COUNTIF('Competency Event Log'!$U$4:$U$803,$B154&amp;"|"&amp;AQ$5)=0,"",SUMIF('Competency Event Log'!$U$4:$U$803,$B154&amp;"|"&amp;AQ$5,'Competency Event Log'!$D$4:$D$803)))</f>
        <v/>
      </c>
      <c r="AR154" s="8" t="str">
        <f>IF($B154="","",IF(COUNTIF('Competency Event Log'!$U$4:$U$803,$B154&amp;"|"&amp;AR$5)=0,"",SUMIF('Competency Event Log'!$U$4:$U$803,$B154&amp;"|"&amp;AR$5,'Competency Event Log'!$D$4:$D$803)))</f>
        <v/>
      </c>
      <c r="AS154" s="8" t="str">
        <f>IF($B154="","",IF(COUNTIF('Competency Event Log'!$U$4:$U$803,$B154&amp;"|"&amp;AS$5)=0,"",SUMIF('Competency Event Log'!$U$4:$U$803,$B154&amp;"|"&amp;AS$5,'Competency Event Log'!$D$4:$D$803)))</f>
        <v/>
      </c>
      <c r="AT154" s="8" t="str">
        <f>IF($B154="","",IF(COUNTIF('Competency Event Log'!$U$4:$U$803,$B154&amp;"|"&amp;AT$5)=0,"",SUMIF('Competency Event Log'!$U$4:$U$803,$B154&amp;"|"&amp;AT$5,'Competency Event Log'!$D$4:$D$803)))</f>
        <v/>
      </c>
      <c r="AU154" s="8" t="str">
        <f>IF($B154="","",IF(COUNTIF('Competency Event Log'!$U$4:$U$803,$B154&amp;"|"&amp;AU$5)=0,"",SUMIF('Competency Event Log'!$U$4:$U$803,$B154&amp;"|"&amp;AU$5,'Competency Event Log'!$D$4:$D$803)))</f>
        <v/>
      </c>
      <c r="AV154" s="8" t="str">
        <f>IF($B154="","",IF(COUNTIF('Competency Event Log'!$U$4:$U$803,$B154&amp;"|"&amp;AV$5)=0,"",SUMIF('Competency Event Log'!$U$4:$U$803,$B154&amp;"|"&amp;AV$5,'Competency Event Log'!$D$4:$D$803)))</f>
        <v/>
      </c>
      <c r="AW154" s="8" t="str">
        <f>IF($B154="","",IF(COUNTIF('Competency Event Log'!$U$4:$U$803,$B154&amp;"|"&amp;AW$5)=0,"",SUMIF('Competency Event Log'!$U$4:$U$803,$B154&amp;"|"&amp;AW$5,'Competency Event Log'!$D$4:$D$803)))</f>
        <v/>
      </c>
      <c r="AX154" s="8" t="str">
        <f>IF($B154="","",IF(COUNTIF('Competency Event Log'!$U$4:$U$803,$B154&amp;"|"&amp;AX$5)=0,"",SUMIF('Competency Event Log'!$U$4:$U$803,$B154&amp;"|"&amp;AX$5,'Competency Event Log'!$D$4:$D$803)))</f>
        <v/>
      </c>
      <c r="AY154" s="8" t="str">
        <f>IF($B154="","",IF(COUNTIF('Competency Event Log'!$U$4:$U$803,$B154&amp;"|"&amp;AY$5)=0,"",SUMIF('Competency Event Log'!$U$4:$U$803,$B154&amp;"|"&amp;AY$5,'Competency Event Log'!$D$4:$D$803)))</f>
        <v/>
      </c>
      <c r="AZ154" s="8" t="str">
        <f>IF($B154="","",IF(COUNTIF('Competency Event Log'!$U$4:$U$803,$B154&amp;"|"&amp;AZ$5)=0,"",SUMIF('Competency Event Log'!$U$4:$U$803,$B154&amp;"|"&amp;AZ$5,'Competency Event Log'!$D$4:$D$803)))</f>
        <v/>
      </c>
      <c r="BA154" s="8" t="str">
        <f>IF($B154="","",IF(COUNTIF('Competency Event Log'!$U$4:$U$803,$B154&amp;"|"&amp;BA$5)=0,"",SUMIF('Competency Event Log'!$U$4:$U$803,$B154&amp;"|"&amp;BA$5,'Competency Event Log'!$D$4:$D$803)))</f>
        <v/>
      </c>
      <c r="BB154" s="8" t="str">
        <f>IF($B154="","",IF(COUNTIF('Competency Event Log'!$U$4:$U$803,$B154&amp;"|"&amp;BB$5)=0,"",SUMIF('Competency Event Log'!$U$4:$U$803,$B154&amp;"|"&amp;BB$5,'Competency Event Log'!$D$4:$D$803)))</f>
        <v/>
      </c>
      <c r="BC154" s="8" t="str">
        <f>IF($B154="","",IF(COUNTIF('Competency Event Log'!$U$4:$U$803,$B154&amp;"|"&amp;BC$5)=0,"",SUMIF('Competency Event Log'!$U$4:$U$803,$B154&amp;"|"&amp;BC$5,'Competency Event Log'!$D$4:$D$803)))</f>
        <v/>
      </c>
      <c r="BD154" s="8" t="str">
        <f>IF($B154="","",IF(COUNTIF('Competency Event Log'!$U$4:$U$803,$B154&amp;"|"&amp;BD$5)=0,"",SUMIF('Competency Event Log'!$U$4:$U$803,$B154&amp;"|"&amp;BD$5,'Competency Event Log'!$D$4:$D$803)))</f>
        <v/>
      </c>
      <c r="BE154" s="8" t="str">
        <f>IF($B154="","",IF(COUNTIF('Competency Event Log'!$U$4:$U$803,$B154&amp;"|"&amp;BE$5)=0,"",SUMIF('Competency Event Log'!$U$4:$U$803,$B154&amp;"|"&amp;BE$5,'Competency Event Log'!$D$4:$D$803)))</f>
        <v/>
      </c>
      <c r="BF154" s="8" t="str">
        <f>IF($B154="","",IF(COUNTIF('Competency Event Log'!$U$4:$U$803,$B154&amp;"|"&amp;BF$5)=0,"",SUMIF('Competency Event Log'!$U$4:$U$803,$B154&amp;"|"&amp;BF$5,'Competency Event Log'!$D$4:$D$803)))</f>
        <v/>
      </c>
      <c r="BG154" s="8" t="str">
        <f>IF($B154="","",IF(COUNTIF('Competency Event Log'!$U$4:$U$803,$B154&amp;"|"&amp;BG$5)=0,"",SUMIF('Competency Event Log'!$U$4:$U$803,$B154&amp;"|"&amp;BG$5,'Competency Event Log'!$D$4:$D$803)))</f>
        <v/>
      </c>
      <c r="BH154" s="8" t="str">
        <f>IF($B154="","",IF(COUNTIF('Competency Event Log'!$U$4:$U$803,$B154&amp;"|"&amp;BH$5)=0,"",SUMIF('Competency Event Log'!$U$4:$U$803,$B154&amp;"|"&amp;BH$5,'Competency Event Log'!$D$4:$D$803)))</f>
        <v/>
      </c>
      <c r="BI154" s="8" t="str">
        <f>IF($B154="","",IF(COUNTIF('Competency Event Log'!$U$4:$U$803,$B154&amp;"|"&amp;BI$5)=0,"",SUMIF('Competency Event Log'!$U$4:$U$803,$B154&amp;"|"&amp;BI$5,'Competency Event Log'!$D$4:$D$803)))</f>
        <v/>
      </c>
      <c r="BJ154" s="8" t="str">
        <f>IF($B154="","",IF(COUNTIF('Competency Event Log'!$U$4:$U$803,$B154&amp;"|"&amp;BJ$5)=0,"",SUMIF('Competency Event Log'!$U$4:$U$803,$B154&amp;"|"&amp;BJ$5,'Competency Event Log'!$D$4:$D$803)))</f>
        <v/>
      </c>
      <c r="BK154" s="8" t="str">
        <f>IF($B154="","",IF(COUNTIF('Competency Event Log'!$U$4:$U$803,$B154&amp;"|"&amp;BK$5)=0,"",SUMIF('Competency Event Log'!$U$4:$U$803,$B154&amp;"|"&amp;BK$5,'Competency Event Log'!$D$4:$D$803)))</f>
        <v/>
      </c>
      <c r="BL154" s="8" t="str">
        <f>IF($B154="","",IF(COUNTIF('Competency Event Log'!$U$4:$U$803,$B154&amp;"|"&amp;BL$5)=0,"",SUMIF('Competency Event Log'!$U$4:$U$803,$B154&amp;"|"&amp;BL$5,'Competency Event Log'!$D$4:$D$803)))</f>
        <v/>
      </c>
      <c r="BM154" s="8" t="str">
        <f>IF($B154="","",IF(COUNTIF('Competency Event Log'!$U$4:$U$803,$B154&amp;"|"&amp;BM$5)=0,"",SUMIF('Competency Event Log'!$U$4:$U$803,$B154&amp;"|"&amp;BM$5,'Competency Event Log'!$D$4:$D$803)))</f>
        <v/>
      </c>
      <c r="BN154" s="8" t="str">
        <f>IF($B154="","",IF(COUNTIF('Competency Event Log'!$U$4:$U$803,$B154&amp;"|"&amp;BN$5)=0,"",SUMIF('Competency Event Log'!$U$4:$U$803,$B154&amp;"|"&amp;BN$5,'Competency Event Log'!$D$4:$D$803)))</f>
        <v/>
      </c>
      <c r="BO154" s="8" t="str">
        <f>IF($B154="","",IF(COUNTIF('Competency Event Log'!$U$4:$U$803,$B154&amp;"|"&amp;BO$5)=0,"",SUMIF('Competency Event Log'!$U$4:$U$803,$B154&amp;"|"&amp;BO$5,'Competency Event Log'!$D$4:$D$803)))</f>
        <v/>
      </c>
      <c r="BP154" s="8" t="str">
        <f>IF($B154="","",IF(COUNTIF('Competency Event Log'!$U$4:$U$803,$B154&amp;"|"&amp;BP$5)=0,"",SUMIF('Competency Event Log'!$U$4:$U$803,$B154&amp;"|"&amp;BP$5,'Competency Event Log'!$D$4:$D$803)))</f>
        <v/>
      </c>
      <c r="BQ154" s="8" t="str">
        <f>IF($B154="","",IF(COUNTIF('Competency Event Log'!$U$4:$U$803,$B154&amp;"|"&amp;BQ$5)=0,"",SUMIF('Competency Event Log'!$U$4:$U$803,$B154&amp;"|"&amp;BQ$5,'Competency Event Log'!$D$4:$D$803)))</f>
        <v/>
      </c>
      <c r="BR154" s="8" t="str">
        <f>IF($B154="","",IF(COUNTIF('Competency Event Log'!$U$4:$U$803,$B154&amp;"|"&amp;BR$5)=0,"",SUMIF('Competency Event Log'!$U$4:$U$803,$B154&amp;"|"&amp;BR$5,'Competency Event Log'!$D$4:$D$803)))</f>
        <v/>
      </c>
      <c r="BS154" s="8" t="str">
        <f>IF($B154="","",IF(COUNTIF('Competency Event Log'!$U$4:$U$803,$B154&amp;"|"&amp;BS$5)=0,"",SUMIF('Competency Event Log'!$U$4:$U$803,$B154&amp;"|"&amp;BS$5,'Competency Event Log'!$D$4:$D$803)))</f>
        <v/>
      </c>
      <c r="BT154" s="8" t="str">
        <f>IF($B154="","",IF(COUNTIF('Competency Event Log'!$U$4:$U$803,$B154&amp;"|"&amp;BT$5)=0,"",SUMIF('Competency Event Log'!$U$4:$U$803,$B154&amp;"|"&amp;BT$5,'Competency Event Log'!$D$4:$D$803)))</f>
        <v/>
      </c>
      <c r="BU154" s="8" t="str">
        <f>IF($B154="","",IF(COUNTIF('Competency Event Log'!$U$4:$U$803,$B154&amp;"|"&amp;BU$5)=0,"",SUMIF('Competency Event Log'!$U$4:$U$803,$B154&amp;"|"&amp;BU$5,'Competency Event Log'!$D$4:$D$803)))</f>
        <v/>
      </c>
      <c r="BV154" s="8" t="str">
        <f>IF($B154="","",IF(COUNTIF('Competency Event Log'!$U$4:$U$803,$B154&amp;"|"&amp;BV$5)=0,"",SUMIF('Competency Event Log'!$U$4:$U$803,$B154&amp;"|"&amp;BV$5,'Competency Event Log'!$D$4:$D$803)))</f>
        <v/>
      </c>
      <c r="BW154" s="8" t="str">
        <f>IF($B154="","",IF(COUNTIF('Competency Event Log'!$U$4:$U$803,$B154&amp;"|"&amp;BW$5)=0,"",SUMIF('Competency Event Log'!$U$4:$U$803,$B154&amp;"|"&amp;BW$5,'Competency Event Log'!$D$4:$D$803)))</f>
        <v/>
      </c>
      <c r="BX154" s="8" t="str">
        <f>IF($B154="","",IF(COUNTIF('Competency Event Log'!$U$4:$U$803,$B154&amp;"|"&amp;BX$5)=0,"",SUMIF('Competency Event Log'!$U$4:$U$803,$B154&amp;"|"&amp;BX$5,'Competency Event Log'!$D$4:$D$803)))</f>
        <v/>
      </c>
      <c r="BY154" s="8" t="str">
        <f>IF($B154="","",IF(COUNTIF('Competency Event Log'!$U$4:$U$803,$B154&amp;"|"&amp;BY$5)=0,"",SUMIF('Competency Event Log'!$U$4:$U$803,$B154&amp;"|"&amp;BY$5,'Competency Event Log'!$D$4:$D$803)))</f>
        <v/>
      </c>
      <c r="BZ154" s="8" t="str">
        <f>IF($B154="","",IF(COUNTIF('Competency Event Log'!$U$4:$U$803,$B154&amp;"|"&amp;BZ$5)=0,"",SUMIF('Competency Event Log'!$U$4:$U$803,$B154&amp;"|"&amp;BZ$5,'Competency Event Log'!$D$4:$D$803)))</f>
        <v/>
      </c>
      <c r="CA154" s="8" t="str">
        <f>IF($B154="","",IF(COUNTIF('Competency Event Log'!$U$4:$U$803,$B154&amp;"|"&amp;CA$5)=0,"",SUMIF('Competency Event Log'!$U$4:$U$803,$B154&amp;"|"&amp;CA$5,'Competency Event Log'!$D$4:$D$803)))</f>
        <v/>
      </c>
      <c r="CB154" s="8" t="str">
        <f>IF($B154="","",IF(COUNTIF('Competency Event Log'!$U$4:$U$803,$B154&amp;"|"&amp;CB$5)=0,"",SUMIF('Competency Event Log'!$U$4:$U$803,$B154&amp;"|"&amp;CB$5,'Competency Event Log'!$D$4:$D$803)))</f>
        <v/>
      </c>
      <c r="CC154" s="8" t="str">
        <f>IF($B154="","",IF(COUNTIF('Competency Event Log'!$U$4:$U$803,$B154&amp;"|"&amp;CC$5)=0,"",SUMIF('Competency Event Log'!$U$4:$U$803,$B154&amp;"|"&amp;CC$5,'Competency Event Log'!$D$4:$D$803)))</f>
        <v/>
      </c>
      <c r="CD154" s="8" t="str">
        <f>IF($B154="","",IF(COUNTIF('Competency Event Log'!$U$4:$U$803,$B154&amp;"|"&amp;CD$5)=0,"",SUMIF('Competency Event Log'!$U$4:$U$803,$B154&amp;"|"&amp;CD$5,'Competency Event Log'!$D$4:$D$803)))</f>
        <v/>
      </c>
      <c r="CE154" s="8" t="str">
        <f>IF($B154="","",IF(COUNTIF('Competency Event Log'!$U$4:$U$803,$B154&amp;"|"&amp;CE$5)=0,"",SUMIF('Competency Event Log'!$U$4:$U$803,$B154&amp;"|"&amp;CE$5,'Competency Event Log'!$D$4:$D$803)))</f>
        <v/>
      </c>
      <c r="CF154" s="8" t="str">
        <f>IF($B154="","",IF(COUNTIF('Competency Event Log'!$U$4:$U$803,$B154&amp;"|"&amp;CF$5)=0,"",SUMIF('Competency Event Log'!$U$4:$U$803,$B154&amp;"|"&amp;CF$5,'Competency Event Log'!$D$4:$D$803)))</f>
        <v/>
      </c>
      <c r="CG154" s="8" t="str">
        <f>IF($B154="","",IF(COUNTIF('Competency Event Log'!$U$4:$U$803,$B154&amp;"|"&amp;CG$5)=0,"",SUMIF('Competency Event Log'!$U$4:$U$803,$B154&amp;"|"&amp;CG$5,'Competency Event Log'!$D$4:$D$803)))</f>
        <v/>
      </c>
      <c r="CH154" s="8" t="str">
        <f>IF($B154="","",IF(COUNTIF('Competency Event Log'!$U$4:$U$803,$B154&amp;"|"&amp;CH$5)=0,"",SUMIF('Competency Event Log'!$U$4:$U$803,$B154&amp;"|"&amp;CH$5,'Competency Event Log'!$D$4:$D$803)))</f>
        <v/>
      </c>
      <c r="CI154" s="8" t="str">
        <f>IF($B154="","",IF(COUNTIF('Competency Event Log'!$U$4:$U$803,$B154&amp;"|"&amp;CI$5)=0,"",SUMIF('Competency Event Log'!$U$4:$U$803,$B154&amp;"|"&amp;CI$5,'Competency Event Log'!$D$4:$D$803)))</f>
        <v/>
      </c>
      <c r="CJ154" s="8" t="str">
        <f>IF($B154="","",IF(COUNTIF('Competency Event Log'!$U$4:$U$803,$B154&amp;"|"&amp;CJ$5)=0,"",SUMIF('Competency Event Log'!$U$4:$U$803,$B154&amp;"|"&amp;CJ$5,'Competency Event Log'!$D$4:$D$803)))</f>
        <v/>
      </c>
      <c r="CK154" s="8" t="str">
        <f>IF($B154="","",IF(COUNTIF('Competency Event Log'!$U$4:$U$803,$B154&amp;"|"&amp;CK$5)=0,"",SUMIF('Competency Event Log'!$U$4:$U$803,$B154&amp;"|"&amp;CK$5,'Competency Event Log'!$D$4:$D$803)))</f>
        <v/>
      </c>
      <c r="CL154" s="8" t="str">
        <f>IF($B154="","",IF(COUNTIF('Competency Event Log'!$U$4:$U$803,$B154&amp;"|"&amp;CL$5)=0,"",SUMIF('Competency Event Log'!$U$4:$U$803,$B154&amp;"|"&amp;CL$5,'Competency Event Log'!$D$4:$D$803)))</f>
        <v/>
      </c>
      <c r="CM154" s="8" t="str">
        <f>IF($B154="","",IF(COUNTIF('Competency Event Log'!$U$4:$U$803,$B154&amp;"|"&amp;CM$5)=0,"",SUMIF('Competency Event Log'!$U$4:$U$803,$B154&amp;"|"&amp;CM$5,'Competency Event Log'!$D$4:$D$803)))</f>
        <v/>
      </c>
      <c r="CN154" s="8" t="str">
        <f>IF($B154="","",IF(COUNTIF('Competency Event Log'!$U$4:$U$803,$B154&amp;"|"&amp;CN$5)=0,"",SUMIF('Competency Event Log'!$U$4:$U$803,$B154&amp;"|"&amp;CN$5,'Competency Event Log'!$D$4:$D$803)))</f>
        <v/>
      </c>
      <c r="CO154" s="8" t="str">
        <f>IF($B154="","",IF(COUNTIF('Competency Event Log'!$U$4:$U$803,$B154&amp;"|"&amp;CO$5)=0,"",SUMIF('Competency Event Log'!$U$4:$U$803,$B154&amp;"|"&amp;CO$5,'Competency Event Log'!$D$4:$D$803)))</f>
        <v/>
      </c>
      <c r="CP154" s="8" t="str">
        <f>IF($B154="","",IF(COUNTIF('Competency Event Log'!$U$4:$U$803,$B154&amp;"|"&amp;CP$5)=0,"",SUMIF('Competency Event Log'!$U$4:$U$803,$B154&amp;"|"&amp;CP$5,'Competency Event Log'!$D$4:$D$803)))</f>
        <v/>
      </c>
      <c r="CQ154" s="8" t="str">
        <f>IF($B154="","",IF(COUNTIF('Competency Event Log'!$U$4:$U$803,$B154&amp;"|"&amp;CQ$5)=0,"",SUMIF('Competency Event Log'!$U$4:$U$803,$B154&amp;"|"&amp;CQ$5,'Competency Event Log'!$D$4:$D$803)))</f>
        <v/>
      </c>
      <c r="CR154" s="8" t="str">
        <f>IF($B154="","",IF(COUNTIF('Competency Event Log'!$U$4:$U$803,$B154&amp;"|"&amp;CR$5)=0,"",SUMIF('Competency Event Log'!$U$4:$U$803,$B154&amp;"|"&amp;CR$5,'Competency Event Log'!$D$4:$D$803)))</f>
        <v/>
      </c>
      <c r="CS154" s="8" t="str">
        <f>IF($B154="","",IF(COUNTIF('Competency Event Log'!$U$4:$U$803,$B154&amp;"|"&amp;CS$5)=0,"",SUMIF('Competency Event Log'!$U$4:$U$803,$B154&amp;"|"&amp;CS$5,'Competency Event Log'!$D$4:$D$803)))</f>
        <v/>
      </c>
      <c r="CT154" s="8" t="str">
        <f>IF($B154="","",IF(COUNTIF('Competency Event Log'!$U$4:$U$803,$B154&amp;"|"&amp;CT$5)=0,"",SUMIF('Competency Event Log'!$U$4:$U$803,$B154&amp;"|"&amp;CT$5,'Competency Event Log'!$D$4:$D$803)))</f>
        <v/>
      </c>
      <c r="CU154" s="8" t="str">
        <f>IF($B154="","",IF(COUNTIF('Competency Event Log'!$U$4:$U$803,$B154&amp;"|"&amp;CU$5)=0,"",SUMIF('Competency Event Log'!$U$4:$U$803,$B154&amp;"|"&amp;CU$5,'Competency Event Log'!$D$4:$D$803)))</f>
        <v/>
      </c>
      <c r="CV154" s="8" t="str">
        <f>IF($B154="","",IF(COUNTIF('Competency Event Log'!$U$4:$U$803,$B154&amp;"|"&amp;CV$5)=0,"",SUMIF('Competency Event Log'!$U$4:$U$803,$B154&amp;"|"&amp;CV$5,'Competency Event Log'!$D$4:$D$803)))</f>
        <v/>
      </c>
      <c r="CW154" s="8" t="str">
        <f>IF($B154="","",IF(COUNTIF('Competency Event Log'!$U$4:$U$803,$B154&amp;"|"&amp;CW$5)=0,"",SUMIF('Competency Event Log'!$U$4:$U$803,$B154&amp;"|"&amp;CW$5,'Competency Event Log'!$D$4:$D$803)))</f>
        <v/>
      </c>
      <c r="CX154" s="8" t="str">
        <f>IF($B154="","",IF(COUNTIF('Competency Event Log'!$U$4:$U$803,$B154&amp;"|"&amp;CX$5)=0,"",SUMIF('Competency Event Log'!$U$4:$U$803,$B154&amp;"|"&amp;CX$5,'Competency Event Log'!$D$4:$D$803)))</f>
        <v/>
      </c>
      <c r="CY154" s="8" t="str">
        <f>IF($B154="","",IF(COUNTIF('Competency Event Log'!$U$4:$U$803,$B154&amp;"|"&amp;CY$5)=0,"",SUMIF('Competency Event Log'!$U$4:$U$803,$B154&amp;"|"&amp;CY$5,'Competency Event Log'!$D$4:$D$803)))</f>
        <v/>
      </c>
      <c r="CZ154" s="8" t="str">
        <f>IF($B154="","",IF(COUNTIF('Competency Event Log'!$U$4:$U$803,$B154&amp;"|"&amp;CZ$5)=0,"",SUMIF('Competency Event Log'!$U$4:$U$803,$B154&amp;"|"&amp;CZ$5,'Competency Event Log'!$D$4:$D$803)))</f>
        <v/>
      </c>
      <c r="DA154" s="8" t="str">
        <f>IF($B154="","",IF(COUNTIF('Competency Event Log'!$U$4:$U$803,$B154&amp;"|"&amp;DA$5)=0,"",SUMIF('Competency Event Log'!$U$4:$U$803,$B154&amp;"|"&amp;DA$5,'Competency Event Log'!$D$4:$D$803)))</f>
        <v/>
      </c>
      <c r="DB154" s="8" t="str">
        <f>IF($B154="","",IF(COUNTIF('Competency Event Log'!$U$4:$U$803,$B154&amp;"|"&amp;DB$5)=0,"",SUMIF('Competency Event Log'!$U$4:$U$803,$B154&amp;"|"&amp;DB$5,'Competency Event Log'!$D$4:$D$803)))</f>
        <v/>
      </c>
      <c r="DC154" s="8" t="str">
        <f>IF($B154="","",IF(COUNTIF('Competency Event Log'!$U$4:$U$803,$B154&amp;"|"&amp;DC$5)=0,"",SUMIF('Competency Event Log'!$U$4:$U$803,$B154&amp;"|"&amp;DC$5,'Competency Event Log'!$D$4:$D$803)))</f>
        <v/>
      </c>
      <c r="DD154" s="8" t="str">
        <f>IF($B154="","",IF(COUNTIF('Competency Event Log'!$U$4:$U$803,$B154&amp;"|"&amp;DD$5)=0,"",SUMIF('Competency Event Log'!$U$4:$U$803,$B154&amp;"|"&amp;DD$5,'Competency Event Log'!$D$4:$D$803)))</f>
        <v/>
      </c>
      <c r="DE154" s="8" t="str">
        <f>IF($B154="","",IF(COUNTIF('Competency Event Log'!$U$4:$U$803,$B154&amp;"|"&amp;DE$5)=0,"",SUMIF('Competency Event Log'!$U$4:$U$803,$B154&amp;"|"&amp;DE$5,'Competency Event Log'!$D$4:$D$803)))</f>
        <v/>
      </c>
      <c r="DF154" s="8" t="str">
        <f t="shared" si="16"/>
        <v/>
      </c>
      <c r="DG154" s="8" t="str">
        <f t="shared" si="17"/>
        <v/>
      </c>
      <c r="DH154" s="8" t="str">
        <f t="shared" si="18"/>
        <v/>
      </c>
      <c r="DI154" s="11" t="str">
        <f t="shared" si="19"/>
        <v/>
      </c>
    </row>
    <row r="155" spans="1:113">
      <c r="A155" s="7"/>
      <c r="B155" s="7"/>
      <c r="C155" s="8"/>
      <c r="D155" s="9"/>
      <c r="E155" s="10"/>
      <c r="F155" s="8"/>
      <c r="G155" s="8" t="str">
        <f>IF($B155="","",IF(COUNTIF('Competency Event Log'!$U$4:$U$803,$B155&amp;"|"&amp;G$5)=0,"",SUMIF('Competency Event Log'!$U$4:$U$803,$B155&amp;"|"&amp;G$5,'Competency Event Log'!$D$4:$D$803)))</f>
        <v/>
      </c>
      <c r="H155" s="8" t="str">
        <f>IF($B155="","",IF(COUNTIF('Competency Event Log'!$U$4:$U$803,$B155&amp;"|"&amp;H$5)=0,"",SUMIF('Competency Event Log'!$U$4:$U$803,$B155&amp;"|"&amp;H$5,'Competency Event Log'!$D$4:$D$803)))</f>
        <v/>
      </c>
      <c r="I155" s="8" t="str">
        <f>IF($B155="","",IF(COUNTIF('Competency Event Log'!$U$4:$U$803,$B155&amp;"|"&amp;I$5)=0,"",SUMIF('Competency Event Log'!$U$4:$U$803,$B155&amp;"|"&amp;I$5,'Competency Event Log'!$D$4:$D$803)))</f>
        <v/>
      </c>
      <c r="J155" s="8" t="str">
        <f>IF($B155="","",IF(COUNTIF('Competency Event Log'!$U$4:$U$803,$B155&amp;"|"&amp;J$5)=0,"",SUMIF('Competency Event Log'!$U$4:$U$803,$B155&amp;"|"&amp;J$5,'Competency Event Log'!$D$4:$D$803)))</f>
        <v/>
      </c>
      <c r="K155" s="8" t="str">
        <f>IF($B155="","",IF(COUNTIF('Competency Event Log'!$U$4:$U$803,$B155&amp;"|"&amp;K$5)=0,"",SUMIF('Competency Event Log'!$U$4:$U$803,$B155&amp;"|"&amp;K$5,'Competency Event Log'!$D$4:$D$803)))</f>
        <v/>
      </c>
      <c r="L155" s="8" t="str">
        <f>IF($B155="","",IF(COUNTIF('Competency Event Log'!$U$4:$U$803,$B155&amp;"|"&amp;L$5)=0,"",SUMIF('Competency Event Log'!$U$4:$U$803,$B155&amp;"|"&amp;L$5,'Competency Event Log'!$D$4:$D$803)))</f>
        <v/>
      </c>
      <c r="M155" s="8" t="str">
        <f>IF($B155="","",IF(COUNTIF('Competency Event Log'!$U$4:$U$803,$B155&amp;"|"&amp;M$5)=0,"",SUMIF('Competency Event Log'!$U$4:$U$803,$B155&amp;"|"&amp;M$5,'Competency Event Log'!$D$4:$D$803)))</f>
        <v/>
      </c>
      <c r="N155" s="8" t="str">
        <f>IF($B155="","",IF(COUNTIF('Competency Event Log'!$U$4:$U$803,$B155&amp;"|"&amp;N$5)=0,"",SUMIF('Competency Event Log'!$U$4:$U$803,$B155&amp;"|"&amp;N$5,'Competency Event Log'!$D$4:$D$803)))</f>
        <v/>
      </c>
      <c r="O155" s="8" t="str">
        <f>IF($B155="","",IF(COUNTIF('Competency Event Log'!$U$4:$U$803,$B155&amp;"|"&amp;O$5)=0,"",SUMIF('Competency Event Log'!$U$4:$U$803,$B155&amp;"|"&amp;O$5,'Competency Event Log'!$D$4:$D$803)))</f>
        <v/>
      </c>
      <c r="P155" s="8" t="str">
        <f>IF($B155="","",IF(COUNTIF('Competency Event Log'!$U$4:$U$803,$B155&amp;"|"&amp;P$5)=0,"",SUMIF('Competency Event Log'!$U$4:$U$803,$B155&amp;"|"&amp;P$5,'Competency Event Log'!$D$4:$D$803)))</f>
        <v/>
      </c>
      <c r="Q155" s="8" t="str">
        <f>IF($B155="","",IF(COUNTIF('Competency Event Log'!$U$4:$U$803,$B155&amp;"|"&amp;Q$5)=0,"",SUMIF('Competency Event Log'!$U$4:$U$803,$B155&amp;"|"&amp;Q$5,'Competency Event Log'!$D$4:$D$803)))</f>
        <v/>
      </c>
      <c r="R155" s="8" t="str">
        <f>IF($B155="","",IF(COUNTIF('Competency Event Log'!$U$4:$U$803,$B155&amp;"|"&amp;R$5)=0,"",SUMIF('Competency Event Log'!$U$4:$U$803,$B155&amp;"|"&amp;R$5,'Competency Event Log'!$D$4:$D$803)))</f>
        <v/>
      </c>
      <c r="S155" s="8" t="str">
        <f>IF($B155="","",IF(COUNTIF('Competency Event Log'!$U$4:$U$803,$B155&amp;"|"&amp;S$5)=0,"",SUMIF('Competency Event Log'!$U$4:$U$803,$B155&amp;"|"&amp;S$5,'Competency Event Log'!$D$4:$D$803)))</f>
        <v/>
      </c>
      <c r="T155" s="8" t="str">
        <f>IF($B155="","",IF(COUNTIF('Competency Event Log'!$U$4:$U$803,$B155&amp;"|"&amp;T$5)=0,"",SUMIF('Competency Event Log'!$U$4:$U$803,$B155&amp;"|"&amp;T$5,'Competency Event Log'!$D$4:$D$803)))</f>
        <v/>
      </c>
      <c r="U155" s="8" t="str">
        <f>IF($B155="","",IF(COUNTIF('Competency Event Log'!$U$4:$U$803,$B155&amp;"|"&amp;U$5)=0,"",SUMIF('Competency Event Log'!$U$4:$U$803,$B155&amp;"|"&amp;U$5,'Competency Event Log'!$D$4:$D$803)))</f>
        <v/>
      </c>
      <c r="V155" s="8" t="str">
        <f>IF($B155="","",IF(COUNTIF('Competency Event Log'!$U$4:$U$803,$B155&amp;"|"&amp;V$5)=0,"",SUMIF('Competency Event Log'!$U$4:$U$803,$B155&amp;"|"&amp;V$5,'Competency Event Log'!$D$4:$D$803)))</f>
        <v/>
      </c>
      <c r="W155" s="8" t="str">
        <f>IF($B155="","",IF(COUNTIF('Competency Event Log'!$U$4:$U$803,$B155&amp;"|"&amp;W$5)=0,"",SUMIF('Competency Event Log'!$U$4:$U$803,$B155&amp;"|"&amp;W$5,'Competency Event Log'!$D$4:$D$803)))</f>
        <v/>
      </c>
      <c r="X155" s="8" t="str">
        <f>IF($B155="","",IF(COUNTIF('Competency Event Log'!$U$4:$U$803,$B155&amp;"|"&amp;X$5)=0,"",SUMIF('Competency Event Log'!$U$4:$U$803,$B155&amp;"|"&amp;X$5,'Competency Event Log'!$D$4:$D$803)))</f>
        <v/>
      </c>
      <c r="Y155" s="8" t="str">
        <f>IF($B155="","",IF(COUNTIF('Competency Event Log'!$U$4:$U$803,$B155&amp;"|"&amp;Y$5)=0,"",SUMIF('Competency Event Log'!$U$4:$U$803,$B155&amp;"|"&amp;Y$5,'Competency Event Log'!$D$4:$D$803)))</f>
        <v/>
      </c>
      <c r="Z155" s="8" t="str">
        <f>IF($B155="","",IF(COUNTIF('Competency Event Log'!$U$4:$U$803,$B155&amp;"|"&amp;Z$5)=0,"",SUMIF('Competency Event Log'!$U$4:$U$803,$B155&amp;"|"&amp;Z$5,'Competency Event Log'!$D$4:$D$803)))</f>
        <v/>
      </c>
      <c r="AA155" s="8" t="str">
        <f>IF($B155="","",IF(COUNTIF('Competency Event Log'!$U$4:$U$803,$B155&amp;"|"&amp;AA$5)=0,"",SUMIF('Competency Event Log'!$U$4:$U$803,$B155&amp;"|"&amp;AA$5,'Competency Event Log'!$D$4:$D$803)))</f>
        <v/>
      </c>
      <c r="AB155" s="8" t="str">
        <f>IF($B155="","",IF(COUNTIF('Competency Event Log'!$U$4:$U$803,$B155&amp;"|"&amp;AB$5)=0,"",SUMIF('Competency Event Log'!$U$4:$U$803,$B155&amp;"|"&amp;AB$5,'Competency Event Log'!$D$4:$D$803)))</f>
        <v/>
      </c>
      <c r="AC155" s="8" t="str">
        <f>IF($B155="","",IF(COUNTIF('Competency Event Log'!$U$4:$U$803,$B155&amp;"|"&amp;AC$5)=0,"",SUMIF('Competency Event Log'!$U$4:$U$803,$B155&amp;"|"&amp;AC$5,'Competency Event Log'!$D$4:$D$803)))</f>
        <v/>
      </c>
      <c r="AD155" s="8" t="str">
        <f>IF($B155="","",IF(COUNTIF('Competency Event Log'!$U$4:$U$803,$B155&amp;"|"&amp;AD$5)=0,"",SUMIF('Competency Event Log'!$U$4:$U$803,$B155&amp;"|"&amp;AD$5,'Competency Event Log'!$D$4:$D$803)))</f>
        <v/>
      </c>
      <c r="AE155" s="8" t="str">
        <f>IF($B155="","",IF(COUNTIF('Competency Event Log'!$U$4:$U$803,$B155&amp;"|"&amp;AE$5)=0,"",SUMIF('Competency Event Log'!$U$4:$U$803,$B155&amp;"|"&amp;AE$5,'Competency Event Log'!$D$4:$D$803)))</f>
        <v/>
      </c>
      <c r="AF155" s="8" t="str">
        <f>IF($B155="","",IF(COUNTIF('Competency Event Log'!$U$4:$U$803,$B155&amp;"|"&amp;AF$5)=0,"",SUMIF('Competency Event Log'!$U$4:$U$803,$B155&amp;"|"&amp;AF$5,'Competency Event Log'!$D$4:$D$803)))</f>
        <v/>
      </c>
      <c r="AG155" s="8" t="str">
        <f>IF($B155="","",IF(COUNTIF('Competency Event Log'!$U$4:$U$803,$B155&amp;"|"&amp;AG$5)=0,"",SUMIF('Competency Event Log'!$U$4:$U$803,$B155&amp;"|"&amp;AG$5,'Competency Event Log'!$D$4:$D$803)))</f>
        <v/>
      </c>
      <c r="AH155" s="8" t="str">
        <f>IF($B155="","",IF(COUNTIF('Competency Event Log'!$U$4:$U$803,$B155&amp;"|"&amp;AH$5)=0,"",SUMIF('Competency Event Log'!$U$4:$U$803,$B155&amp;"|"&amp;AH$5,'Competency Event Log'!$D$4:$D$803)))</f>
        <v/>
      </c>
      <c r="AI155" s="8" t="str">
        <f>IF($B155="","",IF(COUNTIF('Competency Event Log'!$U$4:$U$803,$B155&amp;"|"&amp;AI$5)=0,"",SUMIF('Competency Event Log'!$U$4:$U$803,$B155&amp;"|"&amp;AI$5,'Competency Event Log'!$D$4:$D$803)))</f>
        <v/>
      </c>
      <c r="AJ155" s="8" t="str">
        <f>IF($B155="","",IF(COUNTIF('Competency Event Log'!$U$4:$U$803,$B155&amp;"|"&amp;AJ$5)=0,"",SUMIF('Competency Event Log'!$U$4:$U$803,$B155&amp;"|"&amp;AJ$5,'Competency Event Log'!$D$4:$D$803)))</f>
        <v/>
      </c>
      <c r="AK155" s="8" t="str">
        <f>IF($B155="","",IF(COUNTIF('Competency Event Log'!$U$4:$U$803,$B155&amp;"|"&amp;AK$5)=0,"",SUMIF('Competency Event Log'!$U$4:$U$803,$B155&amp;"|"&amp;AK$5,'Competency Event Log'!$D$4:$D$803)))</f>
        <v/>
      </c>
      <c r="AL155" s="8" t="str">
        <f>IF($B155="","",IF(COUNTIF('Competency Event Log'!$U$4:$U$803,$B155&amp;"|"&amp;AL$5)=0,"",SUMIF('Competency Event Log'!$U$4:$U$803,$B155&amp;"|"&amp;AL$5,'Competency Event Log'!$D$4:$D$803)))</f>
        <v/>
      </c>
      <c r="AM155" s="8" t="str">
        <f>IF($B155="","",IF(COUNTIF('Competency Event Log'!$U$4:$U$803,$B155&amp;"|"&amp;AM$5)=0,"",SUMIF('Competency Event Log'!$U$4:$U$803,$B155&amp;"|"&amp;AM$5,'Competency Event Log'!$D$4:$D$803)))</f>
        <v/>
      </c>
      <c r="AN155" s="8" t="str">
        <f>IF($B155="","",IF(COUNTIF('Competency Event Log'!$U$4:$U$803,$B155&amp;"|"&amp;AN$5)=0,"",SUMIF('Competency Event Log'!$U$4:$U$803,$B155&amp;"|"&amp;AN$5,'Competency Event Log'!$D$4:$D$803)))</f>
        <v/>
      </c>
      <c r="AO155" s="8" t="str">
        <f>IF($B155="","",IF(COUNTIF('Competency Event Log'!$U$4:$U$803,$B155&amp;"|"&amp;AO$5)=0,"",SUMIF('Competency Event Log'!$U$4:$U$803,$B155&amp;"|"&amp;AO$5,'Competency Event Log'!$D$4:$D$803)))</f>
        <v/>
      </c>
      <c r="AP155" s="8" t="str">
        <f>IF($B155="","",IF(COUNTIF('Competency Event Log'!$U$4:$U$803,$B155&amp;"|"&amp;AP$5)=0,"",SUMIF('Competency Event Log'!$U$4:$U$803,$B155&amp;"|"&amp;AP$5,'Competency Event Log'!$D$4:$D$803)))</f>
        <v/>
      </c>
      <c r="AQ155" s="8" t="str">
        <f>IF($B155="","",IF(COUNTIF('Competency Event Log'!$U$4:$U$803,$B155&amp;"|"&amp;AQ$5)=0,"",SUMIF('Competency Event Log'!$U$4:$U$803,$B155&amp;"|"&amp;AQ$5,'Competency Event Log'!$D$4:$D$803)))</f>
        <v/>
      </c>
      <c r="AR155" s="8" t="str">
        <f>IF($B155="","",IF(COUNTIF('Competency Event Log'!$U$4:$U$803,$B155&amp;"|"&amp;AR$5)=0,"",SUMIF('Competency Event Log'!$U$4:$U$803,$B155&amp;"|"&amp;AR$5,'Competency Event Log'!$D$4:$D$803)))</f>
        <v/>
      </c>
      <c r="AS155" s="8" t="str">
        <f>IF($B155="","",IF(COUNTIF('Competency Event Log'!$U$4:$U$803,$B155&amp;"|"&amp;AS$5)=0,"",SUMIF('Competency Event Log'!$U$4:$U$803,$B155&amp;"|"&amp;AS$5,'Competency Event Log'!$D$4:$D$803)))</f>
        <v/>
      </c>
      <c r="AT155" s="8" t="str">
        <f>IF($B155="","",IF(COUNTIF('Competency Event Log'!$U$4:$U$803,$B155&amp;"|"&amp;AT$5)=0,"",SUMIF('Competency Event Log'!$U$4:$U$803,$B155&amp;"|"&amp;AT$5,'Competency Event Log'!$D$4:$D$803)))</f>
        <v/>
      </c>
      <c r="AU155" s="8" t="str">
        <f>IF($B155="","",IF(COUNTIF('Competency Event Log'!$U$4:$U$803,$B155&amp;"|"&amp;AU$5)=0,"",SUMIF('Competency Event Log'!$U$4:$U$803,$B155&amp;"|"&amp;AU$5,'Competency Event Log'!$D$4:$D$803)))</f>
        <v/>
      </c>
      <c r="AV155" s="8" t="str">
        <f>IF($B155="","",IF(COUNTIF('Competency Event Log'!$U$4:$U$803,$B155&amp;"|"&amp;AV$5)=0,"",SUMIF('Competency Event Log'!$U$4:$U$803,$B155&amp;"|"&amp;AV$5,'Competency Event Log'!$D$4:$D$803)))</f>
        <v/>
      </c>
      <c r="AW155" s="8" t="str">
        <f>IF($B155="","",IF(COUNTIF('Competency Event Log'!$U$4:$U$803,$B155&amp;"|"&amp;AW$5)=0,"",SUMIF('Competency Event Log'!$U$4:$U$803,$B155&amp;"|"&amp;AW$5,'Competency Event Log'!$D$4:$D$803)))</f>
        <v/>
      </c>
      <c r="AX155" s="8" t="str">
        <f>IF($B155="","",IF(COUNTIF('Competency Event Log'!$U$4:$U$803,$B155&amp;"|"&amp;AX$5)=0,"",SUMIF('Competency Event Log'!$U$4:$U$803,$B155&amp;"|"&amp;AX$5,'Competency Event Log'!$D$4:$D$803)))</f>
        <v/>
      </c>
      <c r="AY155" s="8" t="str">
        <f>IF($B155="","",IF(COUNTIF('Competency Event Log'!$U$4:$U$803,$B155&amp;"|"&amp;AY$5)=0,"",SUMIF('Competency Event Log'!$U$4:$U$803,$B155&amp;"|"&amp;AY$5,'Competency Event Log'!$D$4:$D$803)))</f>
        <v/>
      </c>
      <c r="AZ155" s="8" t="str">
        <f>IF($B155="","",IF(COUNTIF('Competency Event Log'!$U$4:$U$803,$B155&amp;"|"&amp;AZ$5)=0,"",SUMIF('Competency Event Log'!$U$4:$U$803,$B155&amp;"|"&amp;AZ$5,'Competency Event Log'!$D$4:$D$803)))</f>
        <v/>
      </c>
      <c r="BA155" s="8" t="str">
        <f>IF($B155="","",IF(COUNTIF('Competency Event Log'!$U$4:$U$803,$B155&amp;"|"&amp;BA$5)=0,"",SUMIF('Competency Event Log'!$U$4:$U$803,$B155&amp;"|"&amp;BA$5,'Competency Event Log'!$D$4:$D$803)))</f>
        <v/>
      </c>
      <c r="BB155" s="8" t="str">
        <f>IF($B155="","",IF(COUNTIF('Competency Event Log'!$U$4:$U$803,$B155&amp;"|"&amp;BB$5)=0,"",SUMIF('Competency Event Log'!$U$4:$U$803,$B155&amp;"|"&amp;BB$5,'Competency Event Log'!$D$4:$D$803)))</f>
        <v/>
      </c>
      <c r="BC155" s="8" t="str">
        <f>IF($B155="","",IF(COUNTIF('Competency Event Log'!$U$4:$U$803,$B155&amp;"|"&amp;BC$5)=0,"",SUMIF('Competency Event Log'!$U$4:$U$803,$B155&amp;"|"&amp;BC$5,'Competency Event Log'!$D$4:$D$803)))</f>
        <v/>
      </c>
      <c r="BD155" s="8" t="str">
        <f>IF($B155="","",IF(COUNTIF('Competency Event Log'!$U$4:$U$803,$B155&amp;"|"&amp;BD$5)=0,"",SUMIF('Competency Event Log'!$U$4:$U$803,$B155&amp;"|"&amp;BD$5,'Competency Event Log'!$D$4:$D$803)))</f>
        <v/>
      </c>
      <c r="BE155" s="8" t="str">
        <f>IF($B155="","",IF(COUNTIF('Competency Event Log'!$U$4:$U$803,$B155&amp;"|"&amp;BE$5)=0,"",SUMIF('Competency Event Log'!$U$4:$U$803,$B155&amp;"|"&amp;BE$5,'Competency Event Log'!$D$4:$D$803)))</f>
        <v/>
      </c>
      <c r="BF155" s="8" t="str">
        <f>IF($B155="","",IF(COUNTIF('Competency Event Log'!$U$4:$U$803,$B155&amp;"|"&amp;BF$5)=0,"",SUMIF('Competency Event Log'!$U$4:$U$803,$B155&amp;"|"&amp;BF$5,'Competency Event Log'!$D$4:$D$803)))</f>
        <v/>
      </c>
      <c r="BG155" s="8" t="str">
        <f>IF($B155="","",IF(COUNTIF('Competency Event Log'!$U$4:$U$803,$B155&amp;"|"&amp;BG$5)=0,"",SUMIF('Competency Event Log'!$U$4:$U$803,$B155&amp;"|"&amp;BG$5,'Competency Event Log'!$D$4:$D$803)))</f>
        <v/>
      </c>
      <c r="BH155" s="8" t="str">
        <f>IF($B155="","",IF(COUNTIF('Competency Event Log'!$U$4:$U$803,$B155&amp;"|"&amp;BH$5)=0,"",SUMIF('Competency Event Log'!$U$4:$U$803,$B155&amp;"|"&amp;BH$5,'Competency Event Log'!$D$4:$D$803)))</f>
        <v/>
      </c>
      <c r="BI155" s="8" t="str">
        <f>IF($B155="","",IF(COUNTIF('Competency Event Log'!$U$4:$U$803,$B155&amp;"|"&amp;BI$5)=0,"",SUMIF('Competency Event Log'!$U$4:$U$803,$B155&amp;"|"&amp;BI$5,'Competency Event Log'!$D$4:$D$803)))</f>
        <v/>
      </c>
      <c r="BJ155" s="8" t="str">
        <f>IF($B155="","",IF(COUNTIF('Competency Event Log'!$U$4:$U$803,$B155&amp;"|"&amp;BJ$5)=0,"",SUMIF('Competency Event Log'!$U$4:$U$803,$B155&amp;"|"&amp;BJ$5,'Competency Event Log'!$D$4:$D$803)))</f>
        <v/>
      </c>
      <c r="BK155" s="8" t="str">
        <f>IF($B155="","",IF(COUNTIF('Competency Event Log'!$U$4:$U$803,$B155&amp;"|"&amp;BK$5)=0,"",SUMIF('Competency Event Log'!$U$4:$U$803,$B155&amp;"|"&amp;BK$5,'Competency Event Log'!$D$4:$D$803)))</f>
        <v/>
      </c>
      <c r="BL155" s="8" t="str">
        <f>IF($B155="","",IF(COUNTIF('Competency Event Log'!$U$4:$U$803,$B155&amp;"|"&amp;BL$5)=0,"",SUMIF('Competency Event Log'!$U$4:$U$803,$B155&amp;"|"&amp;BL$5,'Competency Event Log'!$D$4:$D$803)))</f>
        <v/>
      </c>
      <c r="BM155" s="8" t="str">
        <f>IF($B155="","",IF(COUNTIF('Competency Event Log'!$U$4:$U$803,$B155&amp;"|"&amp;BM$5)=0,"",SUMIF('Competency Event Log'!$U$4:$U$803,$B155&amp;"|"&amp;BM$5,'Competency Event Log'!$D$4:$D$803)))</f>
        <v/>
      </c>
      <c r="BN155" s="8" t="str">
        <f>IF($B155="","",IF(COUNTIF('Competency Event Log'!$U$4:$U$803,$B155&amp;"|"&amp;BN$5)=0,"",SUMIF('Competency Event Log'!$U$4:$U$803,$B155&amp;"|"&amp;BN$5,'Competency Event Log'!$D$4:$D$803)))</f>
        <v/>
      </c>
      <c r="BO155" s="8" t="str">
        <f>IF($B155="","",IF(COUNTIF('Competency Event Log'!$U$4:$U$803,$B155&amp;"|"&amp;BO$5)=0,"",SUMIF('Competency Event Log'!$U$4:$U$803,$B155&amp;"|"&amp;BO$5,'Competency Event Log'!$D$4:$D$803)))</f>
        <v/>
      </c>
      <c r="BP155" s="8" t="str">
        <f>IF($B155="","",IF(COUNTIF('Competency Event Log'!$U$4:$U$803,$B155&amp;"|"&amp;BP$5)=0,"",SUMIF('Competency Event Log'!$U$4:$U$803,$B155&amp;"|"&amp;BP$5,'Competency Event Log'!$D$4:$D$803)))</f>
        <v/>
      </c>
      <c r="BQ155" s="8" t="str">
        <f>IF($B155="","",IF(COUNTIF('Competency Event Log'!$U$4:$U$803,$B155&amp;"|"&amp;BQ$5)=0,"",SUMIF('Competency Event Log'!$U$4:$U$803,$B155&amp;"|"&amp;BQ$5,'Competency Event Log'!$D$4:$D$803)))</f>
        <v/>
      </c>
      <c r="BR155" s="8" t="str">
        <f>IF($B155="","",IF(COUNTIF('Competency Event Log'!$U$4:$U$803,$B155&amp;"|"&amp;BR$5)=0,"",SUMIF('Competency Event Log'!$U$4:$U$803,$B155&amp;"|"&amp;BR$5,'Competency Event Log'!$D$4:$D$803)))</f>
        <v/>
      </c>
      <c r="BS155" s="8" t="str">
        <f>IF($B155="","",IF(COUNTIF('Competency Event Log'!$U$4:$U$803,$B155&amp;"|"&amp;BS$5)=0,"",SUMIF('Competency Event Log'!$U$4:$U$803,$B155&amp;"|"&amp;BS$5,'Competency Event Log'!$D$4:$D$803)))</f>
        <v/>
      </c>
      <c r="BT155" s="8" t="str">
        <f>IF($B155="","",IF(COUNTIF('Competency Event Log'!$U$4:$U$803,$B155&amp;"|"&amp;BT$5)=0,"",SUMIF('Competency Event Log'!$U$4:$U$803,$B155&amp;"|"&amp;BT$5,'Competency Event Log'!$D$4:$D$803)))</f>
        <v/>
      </c>
      <c r="BU155" s="8" t="str">
        <f>IF($B155="","",IF(COUNTIF('Competency Event Log'!$U$4:$U$803,$B155&amp;"|"&amp;BU$5)=0,"",SUMIF('Competency Event Log'!$U$4:$U$803,$B155&amp;"|"&amp;BU$5,'Competency Event Log'!$D$4:$D$803)))</f>
        <v/>
      </c>
      <c r="BV155" s="8" t="str">
        <f>IF($B155="","",IF(COUNTIF('Competency Event Log'!$U$4:$U$803,$B155&amp;"|"&amp;BV$5)=0,"",SUMIF('Competency Event Log'!$U$4:$U$803,$B155&amp;"|"&amp;BV$5,'Competency Event Log'!$D$4:$D$803)))</f>
        <v/>
      </c>
      <c r="BW155" s="8" t="str">
        <f>IF($B155="","",IF(COUNTIF('Competency Event Log'!$U$4:$U$803,$B155&amp;"|"&amp;BW$5)=0,"",SUMIF('Competency Event Log'!$U$4:$U$803,$B155&amp;"|"&amp;BW$5,'Competency Event Log'!$D$4:$D$803)))</f>
        <v/>
      </c>
      <c r="BX155" s="8" t="str">
        <f>IF($B155="","",IF(COUNTIF('Competency Event Log'!$U$4:$U$803,$B155&amp;"|"&amp;BX$5)=0,"",SUMIF('Competency Event Log'!$U$4:$U$803,$B155&amp;"|"&amp;BX$5,'Competency Event Log'!$D$4:$D$803)))</f>
        <v/>
      </c>
      <c r="BY155" s="8" t="str">
        <f>IF($B155="","",IF(COUNTIF('Competency Event Log'!$U$4:$U$803,$B155&amp;"|"&amp;BY$5)=0,"",SUMIF('Competency Event Log'!$U$4:$U$803,$B155&amp;"|"&amp;BY$5,'Competency Event Log'!$D$4:$D$803)))</f>
        <v/>
      </c>
      <c r="BZ155" s="8" t="str">
        <f>IF($B155="","",IF(COUNTIF('Competency Event Log'!$U$4:$U$803,$B155&amp;"|"&amp;BZ$5)=0,"",SUMIF('Competency Event Log'!$U$4:$U$803,$B155&amp;"|"&amp;BZ$5,'Competency Event Log'!$D$4:$D$803)))</f>
        <v/>
      </c>
      <c r="CA155" s="8" t="str">
        <f>IF($B155="","",IF(COUNTIF('Competency Event Log'!$U$4:$U$803,$B155&amp;"|"&amp;CA$5)=0,"",SUMIF('Competency Event Log'!$U$4:$U$803,$B155&amp;"|"&amp;CA$5,'Competency Event Log'!$D$4:$D$803)))</f>
        <v/>
      </c>
      <c r="CB155" s="8" t="str">
        <f>IF($B155="","",IF(COUNTIF('Competency Event Log'!$U$4:$U$803,$B155&amp;"|"&amp;CB$5)=0,"",SUMIF('Competency Event Log'!$U$4:$U$803,$B155&amp;"|"&amp;CB$5,'Competency Event Log'!$D$4:$D$803)))</f>
        <v/>
      </c>
      <c r="CC155" s="8" t="str">
        <f>IF($B155="","",IF(COUNTIF('Competency Event Log'!$U$4:$U$803,$B155&amp;"|"&amp;CC$5)=0,"",SUMIF('Competency Event Log'!$U$4:$U$803,$B155&amp;"|"&amp;CC$5,'Competency Event Log'!$D$4:$D$803)))</f>
        <v/>
      </c>
      <c r="CD155" s="8" t="str">
        <f>IF($B155="","",IF(COUNTIF('Competency Event Log'!$U$4:$U$803,$B155&amp;"|"&amp;CD$5)=0,"",SUMIF('Competency Event Log'!$U$4:$U$803,$B155&amp;"|"&amp;CD$5,'Competency Event Log'!$D$4:$D$803)))</f>
        <v/>
      </c>
      <c r="CE155" s="8" t="str">
        <f>IF($B155="","",IF(COUNTIF('Competency Event Log'!$U$4:$U$803,$B155&amp;"|"&amp;CE$5)=0,"",SUMIF('Competency Event Log'!$U$4:$U$803,$B155&amp;"|"&amp;CE$5,'Competency Event Log'!$D$4:$D$803)))</f>
        <v/>
      </c>
      <c r="CF155" s="8" t="str">
        <f>IF($B155="","",IF(COUNTIF('Competency Event Log'!$U$4:$U$803,$B155&amp;"|"&amp;CF$5)=0,"",SUMIF('Competency Event Log'!$U$4:$U$803,$B155&amp;"|"&amp;CF$5,'Competency Event Log'!$D$4:$D$803)))</f>
        <v/>
      </c>
      <c r="CG155" s="8" t="str">
        <f>IF($B155="","",IF(COUNTIF('Competency Event Log'!$U$4:$U$803,$B155&amp;"|"&amp;CG$5)=0,"",SUMIF('Competency Event Log'!$U$4:$U$803,$B155&amp;"|"&amp;CG$5,'Competency Event Log'!$D$4:$D$803)))</f>
        <v/>
      </c>
      <c r="CH155" s="8" t="str">
        <f>IF($B155="","",IF(COUNTIF('Competency Event Log'!$U$4:$U$803,$B155&amp;"|"&amp;CH$5)=0,"",SUMIF('Competency Event Log'!$U$4:$U$803,$B155&amp;"|"&amp;CH$5,'Competency Event Log'!$D$4:$D$803)))</f>
        <v/>
      </c>
      <c r="CI155" s="8" t="str">
        <f>IF($B155="","",IF(COUNTIF('Competency Event Log'!$U$4:$U$803,$B155&amp;"|"&amp;CI$5)=0,"",SUMIF('Competency Event Log'!$U$4:$U$803,$B155&amp;"|"&amp;CI$5,'Competency Event Log'!$D$4:$D$803)))</f>
        <v/>
      </c>
      <c r="CJ155" s="8" t="str">
        <f>IF($B155="","",IF(COUNTIF('Competency Event Log'!$U$4:$U$803,$B155&amp;"|"&amp;CJ$5)=0,"",SUMIF('Competency Event Log'!$U$4:$U$803,$B155&amp;"|"&amp;CJ$5,'Competency Event Log'!$D$4:$D$803)))</f>
        <v/>
      </c>
      <c r="CK155" s="8" t="str">
        <f>IF($B155="","",IF(COUNTIF('Competency Event Log'!$U$4:$U$803,$B155&amp;"|"&amp;CK$5)=0,"",SUMIF('Competency Event Log'!$U$4:$U$803,$B155&amp;"|"&amp;CK$5,'Competency Event Log'!$D$4:$D$803)))</f>
        <v/>
      </c>
      <c r="CL155" s="8" t="str">
        <f>IF($B155="","",IF(COUNTIF('Competency Event Log'!$U$4:$U$803,$B155&amp;"|"&amp;CL$5)=0,"",SUMIF('Competency Event Log'!$U$4:$U$803,$B155&amp;"|"&amp;CL$5,'Competency Event Log'!$D$4:$D$803)))</f>
        <v/>
      </c>
      <c r="CM155" s="8" t="str">
        <f>IF($B155="","",IF(COUNTIF('Competency Event Log'!$U$4:$U$803,$B155&amp;"|"&amp;CM$5)=0,"",SUMIF('Competency Event Log'!$U$4:$U$803,$B155&amp;"|"&amp;CM$5,'Competency Event Log'!$D$4:$D$803)))</f>
        <v/>
      </c>
      <c r="CN155" s="8" t="str">
        <f>IF($B155="","",IF(COUNTIF('Competency Event Log'!$U$4:$U$803,$B155&amp;"|"&amp;CN$5)=0,"",SUMIF('Competency Event Log'!$U$4:$U$803,$B155&amp;"|"&amp;CN$5,'Competency Event Log'!$D$4:$D$803)))</f>
        <v/>
      </c>
      <c r="CO155" s="8" t="str">
        <f>IF($B155="","",IF(COUNTIF('Competency Event Log'!$U$4:$U$803,$B155&amp;"|"&amp;CO$5)=0,"",SUMIF('Competency Event Log'!$U$4:$U$803,$B155&amp;"|"&amp;CO$5,'Competency Event Log'!$D$4:$D$803)))</f>
        <v/>
      </c>
      <c r="CP155" s="8" t="str">
        <f>IF($B155="","",IF(COUNTIF('Competency Event Log'!$U$4:$U$803,$B155&amp;"|"&amp;CP$5)=0,"",SUMIF('Competency Event Log'!$U$4:$U$803,$B155&amp;"|"&amp;CP$5,'Competency Event Log'!$D$4:$D$803)))</f>
        <v/>
      </c>
      <c r="CQ155" s="8" t="str">
        <f>IF($B155="","",IF(COUNTIF('Competency Event Log'!$U$4:$U$803,$B155&amp;"|"&amp;CQ$5)=0,"",SUMIF('Competency Event Log'!$U$4:$U$803,$B155&amp;"|"&amp;CQ$5,'Competency Event Log'!$D$4:$D$803)))</f>
        <v/>
      </c>
      <c r="CR155" s="8" t="str">
        <f>IF($B155="","",IF(COUNTIF('Competency Event Log'!$U$4:$U$803,$B155&amp;"|"&amp;CR$5)=0,"",SUMIF('Competency Event Log'!$U$4:$U$803,$B155&amp;"|"&amp;CR$5,'Competency Event Log'!$D$4:$D$803)))</f>
        <v/>
      </c>
      <c r="CS155" s="8" t="str">
        <f>IF($B155="","",IF(COUNTIF('Competency Event Log'!$U$4:$U$803,$B155&amp;"|"&amp;CS$5)=0,"",SUMIF('Competency Event Log'!$U$4:$U$803,$B155&amp;"|"&amp;CS$5,'Competency Event Log'!$D$4:$D$803)))</f>
        <v/>
      </c>
      <c r="CT155" s="8" t="str">
        <f>IF($B155="","",IF(COUNTIF('Competency Event Log'!$U$4:$U$803,$B155&amp;"|"&amp;CT$5)=0,"",SUMIF('Competency Event Log'!$U$4:$U$803,$B155&amp;"|"&amp;CT$5,'Competency Event Log'!$D$4:$D$803)))</f>
        <v/>
      </c>
      <c r="CU155" s="8" t="str">
        <f>IF($B155="","",IF(COUNTIF('Competency Event Log'!$U$4:$U$803,$B155&amp;"|"&amp;CU$5)=0,"",SUMIF('Competency Event Log'!$U$4:$U$803,$B155&amp;"|"&amp;CU$5,'Competency Event Log'!$D$4:$D$803)))</f>
        <v/>
      </c>
      <c r="CV155" s="8" t="str">
        <f>IF($B155="","",IF(COUNTIF('Competency Event Log'!$U$4:$U$803,$B155&amp;"|"&amp;CV$5)=0,"",SUMIF('Competency Event Log'!$U$4:$U$803,$B155&amp;"|"&amp;CV$5,'Competency Event Log'!$D$4:$D$803)))</f>
        <v/>
      </c>
      <c r="CW155" s="8" t="str">
        <f>IF($B155="","",IF(COUNTIF('Competency Event Log'!$U$4:$U$803,$B155&amp;"|"&amp;CW$5)=0,"",SUMIF('Competency Event Log'!$U$4:$U$803,$B155&amp;"|"&amp;CW$5,'Competency Event Log'!$D$4:$D$803)))</f>
        <v/>
      </c>
      <c r="CX155" s="8" t="str">
        <f>IF($B155="","",IF(COUNTIF('Competency Event Log'!$U$4:$U$803,$B155&amp;"|"&amp;CX$5)=0,"",SUMIF('Competency Event Log'!$U$4:$U$803,$B155&amp;"|"&amp;CX$5,'Competency Event Log'!$D$4:$D$803)))</f>
        <v/>
      </c>
      <c r="CY155" s="8" t="str">
        <f>IF($B155="","",IF(COUNTIF('Competency Event Log'!$U$4:$U$803,$B155&amp;"|"&amp;CY$5)=0,"",SUMIF('Competency Event Log'!$U$4:$U$803,$B155&amp;"|"&amp;CY$5,'Competency Event Log'!$D$4:$D$803)))</f>
        <v/>
      </c>
      <c r="CZ155" s="8" t="str">
        <f>IF($B155="","",IF(COUNTIF('Competency Event Log'!$U$4:$U$803,$B155&amp;"|"&amp;CZ$5)=0,"",SUMIF('Competency Event Log'!$U$4:$U$803,$B155&amp;"|"&amp;CZ$5,'Competency Event Log'!$D$4:$D$803)))</f>
        <v/>
      </c>
      <c r="DA155" s="8" t="str">
        <f>IF($B155="","",IF(COUNTIF('Competency Event Log'!$U$4:$U$803,$B155&amp;"|"&amp;DA$5)=0,"",SUMIF('Competency Event Log'!$U$4:$U$803,$B155&amp;"|"&amp;DA$5,'Competency Event Log'!$D$4:$D$803)))</f>
        <v/>
      </c>
      <c r="DB155" s="8" t="str">
        <f>IF($B155="","",IF(COUNTIF('Competency Event Log'!$U$4:$U$803,$B155&amp;"|"&amp;DB$5)=0,"",SUMIF('Competency Event Log'!$U$4:$U$803,$B155&amp;"|"&amp;DB$5,'Competency Event Log'!$D$4:$D$803)))</f>
        <v/>
      </c>
      <c r="DC155" s="8" t="str">
        <f>IF($B155="","",IF(COUNTIF('Competency Event Log'!$U$4:$U$803,$B155&amp;"|"&amp;DC$5)=0,"",SUMIF('Competency Event Log'!$U$4:$U$803,$B155&amp;"|"&amp;DC$5,'Competency Event Log'!$D$4:$D$803)))</f>
        <v/>
      </c>
      <c r="DD155" s="8" t="str">
        <f>IF($B155="","",IF(COUNTIF('Competency Event Log'!$U$4:$U$803,$B155&amp;"|"&amp;DD$5)=0,"",SUMIF('Competency Event Log'!$U$4:$U$803,$B155&amp;"|"&amp;DD$5,'Competency Event Log'!$D$4:$D$803)))</f>
        <v/>
      </c>
      <c r="DE155" s="8" t="str">
        <f>IF($B155="","",IF(COUNTIF('Competency Event Log'!$U$4:$U$803,$B155&amp;"|"&amp;DE$5)=0,"",SUMIF('Competency Event Log'!$U$4:$U$803,$B155&amp;"|"&amp;DE$5,'Competency Event Log'!$D$4:$D$803)))</f>
        <v/>
      </c>
      <c r="DF155" s="8" t="str">
        <f t="shared" si="16"/>
        <v/>
      </c>
      <c r="DG155" s="8" t="str">
        <f t="shared" si="17"/>
        <v/>
      </c>
      <c r="DH155" s="8" t="str">
        <f t="shared" si="18"/>
        <v/>
      </c>
      <c r="DI155" s="11" t="str">
        <f t="shared" si="19"/>
        <v/>
      </c>
    </row>
    <row r="156" spans="1:113">
      <c r="A156" s="7"/>
      <c r="B156" s="7"/>
      <c r="C156" s="8"/>
      <c r="D156" s="9"/>
      <c r="E156" s="10"/>
      <c r="F156" s="8"/>
      <c r="G156" s="8" t="str">
        <f>IF($B156="","",IF(COUNTIF('Competency Event Log'!$U$4:$U$803,$B156&amp;"|"&amp;G$5)=0,"",SUMIF('Competency Event Log'!$U$4:$U$803,$B156&amp;"|"&amp;G$5,'Competency Event Log'!$D$4:$D$803)))</f>
        <v/>
      </c>
      <c r="H156" s="8" t="str">
        <f>IF($B156="","",IF(COUNTIF('Competency Event Log'!$U$4:$U$803,$B156&amp;"|"&amp;H$5)=0,"",SUMIF('Competency Event Log'!$U$4:$U$803,$B156&amp;"|"&amp;H$5,'Competency Event Log'!$D$4:$D$803)))</f>
        <v/>
      </c>
      <c r="I156" s="8" t="str">
        <f>IF($B156="","",IF(COUNTIF('Competency Event Log'!$U$4:$U$803,$B156&amp;"|"&amp;I$5)=0,"",SUMIF('Competency Event Log'!$U$4:$U$803,$B156&amp;"|"&amp;I$5,'Competency Event Log'!$D$4:$D$803)))</f>
        <v/>
      </c>
      <c r="J156" s="8" t="str">
        <f>IF($B156="","",IF(COUNTIF('Competency Event Log'!$U$4:$U$803,$B156&amp;"|"&amp;J$5)=0,"",SUMIF('Competency Event Log'!$U$4:$U$803,$B156&amp;"|"&amp;J$5,'Competency Event Log'!$D$4:$D$803)))</f>
        <v/>
      </c>
      <c r="K156" s="8" t="str">
        <f>IF($B156="","",IF(COUNTIF('Competency Event Log'!$U$4:$U$803,$B156&amp;"|"&amp;K$5)=0,"",SUMIF('Competency Event Log'!$U$4:$U$803,$B156&amp;"|"&amp;K$5,'Competency Event Log'!$D$4:$D$803)))</f>
        <v/>
      </c>
      <c r="L156" s="8" t="str">
        <f>IF($B156="","",IF(COUNTIF('Competency Event Log'!$U$4:$U$803,$B156&amp;"|"&amp;L$5)=0,"",SUMIF('Competency Event Log'!$U$4:$U$803,$B156&amp;"|"&amp;L$5,'Competency Event Log'!$D$4:$D$803)))</f>
        <v/>
      </c>
      <c r="M156" s="8" t="str">
        <f>IF($B156="","",IF(COUNTIF('Competency Event Log'!$U$4:$U$803,$B156&amp;"|"&amp;M$5)=0,"",SUMIF('Competency Event Log'!$U$4:$U$803,$B156&amp;"|"&amp;M$5,'Competency Event Log'!$D$4:$D$803)))</f>
        <v/>
      </c>
      <c r="N156" s="8" t="str">
        <f>IF($B156="","",IF(COUNTIF('Competency Event Log'!$U$4:$U$803,$B156&amp;"|"&amp;N$5)=0,"",SUMIF('Competency Event Log'!$U$4:$U$803,$B156&amp;"|"&amp;N$5,'Competency Event Log'!$D$4:$D$803)))</f>
        <v/>
      </c>
      <c r="O156" s="8" t="str">
        <f>IF($B156="","",IF(COUNTIF('Competency Event Log'!$U$4:$U$803,$B156&amp;"|"&amp;O$5)=0,"",SUMIF('Competency Event Log'!$U$4:$U$803,$B156&amp;"|"&amp;O$5,'Competency Event Log'!$D$4:$D$803)))</f>
        <v/>
      </c>
      <c r="P156" s="8" t="str">
        <f>IF($B156="","",IF(COUNTIF('Competency Event Log'!$U$4:$U$803,$B156&amp;"|"&amp;P$5)=0,"",SUMIF('Competency Event Log'!$U$4:$U$803,$B156&amp;"|"&amp;P$5,'Competency Event Log'!$D$4:$D$803)))</f>
        <v/>
      </c>
      <c r="Q156" s="8" t="str">
        <f>IF($B156="","",IF(COUNTIF('Competency Event Log'!$U$4:$U$803,$B156&amp;"|"&amp;Q$5)=0,"",SUMIF('Competency Event Log'!$U$4:$U$803,$B156&amp;"|"&amp;Q$5,'Competency Event Log'!$D$4:$D$803)))</f>
        <v/>
      </c>
      <c r="R156" s="8" t="str">
        <f>IF($B156="","",IF(COUNTIF('Competency Event Log'!$U$4:$U$803,$B156&amp;"|"&amp;R$5)=0,"",SUMIF('Competency Event Log'!$U$4:$U$803,$B156&amp;"|"&amp;R$5,'Competency Event Log'!$D$4:$D$803)))</f>
        <v/>
      </c>
      <c r="S156" s="8" t="str">
        <f>IF($B156="","",IF(COUNTIF('Competency Event Log'!$U$4:$U$803,$B156&amp;"|"&amp;S$5)=0,"",SUMIF('Competency Event Log'!$U$4:$U$803,$B156&amp;"|"&amp;S$5,'Competency Event Log'!$D$4:$D$803)))</f>
        <v/>
      </c>
      <c r="T156" s="8" t="str">
        <f>IF($B156="","",IF(COUNTIF('Competency Event Log'!$U$4:$U$803,$B156&amp;"|"&amp;T$5)=0,"",SUMIF('Competency Event Log'!$U$4:$U$803,$B156&amp;"|"&amp;T$5,'Competency Event Log'!$D$4:$D$803)))</f>
        <v/>
      </c>
      <c r="U156" s="8" t="str">
        <f>IF($B156="","",IF(COUNTIF('Competency Event Log'!$U$4:$U$803,$B156&amp;"|"&amp;U$5)=0,"",SUMIF('Competency Event Log'!$U$4:$U$803,$B156&amp;"|"&amp;U$5,'Competency Event Log'!$D$4:$D$803)))</f>
        <v/>
      </c>
      <c r="V156" s="8" t="str">
        <f>IF($B156="","",IF(COUNTIF('Competency Event Log'!$U$4:$U$803,$B156&amp;"|"&amp;V$5)=0,"",SUMIF('Competency Event Log'!$U$4:$U$803,$B156&amp;"|"&amp;V$5,'Competency Event Log'!$D$4:$D$803)))</f>
        <v/>
      </c>
      <c r="W156" s="8" t="str">
        <f>IF($B156="","",IF(COUNTIF('Competency Event Log'!$U$4:$U$803,$B156&amp;"|"&amp;W$5)=0,"",SUMIF('Competency Event Log'!$U$4:$U$803,$B156&amp;"|"&amp;W$5,'Competency Event Log'!$D$4:$D$803)))</f>
        <v/>
      </c>
      <c r="X156" s="8" t="str">
        <f>IF($B156="","",IF(COUNTIF('Competency Event Log'!$U$4:$U$803,$B156&amp;"|"&amp;X$5)=0,"",SUMIF('Competency Event Log'!$U$4:$U$803,$B156&amp;"|"&amp;X$5,'Competency Event Log'!$D$4:$D$803)))</f>
        <v/>
      </c>
      <c r="Y156" s="8" t="str">
        <f>IF($B156="","",IF(COUNTIF('Competency Event Log'!$U$4:$U$803,$B156&amp;"|"&amp;Y$5)=0,"",SUMIF('Competency Event Log'!$U$4:$U$803,$B156&amp;"|"&amp;Y$5,'Competency Event Log'!$D$4:$D$803)))</f>
        <v/>
      </c>
      <c r="Z156" s="8" t="str">
        <f>IF($B156="","",IF(COUNTIF('Competency Event Log'!$U$4:$U$803,$B156&amp;"|"&amp;Z$5)=0,"",SUMIF('Competency Event Log'!$U$4:$U$803,$B156&amp;"|"&amp;Z$5,'Competency Event Log'!$D$4:$D$803)))</f>
        <v/>
      </c>
      <c r="AA156" s="8" t="str">
        <f>IF($B156="","",IF(COUNTIF('Competency Event Log'!$U$4:$U$803,$B156&amp;"|"&amp;AA$5)=0,"",SUMIF('Competency Event Log'!$U$4:$U$803,$B156&amp;"|"&amp;AA$5,'Competency Event Log'!$D$4:$D$803)))</f>
        <v/>
      </c>
      <c r="AB156" s="8" t="str">
        <f>IF($B156="","",IF(COUNTIF('Competency Event Log'!$U$4:$U$803,$B156&amp;"|"&amp;AB$5)=0,"",SUMIF('Competency Event Log'!$U$4:$U$803,$B156&amp;"|"&amp;AB$5,'Competency Event Log'!$D$4:$D$803)))</f>
        <v/>
      </c>
      <c r="AC156" s="8" t="str">
        <f>IF($B156="","",IF(COUNTIF('Competency Event Log'!$U$4:$U$803,$B156&amp;"|"&amp;AC$5)=0,"",SUMIF('Competency Event Log'!$U$4:$U$803,$B156&amp;"|"&amp;AC$5,'Competency Event Log'!$D$4:$D$803)))</f>
        <v/>
      </c>
      <c r="AD156" s="8" t="str">
        <f>IF($B156="","",IF(COUNTIF('Competency Event Log'!$U$4:$U$803,$B156&amp;"|"&amp;AD$5)=0,"",SUMIF('Competency Event Log'!$U$4:$U$803,$B156&amp;"|"&amp;AD$5,'Competency Event Log'!$D$4:$D$803)))</f>
        <v/>
      </c>
      <c r="AE156" s="8" t="str">
        <f>IF($B156="","",IF(COUNTIF('Competency Event Log'!$U$4:$U$803,$B156&amp;"|"&amp;AE$5)=0,"",SUMIF('Competency Event Log'!$U$4:$U$803,$B156&amp;"|"&amp;AE$5,'Competency Event Log'!$D$4:$D$803)))</f>
        <v/>
      </c>
      <c r="AF156" s="8" t="str">
        <f>IF($B156="","",IF(COUNTIF('Competency Event Log'!$U$4:$U$803,$B156&amp;"|"&amp;AF$5)=0,"",SUMIF('Competency Event Log'!$U$4:$U$803,$B156&amp;"|"&amp;AF$5,'Competency Event Log'!$D$4:$D$803)))</f>
        <v/>
      </c>
      <c r="AG156" s="8" t="str">
        <f>IF($B156="","",IF(COUNTIF('Competency Event Log'!$U$4:$U$803,$B156&amp;"|"&amp;AG$5)=0,"",SUMIF('Competency Event Log'!$U$4:$U$803,$B156&amp;"|"&amp;AG$5,'Competency Event Log'!$D$4:$D$803)))</f>
        <v/>
      </c>
      <c r="AH156" s="8" t="str">
        <f>IF($B156="","",IF(COUNTIF('Competency Event Log'!$U$4:$U$803,$B156&amp;"|"&amp;AH$5)=0,"",SUMIF('Competency Event Log'!$U$4:$U$803,$B156&amp;"|"&amp;AH$5,'Competency Event Log'!$D$4:$D$803)))</f>
        <v/>
      </c>
      <c r="AI156" s="8" t="str">
        <f>IF($B156="","",IF(COUNTIF('Competency Event Log'!$U$4:$U$803,$B156&amp;"|"&amp;AI$5)=0,"",SUMIF('Competency Event Log'!$U$4:$U$803,$B156&amp;"|"&amp;AI$5,'Competency Event Log'!$D$4:$D$803)))</f>
        <v/>
      </c>
      <c r="AJ156" s="8" t="str">
        <f>IF($B156="","",IF(COUNTIF('Competency Event Log'!$U$4:$U$803,$B156&amp;"|"&amp;AJ$5)=0,"",SUMIF('Competency Event Log'!$U$4:$U$803,$B156&amp;"|"&amp;AJ$5,'Competency Event Log'!$D$4:$D$803)))</f>
        <v/>
      </c>
      <c r="AK156" s="8" t="str">
        <f>IF($B156="","",IF(COUNTIF('Competency Event Log'!$U$4:$U$803,$B156&amp;"|"&amp;AK$5)=0,"",SUMIF('Competency Event Log'!$U$4:$U$803,$B156&amp;"|"&amp;AK$5,'Competency Event Log'!$D$4:$D$803)))</f>
        <v/>
      </c>
      <c r="AL156" s="8" t="str">
        <f>IF($B156="","",IF(COUNTIF('Competency Event Log'!$U$4:$U$803,$B156&amp;"|"&amp;AL$5)=0,"",SUMIF('Competency Event Log'!$U$4:$U$803,$B156&amp;"|"&amp;AL$5,'Competency Event Log'!$D$4:$D$803)))</f>
        <v/>
      </c>
      <c r="AM156" s="8" t="str">
        <f>IF($B156="","",IF(COUNTIF('Competency Event Log'!$U$4:$U$803,$B156&amp;"|"&amp;AM$5)=0,"",SUMIF('Competency Event Log'!$U$4:$U$803,$B156&amp;"|"&amp;AM$5,'Competency Event Log'!$D$4:$D$803)))</f>
        <v/>
      </c>
      <c r="AN156" s="8" t="str">
        <f>IF($B156="","",IF(COUNTIF('Competency Event Log'!$U$4:$U$803,$B156&amp;"|"&amp;AN$5)=0,"",SUMIF('Competency Event Log'!$U$4:$U$803,$B156&amp;"|"&amp;AN$5,'Competency Event Log'!$D$4:$D$803)))</f>
        <v/>
      </c>
      <c r="AO156" s="8" t="str">
        <f>IF($B156="","",IF(COUNTIF('Competency Event Log'!$U$4:$U$803,$B156&amp;"|"&amp;AO$5)=0,"",SUMIF('Competency Event Log'!$U$4:$U$803,$B156&amp;"|"&amp;AO$5,'Competency Event Log'!$D$4:$D$803)))</f>
        <v/>
      </c>
      <c r="AP156" s="8" t="str">
        <f>IF($B156="","",IF(COUNTIF('Competency Event Log'!$U$4:$U$803,$B156&amp;"|"&amp;AP$5)=0,"",SUMIF('Competency Event Log'!$U$4:$U$803,$B156&amp;"|"&amp;AP$5,'Competency Event Log'!$D$4:$D$803)))</f>
        <v/>
      </c>
      <c r="AQ156" s="8" t="str">
        <f>IF($B156="","",IF(COUNTIF('Competency Event Log'!$U$4:$U$803,$B156&amp;"|"&amp;AQ$5)=0,"",SUMIF('Competency Event Log'!$U$4:$U$803,$B156&amp;"|"&amp;AQ$5,'Competency Event Log'!$D$4:$D$803)))</f>
        <v/>
      </c>
      <c r="AR156" s="8" t="str">
        <f>IF($B156="","",IF(COUNTIF('Competency Event Log'!$U$4:$U$803,$B156&amp;"|"&amp;AR$5)=0,"",SUMIF('Competency Event Log'!$U$4:$U$803,$B156&amp;"|"&amp;AR$5,'Competency Event Log'!$D$4:$D$803)))</f>
        <v/>
      </c>
      <c r="AS156" s="8" t="str">
        <f>IF($B156="","",IF(COUNTIF('Competency Event Log'!$U$4:$U$803,$B156&amp;"|"&amp;AS$5)=0,"",SUMIF('Competency Event Log'!$U$4:$U$803,$B156&amp;"|"&amp;AS$5,'Competency Event Log'!$D$4:$D$803)))</f>
        <v/>
      </c>
      <c r="AT156" s="8" t="str">
        <f>IF($B156="","",IF(COUNTIF('Competency Event Log'!$U$4:$U$803,$B156&amp;"|"&amp;AT$5)=0,"",SUMIF('Competency Event Log'!$U$4:$U$803,$B156&amp;"|"&amp;AT$5,'Competency Event Log'!$D$4:$D$803)))</f>
        <v/>
      </c>
      <c r="AU156" s="8" t="str">
        <f>IF($B156="","",IF(COUNTIF('Competency Event Log'!$U$4:$U$803,$B156&amp;"|"&amp;AU$5)=0,"",SUMIF('Competency Event Log'!$U$4:$U$803,$B156&amp;"|"&amp;AU$5,'Competency Event Log'!$D$4:$D$803)))</f>
        <v/>
      </c>
      <c r="AV156" s="8" t="str">
        <f>IF($B156="","",IF(COUNTIF('Competency Event Log'!$U$4:$U$803,$B156&amp;"|"&amp;AV$5)=0,"",SUMIF('Competency Event Log'!$U$4:$U$803,$B156&amp;"|"&amp;AV$5,'Competency Event Log'!$D$4:$D$803)))</f>
        <v/>
      </c>
      <c r="AW156" s="8" t="str">
        <f>IF($B156="","",IF(COUNTIF('Competency Event Log'!$U$4:$U$803,$B156&amp;"|"&amp;AW$5)=0,"",SUMIF('Competency Event Log'!$U$4:$U$803,$B156&amp;"|"&amp;AW$5,'Competency Event Log'!$D$4:$D$803)))</f>
        <v/>
      </c>
      <c r="AX156" s="8" t="str">
        <f>IF($B156="","",IF(COUNTIF('Competency Event Log'!$U$4:$U$803,$B156&amp;"|"&amp;AX$5)=0,"",SUMIF('Competency Event Log'!$U$4:$U$803,$B156&amp;"|"&amp;AX$5,'Competency Event Log'!$D$4:$D$803)))</f>
        <v/>
      </c>
      <c r="AY156" s="8" t="str">
        <f>IF($B156="","",IF(COUNTIF('Competency Event Log'!$U$4:$U$803,$B156&amp;"|"&amp;AY$5)=0,"",SUMIF('Competency Event Log'!$U$4:$U$803,$B156&amp;"|"&amp;AY$5,'Competency Event Log'!$D$4:$D$803)))</f>
        <v/>
      </c>
      <c r="AZ156" s="8" t="str">
        <f>IF($B156="","",IF(COUNTIF('Competency Event Log'!$U$4:$U$803,$B156&amp;"|"&amp;AZ$5)=0,"",SUMIF('Competency Event Log'!$U$4:$U$803,$B156&amp;"|"&amp;AZ$5,'Competency Event Log'!$D$4:$D$803)))</f>
        <v/>
      </c>
      <c r="BA156" s="8" t="str">
        <f>IF($B156="","",IF(COUNTIF('Competency Event Log'!$U$4:$U$803,$B156&amp;"|"&amp;BA$5)=0,"",SUMIF('Competency Event Log'!$U$4:$U$803,$B156&amp;"|"&amp;BA$5,'Competency Event Log'!$D$4:$D$803)))</f>
        <v/>
      </c>
      <c r="BB156" s="8" t="str">
        <f>IF($B156="","",IF(COUNTIF('Competency Event Log'!$U$4:$U$803,$B156&amp;"|"&amp;BB$5)=0,"",SUMIF('Competency Event Log'!$U$4:$U$803,$B156&amp;"|"&amp;BB$5,'Competency Event Log'!$D$4:$D$803)))</f>
        <v/>
      </c>
      <c r="BC156" s="8" t="str">
        <f>IF($B156="","",IF(COUNTIF('Competency Event Log'!$U$4:$U$803,$B156&amp;"|"&amp;BC$5)=0,"",SUMIF('Competency Event Log'!$U$4:$U$803,$B156&amp;"|"&amp;BC$5,'Competency Event Log'!$D$4:$D$803)))</f>
        <v/>
      </c>
      <c r="BD156" s="8" t="str">
        <f>IF($B156="","",IF(COUNTIF('Competency Event Log'!$U$4:$U$803,$B156&amp;"|"&amp;BD$5)=0,"",SUMIF('Competency Event Log'!$U$4:$U$803,$B156&amp;"|"&amp;BD$5,'Competency Event Log'!$D$4:$D$803)))</f>
        <v/>
      </c>
      <c r="BE156" s="8" t="str">
        <f>IF($B156="","",IF(COUNTIF('Competency Event Log'!$U$4:$U$803,$B156&amp;"|"&amp;BE$5)=0,"",SUMIF('Competency Event Log'!$U$4:$U$803,$B156&amp;"|"&amp;BE$5,'Competency Event Log'!$D$4:$D$803)))</f>
        <v/>
      </c>
      <c r="BF156" s="8" t="str">
        <f>IF($B156="","",IF(COUNTIF('Competency Event Log'!$U$4:$U$803,$B156&amp;"|"&amp;BF$5)=0,"",SUMIF('Competency Event Log'!$U$4:$U$803,$B156&amp;"|"&amp;BF$5,'Competency Event Log'!$D$4:$D$803)))</f>
        <v/>
      </c>
      <c r="BG156" s="8" t="str">
        <f>IF($B156="","",IF(COUNTIF('Competency Event Log'!$U$4:$U$803,$B156&amp;"|"&amp;BG$5)=0,"",SUMIF('Competency Event Log'!$U$4:$U$803,$B156&amp;"|"&amp;BG$5,'Competency Event Log'!$D$4:$D$803)))</f>
        <v/>
      </c>
      <c r="BH156" s="8" t="str">
        <f>IF($B156="","",IF(COUNTIF('Competency Event Log'!$U$4:$U$803,$B156&amp;"|"&amp;BH$5)=0,"",SUMIF('Competency Event Log'!$U$4:$U$803,$B156&amp;"|"&amp;BH$5,'Competency Event Log'!$D$4:$D$803)))</f>
        <v/>
      </c>
      <c r="BI156" s="8" t="str">
        <f>IF($B156="","",IF(COUNTIF('Competency Event Log'!$U$4:$U$803,$B156&amp;"|"&amp;BI$5)=0,"",SUMIF('Competency Event Log'!$U$4:$U$803,$B156&amp;"|"&amp;BI$5,'Competency Event Log'!$D$4:$D$803)))</f>
        <v/>
      </c>
      <c r="BJ156" s="8" t="str">
        <f>IF($B156="","",IF(COUNTIF('Competency Event Log'!$U$4:$U$803,$B156&amp;"|"&amp;BJ$5)=0,"",SUMIF('Competency Event Log'!$U$4:$U$803,$B156&amp;"|"&amp;BJ$5,'Competency Event Log'!$D$4:$D$803)))</f>
        <v/>
      </c>
      <c r="BK156" s="8" t="str">
        <f>IF($B156="","",IF(COUNTIF('Competency Event Log'!$U$4:$U$803,$B156&amp;"|"&amp;BK$5)=0,"",SUMIF('Competency Event Log'!$U$4:$U$803,$B156&amp;"|"&amp;BK$5,'Competency Event Log'!$D$4:$D$803)))</f>
        <v/>
      </c>
      <c r="BL156" s="8" t="str">
        <f>IF($B156="","",IF(COUNTIF('Competency Event Log'!$U$4:$U$803,$B156&amp;"|"&amp;BL$5)=0,"",SUMIF('Competency Event Log'!$U$4:$U$803,$B156&amp;"|"&amp;BL$5,'Competency Event Log'!$D$4:$D$803)))</f>
        <v/>
      </c>
      <c r="BM156" s="8" t="str">
        <f>IF($B156="","",IF(COUNTIF('Competency Event Log'!$U$4:$U$803,$B156&amp;"|"&amp;BM$5)=0,"",SUMIF('Competency Event Log'!$U$4:$U$803,$B156&amp;"|"&amp;BM$5,'Competency Event Log'!$D$4:$D$803)))</f>
        <v/>
      </c>
      <c r="BN156" s="8" t="str">
        <f>IF($B156="","",IF(COUNTIF('Competency Event Log'!$U$4:$U$803,$B156&amp;"|"&amp;BN$5)=0,"",SUMIF('Competency Event Log'!$U$4:$U$803,$B156&amp;"|"&amp;BN$5,'Competency Event Log'!$D$4:$D$803)))</f>
        <v/>
      </c>
      <c r="BO156" s="8" t="str">
        <f>IF($B156="","",IF(COUNTIF('Competency Event Log'!$U$4:$U$803,$B156&amp;"|"&amp;BO$5)=0,"",SUMIF('Competency Event Log'!$U$4:$U$803,$B156&amp;"|"&amp;BO$5,'Competency Event Log'!$D$4:$D$803)))</f>
        <v/>
      </c>
      <c r="BP156" s="8" t="str">
        <f>IF($B156="","",IF(COUNTIF('Competency Event Log'!$U$4:$U$803,$B156&amp;"|"&amp;BP$5)=0,"",SUMIF('Competency Event Log'!$U$4:$U$803,$B156&amp;"|"&amp;BP$5,'Competency Event Log'!$D$4:$D$803)))</f>
        <v/>
      </c>
      <c r="BQ156" s="8" t="str">
        <f>IF($B156="","",IF(COUNTIF('Competency Event Log'!$U$4:$U$803,$B156&amp;"|"&amp;BQ$5)=0,"",SUMIF('Competency Event Log'!$U$4:$U$803,$B156&amp;"|"&amp;BQ$5,'Competency Event Log'!$D$4:$D$803)))</f>
        <v/>
      </c>
      <c r="BR156" s="8" t="str">
        <f>IF($B156="","",IF(COUNTIF('Competency Event Log'!$U$4:$U$803,$B156&amp;"|"&amp;BR$5)=0,"",SUMIF('Competency Event Log'!$U$4:$U$803,$B156&amp;"|"&amp;BR$5,'Competency Event Log'!$D$4:$D$803)))</f>
        <v/>
      </c>
      <c r="BS156" s="8" t="str">
        <f>IF($B156="","",IF(COUNTIF('Competency Event Log'!$U$4:$U$803,$B156&amp;"|"&amp;BS$5)=0,"",SUMIF('Competency Event Log'!$U$4:$U$803,$B156&amp;"|"&amp;BS$5,'Competency Event Log'!$D$4:$D$803)))</f>
        <v/>
      </c>
      <c r="BT156" s="8" t="str">
        <f>IF($B156="","",IF(COUNTIF('Competency Event Log'!$U$4:$U$803,$B156&amp;"|"&amp;BT$5)=0,"",SUMIF('Competency Event Log'!$U$4:$U$803,$B156&amp;"|"&amp;BT$5,'Competency Event Log'!$D$4:$D$803)))</f>
        <v/>
      </c>
      <c r="BU156" s="8" t="str">
        <f>IF($B156="","",IF(COUNTIF('Competency Event Log'!$U$4:$U$803,$B156&amp;"|"&amp;BU$5)=0,"",SUMIF('Competency Event Log'!$U$4:$U$803,$B156&amp;"|"&amp;BU$5,'Competency Event Log'!$D$4:$D$803)))</f>
        <v/>
      </c>
      <c r="BV156" s="8" t="str">
        <f>IF($B156="","",IF(COUNTIF('Competency Event Log'!$U$4:$U$803,$B156&amp;"|"&amp;BV$5)=0,"",SUMIF('Competency Event Log'!$U$4:$U$803,$B156&amp;"|"&amp;BV$5,'Competency Event Log'!$D$4:$D$803)))</f>
        <v/>
      </c>
      <c r="BW156" s="8" t="str">
        <f>IF($B156="","",IF(COUNTIF('Competency Event Log'!$U$4:$U$803,$B156&amp;"|"&amp;BW$5)=0,"",SUMIF('Competency Event Log'!$U$4:$U$803,$B156&amp;"|"&amp;BW$5,'Competency Event Log'!$D$4:$D$803)))</f>
        <v/>
      </c>
      <c r="BX156" s="8" t="str">
        <f>IF($B156="","",IF(COUNTIF('Competency Event Log'!$U$4:$U$803,$B156&amp;"|"&amp;BX$5)=0,"",SUMIF('Competency Event Log'!$U$4:$U$803,$B156&amp;"|"&amp;BX$5,'Competency Event Log'!$D$4:$D$803)))</f>
        <v/>
      </c>
      <c r="BY156" s="8" t="str">
        <f>IF($B156="","",IF(COUNTIF('Competency Event Log'!$U$4:$U$803,$B156&amp;"|"&amp;BY$5)=0,"",SUMIF('Competency Event Log'!$U$4:$U$803,$B156&amp;"|"&amp;BY$5,'Competency Event Log'!$D$4:$D$803)))</f>
        <v/>
      </c>
      <c r="BZ156" s="8" t="str">
        <f>IF($B156="","",IF(COUNTIF('Competency Event Log'!$U$4:$U$803,$B156&amp;"|"&amp;BZ$5)=0,"",SUMIF('Competency Event Log'!$U$4:$U$803,$B156&amp;"|"&amp;BZ$5,'Competency Event Log'!$D$4:$D$803)))</f>
        <v/>
      </c>
      <c r="CA156" s="8" t="str">
        <f>IF($B156="","",IF(COUNTIF('Competency Event Log'!$U$4:$U$803,$B156&amp;"|"&amp;CA$5)=0,"",SUMIF('Competency Event Log'!$U$4:$U$803,$B156&amp;"|"&amp;CA$5,'Competency Event Log'!$D$4:$D$803)))</f>
        <v/>
      </c>
      <c r="CB156" s="8" t="str">
        <f>IF($B156="","",IF(COUNTIF('Competency Event Log'!$U$4:$U$803,$B156&amp;"|"&amp;CB$5)=0,"",SUMIF('Competency Event Log'!$U$4:$U$803,$B156&amp;"|"&amp;CB$5,'Competency Event Log'!$D$4:$D$803)))</f>
        <v/>
      </c>
      <c r="CC156" s="8" t="str">
        <f>IF($B156="","",IF(COUNTIF('Competency Event Log'!$U$4:$U$803,$B156&amp;"|"&amp;CC$5)=0,"",SUMIF('Competency Event Log'!$U$4:$U$803,$B156&amp;"|"&amp;CC$5,'Competency Event Log'!$D$4:$D$803)))</f>
        <v/>
      </c>
      <c r="CD156" s="8" t="str">
        <f>IF($B156="","",IF(COUNTIF('Competency Event Log'!$U$4:$U$803,$B156&amp;"|"&amp;CD$5)=0,"",SUMIF('Competency Event Log'!$U$4:$U$803,$B156&amp;"|"&amp;CD$5,'Competency Event Log'!$D$4:$D$803)))</f>
        <v/>
      </c>
      <c r="CE156" s="8" t="str">
        <f>IF($B156="","",IF(COUNTIF('Competency Event Log'!$U$4:$U$803,$B156&amp;"|"&amp;CE$5)=0,"",SUMIF('Competency Event Log'!$U$4:$U$803,$B156&amp;"|"&amp;CE$5,'Competency Event Log'!$D$4:$D$803)))</f>
        <v/>
      </c>
      <c r="CF156" s="8" t="str">
        <f>IF($B156="","",IF(COUNTIF('Competency Event Log'!$U$4:$U$803,$B156&amp;"|"&amp;CF$5)=0,"",SUMIF('Competency Event Log'!$U$4:$U$803,$B156&amp;"|"&amp;CF$5,'Competency Event Log'!$D$4:$D$803)))</f>
        <v/>
      </c>
      <c r="CG156" s="8" t="str">
        <f>IF($B156="","",IF(COUNTIF('Competency Event Log'!$U$4:$U$803,$B156&amp;"|"&amp;CG$5)=0,"",SUMIF('Competency Event Log'!$U$4:$U$803,$B156&amp;"|"&amp;CG$5,'Competency Event Log'!$D$4:$D$803)))</f>
        <v/>
      </c>
      <c r="CH156" s="8" t="str">
        <f>IF($B156="","",IF(COUNTIF('Competency Event Log'!$U$4:$U$803,$B156&amp;"|"&amp;CH$5)=0,"",SUMIF('Competency Event Log'!$U$4:$U$803,$B156&amp;"|"&amp;CH$5,'Competency Event Log'!$D$4:$D$803)))</f>
        <v/>
      </c>
      <c r="CI156" s="8" t="str">
        <f>IF($B156="","",IF(COUNTIF('Competency Event Log'!$U$4:$U$803,$B156&amp;"|"&amp;CI$5)=0,"",SUMIF('Competency Event Log'!$U$4:$U$803,$B156&amp;"|"&amp;CI$5,'Competency Event Log'!$D$4:$D$803)))</f>
        <v/>
      </c>
      <c r="CJ156" s="8" t="str">
        <f>IF($B156="","",IF(COUNTIF('Competency Event Log'!$U$4:$U$803,$B156&amp;"|"&amp;CJ$5)=0,"",SUMIF('Competency Event Log'!$U$4:$U$803,$B156&amp;"|"&amp;CJ$5,'Competency Event Log'!$D$4:$D$803)))</f>
        <v/>
      </c>
      <c r="CK156" s="8" t="str">
        <f>IF($B156="","",IF(COUNTIF('Competency Event Log'!$U$4:$U$803,$B156&amp;"|"&amp;CK$5)=0,"",SUMIF('Competency Event Log'!$U$4:$U$803,$B156&amp;"|"&amp;CK$5,'Competency Event Log'!$D$4:$D$803)))</f>
        <v/>
      </c>
      <c r="CL156" s="8" t="str">
        <f>IF($B156="","",IF(COUNTIF('Competency Event Log'!$U$4:$U$803,$B156&amp;"|"&amp;CL$5)=0,"",SUMIF('Competency Event Log'!$U$4:$U$803,$B156&amp;"|"&amp;CL$5,'Competency Event Log'!$D$4:$D$803)))</f>
        <v/>
      </c>
      <c r="CM156" s="8" t="str">
        <f>IF($B156="","",IF(COUNTIF('Competency Event Log'!$U$4:$U$803,$B156&amp;"|"&amp;CM$5)=0,"",SUMIF('Competency Event Log'!$U$4:$U$803,$B156&amp;"|"&amp;CM$5,'Competency Event Log'!$D$4:$D$803)))</f>
        <v/>
      </c>
      <c r="CN156" s="8" t="str">
        <f>IF($B156="","",IF(COUNTIF('Competency Event Log'!$U$4:$U$803,$B156&amp;"|"&amp;CN$5)=0,"",SUMIF('Competency Event Log'!$U$4:$U$803,$B156&amp;"|"&amp;CN$5,'Competency Event Log'!$D$4:$D$803)))</f>
        <v/>
      </c>
      <c r="CO156" s="8" t="str">
        <f>IF($B156="","",IF(COUNTIF('Competency Event Log'!$U$4:$U$803,$B156&amp;"|"&amp;CO$5)=0,"",SUMIF('Competency Event Log'!$U$4:$U$803,$B156&amp;"|"&amp;CO$5,'Competency Event Log'!$D$4:$D$803)))</f>
        <v/>
      </c>
      <c r="CP156" s="8" t="str">
        <f>IF($B156="","",IF(COUNTIF('Competency Event Log'!$U$4:$U$803,$B156&amp;"|"&amp;CP$5)=0,"",SUMIF('Competency Event Log'!$U$4:$U$803,$B156&amp;"|"&amp;CP$5,'Competency Event Log'!$D$4:$D$803)))</f>
        <v/>
      </c>
      <c r="CQ156" s="8" t="str">
        <f>IF($B156="","",IF(COUNTIF('Competency Event Log'!$U$4:$U$803,$B156&amp;"|"&amp;CQ$5)=0,"",SUMIF('Competency Event Log'!$U$4:$U$803,$B156&amp;"|"&amp;CQ$5,'Competency Event Log'!$D$4:$D$803)))</f>
        <v/>
      </c>
      <c r="CR156" s="8" t="str">
        <f>IF($B156="","",IF(COUNTIF('Competency Event Log'!$U$4:$U$803,$B156&amp;"|"&amp;CR$5)=0,"",SUMIF('Competency Event Log'!$U$4:$U$803,$B156&amp;"|"&amp;CR$5,'Competency Event Log'!$D$4:$D$803)))</f>
        <v/>
      </c>
      <c r="CS156" s="8" t="str">
        <f>IF($B156="","",IF(COUNTIF('Competency Event Log'!$U$4:$U$803,$B156&amp;"|"&amp;CS$5)=0,"",SUMIF('Competency Event Log'!$U$4:$U$803,$B156&amp;"|"&amp;CS$5,'Competency Event Log'!$D$4:$D$803)))</f>
        <v/>
      </c>
      <c r="CT156" s="8" t="str">
        <f>IF($B156="","",IF(COUNTIF('Competency Event Log'!$U$4:$U$803,$B156&amp;"|"&amp;CT$5)=0,"",SUMIF('Competency Event Log'!$U$4:$U$803,$B156&amp;"|"&amp;CT$5,'Competency Event Log'!$D$4:$D$803)))</f>
        <v/>
      </c>
      <c r="CU156" s="8" t="str">
        <f>IF($B156="","",IF(COUNTIF('Competency Event Log'!$U$4:$U$803,$B156&amp;"|"&amp;CU$5)=0,"",SUMIF('Competency Event Log'!$U$4:$U$803,$B156&amp;"|"&amp;CU$5,'Competency Event Log'!$D$4:$D$803)))</f>
        <v/>
      </c>
      <c r="CV156" s="8" t="str">
        <f>IF($B156="","",IF(COUNTIF('Competency Event Log'!$U$4:$U$803,$B156&amp;"|"&amp;CV$5)=0,"",SUMIF('Competency Event Log'!$U$4:$U$803,$B156&amp;"|"&amp;CV$5,'Competency Event Log'!$D$4:$D$803)))</f>
        <v/>
      </c>
      <c r="CW156" s="8" t="str">
        <f>IF($B156="","",IF(COUNTIF('Competency Event Log'!$U$4:$U$803,$B156&amp;"|"&amp;CW$5)=0,"",SUMIF('Competency Event Log'!$U$4:$U$803,$B156&amp;"|"&amp;CW$5,'Competency Event Log'!$D$4:$D$803)))</f>
        <v/>
      </c>
      <c r="CX156" s="8" t="str">
        <f>IF($B156="","",IF(COUNTIF('Competency Event Log'!$U$4:$U$803,$B156&amp;"|"&amp;CX$5)=0,"",SUMIF('Competency Event Log'!$U$4:$U$803,$B156&amp;"|"&amp;CX$5,'Competency Event Log'!$D$4:$D$803)))</f>
        <v/>
      </c>
      <c r="CY156" s="8" t="str">
        <f>IF($B156="","",IF(COUNTIF('Competency Event Log'!$U$4:$U$803,$B156&amp;"|"&amp;CY$5)=0,"",SUMIF('Competency Event Log'!$U$4:$U$803,$B156&amp;"|"&amp;CY$5,'Competency Event Log'!$D$4:$D$803)))</f>
        <v/>
      </c>
      <c r="CZ156" s="8" t="str">
        <f>IF($B156="","",IF(COUNTIF('Competency Event Log'!$U$4:$U$803,$B156&amp;"|"&amp;CZ$5)=0,"",SUMIF('Competency Event Log'!$U$4:$U$803,$B156&amp;"|"&amp;CZ$5,'Competency Event Log'!$D$4:$D$803)))</f>
        <v/>
      </c>
      <c r="DA156" s="8" t="str">
        <f>IF($B156="","",IF(COUNTIF('Competency Event Log'!$U$4:$U$803,$B156&amp;"|"&amp;DA$5)=0,"",SUMIF('Competency Event Log'!$U$4:$U$803,$B156&amp;"|"&amp;DA$5,'Competency Event Log'!$D$4:$D$803)))</f>
        <v/>
      </c>
      <c r="DB156" s="8" t="str">
        <f>IF($B156="","",IF(COUNTIF('Competency Event Log'!$U$4:$U$803,$B156&amp;"|"&amp;DB$5)=0,"",SUMIF('Competency Event Log'!$U$4:$U$803,$B156&amp;"|"&amp;DB$5,'Competency Event Log'!$D$4:$D$803)))</f>
        <v/>
      </c>
      <c r="DC156" s="8" t="str">
        <f>IF($B156="","",IF(COUNTIF('Competency Event Log'!$U$4:$U$803,$B156&amp;"|"&amp;DC$5)=0,"",SUMIF('Competency Event Log'!$U$4:$U$803,$B156&amp;"|"&amp;DC$5,'Competency Event Log'!$D$4:$D$803)))</f>
        <v/>
      </c>
      <c r="DD156" s="8" t="str">
        <f>IF($B156="","",IF(COUNTIF('Competency Event Log'!$U$4:$U$803,$B156&amp;"|"&amp;DD$5)=0,"",SUMIF('Competency Event Log'!$U$4:$U$803,$B156&amp;"|"&amp;DD$5,'Competency Event Log'!$D$4:$D$803)))</f>
        <v/>
      </c>
      <c r="DE156" s="8" t="str">
        <f>IF($B156="","",IF(COUNTIF('Competency Event Log'!$U$4:$U$803,$B156&amp;"|"&amp;DE$5)=0,"",SUMIF('Competency Event Log'!$U$4:$U$803,$B156&amp;"|"&amp;DE$5,'Competency Event Log'!$D$4:$D$803)))</f>
        <v/>
      </c>
      <c r="DF156" s="8" t="str">
        <f t="shared" si="16"/>
        <v/>
      </c>
      <c r="DG156" s="8" t="str">
        <f t="shared" si="17"/>
        <v/>
      </c>
      <c r="DH156" s="8" t="str">
        <f t="shared" si="18"/>
        <v/>
      </c>
      <c r="DI156" s="11" t="str">
        <f t="shared" si="19"/>
        <v/>
      </c>
    </row>
    <row r="157" spans="1:113">
      <c r="A157" s="7"/>
      <c r="B157" s="7"/>
      <c r="C157" s="8"/>
      <c r="D157" s="9"/>
      <c r="E157" s="10"/>
      <c r="F157" s="8"/>
      <c r="G157" s="8" t="str">
        <f>IF($B157="","",IF(COUNTIF('Competency Event Log'!$U$4:$U$803,$B157&amp;"|"&amp;G$5)=0,"",SUMIF('Competency Event Log'!$U$4:$U$803,$B157&amp;"|"&amp;G$5,'Competency Event Log'!$D$4:$D$803)))</f>
        <v/>
      </c>
      <c r="H157" s="8" t="str">
        <f>IF($B157="","",IF(COUNTIF('Competency Event Log'!$U$4:$U$803,$B157&amp;"|"&amp;H$5)=0,"",SUMIF('Competency Event Log'!$U$4:$U$803,$B157&amp;"|"&amp;H$5,'Competency Event Log'!$D$4:$D$803)))</f>
        <v/>
      </c>
      <c r="I157" s="8" t="str">
        <f>IF($B157="","",IF(COUNTIF('Competency Event Log'!$U$4:$U$803,$B157&amp;"|"&amp;I$5)=0,"",SUMIF('Competency Event Log'!$U$4:$U$803,$B157&amp;"|"&amp;I$5,'Competency Event Log'!$D$4:$D$803)))</f>
        <v/>
      </c>
      <c r="J157" s="8" t="str">
        <f>IF($B157="","",IF(COUNTIF('Competency Event Log'!$U$4:$U$803,$B157&amp;"|"&amp;J$5)=0,"",SUMIF('Competency Event Log'!$U$4:$U$803,$B157&amp;"|"&amp;J$5,'Competency Event Log'!$D$4:$D$803)))</f>
        <v/>
      </c>
      <c r="K157" s="8" t="str">
        <f>IF($B157="","",IF(COUNTIF('Competency Event Log'!$U$4:$U$803,$B157&amp;"|"&amp;K$5)=0,"",SUMIF('Competency Event Log'!$U$4:$U$803,$B157&amp;"|"&amp;K$5,'Competency Event Log'!$D$4:$D$803)))</f>
        <v/>
      </c>
      <c r="L157" s="8" t="str">
        <f>IF($B157="","",IF(COUNTIF('Competency Event Log'!$U$4:$U$803,$B157&amp;"|"&amp;L$5)=0,"",SUMIF('Competency Event Log'!$U$4:$U$803,$B157&amp;"|"&amp;L$5,'Competency Event Log'!$D$4:$D$803)))</f>
        <v/>
      </c>
      <c r="M157" s="8" t="str">
        <f>IF($B157="","",IF(COUNTIF('Competency Event Log'!$U$4:$U$803,$B157&amp;"|"&amp;M$5)=0,"",SUMIF('Competency Event Log'!$U$4:$U$803,$B157&amp;"|"&amp;M$5,'Competency Event Log'!$D$4:$D$803)))</f>
        <v/>
      </c>
      <c r="N157" s="8" t="str">
        <f>IF($B157="","",IF(COUNTIF('Competency Event Log'!$U$4:$U$803,$B157&amp;"|"&amp;N$5)=0,"",SUMIF('Competency Event Log'!$U$4:$U$803,$B157&amp;"|"&amp;N$5,'Competency Event Log'!$D$4:$D$803)))</f>
        <v/>
      </c>
      <c r="O157" s="8" t="str">
        <f>IF($B157="","",IF(COUNTIF('Competency Event Log'!$U$4:$U$803,$B157&amp;"|"&amp;O$5)=0,"",SUMIF('Competency Event Log'!$U$4:$U$803,$B157&amp;"|"&amp;O$5,'Competency Event Log'!$D$4:$D$803)))</f>
        <v/>
      </c>
      <c r="P157" s="8" t="str">
        <f>IF($B157="","",IF(COUNTIF('Competency Event Log'!$U$4:$U$803,$B157&amp;"|"&amp;P$5)=0,"",SUMIF('Competency Event Log'!$U$4:$U$803,$B157&amp;"|"&amp;P$5,'Competency Event Log'!$D$4:$D$803)))</f>
        <v/>
      </c>
      <c r="Q157" s="8" t="str">
        <f>IF($B157="","",IF(COUNTIF('Competency Event Log'!$U$4:$U$803,$B157&amp;"|"&amp;Q$5)=0,"",SUMIF('Competency Event Log'!$U$4:$U$803,$B157&amp;"|"&amp;Q$5,'Competency Event Log'!$D$4:$D$803)))</f>
        <v/>
      </c>
      <c r="R157" s="8" t="str">
        <f>IF($B157="","",IF(COUNTIF('Competency Event Log'!$U$4:$U$803,$B157&amp;"|"&amp;R$5)=0,"",SUMIF('Competency Event Log'!$U$4:$U$803,$B157&amp;"|"&amp;R$5,'Competency Event Log'!$D$4:$D$803)))</f>
        <v/>
      </c>
      <c r="S157" s="8" t="str">
        <f>IF($B157="","",IF(COUNTIF('Competency Event Log'!$U$4:$U$803,$B157&amp;"|"&amp;S$5)=0,"",SUMIF('Competency Event Log'!$U$4:$U$803,$B157&amp;"|"&amp;S$5,'Competency Event Log'!$D$4:$D$803)))</f>
        <v/>
      </c>
      <c r="T157" s="8" t="str">
        <f>IF($B157="","",IF(COUNTIF('Competency Event Log'!$U$4:$U$803,$B157&amp;"|"&amp;T$5)=0,"",SUMIF('Competency Event Log'!$U$4:$U$803,$B157&amp;"|"&amp;T$5,'Competency Event Log'!$D$4:$D$803)))</f>
        <v/>
      </c>
      <c r="U157" s="8" t="str">
        <f>IF($B157="","",IF(COUNTIF('Competency Event Log'!$U$4:$U$803,$B157&amp;"|"&amp;U$5)=0,"",SUMIF('Competency Event Log'!$U$4:$U$803,$B157&amp;"|"&amp;U$5,'Competency Event Log'!$D$4:$D$803)))</f>
        <v/>
      </c>
      <c r="V157" s="8" t="str">
        <f>IF($B157="","",IF(COUNTIF('Competency Event Log'!$U$4:$U$803,$B157&amp;"|"&amp;V$5)=0,"",SUMIF('Competency Event Log'!$U$4:$U$803,$B157&amp;"|"&amp;V$5,'Competency Event Log'!$D$4:$D$803)))</f>
        <v/>
      </c>
      <c r="W157" s="8" t="str">
        <f>IF($B157="","",IF(COUNTIF('Competency Event Log'!$U$4:$U$803,$B157&amp;"|"&amp;W$5)=0,"",SUMIF('Competency Event Log'!$U$4:$U$803,$B157&amp;"|"&amp;W$5,'Competency Event Log'!$D$4:$D$803)))</f>
        <v/>
      </c>
      <c r="X157" s="8" t="str">
        <f>IF($B157="","",IF(COUNTIF('Competency Event Log'!$U$4:$U$803,$B157&amp;"|"&amp;X$5)=0,"",SUMIF('Competency Event Log'!$U$4:$U$803,$B157&amp;"|"&amp;X$5,'Competency Event Log'!$D$4:$D$803)))</f>
        <v/>
      </c>
      <c r="Y157" s="8" t="str">
        <f>IF($B157="","",IF(COUNTIF('Competency Event Log'!$U$4:$U$803,$B157&amp;"|"&amp;Y$5)=0,"",SUMIF('Competency Event Log'!$U$4:$U$803,$B157&amp;"|"&amp;Y$5,'Competency Event Log'!$D$4:$D$803)))</f>
        <v/>
      </c>
      <c r="Z157" s="8" t="str">
        <f>IF($B157="","",IF(COUNTIF('Competency Event Log'!$U$4:$U$803,$B157&amp;"|"&amp;Z$5)=0,"",SUMIF('Competency Event Log'!$U$4:$U$803,$B157&amp;"|"&amp;Z$5,'Competency Event Log'!$D$4:$D$803)))</f>
        <v/>
      </c>
      <c r="AA157" s="8" t="str">
        <f>IF($B157="","",IF(COUNTIF('Competency Event Log'!$U$4:$U$803,$B157&amp;"|"&amp;AA$5)=0,"",SUMIF('Competency Event Log'!$U$4:$U$803,$B157&amp;"|"&amp;AA$5,'Competency Event Log'!$D$4:$D$803)))</f>
        <v/>
      </c>
      <c r="AB157" s="8" t="str">
        <f>IF($B157="","",IF(COUNTIF('Competency Event Log'!$U$4:$U$803,$B157&amp;"|"&amp;AB$5)=0,"",SUMIF('Competency Event Log'!$U$4:$U$803,$B157&amp;"|"&amp;AB$5,'Competency Event Log'!$D$4:$D$803)))</f>
        <v/>
      </c>
      <c r="AC157" s="8" t="str">
        <f>IF($B157="","",IF(COUNTIF('Competency Event Log'!$U$4:$U$803,$B157&amp;"|"&amp;AC$5)=0,"",SUMIF('Competency Event Log'!$U$4:$U$803,$B157&amp;"|"&amp;AC$5,'Competency Event Log'!$D$4:$D$803)))</f>
        <v/>
      </c>
      <c r="AD157" s="8" t="str">
        <f>IF($B157="","",IF(COUNTIF('Competency Event Log'!$U$4:$U$803,$B157&amp;"|"&amp;AD$5)=0,"",SUMIF('Competency Event Log'!$U$4:$U$803,$B157&amp;"|"&amp;AD$5,'Competency Event Log'!$D$4:$D$803)))</f>
        <v/>
      </c>
      <c r="AE157" s="8" t="str">
        <f>IF($B157="","",IF(COUNTIF('Competency Event Log'!$U$4:$U$803,$B157&amp;"|"&amp;AE$5)=0,"",SUMIF('Competency Event Log'!$U$4:$U$803,$B157&amp;"|"&amp;AE$5,'Competency Event Log'!$D$4:$D$803)))</f>
        <v/>
      </c>
      <c r="AF157" s="8" t="str">
        <f>IF($B157="","",IF(COUNTIF('Competency Event Log'!$U$4:$U$803,$B157&amp;"|"&amp;AF$5)=0,"",SUMIF('Competency Event Log'!$U$4:$U$803,$B157&amp;"|"&amp;AF$5,'Competency Event Log'!$D$4:$D$803)))</f>
        <v/>
      </c>
      <c r="AG157" s="8" t="str">
        <f>IF($B157="","",IF(COUNTIF('Competency Event Log'!$U$4:$U$803,$B157&amp;"|"&amp;AG$5)=0,"",SUMIF('Competency Event Log'!$U$4:$U$803,$B157&amp;"|"&amp;AG$5,'Competency Event Log'!$D$4:$D$803)))</f>
        <v/>
      </c>
      <c r="AH157" s="8" t="str">
        <f>IF($B157="","",IF(COUNTIF('Competency Event Log'!$U$4:$U$803,$B157&amp;"|"&amp;AH$5)=0,"",SUMIF('Competency Event Log'!$U$4:$U$803,$B157&amp;"|"&amp;AH$5,'Competency Event Log'!$D$4:$D$803)))</f>
        <v/>
      </c>
      <c r="AI157" s="8" t="str">
        <f>IF($B157="","",IF(COUNTIF('Competency Event Log'!$U$4:$U$803,$B157&amp;"|"&amp;AI$5)=0,"",SUMIF('Competency Event Log'!$U$4:$U$803,$B157&amp;"|"&amp;AI$5,'Competency Event Log'!$D$4:$D$803)))</f>
        <v/>
      </c>
      <c r="AJ157" s="8" t="str">
        <f>IF($B157="","",IF(COUNTIF('Competency Event Log'!$U$4:$U$803,$B157&amp;"|"&amp;AJ$5)=0,"",SUMIF('Competency Event Log'!$U$4:$U$803,$B157&amp;"|"&amp;AJ$5,'Competency Event Log'!$D$4:$D$803)))</f>
        <v/>
      </c>
      <c r="AK157" s="8" t="str">
        <f>IF($B157="","",IF(COUNTIF('Competency Event Log'!$U$4:$U$803,$B157&amp;"|"&amp;AK$5)=0,"",SUMIF('Competency Event Log'!$U$4:$U$803,$B157&amp;"|"&amp;AK$5,'Competency Event Log'!$D$4:$D$803)))</f>
        <v/>
      </c>
      <c r="AL157" s="8" t="str">
        <f>IF($B157="","",IF(COUNTIF('Competency Event Log'!$U$4:$U$803,$B157&amp;"|"&amp;AL$5)=0,"",SUMIF('Competency Event Log'!$U$4:$U$803,$B157&amp;"|"&amp;AL$5,'Competency Event Log'!$D$4:$D$803)))</f>
        <v/>
      </c>
      <c r="AM157" s="8" t="str">
        <f>IF($B157="","",IF(COUNTIF('Competency Event Log'!$U$4:$U$803,$B157&amp;"|"&amp;AM$5)=0,"",SUMIF('Competency Event Log'!$U$4:$U$803,$B157&amp;"|"&amp;AM$5,'Competency Event Log'!$D$4:$D$803)))</f>
        <v/>
      </c>
      <c r="AN157" s="8" t="str">
        <f>IF($B157="","",IF(COUNTIF('Competency Event Log'!$U$4:$U$803,$B157&amp;"|"&amp;AN$5)=0,"",SUMIF('Competency Event Log'!$U$4:$U$803,$B157&amp;"|"&amp;AN$5,'Competency Event Log'!$D$4:$D$803)))</f>
        <v/>
      </c>
      <c r="AO157" s="8" t="str">
        <f>IF($B157="","",IF(COUNTIF('Competency Event Log'!$U$4:$U$803,$B157&amp;"|"&amp;AO$5)=0,"",SUMIF('Competency Event Log'!$U$4:$U$803,$B157&amp;"|"&amp;AO$5,'Competency Event Log'!$D$4:$D$803)))</f>
        <v/>
      </c>
      <c r="AP157" s="8" t="str">
        <f>IF($B157="","",IF(COUNTIF('Competency Event Log'!$U$4:$U$803,$B157&amp;"|"&amp;AP$5)=0,"",SUMIF('Competency Event Log'!$U$4:$U$803,$B157&amp;"|"&amp;AP$5,'Competency Event Log'!$D$4:$D$803)))</f>
        <v/>
      </c>
      <c r="AQ157" s="8" t="str">
        <f>IF($B157="","",IF(COUNTIF('Competency Event Log'!$U$4:$U$803,$B157&amp;"|"&amp;AQ$5)=0,"",SUMIF('Competency Event Log'!$U$4:$U$803,$B157&amp;"|"&amp;AQ$5,'Competency Event Log'!$D$4:$D$803)))</f>
        <v/>
      </c>
      <c r="AR157" s="8" t="str">
        <f>IF($B157="","",IF(COUNTIF('Competency Event Log'!$U$4:$U$803,$B157&amp;"|"&amp;AR$5)=0,"",SUMIF('Competency Event Log'!$U$4:$U$803,$B157&amp;"|"&amp;AR$5,'Competency Event Log'!$D$4:$D$803)))</f>
        <v/>
      </c>
      <c r="AS157" s="8" t="str">
        <f>IF($B157="","",IF(COUNTIF('Competency Event Log'!$U$4:$U$803,$B157&amp;"|"&amp;AS$5)=0,"",SUMIF('Competency Event Log'!$U$4:$U$803,$B157&amp;"|"&amp;AS$5,'Competency Event Log'!$D$4:$D$803)))</f>
        <v/>
      </c>
      <c r="AT157" s="8" t="str">
        <f>IF($B157="","",IF(COUNTIF('Competency Event Log'!$U$4:$U$803,$B157&amp;"|"&amp;AT$5)=0,"",SUMIF('Competency Event Log'!$U$4:$U$803,$B157&amp;"|"&amp;AT$5,'Competency Event Log'!$D$4:$D$803)))</f>
        <v/>
      </c>
      <c r="AU157" s="8" t="str">
        <f>IF($B157="","",IF(COUNTIF('Competency Event Log'!$U$4:$U$803,$B157&amp;"|"&amp;AU$5)=0,"",SUMIF('Competency Event Log'!$U$4:$U$803,$B157&amp;"|"&amp;AU$5,'Competency Event Log'!$D$4:$D$803)))</f>
        <v/>
      </c>
      <c r="AV157" s="8" t="str">
        <f>IF($B157="","",IF(COUNTIF('Competency Event Log'!$U$4:$U$803,$B157&amp;"|"&amp;AV$5)=0,"",SUMIF('Competency Event Log'!$U$4:$U$803,$B157&amp;"|"&amp;AV$5,'Competency Event Log'!$D$4:$D$803)))</f>
        <v/>
      </c>
      <c r="AW157" s="8" t="str">
        <f>IF($B157="","",IF(COUNTIF('Competency Event Log'!$U$4:$U$803,$B157&amp;"|"&amp;AW$5)=0,"",SUMIF('Competency Event Log'!$U$4:$U$803,$B157&amp;"|"&amp;AW$5,'Competency Event Log'!$D$4:$D$803)))</f>
        <v/>
      </c>
      <c r="AX157" s="8" t="str">
        <f>IF($B157="","",IF(COUNTIF('Competency Event Log'!$U$4:$U$803,$B157&amp;"|"&amp;AX$5)=0,"",SUMIF('Competency Event Log'!$U$4:$U$803,$B157&amp;"|"&amp;AX$5,'Competency Event Log'!$D$4:$D$803)))</f>
        <v/>
      </c>
      <c r="AY157" s="8" t="str">
        <f>IF($B157="","",IF(COUNTIF('Competency Event Log'!$U$4:$U$803,$B157&amp;"|"&amp;AY$5)=0,"",SUMIF('Competency Event Log'!$U$4:$U$803,$B157&amp;"|"&amp;AY$5,'Competency Event Log'!$D$4:$D$803)))</f>
        <v/>
      </c>
      <c r="AZ157" s="8" t="str">
        <f>IF($B157="","",IF(COUNTIF('Competency Event Log'!$U$4:$U$803,$B157&amp;"|"&amp;AZ$5)=0,"",SUMIF('Competency Event Log'!$U$4:$U$803,$B157&amp;"|"&amp;AZ$5,'Competency Event Log'!$D$4:$D$803)))</f>
        <v/>
      </c>
      <c r="BA157" s="8" t="str">
        <f>IF($B157="","",IF(COUNTIF('Competency Event Log'!$U$4:$U$803,$B157&amp;"|"&amp;BA$5)=0,"",SUMIF('Competency Event Log'!$U$4:$U$803,$B157&amp;"|"&amp;BA$5,'Competency Event Log'!$D$4:$D$803)))</f>
        <v/>
      </c>
      <c r="BB157" s="8" t="str">
        <f>IF($B157="","",IF(COUNTIF('Competency Event Log'!$U$4:$U$803,$B157&amp;"|"&amp;BB$5)=0,"",SUMIF('Competency Event Log'!$U$4:$U$803,$B157&amp;"|"&amp;BB$5,'Competency Event Log'!$D$4:$D$803)))</f>
        <v/>
      </c>
      <c r="BC157" s="8" t="str">
        <f>IF($B157="","",IF(COUNTIF('Competency Event Log'!$U$4:$U$803,$B157&amp;"|"&amp;BC$5)=0,"",SUMIF('Competency Event Log'!$U$4:$U$803,$B157&amp;"|"&amp;BC$5,'Competency Event Log'!$D$4:$D$803)))</f>
        <v/>
      </c>
      <c r="BD157" s="8" t="str">
        <f>IF($B157="","",IF(COUNTIF('Competency Event Log'!$U$4:$U$803,$B157&amp;"|"&amp;BD$5)=0,"",SUMIF('Competency Event Log'!$U$4:$U$803,$B157&amp;"|"&amp;BD$5,'Competency Event Log'!$D$4:$D$803)))</f>
        <v/>
      </c>
      <c r="BE157" s="8" t="str">
        <f>IF($B157="","",IF(COUNTIF('Competency Event Log'!$U$4:$U$803,$B157&amp;"|"&amp;BE$5)=0,"",SUMIF('Competency Event Log'!$U$4:$U$803,$B157&amp;"|"&amp;BE$5,'Competency Event Log'!$D$4:$D$803)))</f>
        <v/>
      </c>
      <c r="BF157" s="8" t="str">
        <f>IF($B157="","",IF(COUNTIF('Competency Event Log'!$U$4:$U$803,$B157&amp;"|"&amp;BF$5)=0,"",SUMIF('Competency Event Log'!$U$4:$U$803,$B157&amp;"|"&amp;BF$5,'Competency Event Log'!$D$4:$D$803)))</f>
        <v/>
      </c>
      <c r="BG157" s="8" t="str">
        <f>IF($B157="","",IF(COUNTIF('Competency Event Log'!$U$4:$U$803,$B157&amp;"|"&amp;BG$5)=0,"",SUMIF('Competency Event Log'!$U$4:$U$803,$B157&amp;"|"&amp;BG$5,'Competency Event Log'!$D$4:$D$803)))</f>
        <v/>
      </c>
      <c r="BH157" s="8" t="str">
        <f>IF($B157="","",IF(COUNTIF('Competency Event Log'!$U$4:$U$803,$B157&amp;"|"&amp;BH$5)=0,"",SUMIF('Competency Event Log'!$U$4:$U$803,$B157&amp;"|"&amp;BH$5,'Competency Event Log'!$D$4:$D$803)))</f>
        <v/>
      </c>
      <c r="BI157" s="8" t="str">
        <f>IF($B157="","",IF(COUNTIF('Competency Event Log'!$U$4:$U$803,$B157&amp;"|"&amp;BI$5)=0,"",SUMIF('Competency Event Log'!$U$4:$U$803,$B157&amp;"|"&amp;BI$5,'Competency Event Log'!$D$4:$D$803)))</f>
        <v/>
      </c>
      <c r="BJ157" s="8" t="str">
        <f>IF($B157="","",IF(COUNTIF('Competency Event Log'!$U$4:$U$803,$B157&amp;"|"&amp;BJ$5)=0,"",SUMIF('Competency Event Log'!$U$4:$U$803,$B157&amp;"|"&amp;BJ$5,'Competency Event Log'!$D$4:$D$803)))</f>
        <v/>
      </c>
      <c r="BK157" s="8" t="str">
        <f>IF($B157="","",IF(COUNTIF('Competency Event Log'!$U$4:$U$803,$B157&amp;"|"&amp;BK$5)=0,"",SUMIF('Competency Event Log'!$U$4:$U$803,$B157&amp;"|"&amp;BK$5,'Competency Event Log'!$D$4:$D$803)))</f>
        <v/>
      </c>
      <c r="BL157" s="8" t="str">
        <f>IF($B157="","",IF(COUNTIF('Competency Event Log'!$U$4:$U$803,$B157&amp;"|"&amp;BL$5)=0,"",SUMIF('Competency Event Log'!$U$4:$U$803,$B157&amp;"|"&amp;BL$5,'Competency Event Log'!$D$4:$D$803)))</f>
        <v/>
      </c>
      <c r="BM157" s="8" t="str">
        <f>IF($B157="","",IF(COUNTIF('Competency Event Log'!$U$4:$U$803,$B157&amp;"|"&amp;BM$5)=0,"",SUMIF('Competency Event Log'!$U$4:$U$803,$B157&amp;"|"&amp;BM$5,'Competency Event Log'!$D$4:$D$803)))</f>
        <v/>
      </c>
      <c r="BN157" s="8" t="str">
        <f>IF($B157="","",IF(COUNTIF('Competency Event Log'!$U$4:$U$803,$B157&amp;"|"&amp;BN$5)=0,"",SUMIF('Competency Event Log'!$U$4:$U$803,$B157&amp;"|"&amp;BN$5,'Competency Event Log'!$D$4:$D$803)))</f>
        <v/>
      </c>
      <c r="BO157" s="8" t="str">
        <f>IF($B157="","",IF(COUNTIF('Competency Event Log'!$U$4:$U$803,$B157&amp;"|"&amp;BO$5)=0,"",SUMIF('Competency Event Log'!$U$4:$U$803,$B157&amp;"|"&amp;BO$5,'Competency Event Log'!$D$4:$D$803)))</f>
        <v/>
      </c>
      <c r="BP157" s="8" t="str">
        <f>IF($B157="","",IF(COUNTIF('Competency Event Log'!$U$4:$U$803,$B157&amp;"|"&amp;BP$5)=0,"",SUMIF('Competency Event Log'!$U$4:$U$803,$B157&amp;"|"&amp;BP$5,'Competency Event Log'!$D$4:$D$803)))</f>
        <v/>
      </c>
      <c r="BQ157" s="8" t="str">
        <f>IF($B157="","",IF(COUNTIF('Competency Event Log'!$U$4:$U$803,$B157&amp;"|"&amp;BQ$5)=0,"",SUMIF('Competency Event Log'!$U$4:$U$803,$B157&amp;"|"&amp;BQ$5,'Competency Event Log'!$D$4:$D$803)))</f>
        <v/>
      </c>
      <c r="BR157" s="8" t="str">
        <f>IF($B157="","",IF(COUNTIF('Competency Event Log'!$U$4:$U$803,$B157&amp;"|"&amp;BR$5)=0,"",SUMIF('Competency Event Log'!$U$4:$U$803,$B157&amp;"|"&amp;BR$5,'Competency Event Log'!$D$4:$D$803)))</f>
        <v/>
      </c>
      <c r="BS157" s="8" t="str">
        <f>IF($B157="","",IF(COUNTIF('Competency Event Log'!$U$4:$U$803,$B157&amp;"|"&amp;BS$5)=0,"",SUMIF('Competency Event Log'!$U$4:$U$803,$B157&amp;"|"&amp;BS$5,'Competency Event Log'!$D$4:$D$803)))</f>
        <v/>
      </c>
      <c r="BT157" s="8" t="str">
        <f>IF($B157="","",IF(COUNTIF('Competency Event Log'!$U$4:$U$803,$B157&amp;"|"&amp;BT$5)=0,"",SUMIF('Competency Event Log'!$U$4:$U$803,$B157&amp;"|"&amp;BT$5,'Competency Event Log'!$D$4:$D$803)))</f>
        <v/>
      </c>
      <c r="BU157" s="8" t="str">
        <f>IF($B157="","",IF(COUNTIF('Competency Event Log'!$U$4:$U$803,$B157&amp;"|"&amp;BU$5)=0,"",SUMIF('Competency Event Log'!$U$4:$U$803,$B157&amp;"|"&amp;BU$5,'Competency Event Log'!$D$4:$D$803)))</f>
        <v/>
      </c>
      <c r="BV157" s="8" t="str">
        <f>IF($B157="","",IF(COUNTIF('Competency Event Log'!$U$4:$U$803,$B157&amp;"|"&amp;BV$5)=0,"",SUMIF('Competency Event Log'!$U$4:$U$803,$B157&amp;"|"&amp;BV$5,'Competency Event Log'!$D$4:$D$803)))</f>
        <v/>
      </c>
      <c r="BW157" s="8" t="str">
        <f>IF($B157="","",IF(COUNTIF('Competency Event Log'!$U$4:$U$803,$B157&amp;"|"&amp;BW$5)=0,"",SUMIF('Competency Event Log'!$U$4:$U$803,$B157&amp;"|"&amp;BW$5,'Competency Event Log'!$D$4:$D$803)))</f>
        <v/>
      </c>
      <c r="BX157" s="8" t="str">
        <f>IF($B157="","",IF(COUNTIF('Competency Event Log'!$U$4:$U$803,$B157&amp;"|"&amp;BX$5)=0,"",SUMIF('Competency Event Log'!$U$4:$U$803,$B157&amp;"|"&amp;BX$5,'Competency Event Log'!$D$4:$D$803)))</f>
        <v/>
      </c>
      <c r="BY157" s="8" t="str">
        <f>IF($B157="","",IF(COUNTIF('Competency Event Log'!$U$4:$U$803,$B157&amp;"|"&amp;BY$5)=0,"",SUMIF('Competency Event Log'!$U$4:$U$803,$B157&amp;"|"&amp;BY$5,'Competency Event Log'!$D$4:$D$803)))</f>
        <v/>
      </c>
      <c r="BZ157" s="8" t="str">
        <f>IF($B157="","",IF(COUNTIF('Competency Event Log'!$U$4:$U$803,$B157&amp;"|"&amp;BZ$5)=0,"",SUMIF('Competency Event Log'!$U$4:$U$803,$B157&amp;"|"&amp;BZ$5,'Competency Event Log'!$D$4:$D$803)))</f>
        <v/>
      </c>
      <c r="CA157" s="8" t="str">
        <f>IF($B157="","",IF(COUNTIF('Competency Event Log'!$U$4:$U$803,$B157&amp;"|"&amp;CA$5)=0,"",SUMIF('Competency Event Log'!$U$4:$U$803,$B157&amp;"|"&amp;CA$5,'Competency Event Log'!$D$4:$D$803)))</f>
        <v/>
      </c>
      <c r="CB157" s="8" t="str">
        <f>IF($B157="","",IF(COUNTIF('Competency Event Log'!$U$4:$U$803,$B157&amp;"|"&amp;CB$5)=0,"",SUMIF('Competency Event Log'!$U$4:$U$803,$B157&amp;"|"&amp;CB$5,'Competency Event Log'!$D$4:$D$803)))</f>
        <v/>
      </c>
      <c r="CC157" s="8" t="str">
        <f>IF($B157="","",IF(COUNTIF('Competency Event Log'!$U$4:$U$803,$B157&amp;"|"&amp;CC$5)=0,"",SUMIF('Competency Event Log'!$U$4:$U$803,$B157&amp;"|"&amp;CC$5,'Competency Event Log'!$D$4:$D$803)))</f>
        <v/>
      </c>
      <c r="CD157" s="8" t="str">
        <f>IF($B157="","",IF(COUNTIF('Competency Event Log'!$U$4:$U$803,$B157&amp;"|"&amp;CD$5)=0,"",SUMIF('Competency Event Log'!$U$4:$U$803,$B157&amp;"|"&amp;CD$5,'Competency Event Log'!$D$4:$D$803)))</f>
        <v/>
      </c>
      <c r="CE157" s="8" t="str">
        <f>IF($B157="","",IF(COUNTIF('Competency Event Log'!$U$4:$U$803,$B157&amp;"|"&amp;CE$5)=0,"",SUMIF('Competency Event Log'!$U$4:$U$803,$B157&amp;"|"&amp;CE$5,'Competency Event Log'!$D$4:$D$803)))</f>
        <v/>
      </c>
      <c r="CF157" s="8" t="str">
        <f>IF($B157="","",IF(COUNTIF('Competency Event Log'!$U$4:$U$803,$B157&amp;"|"&amp;CF$5)=0,"",SUMIF('Competency Event Log'!$U$4:$U$803,$B157&amp;"|"&amp;CF$5,'Competency Event Log'!$D$4:$D$803)))</f>
        <v/>
      </c>
      <c r="CG157" s="8" t="str">
        <f>IF($B157="","",IF(COUNTIF('Competency Event Log'!$U$4:$U$803,$B157&amp;"|"&amp;CG$5)=0,"",SUMIF('Competency Event Log'!$U$4:$U$803,$B157&amp;"|"&amp;CG$5,'Competency Event Log'!$D$4:$D$803)))</f>
        <v/>
      </c>
      <c r="CH157" s="8" t="str">
        <f>IF($B157="","",IF(COUNTIF('Competency Event Log'!$U$4:$U$803,$B157&amp;"|"&amp;CH$5)=0,"",SUMIF('Competency Event Log'!$U$4:$U$803,$B157&amp;"|"&amp;CH$5,'Competency Event Log'!$D$4:$D$803)))</f>
        <v/>
      </c>
      <c r="CI157" s="8" t="str">
        <f>IF($B157="","",IF(COUNTIF('Competency Event Log'!$U$4:$U$803,$B157&amp;"|"&amp;CI$5)=0,"",SUMIF('Competency Event Log'!$U$4:$U$803,$B157&amp;"|"&amp;CI$5,'Competency Event Log'!$D$4:$D$803)))</f>
        <v/>
      </c>
      <c r="CJ157" s="8" t="str">
        <f>IF($B157="","",IF(COUNTIF('Competency Event Log'!$U$4:$U$803,$B157&amp;"|"&amp;CJ$5)=0,"",SUMIF('Competency Event Log'!$U$4:$U$803,$B157&amp;"|"&amp;CJ$5,'Competency Event Log'!$D$4:$D$803)))</f>
        <v/>
      </c>
      <c r="CK157" s="8" t="str">
        <f>IF($B157="","",IF(COUNTIF('Competency Event Log'!$U$4:$U$803,$B157&amp;"|"&amp;CK$5)=0,"",SUMIF('Competency Event Log'!$U$4:$U$803,$B157&amp;"|"&amp;CK$5,'Competency Event Log'!$D$4:$D$803)))</f>
        <v/>
      </c>
      <c r="CL157" s="8" t="str">
        <f>IF($B157="","",IF(COUNTIF('Competency Event Log'!$U$4:$U$803,$B157&amp;"|"&amp;CL$5)=0,"",SUMIF('Competency Event Log'!$U$4:$U$803,$B157&amp;"|"&amp;CL$5,'Competency Event Log'!$D$4:$D$803)))</f>
        <v/>
      </c>
      <c r="CM157" s="8" t="str">
        <f>IF($B157="","",IF(COUNTIF('Competency Event Log'!$U$4:$U$803,$B157&amp;"|"&amp;CM$5)=0,"",SUMIF('Competency Event Log'!$U$4:$U$803,$B157&amp;"|"&amp;CM$5,'Competency Event Log'!$D$4:$D$803)))</f>
        <v/>
      </c>
      <c r="CN157" s="8" t="str">
        <f>IF($B157="","",IF(COUNTIF('Competency Event Log'!$U$4:$U$803,$B157&amp;"|"&amp;CN$5)=0,"",SUMIF('Competency Event Log'!$U$4:$U$803,$B157&amp;"|"&amp;CN$5,'Competency Event Log'!$D$4:$D$803)))</f>
        <v/>
      </c>
      <c r="CO157" s="8" t="str">
        <f>IF($B157="","",IF(COUNTIF('Competency Event Log'!$U$4:$U$803,$B157&amp;"|"&amp;CO$5)=0,"",SUMIF('Competency Event Log'!$U$4:$U$803,$B157&amp;"|"&amp;CO$5,'Competency Event Log'!$D$4:$D$803)))</f>
        <v/>
      </c>
      <c r="CP157" s="8" t="str">
        <f>IF($B157="","",IF(COUNTIF('Competency Event Log'!$U$4:$U$803,$B157&amp;"|"&amp;CP$5)=0,"",SUMIF('Competency Event Log'!$U$4:$U$803,$B157&amp;"|"&amp;CP$5,'Competency Event Log'!$D$4:$D$803)))</f>
        <v/>
      </c>
      <c r="CQ157" s="8" t="str">
        <f>IF($B157="","",IF(COUNTIF('Competency Event Log'!$U$4:$U$803,$B157&amp;"|"&amp;CQ$5)=0,"",SUMIF('Competency Event Log'!$U$4:$U$803,$B157&amp;"|"&amp;CQ$5,'Competency Event Log'!$D$4:$D$803)))</f>
        <v/>
      </c>
      <c r="CR157" s="8" t="str">
        <f>IF($B157="","",IF(COUNTIF('Competency Event Log'!$U$4:$U$803,$B157&amp;"|"&amp;CR$5)=0,"",SUMIF('Competency Event Log'!$U$4:$U$803,$B157&amp;"|"&amp;CR$5,'Competency Event Log'!$D$4:$D$803)))</f>
        <v/>
      </c>
      <c r="CS157" s="8" t="str">
        <f>IF($B157="","",IF(COUNTIF('Competency Event Log'!$U$4:$U$803,$B157&amp;"|"&amp;CS$5)=0,"",SUMIF('Competency Event Log'!$U$4:$U$803,$B157&amp;"|"&amp;CS$5,'Competency Event Log'!$D$4:$D$803)))</f>
        <v/>
      </c>
      <c r="CT157" s="8" t="str">
        <f>IF($B157="","",IF(COUNTIF('Competency Event Log'!$U$4:$U$803,$B157&amp;"|"&amp;CT$5)=0,"",SUMIF('Competency Event Log'!$U$4:$U$803,$B157&amp;"|"&amp;CT$5,'Competency Event Log'!$D$4:$D$803)))</f>
        <v/>
      </c>
      <c r="CU157" s="8" t="str">
        <f>IF($B157="","",IF(COUNTIF('Competency Event Log'!$U$4:$U$803,$B157&amp;"|"&amp;CU$5)=0,"",SUMIF('Competency Event Log'!$U$4:$U$803,$B157&amp;"|"&amp;CU$5,'Competency Event Log'!$D$4:$D$803)))</f>
        <v/>
      </c>
      <c r="CV157" s="8" t="str">
        <f>IF($B157="","",IF(COUNTIF('Competency Event Log'!$U$4:$U$803,$B157&amp;"|"&amp;CV$5)=0,"",SUMIF('Competency Event Log'!$U$4:$U$803,$B157&amp;"|"&amp;CV$5,'Competency Event Log'!$D$4:$D$803)))</f>
        <v/>
      </c>
      <c r="CW157" s="8" t="str">
        <f>IF($B157="","",IF(COUNTIF('Competency Event Log'!$U$4:$U$803,$B157&amp;"|"&amp;CW$5)=0,"",SUMIF('Competency Event Log'!$U$4:$U$803,$B157&amp;"|"&amp;CW$5,'Competency Event Log'!$D$4:$D$803)))</f>
        <v/>
      </c>
      <c r="CX157" s="8" t="str">
        <f>IF($B157="","",IF(COUNTIF('Competency Event Log'!$U$4:$U$803,$B157&amp;"|"&amp;CX$5)=0,"",SUMIF('Competency Event Log'!$U$4:$U$803,$B157&amp;"|"&amp;CX$5,'Competency Event Log'!$D$4:$D$803)))</f>
        <v/>
      </c>
      <c r="CY157" s="8" t="str">
        <f>IF($B157="","",IF(COUNTIF('Competency Event Log'!$U$4:$U$803,$B157&amp;"|"&amp;CY$5)=0,"",SUMIF('Competency Event Log'!$U$4:$U$803,$B157&amp;"|"&amp;CY$5,'Competency Event Log'!$D$4:$D$803)))</f>
        <v/>
      </c>
      <c r="CZ157" s="8" t="str">
        <f>IF($B157="","",IF(COUNTIF('Competency Event Log'!$U$4:$U$803,$B157&amp;"|"&amp;CZ$5)=0,"",SUMIF('Competency Event Log'!$U$4:$U$803,$B157&amp;"|"&amp;CZ$5,'Competency Event Log'!$D$4:$D$803)))</f>
        <v/>
      </c>
      <c r="DA157" s="8" t="str">
        <f>IF($B157="","",IF(COUNTIF('Competency Event Log'!$U$4:$U$803,$B157&amp;"|"&amp;DA$5)=0,"",SUMIF('Competency Event Log'!$U$4:$U$803,$B157&amp;"|"&amp;DA$5,'Competency Event Log'!$D$4:$D$803)))</f>
        <v/>
      </c>
      <c r="DB157" s="8" t="str">
        <f>IF($B157="","",IF(COUNTIF('Competency Event Log'!$U$4:$U$803,$B157&amp;"|"&amp;DB$5)=0,"",SUMIF('Competency Event Log'!$U$4:$U$803,$B157&amp;"|"&amp;DB$5,'Competency Event Log'!$D$4:$D$803)))</f>
        <v/>
      </c>
      <c r="DC157" s="8" t="str">
        <f>IF($B157="","",IF(COUNTIF('Competency Event Log'!$U$4:$U$803,$B157&amp;"|"&amp;DC$5)=0,"",SUMIF('Competency Event Log'!$U$4:$U$803,$B157&amp;"|"&amp;DC$5,'Competency Event Log'!$D$4:$D$803)))</f>
        <v/>
      </c>
      <c r="DD157" s="8" t="str">
        <f>IF($B157="","",IF(COUNTIF('Competency Event Log'!$U$4:$U$803,$B157&amp;"|"&amp;DD$5)=0,"",SUMIF('Competency Event Log'!$U$4:$U$803,$B157&amp;"|"&amp;DD$5,'Competency Event Log'!$D$4:$D$803)))</f>
        <v/>
      </c>
      <c r="DE157" s="8" t="str">
        <f>IF($B157="","",IF(COUNTIF('Competency Event Log'!$U$4:$U$803,$B157&amp;"|"&amp;DE$5)=0,"",SUMIF('Competency Event Log'!$U$4:$U$803,$B157&amp;"|"&amp;DE$5,'Competency Event Log'!$D$4:$D$803)))</f>
        <v/>
      </c>
      <c r="DF157" s="8" t="str">
        <f t="shared" si="16"/>
        <v/>
      </c>
      <c r="DG157" s="8" t="str">
        <f t="shared" si="17"/>
        <v/>
      </c>
      <c r="DH157" s="8" t="str">
        <f t="shared" si="18"/>
        <v/>
      </c>
      <c r="DI157" s="11" t="str">
        <f t="shared" si="19"/>
        <v/>
      </c>
    </row>
    <row r="158" spans="1:113">
      <c r="A158" s="7"/>
      <c r="B158" s="7"/>
      <c r="C158" s="8"/>
      <c r="D158" s="9"/>
      <c r="E158" s="10"/>
      <c r="F158" s="8"/>
      <c r="G158" s="8" t="str">
        <f>IF($B158="","",IF(COUNTIF('Competency Event Log'!$U$4:$U$803,$B158&amp;"|"&amp;G$5)=0,"",SUMIF('Competency Event Log'!$U$4:$U$803,$B158&amp;"|"&amp;G$5,'Competency Event Log'!$D$4:$D$803)))</f>
        <v/>
      </c>
      <c r="H158" s="8" t="str">
        <f>IF($B158="","",IF(COUNTIF('Competency Event Log'!$U$4:$U$803,$B158&amp;"|"&amp;H$5)=0,"",SUMIF('Competency Event Log'!$U$4:$U$803,$B158&amp;"|"&amp;H$5,'Competency Event Log'!$D$4:$D$803)))</f>
        <v/>
      </c>
      <c r="I158" s="8" t="str">
        <f>IF($B158="","",IF(COUNTIF('Competency Event Log'!$U$4:$U$803,$B158&amp;"|"&amp;I$5)=0,"",SUMIF('Competency Event Log'!$U$4:$U$803,$B158&amp;"|"&amp;I$5,'Competency Event Log'!$D$4:$D$803)))</f>
        <v/>
      </c>
      <c r="J158" s="8" t="str">
        <f>IF($B158="","",IF(COUNTIF('Competency Event Log'!$U$4:$U$803,$B158&amp;"|"&amp;J$5)=0,"",SUMIF('Competency Event Log'!$U$4:$U$803,$B158&amp;"|"&amp;J$5,'Competency Event Log'!$D$4:$D$803)))</f>
        <v/>
      </c>
      <c r="K158" s="8" t="str">
        <f>IF($B158="","",IF(COUNTIF('Competency Event Log'!$U$4:$U$803,$B158&amp;"|"&amp;K$5)=0,"",SUMIF('Competency Event Log'!$U$4:$U$803,$B158&amp;"|"&amp;K$5,'Competency Event Log'!$D$4:$D$803)))</f>
        <v/>
      </c>
      <c r="L158" s="8" t="str">
        <f>IF($B158="","",IF(COUNTIF('Competency Event Log'!$U$4:$U$803,$B158&amp;"|"&amp;L$5)=0,"",SUMIF('Competency Event Log'!$U$4:$U$803,$B158&amp;"|"&amp;L$5,'Competency Event Log'!$D$4:$D$803)))</f>
        <v/>
      </c>
      <c r="M158" s="8" t="str">
        <f>IF($B158="","",IF(COUNTIF('Competency Event Log'!$U$4:$U$803,$B158&amp;"|"&amp;M$5)=0,"",SUMIF('Competency Event Log'!$U$4:$U$803,$B158&amp;"|"&amp;M$5,'Competency Event Log'!$D$4:$D$803)))</f>
        <v/>
      </c>
      <c r="N158" s="8" t="str">
        <f>IF($B158="","",IF(COUNTIF('Competency Event Log'!$U$4:$U$803,$B158&amp;"|"&amp;N$5)=0,"",SUMIF('Competency Event Log'!$U$4:$U$803,$B158&amp;"|"&amp;N$5,'Competency Event Log'!$D$4:$D$803)))</f>
        <v/>
      </c>
      <c r="O158" s="8" t="str">
        <f>IF($B158="","",IF(COUNTIF('Competency Event Log'!$U$4:$U$803,$B158&amp;"|"&amp;O$5)=0,"",SUMIF('Competency Event Log'!$U$4:$U$803,$B158&amp;"|"&amp;O$5,'Competency Event Log'!$D$4:$D$803)))</f>
        <v/>
      </c>
      <c r="P158" s="8" t="str">
        <f>IF($B158="","",IF(COUNTIF('Competency Event Log'!$U$4:$U$803,$B158&amp;"|"&amp;P$5)=0,"",SUMIF('Competency Event Log'!$U$4:$U$803,$B158&amp;"|"&amp;P$5,'Competency Event Log'!$D$4:$D$803)))</f>
        <v/>
      </c>
      <c r="Q158" s="8" t="str">
        <f>IF($B158="","",IF(COUNTIF('Competency Event Log'!$U$4:$U$803,$B158&amp;"|"&amp;Q$5)=0,"",SUMIF('Competency Event Log'!$U$4:$U$803,$B158&amp;"|"&amp;Q$5,'Competency Event Log'!$D$4:$D$803)))</f>
        <v/>
      </c>
      <c r="R158" s="8" t="str">
        <f>IF($B158="","",IF(COUNTIF('Competency Event Log'!$U$4:$U$803,$B158&amp;"|"&amp;R$5)=0,"",SUMIF('Competency Event Log'!$U$4:$U$803,$B158&amp;"|"&amp;R$5,'Competency Event Log'!$D$4:$D$803)))</f>
        <v/>
      </c>
      <c r="S158" s="8" t="str">
        <f>IF($B158="","",IF(COUNTIF('Competency Event Log'!$U$4:$U$803,$B158&amp;"|"&amp;S$5)=0,"",SUMIF('Competency Event Log'!$U$4:$U$803,$B158&amp;"|"&amp;S$5,'Competency Event Log'!$D$4:$D$803)))</f>
        <v/>
      </c>
      <c r="T158" s="8" t="str">
        <f>IF($B158="","",IF(COUNTIF('Competency Event Log'!$U$4:$U$803,$B158&amp;"|"&amp;T$5)=0,"",SUMIF('Competency Event Log'!$U$4:$U$803,$B158&amp;"|"&amp;T$5,'Competency Event Log'!$D$4:$D$803)))</f>
        <v/>
      </c>
      <c r="U158" s="8" t="str">
        <f>IF($B158="","",IF(COUNTIF('Competency Event Log'!$U$4:$U$803,$B158&amp;"|"&amp;U$5)=0,"",SUMIF('Competency Event Log'!$U$4:$U$803,$B158&amp;"|"&amp;U$5,'Competency Event Log'!$D$4:$D$803)))</f>
        <v/>
      </c>
      <c r="V158" s="8" t="str">
        <f>IF($B158="","",IF(COUNTIF('Competency Event Log'!$U$4:$U$803,$B158&amp;"|"&amp;V$5)=0,"",SUMIF('Competency Event Log'!$U$4:$U$803,$B158&amp;"|"&amp;V$5,'Competency Event Log'!$D$4:$D$803)))</f>
        <v/>
      </c>
      <c r="W158" s="8" t="str">
        <f>IF($B158="","",IF(COUNTIF('Competency Event Log'!$U$4:$U$803,$B158&amp;"|"&amp;W$5)=0,"",SUMIF('Competency Event Log'!$U$4:$U$803,$B158&amp;"|"&amp;W$5,'Competency Event Log'!$D$4:$D$803)))</f>
        <v/>
      </c>
      <c r="X158" s="8" t="str">
        <f>IF($B158="","",IF(COUNTIF('Competency Event Log'!$U$4:$U$803,$B158&amp;"|"&amp;X$5)=0,"",SUMIF('Competency Event Log'!$U$4:$U$803,$B158&amp;"|"&amp;X$5,'Competency Event Log'!$D$4:$D$803)))</f>
        <v/>
      </c>
      <c r="Y158" s="8" t="str">
        <f>IF($B158="","",IF(COUNTIF('Competency Event Log'!$U$4:$U$803,$B158&amp;"|"&amp;Y$5)=0,"",SUMIF('Competency Event Log'!$U$4:$U$803,$B158&amp;"|"&amp;Y$5,'Competency Event Log'!$D$4:$D$803)))</f>
        <v/>
      </c>
      <c r="Z158" s="8" t="str">
        <f>IF($B158="","",IF(COUNTIF('Competency Event Log'!$U$4:$U$803,$B158&amp;"|"&amp;Z$5)=0,"",SUMIF('Competency Event Log'!$U$4:$U$803,$B158&amp;"|"&amp;Z$5,'Competency Event Log'!$D$4:$D$803)))</f>
        <v/>
      </c>
      <c r="AA158" s="8" t="str">
        <f>IF($B158="","",IF(COUNTIF('Competency Event Log'!$U$4:$U$803,$B158&amp;"|"&amp;AA$5)=0,"",SUMIF('Competency Event Log'!$U$4:$U$803,$B158&amp;"|"&amp;AA$5,'Competency Event Log'!$D$4:$D$803)))</f>
        <v/>
      </c>
      <c r="AB158" s="8" t="str">
        <f>IF($B158="","",IF(COUNTIF('Competency Event Log'!$U$4:$U$803,$B158&amp;"|"&amp;AB$5)=0,"",SUMIF('Competency Event Log'!$U$4:$U$803,$B158&amp;"|"&amp;AB$5,'Competency Event Log'!$D$4:$D$803)))</f>
        <v/>
      </c>
      <c r="AC158" s="8" t="str">
        <f>IF($B158="","",IF(COUNTIF('Competency Event Log'!$U$4:$U$803,$B158&amp;"|"&amp;AC$5)=0,"",SUMIF('Competency Event Log'!$U$4:$U$803,$B158&amp;"|"&amp;AC$5,'Competency Event Log'!$D$4:$D$803)))</f>
        <v/>
      </c>
      <c r="AD158" s="8" t="str">
        <f>IF($B158="","",IF(COUNTIF('Competency Event Log'!$U$4:$U$803,$B158&amp;"|"&amp;AD$5)=0,"",SUMIF('Competency Event Log'!$U$4:$U$803,$B158&amp;"|"&amp;AD$5,'Competency Event Log'!$D$4:$D$803)))</f>
        <v/>
      </c>
      <c r="AE158" s="8" t="str">
        <f>IF($B158="","",IF(COUNTIF('Competency Event Log'!$U$4:$U$803,$B158&amp;"|"&amp;AE$5)=0,"",SUMIF('Competency Event Log'!$U$4:$U$803,$B158&amp;"|"&amp;AE$5,'Competency Event Log'!$D$4:$D$803)))</f>
        <v/>
      </c>
      <c r="AF158" s="8" t="str">
        <f>IF($B158="","",IF(COUNTIF('Competency Event Log'!$U$4:$U$803,$B158&amp;"|"&amp;AF$5)=0,"",SUMIF('Competency Event Log'!$U$4:$U$803,$B158&amp;"|"&amp;AF$5,'Competency Event Log'!$D$4:$D$803)))</f>
        <v/>
      </c>
      <c r="AG158" s="8" t="str">
        <f>IF($B158="","",IF(COUNTIF('Competency Event Log'!$U$4:$U$803,$B158&amp;"|"&amp;AG$5)=0,"",SUMIF('Competency Event Log'!$U$4:$U$803,$B158&amp;"|"&amp;AG$5,'Competency Event Log'!$D$4:$D$803)))</f>
        <v/>
      </c>
      <c r="AH158" s="8" t="str">
        <f>IF($B158="","",IF(COUNTIF('Competency Event Log'!$U$4:$U$803,$B158&amp;"|"&amp;AH$5)=0,"",SUMIF('Competency Event Log'!$U$4:$U$803,$B158&amp;"|"&amp;AH$5,'Competency Event Log'!$D$4:$D$803)))</f>
        <v/>
      </c>
      <c r="AI158" s="8" t="str">
        <f>IF($B158="","",IF(COUNTIF('Competency Event Log'!$U$4:$U$803,$B158&amp;"|"&amp;AI$5)=0,"",SUMIF('Competency Event Log'!$U$4:$U$803,$B158&amp;"|"&amp;AI$5,'Competency Event Log'!$D$4:$D$803)))</f>
        <v/>
      </c>
      <c r="AJ158" s="8" t="str">
        <f>IF($B158="","",IF(COUNTIF('Competency Event Log'!$U$4:$U$803,$B158&amp;"|"&amp;AJ$5)=0,"",SUMIF('Competency Event Log'!$U$4:$U$803,$B158&amp;"|"&amp;AJ$5,'Competency Event Log'!$D$4:$D$803)))</f>
        <v/>
      </c>
      <c r="AK158" s="8" t="str">
        <f>IF($B158="","",IF(COUNTIF('Competency Event Log'!$U$4:$U$803,$B158&amp;"|"&amp;AK$5)=0,"",SUMIF('Competency Event Log'!$U$4:$U$803,$B158&amp;"|"&amp;AK$5,'Competency Event Log'!$D$4:$D$803)))</f>
        <v/>
      </c>
      <c r="AL158" s="8" t="str">
        <f>IF($B158="","",IF(COUNTIF('Competency Event Log'!$U$4:$U$803,$B158&amp;"|"&amp;AL$5)=0,"",SUMIF('Competency Event Log'!$U$4:$U$803,$B158&amp;"|"&amp;AL$5,'Competency Event Log'!$D$4:$D$803)))</f>
        <v/>
      </c>
      <c r="AM158" s="8" t="str">
        <f>IF($B158="","",IF(COUNTIF('Competency Event Log'!$U$4:$U$803,$B158&amp;"|"&amp;AM$5)=0,"",SUMIF('Competency Event Log'!$U$4:$U$803,$B158&amp;"|"&amp;AM$5,'Competency Event Log'!$D$4:$D$803)))</f>
        <v/>
      </c>
      <c r="AN158" s="8" t="str">
        <f>IF($B158="","",IF(COUNTIF('Competency Event Log'!$U$4:$U$803,$B158&amp;"|"&amp;AN$5)=0,"",SUMIF('Competency Event Log'!$U$4:$U$803,$B158&amp;"|"&amp;AN$5,'Competency Event Log'!$D$4:$D$803)))</f>
        <v/>
      </c>
      <c r="AO158" s="8" t="str">
        <f>IF($B158="","",IF(COUNTIF('Competency Event Log'!$U$4:$U$803,$B158&amp;"|"&amp;AO$5)=0,"",SUMIF('Competency Event Log'!$U$4:$U$803,$B158&amp;"|"&amp;AO$5,'Competency Event Log'!$D$4:$D$803)))</f>
        <v/>
      </c>
      <c r="AP158" s="8" t="str">
        <f>IF($B158="","",IF(COUNTIF('Competency Event Log'!$U$4:$U$803,$B158&amp;"|"&amp;AP$5)=0,"",SUMIF('Competency Event Log'!$U$4:$U$803,$B158&amp;"|"&amp;AP$5,'Competency Event Log'!$D$4:$D$803)))</f>
        <v/>
      </c>
      <c r="AQ158" s="8" t="str">
        <f>IF($B158="","",IF(COUNTIF('Competency Event Log'!$U$4:$U$803,$B158&amp;"|"&amp;AQ$5)=0,"",SUMIF('Competency Event Log'!$U$4:$U$803,$B158&amp;"|"&amp;AQ$5,'Competency Event Log'!$D$4:$D$803)))</f>
        <v/>
      </c>
      <c r="AR158" s="8" t="str">
        <f>IF($B158="","",IF(COUNTIF('Competency Event Log'!$U$4:$U$803,$B158&amp;"|"&amp;AR$5)=0,"",SUMIF('Competency Event Log'!$U$4:$U$803,$B158&amp;"|"&amp;AR$5,'Competency Event Log'!$D$4:$D$803)))</f>
        <v/>
      </c>
      <c r="AS158" s="8" t="str">
        <f>IF($B158="","",IF(COUNTIF('Competency Event Log'!$U$4:$U$803,$B158&amp;"|"&amp;AS$5)=0,"",SUMIF('Competency Event Log'!$U$4:$U$803,$B158&amp;"|"&amp;AS$5,'Competency Event Log'!$D$4:$D$803)))</f>
        <v/>
      </c>
      <c r="AT158" s="8" t="str">
        <f>IF($B158="","",IF(COUNTIF('Competency Event Log'!$U$4:$U$803,$B158&amp;"|"&amp;AT$5)=0,"",SUMIF('Competency Event Log'!$U$4:$U$803,$B158&amp;"|"&amp;AT$5,'Competency Event Log'!$D$4:$D$803)))</f>
        <v/>
      </c>
      <c r="AU158" s="8" t="str">
        <f>IF($B158="","",IF(COUNTIF('Competency Event Log'!$U$4:$U$803,$B158&amp;"|"&amp;AU$5)=0,"",SUMIF('Competency Event Log'!$U$4:$U$803,$B158&amp;"|"&amp;AU$5,'Competency Event Log'!$D$4:$D$803)))</f>
        <v/>
      </c>
      <c r="AV158" s="8" t="str">
        <f>IF($B158="","",IF(COUNTIF('Competency Event Log'!$U$4:$U$803,$B158&amp;"|"&amp;AV$5)=0,"",SUMIF('Competency Event Log'!$U$4:$U$803,$B158&amp;"|"&amp;AV$5,'Competency Event Log'!$D$4:$D$803)))</f>
        <v/>
      </c>
      <c r="AW158" s="8" t="str">
        <f>IF($B158="","",IF(COUNTIF('Competency Event Log'!$U$4:$U$803,$B158&amp;"|"&amp;AW$5)=0,"",SUMIF('Competency Event Log'!$U$4:$U$803,$B158&amp;"|"&amp;AW$5,'Competency Event Log'!$D$4:$D$803)))</f>
        <v/>
      </c>
      <c r="AX158" s="8" t="str">
        <f>IF($B158="","",IF(COUNTIF('Competency Event Log'!$U$4:$U$803,$B158&amp;"|"&amp;AX$5)=0,"",SUMIF('Competency Event Log'!$U$4:$U$803,$B158&amp;"|"&amp;AX$5,'Competency Event Log'!$D$4:$D$803)))</f>
        <v/>
      </c>
      <c r="AY158" s="8" t="str">
        <f>IF($B158="","",IF(COUNTIF('Competency Event Log'!$U$4:$U$803,$B158&amp;"|"&amp;AY$5)=0,"",SUMIF('Competency Event Log'!$U$4:$U$803,$B158&amp;"|"&amp;AY$5,'Competency Event Log'!$D$4:$D$803)))</f>
        <v/>
      </c>
      <c r="AZ158" s="8" t="str">
        <f>IF($B158="","",IF(COUNTIF('Competency Event Log'!$U$4:$U$803,$B158&amp;"|"&amp;AZ$5)=0,"",SUMIF('Competency Event Log'!$U$4:$U$803,$B158&amp;"|"&amp;AZ$5,'Competency Event Log'!$D$4:$D$803)))</f>
        <v/>
      </c>
      <c r="BA158" s="8" t="str">
        <f>IF($B158="","",IF(COUNTIF('Competency Event Log'!$U$4:$U$803,$B158&amp;"|"&amp;BA$5)=0,"",SUMIF('Competency Event Log'!$U$4:$U$803,$B158&amp;"|"&amp;BA$5,'Competency Event Log'!$D$4:$D$803)))</f>
        <v/>
      </c>
      <c r="BB158" s="8" t="str">
        <f>IF($B158="","",IF(COUNTIF('Competency Event Log'!$U$4:$U$803,$B158&amp;"|"&amp;BB$5)=0,"",SUMIF('Competency Event Log'!$U$4:$U$803,$B158&amp;"|"&amp;BB$5,'Competency Event Log'!$D$4:$D$803)))</f>
        <v/>
      </c>
      <c r="BC158" s="8" t="str">
        <f>IF($B158="","",IF(COUNTIF('Competency Event Log'!$U$4:$U$803,$B158&amp;"|"&amp;BC$5)=0,"",SUMIF('Competency Event Log'!$U$4:$U$803,$B158&amp;"|"&amp;BC$5,'Competency Event Log'!$D$4:$D$803)))</f>
        <v/>
      </c>
      <c r="BD158" s="8" t="str">
        <f>IF($B158="","",IF(COUNTIF('Competency Event Log'!$U$4:$U$803,$B158&amp;"|"&amp;BD$5)=0,"",SUMIF('Competency Event Log'!$U$4:$U$803,$B158&amp;"|"&amp;BD$5,'Competency Event Log'!$D$4:$D$803)))</f>
        <v/>
      </c>
      <c r="BE158" s="8" t="str">
        <f>IF($B158="","",IF(COUNTIF('Competency Event Log'!$U$4:$U$803,$B158&amp;"|"&amp;BE$5)=0,"",SUMIF('Competency Event Log'!$U$4:$U$803,$B158&amp;"|"&amp;BE$5,'Competency Event Log'!$D$4:$D$803)))</f>
        <v/>
      </c>
      <c r="BF158" s="8" t="str">
        <f>IF($B158="","",IF(COUNTIF('Competency Event Log'!$U$4:$U$803,$B158&amp;"|"&amp;BF$5)=0,"",SUMIF('Competency Event Log'!$U$4:$U$803,$B158&amp;"|"&amp;BF$5,'Competency Event Log'!$D$4:$D$803)))</f>
        <v/>
      </c>
      <c r="BG158" s="8" t="str">
        <f>IF($B158="","",IF(COUNTIF('Competency Event Log'!$U$4:$U$803,$B158&amp;"|"&amp;BG$5)=0,"",SUMIF('Competency Event Log'!$U$4:$U$803,$B158&amp;"|"&amp;BG$5,'Competency Event Log'!$D$4:$D$803)))</f>
        <v/>
      </c>
      <c r="BH158" s="8" t="str">
        <f>IF($B158="","",IF(COUNTIF('Competency Event Log'!$U$4:$U$803,$B158&amp;"|"&amp;BH$5)=0,"",SUMIF('Competency Event Log'!$U$4:$U$803,$B158&amp;"|"&amp;BH$5,'Competency Event Log'!$D$4:$D$803)))</f>
        <v/>
      </c>
      <c r="BI158" s="8" t="str">
        <f>IF($B158="","",IF(COUNTIF('Competency Event Log'!$U$4:$U$803,$B158&amp;"|"&amp;BI$5)=0,"",SUMIF('Competency Event Log'!$U$4:$U$803,$B158&amp;"|"&amp;BI$5,'Competency Event Log'!$D$4:$D$803)))</f>
        <v/>
      </c>
      <c r="BJ158" s="8" t="str">
        <f>IF($B158="","",IF(COUNTIF('Competency Event Log'!$U$4:$U$803,$B158&amp;"|"&amp;BJ$5)=0,"",SUMIF('Competency Event Log'!$U$4:$U$803,$B158&amp;"|"&amp;BJ$5,'Competency Event Log'!$D$4:$D$803)))</f>
        <v/>
      </c>
      <c r="BK158" s="8" t="str">
        <f>IF($B158="","",IF(COUNTIF('Competency Event Log'!$U$4:$U$803,$B158&amp;"|"&amp;BK$5)=0,"",SUMIF('Competency Event Log'!$U$4:$U$803,$B158&amp;"|"&amp;BK$5,'Competency Event Log'!$D$4:$D$803)))</f>
        <v/>
      </c>
      <c r="BL158" s="8" t="str">
        <f>IF($B158="","",IF(COUNTIF('Competency Event Log'!$U$4:$U$803,$B158&amp;"|"&amp;BL$5)=0,"",SUMIF('Competency Event Log'!$U$4:$U$803,$B158&amp;"|"&amp;BL$5,'Competency Event Log'!$D$4:$D$803)))</f>
        <v/>
      </c>
      <c r="BM158" s="8" t="str">
        <f>IF($B158="","",IF(COUNTIF('Competency Event Log'!$U$4:$U$803,$B158&amp;"|"&amp;BM$5)=0,"",SUMIF('Competency Event Log'!$U$4:$U$803,$B158&amp;"|"&amp;BM$5,'Competency Event Log'!$D$4:$D$803)))</f>
        <v/>
      </c>
      <c r="BN158" s="8" t="str">
        <f>IF($B158="","",IF(COUNTIF('Competency Event Log'!$U$4:$U$803,$B158&amp;"|"&amp;BN$5)=0,"",SUMIF('Competency Event Log'!$U$4:$U$803,$B158&amp;"|"&amp;BN$5,'Competency Event Log'!$D$4:$D$803)))</f>
        <v/>
      </c>
      <c r="BO158" s="8" t="str">
        <f>IF($B158="","",IF(COUNTIF('Competency Event Log'!$U$4:$U$803,$B158&amp;"|"&amp;BO$5)=0,"",SUMIF('Competency Event Log'!$U$4:$U$803,$B158&amp;"|"&amp;BO$5,'Competency Event Log'!$D$4:$D$803)))</f>
        <v/>
      </c>
      <c r="BP158" s="8" t="str">
        <f>IF($B158="","",IF(COUNTIF('Competency Event Log'!$U$4:$U$803,$B158&amp;"|"&amp;BP$5)=0,"",SUMIF('Competency Event Log'!$U$4:$U$803,$B158&amp;"|"&amp;BP$5,'Competency Event Log'!$D$4:$D$803)))</f>
        <v/>
      </c>
      <c r="BQ158" s="8" t="str">
        <f>IF($B158="","",IF(COUNTIF('Competency Event Log'!$U$4:$U$803,$B158&amp;"|"&amp;BQ$5)=0,"",SUMIF('Competency Event Log'!$U$4:$U$803,$B158&amp;"|"&amp;BQ$5,'Competency Event Log'!$D$4:$D$803)))</f>
        <v/>
      </c>
      <c r="BR158" s="8" t="str">
        <f>IF($B158="","",IF(COUNTIF('Competency Event Log'!$U$4:$U$803,$B158&amp;"|"&amp;BR$5)=0,"",SUMIF('Competency Event Log'!$U$4:$U$803,$B158&amp;"|"&amp;BR$5,'Competency Event Log'!$D$4:$D$803)))</f>
        <v/>
      </c>
      <c r="BS158" s="8" t="str">
        <f>IF($B158="","",IF(COUNTIF('Competency Event Log'!$U$4:$U$803,$B158&amp;"|"&amp;BS$5)=0,"",SUMIF('Competency Event Log'!$U$4:$U$803,$B158&amp;"|"&amp;BS$5,'Competency Event Log'!$D$4:$D$803)))</f>
        <v/>
      </c>
      <c r="BT158" s="8" t="str">
        <f>IF($B158="","",IF(COUNTIF('Competency Event Log'!$U$4:$U$803,$B158&amp;"|"&amp;BT$5)=0,"",SUMIF('Competency Event Log'!$U$4:$U$803,$B158&amp;"|"&amp;BT$5,'Competency Event Log'!$D$4:$D$803)))</f>
        <v/>
      </c>
      <c r="BU158" s="8" t="str">
        <f>IF($B158="","",IF(COUNTIF('Competency Event Log'!$U$4:$U$803,$B158&amp;"|"&amp;BU$5)=0,"",SUMIF('Competency Event Log'!$U$4:$U$803,$B158&amp;"|"&amp;BU$5,'Competency Event Log'!$D$4:$D$803)))</f>
        <v/>
      </c>
      <c r="BV158" s="8" t="str">
        <f>IF($B158="","",IF(COUNTIF('Competency Event Log'!$U$4:$U$803,$B158&amp;"|"&amp;BV$5)=0,"",SUMIF('Competency Event Log'!$U$4:$U$803,$B158&amp;"|"&amp;BV$5,'Competency Event Log'!$D$4:$D$803)))</f>
        <v/>
      </c>
      <c r="BW158" s="8" t="str">
        <f>IF($B158="","",IF(COUNTIF('Competency Event Log'!$U$4:$U$803,$B158&amp;"|"&amp;BW$5)=0,"",SUMIF('Competency Event Log'!$U$4:$U$803,$B158&amp;"|"&amp;BW$5,'Competency Event Log'!$D$4:$D$803)))</f>
        <v/>
      </c>
      <c r="BX158" s="8" t="str">
        <f>IF($B158="","",IF(COUNTIF('Competency Event Log'!$U$4:$U$803,$B158&amp;"|"&amp;BX$5)=0,"",SUMIF('Competency Event Log'!$U$4:$U$803,$B158&amp;"|"&amp;BX$5,'Competency Event Log'!$D$4:$D$803)))</f>
        <v/>
      </c>
      <c r="BY158" s="8" t="str">
        <f>IF($B158="","",IF(COUNTIF('Competency Event Log'!$U$4:$U$803,$B158&amp;"|"&amp;BY$5)=0,"",SUMIF('Competency Event Log'!$U$4:$U$803,$B158&amp;"|"&amp;BY$5,'Competency Event Log'!$D$4:$D$803)))</f>
        <v/>
      </c>
      <c r="BZ158" s="8" t="str">
        <f>IF($B158="","",IF(COUNTIF('Competency Event Log'!$U$4:$U$803,$B158&amp;"|"&amp;BZ$5)=0,"",SUMIF('Competency Event Log'!$U$4:$U$803,$B158&amp;"|"&amp;BZ$5,'Competency Event Log'!$D$4:$D$803)))</f>
        <v/>
      </c>
      <c r="CA158" s="8" t="str">
        <f>IF($B158="","",IF(COUNTIF('Competency Event Log'!$U$4:$U$803,$B158&amp;"|"&amp;CA$5)=0,"",SUMIF('Competency Event Log'!$U$4:$U$803,$B158&amp;"|"&amp;CA$5,'Competency Event Log'!$D$4:$D$803)))</f>
        <v/>
      </c>
      <c r="CB158" s="8" t="str">
        <f>IF($B158="","",IF(COUNTIF('Competency Event Log'!$U$4:$U$803,$B158&amp;"|"&amp;CB$5)=0,"",SUMIF('Competency Event Log'!$U$4:$U$803,$B158&amp;"|"&amp;CB$5,'Competency Event Log'!$D$4:$D$803)))</f>
        <v/>
      </c>
      <c r="CC158" s="8" t="str">
        <f>IF($B158="","",IF(COUNTIF('Competency Event Log'!$U$4:$U$803,$B158&amp;"|"&amp;CC$5)=0,"",SUMIF('Competency Event Log'!$U$4:$U$803,$B158&amp;"|"&amp;CC$5,'Competency Event Log'!$D$4:$D$803)))</f>
        <v/>
      </c>
      <c r="CD158" s="8" t="str">
        <f>IF($B158="","",IF(COUNTIF('Competency Event Log'!$U$4:$U$803,$B158&amp;"|"&amp;CD$5)=0,"",SUMIF('Competency Event Log'!$U$4:$U$803,$B158&amp;"|"&amp;CD$5,'Competency Event Log'!$D$4:$D$803)))</f>
        <v/>
      </c>
      <c r="CE158" s="8" t="str">
        <f>IF($B158="","",IF(COUNTIF('Competency Event Log'!$U$4:$U$803,$B158&amp;"|"&amp;CE$5)=0,"",SUMIF('Competency Event Log'!$U$4:$U$803,$B158&amp;"|"&amp;CE$5,'Competency Event Log'!$D$4:$D$803)))</f>
        <v/>
      </c>
      <c r="CF158" s="8" t="str">
        <f>IF($B158="","",IF(COUNTIF('Competency Event Log'!$U$4:$U$803,$B158&amp;"|"&amp;CF$5)=0,"",SUMIF('Competency Event Log'!$U$4:$U$803,$B158&amp;"|"&amp;CF$5,'Competency Event Log'!$D$4:$D$803)))</f>
        <v/>
      </c>
      <c r="CG158" s="8" t="str">
        <f>IF($B158="","",IF(COUNTIF('Competency Event Log'!$U$4:$U$803,$B158&amp;"|"&amp;CG$5)=0,"",SUMIF('Competency Event Log'!$U$4:$U$803,$B158&amp;"|"&amp;CG$5,'Competency Event Log'!$D$4:$D$803)))</f>
        <v/>
      </c>
      <c r="CH158" s="8" t="str">
        <f>IF($B158="","",IF(COUNTIF('Competency Event Log'!$U$4:$U$803,$B158&amp;"|"&amp;CH$5)=0,"",SUMIF('Competency Event Log'!$U$4:$U$803,$B158&amp;"|"&amp;CH$5,'Competency Event Log'!$D$4:$D$803)))</f>
        <v/>
      </c>
      <c r="CI158" s="8" t="str">
        <f>IF($B158="","",IF(COUNTIF('Competency Event Log'!$U$4:$U$803,$B158&amp;"|"&amp;CI$5)=0,"",SUMIF('Competency Event Log'!$U$4:$U$803,$B158&amp;"|"&amp;CI$5,'Competency Event Log'!$D$4:$D$803)))</f>
        <v/>
      </c>
      <c r="CJ158" s="8" t="str">
        <f>IF($B158="","",IF(COUNTIF('Competency Event Log'!$U$4:$U$803,$B158&amp;"|"&amp;CJ$5)=0,"",SUMIF('Competency Event Log'!$U$4:$U$803,$B158&amp;"|"&amp;CJ$5,'Competency Event Log'!$D$4:$D$803)))</f>
        <v/>
      </c>
      <c r="CK158" s="8" t="str">
        <f>IF($B158="","",IF(COUNTIF('Competency Event Log'!$U$4:$U$803,$B158&amp;"|"&amp;CK$5)=0,"",SUMIF('Competency Event Log'!$U$4:$U$803,$B158&amp;"|"&amp;CK$5,'Competency Event Log'!$D$4:$D$803)))</f>
        <v/>
      </c>
      <c r="CL158" s="8" t="str">
        <f>IF($B158="","",IF(COUNTIF('Competency Event Log'!$U$4:$U$803,$B158&amp;"|"&amp;CL$5)=0,"",SUMIF('Competency Event Log'!$U$4:$U$803,$B158&amp;"|"&amp;CL$5,'Competency Event Log'!$D$4:$D$803)))</f>
        <v/>
      </c>
      <c r="CM158" s="8" t="str">
        <f>IF($B158="","",IF(COUNTIF('Competency Event Log'!$U$4:$U$803,$B158&amp;"|"&amp;CM$5)=0,"",SUMIF('Competency Event Log'!$U$4:$U$803,$B158&amp;"|"&amp;CM$5,'Competency Event Log'!$D$4:$D$803)))</f>
        <v/>
      </c>
      <c r="CN158" s="8" t="str">
        <f>IF($B158="","",IF(COUNTIF('Competency Event Log'!$U$4:$U$803,$B158&amp;"|"&amp;CN$5)=0,"",SUMIF('Competency Event Log'!$U$4:$U$803,$B158&amp;"|"&amp;CN$5,'Competency Event Log'!$D$4:$D$803)))</f>
        <v/>
      </c>
      <c r="CO158" s="8" t="str">
        <f>IF($B158="","",IF(COUNTIF('Competency Event Log'!$U$4:$U$803,$B158&amp;"|"&amp;CO$5)=0,"",SUMIF('Competency Event Log'!$U$4:$U$803,$B158&amp;"|"&amp;CO$5,'Competency Event Log'!$D$4:$D$803)))</f>
        <v/>
      </c>
      <c r="CP158" s="8" t="str">
        <f>IF($B158="","",IF(COUNTIF('Competency Event Log'!$U$4:$U$803,$B158&amp;"|"&amp;CP$5)=0,"",SUMIF('Competency Event Log'!$U$4:$U$803,$B158&amp;"|"&amp;CP$5,'Competency Event Log'!$D$4:$D$803)))</f>
        <v/>
      </c>
      <c r="CQ158" s="8" t="str">
        <f>IF($B158="","",IF(COUNTIF('Competency Event Log'!$U$4:$U$803,$B158&amp;"|"&amp;CQ$5)=0,"",SUMIF('Competency Event Log'!$U$4:$U$803,$B158&amp;"|"&amp;CQ$5,'Competency Event Log'!$D$4:$D$803)))</f>
        <v/>
      </c>
      <c r="CR158" s="8" t="str">
        <f>IF($B158="","",IF(COUNTIF('Competency Event Log'!$U$4:$U$803,$B158&amp;"|"&amp;CR$5)=0,"",SUMIF('Competency Event Log'!$U$4:$U$803,$B158&amp;"|"&amp;CR$5,'Competency Event Log'!$D$4:$D$803)))</f>
        <v/>
      </c>
      <c r="CS158" s="8" t="str">
        <f>IF($B158="","",IF(COUNTIF('Competency Event Log'!$U$4:$U$803,$B158&amp;"|"&amp;CS$5)=0,"",SUMIF('Competency Event Log'!$U$4:$U$803,$B158&amp;"|"&amp;CS$5,'Competency Event Log'!$D$4:$D$803)))</f>
        <v/>
      </c>
      <c r="CT158" s="8" t="str">
        <f>IF($B158="","",IF(COUNTIF('Competency Event Log'!$U$4:$U$803,$B158&amp;"|"&amp;CT$5)=0,"",SUMIF('Competency Event Log'!$U$4:$U$803,$B158&amp;"|"&amp;CT$5,'Competency Event Log'!$D$4:$D$803)))</f>
        <v/>
      </c>
      <c r="CU158" s="8" t="str">
        <f>IF($B158="","",IF(COUNTIF('Competency Event Log'!$U$4:$U$803,$B158&amp;"|"&amp;CU$5)=0,"",SUMIF('Competency Event Log'!$U$4:$U$803,$B158&amp;"|"&amp;CU$5,'Competency Event Log'!$D$4:$D$803)))</f>
        <v/>
      </c>
      <c r="CV158" s="8" t="str">
        <f>IF($B158="","",IF(COUNTIF('Competency Event Log'!$U$4:$U$803,$B158&amp;"|"&amp;CV$5)=0,"",SUMIF('Competency Event Log'!$U$4:$U$803,$B158&amp;"|"&amp;CV$5,'Competency Event Log'!$D$4:$D$803)))</f>
        <v/>
      </c>
      <c r="CW158" s="8" t="str">
        <f>IF($B158="","",IF(COUNTIF('Competency Event Log'!$U$4:$U$803,$B158&amp;"|"&amp;CW$5)=0,"",SUMIF('Competency Event Log'!$U$4:$U$803,$B158&amp;"|"&amp;CW$5,'Competency Event Log'!$D$4:$D$803)))</f>
        <v/>
      </c>
      <c r="CX158" s="8" t="str">
        <f>IF($B158="","",IF(COUNTIF('Competency Event Log'!$U$4:$U$803,$B158&amp;"|"&amp;CX$5)=0,"",SUMIF('Competency Event Log'!$U$4:$U$803,$B158&amp;"|"&amp;CX$5,'Competency Event Log'!$D$4:$D$803)))</f>
        <v/>
      </c>
      <c r="CY158" s="8" t="str">
        <f>IF($B158="","",IF(COUNTIF('Competency Event Log'!$U$4:$U$803,$B158&amp;"|"&amp;CY$5)=0,"",SUMIF('Competency Event Log'!$U$4:$U$803,$B158&amp;"|"&amp;CY$5,'Competency Event Log'!$D$4:$D$803)))</f>
        <v/>
      </c>
      <c r="CZ158" s="8" t="str">
        <f>IF($B158="","",IF(COUNTIF('Competency Event Log'!$U$4:$U$803,$B158&amp;"|"&amp;CZ$5)=0,"",SUMIF('Competency Event Log'!$U$4:$U$803,$B158&amp;"|"&amp;CZ$5,'Competency Event Log'!$D$4:$D$803)))</f>
        <v/>
      </c>
      <c r="DA158" s="8" t="str">
        <f>IF($B158="","",IF(COUNTIF('Competency Event Log'!$U$4:$U$803,$B158&amp;"|"&amp;DA$5)=0,"",SUMIF('Competency Event Log'!$U$4:$U$803,$B158&amp;"|"&amp;DA$5,'Competency Event Log'!$D$4:$D$803)))</f>
        <v/>
      </c>
      <c r="DB158" s="8" t="str">
        <f>IF($B158="","",IF(COUNTIF('Competency Event Log'!$U$4:$U$803,$B158&amp;"|"&amp;DB$5)=0,"",SUMIF('Competency Event Log'!$U$4:$U$803,$B158&amp;"|"&amp;DB$5,'Competency Event Log'!$D$4:$D$803)))</f>
        <v/>
      </c>
      <c r="DC158" s="8" t="str">
        <f>IF($B158="","",IF(COUNTIF('Competency Event Log'!$U$4:$U$803,$B158&amp;"|"&amp;DC$5)=0,"",SUMIF('Competency Event Log'!$U$4:$U$803,$B158&amp;"|"&amp;DC$5,'Competency Event Log'!$D$4:$D$803)))</f>
        <v/>
      </c>
      <c r="DD158" s="8" t="str">
        <f>IF($B158="","",IF(COUNTIF('Competency Event Log'!$U$4:$U$803,$B158&amp;"|"&amp;DD$5)=0,"",SUMIF('Competency Event Log'!$U$4:$U$803,$B158&amp;"|"&amp;DD$5,'Competency Event Log'!$D$4:$D$803)))</f>
        <v/>
      </c>
      <c r="DE158" s="8" t="str">
        <f>IF($B158="","",IF(COUNTIF('Competency Event Log'!$U$4:$U$803,$B158&amp;"|"&amp;DE$5)=0,"",SUMIF('Competency Event Log'!$U$4:$U$803,$B158&amp;"|"&amp;DE$5,'Competency Event Log'!$D$4:$D$803)))</f>
        <v/>
      </c>
      <c r="DF158" s="8" t="str">
        <f t="shared" si="16"/>
        <v/>
      </c>
      <c r="DG158" s="8" t="str">
        <f t="shared" si="17"/>
        <v/>
      </c>
      <c r="DH158" s="8" t="str">
        <f t="shared" si="18"/>
        <v/>
      </c>
      <c r="DI158" s="11" t="str">
        <f t="shared" si="19"/>
        <v/>
      </c>
    </row>
    <row r="159" spans="1:113">
      <c r="A159" s="7"/>
      <c r="B159" s="7"/>
      <c r="C159" s="8"/>
      <c r="D159" s="9"/>
      <c r="E159" s="10"/>
      <c r="F159" s="8"/>
      <c r="G159" s="8" t="str">
        <f>IF($B159="","",IF(COUNTIF('Competency Event Log'!$U$4:$U$803,$B159&amp;"|"&amp;G$5)=0,"",SUMIF('Competency Event Log'!$U$4:$U$803,$B159&amp;"|"&amp;G$5,'Competency Event Log'!$D$4:$D$803)))</f>
        <v/>
      </c>
      <c r="H159" s="8" t="str">
        <f>IF($B159="","",IF(COUNTIF('Competency Event Log'!$U$4:$U$803,$B159&amp;"|"&amp;H$5)=0,"",SUMIF('Competency Event Log'!$U$4:$U$803,$B159&amp;"|"&amp;H$5,'Competency Event Log'!$D$4:$D$803)))</f>
        <v/>
      </c>
      <c r="I159" s="8" t="str">
        <f>IF($B159="","",IF(COUNTIF('Competency Event Log'!$U$4:$U$803,$B159&amp;"|"&amp;I$5)=0,"",SUMIF('Competency Event Log'!$U$4:$U$803,$B159&amp;"|"&amp;I$5,'Competency Event Log'!$D$4:$D$803)))</f>
        <v/>
      </c>
      <c r="J159" s="8" t="str">
        <f>IF($B159="","",IF(COUNTIF('Competency Event Log'!$U$4:$U$803,$B159&amp;"|"&amp;J$5)=0,"",SUMIF('Competency Event Log'!$U$4:$U$803,$B159&amp;"|"&amp;J$5,'Competency Event Log'!$D$4:$D$803)))</f>
        <v/>
      </c>
      <c r="K159" s="8" t="str">
        <f>IF($B159="","",IF(COUNTIF('Competency Event Log'!$U$4:$U$803,$B159&amp;"|"&amp;K$5)=0,"",SUMIF('Competency Event Log'!$U$4:$U$803,$B159&amp;"|"&amp;K$5,'Competency Event Log'!$D$4:$D$803)))</f>
        <v/>
      </c>
      <c r="L159" s="8" t="str">
        <f>IF($B159="","",IF(COUNTIF('Competency Event Log'!$U$4:$U$803,$B159&amp;"|"&amp;L$5)=0,"",SUMIF('Competency Event Log'!$U$4:$U$803,$B159&amp;"|"&amp;L$5,'Competency Event Log'!$D$4:$D$803)))</f>
        <v/>
      </c>
      <c r="M159" s="8" t="str">
        <f>IF($B159="","",IF(COUNTIF('Competency Event Log'!$U$4:$U$803,$B159&amp;"|"&amp;M$5)=0,"",SUMIF('Competency Event Log'!$U$4:$U$803,$B159&amp;"|"&amp;M$5,'Competency Event Log'!$D$4:$D$803)))</f>
        <v/>
      </c>
      <c r="N159" s="8" t="str">
        <f>IF($B159="","",IF(COUNTIF('Competency Event Log'!$U$4:$U$803,$B159&amp;"|"&amp;N$5)=0,"",SUMIF('Competency Event Log'!$U$4:$U$803,$B159&amp;"|"&amp;N$5,'Competency Event Log'!$D$4:$D$803)))</f>
        <v/>
      </c>
      <c r="O159" s="8" t="str">
        <f>IF($B159="","",IF(COUNTIF('Competency Event Log'!$U$4:$U$803,$B159&amp;"|"&amp;O$5)=0,"",SUMIF('Competency Event Log'!$U$4:$U$803,$B159&amp;"|"&amp;O$5,'Competency Event Log'!$D$4:$D$803)))</f>
        <v/>
      </c>
      <c r="P159" s="8" t="str">
        <f>IF($B159="","",IF(COUNTIF('Competency Event Log'!$U$4:$U$803,$B159&amp;"|"&amp;P$5)=0,"",SUMIF('Competency Event Log'!$U$4:$U$803,$B159&amp;"|"&amp;P$5,'Competency Event Log'!$D$4:$D$803)))</f>
        <v/>
      </c>
      <c r="Q159" s="8" t="str">
        <f>IF($B159="","",IF(COUNTIF('Competency Event Log'!$U$4:$U$803,$B159&amp;"|"&amp;Q$5)=0,"",SUMIF('Competency Event Log'!$U$4:$U$803,$B159&amp;"|"&amp;Q$5,'Competency Event Log'!$D$4:$D$803)))</f>
        <v/>
      </c>
      <c r="R159" s="8" t="str">
        <f>IF($B159="","",IF(COUNTIF('Competency Event Log'!$U$4:$U$803,$B159&amp;"|"&amp;R$5)=0,"",SUMIF('Competency Event Log'!$U$4:$U$803,$B159&amp;"|"&amp;R$5,'Competency Event Log'!$D$4:$D$803)))</f>
        <v/>
      </c>
      <c r="S159" s="8" t="str">
        <f>IF($B159="","",IF(COUNTIF('Competency Event Log'!$U$4:$U$803,$B159&amp;"|"&amp;S$5)=0,"",SUMIF('Competency Event Log'!$U$4:$U$803,$B159&amp;"|"&amp;S$5,'Competency Event Log'!$D$4:$D$803)))</f>
        <v/>
      </c>
      <c r="T159" s="8" t="str">
        <f>IF($B159="","",IF(COUNTIF('Competency Event Log'!$U$4:$U$803,$B159&amp;"|"&amp;T$5)=0,"",SUMIF('Competency Event Log'!$U$4:$U$803,$B159&amp;"|"&amp;T$5,'Competency Event Log'!$D$4:$D$803)))</f>
        <v/>
      </c>
      <c r="U159" s="8" t="str">
        <f>IF($B159="","",IF(COUNTIF('Competency Event Log'!$U$4:$U$803,$B159&amp;"|"&amp;U$5)=0,"",SUMIF('Competency Event Log'!$U$4:$U$803,$B159&amp;"|"&amp;U$5,'Competency Event Log'!$D$4:$D$803)))</f>
        <v/>
      </c>
      <c r="V159" s="8" t="str">
        <f>IF($B159="","",IF(COUNTIF('Competency Event Log'!$U$4:$U$803,$B159&amp;"|"&amp;V$5)=0,"",SUMIF('Competency Event Log'!$U$4:$U$803,$B159&amp;"|"&amp;V$5,'Competency Event Log'!$D$4:$D$803)))</f>
        <v/>
      </c>
      <c r="W159" s="8" t="str">
        <f>IF($B159="","",IF(COUNTIF('Competency Event Log'!$U$4:$U$803,$B159&amp;"|"&amp;W$5)=0,"",SUMIF('Competency Event Log'!$U$4:$U$803,$B159&amp;"|"&amp;W$5,'Competency Event Log'!$D$4:$D$803)))</f>
        <v/>
      </c>
      <c r="X159" s="8" t="str">
        <f>IF($B159="","",IF(COUNTIF('Competency Event Log'!$U$4:$U$803,$B159&amp;"|"&amp;X$5)=0,"",SUMIF('Competency Event Log'!$U$4:$U$803,$B159&amp;"|"&amp;X$5,'Competency Event Log'!$D$4:$D$803)))</f>
        <v/>
      </c>
      <c r="Y159" s="8" t="str">
        <f>IF($B159="","",IF(COUNTIF('Competency Event Log'!$U$4:$U$803,$B159&amp;"|"&amp;Y$5)=0,"",SUMIF('Competency Event Log'!$U$4:$U$803,$B159&amp;"|"&amp;Y$5,'Competency Event Log'!$D$4:$D$803)))</f>
        <v/>
      </c>
      <c r="Z159" s="8" t="str">
        <f>IF($B159="","",IF(COUNTIF('Competency Event Log'!$U$4:$U$803,$B159&amp;"|"&amp;Z$5)=0,"",SUMIF('Competency Event Log'!$U$4:$U$803,$B159&amp;"|"&amp;Z$5,'Competency Event Log'!$D$4:$D$803)))</f>
        <v/>
      </c>
      <c r="AA159" s="8" t="str">
        <f>IF($B159="","",IF(COUNTIF('Competency Event Log'!$U$4:$U$803,$B159&amp;"|"&amp;AA$5)=0,"",SUMIF('Competency Event Log'!$U$4:$U$803,$B159&amp;"|"&amp;AA$5,'Competency Event Log'!$D$4:$D$803)))</f>
        <v/>
      </c>
      <c r="AB159" s="8" t="str">
        <f>IF($B159="","",IF(COUNTIF('Competency Event Log'!$U$4:$U$803,$B159&amp;"|"&amp;AB$5)=0,"",SUMIF('Competency Event Log'!$U$4:$U$803,$B159&amp;"|"&amp;AB$5,'Competency Event Log'!$D$4:$D$803)))</f>
        <v/>
      </c>
      <c r="AC159" s="8" t="str">
        <f>IF($B159="","",IF(COUNTIF('Competency Event Log'!$U$4:$U$803,$B159&amp;"|"&amp;AC$5)=0,"",SUMIF('Competency Event Log'!$U$4:$U$803,$B159&amp;"|"&amp;AC$5,'Competency Event Log'!$D$4:$D$803)))</f>
        <v/>
      </c>
      <c r="AD159" s="8" t="str">
        <f>IF($B159="","",IF(COUNTIF('Competency Event Log'!$U$4:$U$803,$B159&amp;"|"&amp;AD$5)=0,"",SUMIF('Competency Event Log'!$U$4:$U$803,$B159&amp;"|"&amp;AD$5,'Competency Event Log'!$D$4:$D$803)))</f>
        <v/>
      </c>
      <c r="AE159" s="8" t="str">
        <f>IF($B159="","",IF(COUNTIF('Competency Event Log'!$U$4:$U$803,$B159&amp;"|"&amp;AE$5)=0,"",SUMIF('Competency Event Log'!$U$4:$U$803,$B159&amp;"|"&amp;AE$5,'Competency Event Log'!$D$4:$D$803)))</f>
        <v/>
      </c>
      <c r="AF159" s="8" t="str">
        <f>IF($B159="","",IF(COUNTIF('Competency Event Log'!$U$4:$U$803,$B159&amp;"|"&amp;AF$5)=0,"",SUMIF('Competency Event Log'!$U$4:$U$803,$B159&amp;"|"&amp;AF$5,'Competency Event Log'!$D$4:$D$803)))</f>
        <v/>
      </c>
      <c r="AG159" s="8" t="str">
        <f>IF($B159="","",IF(COUNTIF('Competency Event Log'!$U$4:$U$803,$B159&amp;"|"&amp;AG$5)=0,"",SUMIF('Competency Event Log'!$U$4:$U$803,$B159&amp;"|"&amp;AG$5,'Competency Event Log'!$D$4:$D$803)))</f>
        <v/>
      </c>
      <c r="AH159" s="8" t="str">
        <f>IF($B159="","",IF(COUNTIF('Competency Event Log'!$U$4:$U$803,$B159&amp;"|"&amp;AH$5)=0,"",SUMIF('Competency Event Log'!$U$4:$U$803,$B159&amp;"|"&amp;AH$5,'Competency Event Log'!$D$4:$D$803)))</f>
        <v/>
      </c>
      <c r="AI159" s="8" t="str">
        <f>IF($B159="","",IF(COUNTIF('Competency Event Log'!$U$4:$U$803,$B159&amp;"|"&amp;AI$5)=0,"",SUMIF('Competency Event Log'!$U$4:$U$803,$B159&amp;"|"&amp;AI$5,'Competency Event Log'!$D$4:$D$803)))</f>
        <v/>
      </c>
      <c r="AJ159" s="8" t="str">
        <f>IF($B159="","",IF(COUNTIF('Competency Event Log'!$U$4:$U$803,$B159&amp;"|"&amp;AJ$5)=0,"",SUMIF('Competency Event Log'!$U$4:$U$803,$B159&amp;"|"&amp;AJ$5,'Competency Event Log'!$D$4:$D$803)))</f>
        <v/>
      </c>
      <c r="AK159" s="8" t="str">
        <f>IF($B159="","",IF(COUNTIF('Competency Event Log'!$U$4:$U$803,$B159&amp;"|"&amp;AK$5)=0,"",SUMIF('Competency Event Log'!$U$4:$U$803,$B159&amp;"|"&amp;AK$5,'Competency Event Log'!$D$4:$D$803)))</f>
        <v/>
      </c>
      <c r="AL159" s="8" t="str">
        <f>IF($B159="","",IF(COUNTIF('Competency Event Log'!$U$4:$U$803,$B159&amp;"|"&amp;AL$5)=0,"",SUMIF('Competency Event Log'!$U$4:$U$803,$B159&amp;"|"&amp;AL$5,'Competency Event Log'!$D$4:$D$803)))</f>
        <v/>
      </c>
      <c r="AM159" s="8" t="str">
        <f>IF($B159="","",IF(COUNTIF('Competency Event Log'!$U$4:$U$803,$B159&amp;"|"&amp;AM$5)=0,"",SUMIF('Competency Event Log'!$U$4:$U$803,$B159&amp;"|"&amp;AM$5,'Competency Event Log'!$D$4:$D$803)))</f>
        <v/>
      </c>
      <c r="AN159" s="8" t="str">
        <f>IF($B159="","",IF(COUNTIF('Competency Event Log'!$U$4:$U$803,$B159&amp;"|"&amp;AN$5)=0,"",SUMIF('Competency Event Log'!$U$4:$U$803,$B159&amp;"|"&amp;AN$5,'Competency Event Log'!$D$4:$D$803)))</f>
        <v/>
      </c>
      <c r="AO159" s="8" t="str">
        <f>IF($B159="","",IF(COUNTIF('Competency Event Log'!$U$4:$U$803,$B159&amp;"|"&amp;AO$5)=0,"",SUMIF('Competency Event Log'!$U$4:$U$803,$B159&amp;"|"&amp;AO$5,'Competency Event Log'!$D$4:$D$803)))</f>
        <v/>
      </c>
      <c r="AP159" s="8" t="str">
        <f>IF($B159="","",IF(COUNTIF('Competency Event Log'!$U$4:$U$803,$B159&amp;"|"&amp;AP$5)=0,"",SUMIF('Competency Event Log'!$U$4:$U$803,$B159&amp;"|"&amp;AP$5,'Competency Event Log'!$D$4:$D$803)))</f>
        <v/>
      </c>
      <c r="AQ159" s="8" t="str">
        <f>IF($B159="","",IF(COUNTIF('Competency Event Log'!$U$4:$U$803,$B159&amp;"|"&amp;AQ$5)=0,"",SUMIF('Competency Event Log'!$U$4:$U$803,$B159&amp;"|"&amp;AQ$5,'Competency Event Log'!$D$4:$D$803)))</f>
        <v/>
      </c>
      <c r="AR159" s="8" t="str">
        <f>IF($B159="","",IF(COUNTIF('Competency Event Log'!$U$4:$U$803,$B159&amp;"|"&amp;AR$5)=0,"",SUMIF('Competency Event Log'!$U$4:$U$803,$B159&amp;"|"&amp;AR$5,'Competency Event Log'!$D$4:$D$803)))</f>
        <v/>
      </c>
      <c r="AS159" s="8" t="str">
        <f>IF($B159="","",IF(COUNTIF('Competency Event Log'!$U$4:$U$803,$B159&amp;"|"&amp;AS$5)=0,"",SUMIF('Competency Event Log'!$U$4:$U$803,$B159&amp;"|"&amp;AS$5,'Competency Event Log'!$D$4:$D$803)))</f>
        <v/>
      </c>
      <c r="AT159" s="8" t="str">
        <f>IF($B159="","",IF(COUNTIF('Competency Event Log'!$U$4:$U$803,$B159&amp;"|"&amp;AT$5)=0,"",SUMIF('Competency Event Log'!$U$4:$U$803,$B159&amp;"|"&amp;AT$5,'Competency Event Log'!$D$4:$D$803)))</f>
        <v/>
      </c>
      <c r="AU159" s="8" t="str">
        <f>IF($B159="","",IF(COUNTIF('Competency Event Log'!$U$4:$U$803,$B159&amp;"|"&amp;AU$5)=0,"",SUMIF('Competency Event Log'!$U$4:$U$803,$B159&amp;"|"&amp;AU$5,'Competency Event Log'!$D$4:$D$803)))</f>
        <v/>
      </c>
      <c r="AV159" s="8" t="str">
        <f>IF($B159="","",IF(COUNTIF('Competency Event Log'!$U$4:$U$803,$B159&amp;"|"&amp;AV$5)=0,"",SUMIF('Competency Event Log'!$U$4:$U$803,$B159&amp;"|"&amp;AV$5,'Competency Event Log'!$D$4:$D$803)))</f>
        <v/>
      </c>
      <c r="AW159" s="8" t="str">
        <f>IF($B159="","",IF(COUNTIF('Competency Event Log'!$U$4:$U$803,$B159&amp;"|"&amp;AW$5)=0,"",SUMIF('Competency Event Log'!$U$4:$U$803,$B159&amp;"|"&amp;AW$5,'Competency Event Log'!$D$4:$D$803)))</f>
        <v/>
      </c>
      <c r="AX159" s="8" t="str">
        <f>IF($B159="","",IF(COUNTIF('Competency Event Log'!$U$4:$U$803,$B159&amp;"|"&amp;AX$5)=0,"",SUMIF('Competency Event Log'!$U$4:$U$803,$B159&amp;"|"&amp;AX$5,'Competency Event Log'!$D$4:$D$803)))</f>
        <v/>
      </c>
      <c r="AY159" s="8" t="str">
        <f>IF($B159="","",IF(COUNTIF('Competency Event Log'!$U$4:$U$803,$B159&amp;"|"&amp;AY$5)=0,"",SUMIF('Competency Event Log'!$U$4:$U$803,$B159&amp;"|"&amp;AY$5,'Competency Event Log'!$D$4:$D$803)))</f>
        <v/>
      </c>
      <c r="AZ159" s="8" t="str">
        <f>IF($B159="","",IF(COUNTIF('Competency Event Log'!$U$4:$U$803,$B159&amp;"|"&amp;AZ$5)=0,"",SUMIF('Competency Event Log'!$U$4:$U$803,$B159&amp;"|"&amp;AZ$5,'Competency Event Log'!$D$4:$D$803)))</f>
        <v/>
      </c>
      <c r="BA159" s="8" t="str">
        <f>IF($B159="","",IF(COUNTIF('Competency Event Log'!$U$4:$U$803,$B159&amp;"|"&amp;BA$5)=0,"",SUMIF('Competency Event Log'!$U$4:$U$803,$B159&amp;"|"&amp;BA$5,'Competency Event Log'!$D$4:$D$803)))</f>
        <v/>
      </c>
      <c r="BB159" s="8" t="str">
        <f>IF($B159="","",IF(COUNTIF('Competency Event Log'!$U$4:$U$803,$B159&amp;"|"&amp;BB$5)=0,"",SUMIF('Competency Event Log'!$U$4:$U$803,$B159&amp;"|"&amp;BB$5,'Competency Event Log'!$D$4:$D$803)))</f>
        <v/>
      </c>
      <c r="BC159" s="8" t="str">
        <f>IF($B159="","",IF(COUNTIF('Competency Event Log'!$U$4:$U$803,$B159&amp;"|"&amp;BC$5)=0,"",SUMIF('Competency Event Log'!$U$4:$U$803,$B159&amp;"|"&amp;BC$5,'Competency Event Log'!$D$4:$D$803)))</f>
        <v/>
      </c>
      <c r="BD159" s="8" t="str">
        <f>IF($B159="","",IF(COUNTIF('Competency Event Log'!$U$4:$U$803,$B159&amp;"|"&amp;BD$5)=0,"",SUMIF('Competency Event Log'!$U$4:$U$803,$B159&amp;"|"&amp;BD$5,'Competency Event Log'!$D$4:$D$803)))</f>
        <v/>
      </c>
      <c r="BE159" s="8" t="str">
        <f>IF($B159="","",IF(COUNTIF('Competency Event Log'!$U$4:$U$803,$B159&amp;"|"&amp;BE$5)=0,"",SUMIF('Competency Event Log'!$U$4:$U$803,$B159&amp;"|"&amp;BE$5,'Competency Event Log'!$D$4:$D$803)))</f>
        <v/>
      </c>
      <c r="BF159" s="8" t="str">
        <f>IF($B159="","",IF(COUNTIF('Competency Event Log'!$U$4:$U$803,$B159&amp;"|"&amp;BF$5)=0,"",SUMIF('Competency Event Log'!$U$4:$U$803,$B159&amp;"|"&amp;BF$5,'Competency Event Log'!$D$4:$D$803)))</f>
        <v/>
      </c>
      <c r="BG159" s="8" t="str">
        <f>IF($B159="","",IF(COUNTIF('Competency Event Log'!$U$4:$U$803,$B159&amp;"|"&amp;BG$5)=0,"",SUMIF('Competency Event Log'!$U$4:$U$803,$B159&amp;"|"&amp;BG$5,'Competency Event Log'!$D$4:$D$803)))</f>
        <v/>
      </c>
      <c r="BH159" s="8" t="str">
        <f>IF($B159="","",IF(COUNTIF('Competency Event Log'!$U$4:$U$803,$B159&amp;"|"&amp;BH$5)=0,"",SUMIF('Competency Event Log'!$U$4:$U$803,$B159&amp;"|"&amp;BH$5,'Competency Event Log'!$D$4:$D$803)))</f>
        <v/>
      </c>
      <c r="BI159" s="8" t="str">
        <f>IF($B159="","",IF(COUNTIF('Competency Event Log'!$U$4:$U$803,$B159&amp;"|"&amp;BI$5)=0,"",SUMIF('Competency Event Log'!$U$4:$U$803,$B159&amp;"|"&amp;BI$5,'Competency Event Log'!$D$4:$D$803)))</f>
        <v/>
      </c>
      <c r="BJ159" s="8" t="str">
        <f>IF($B159="","",IF(COUNTIF('Competency Event Log'!$U$4:$U$803,$B159&amp;"|"&amp;BJ$5)=0,"",SUMIF('Competency Event Log'!$U$4:$U$803,$B159&amp;"|"&amp;BJ$5,'Competency Event Log'!$D$4:$D$803)))</f>
        <v/>
      </c>
      <c r="BK159" s="8" t="str">
        <f>IF($B159="","",IF(COUNTIF('Competency Event Log'!$U$4:$U$803,$B159&amp;"|"&amp;BK$5)=0,"",SUMIF('Competency Event Log'!$U$4:$U$803,$B159&amp;"|"&amp;BK$5,'Competency Event Log'!$D$4:$D$803)))</f>
        <v/>
      </c>
      <c r="BL159" s="8" t="str">
        <f>IF($B159="","",IF(COUNTIF('Competency Event Log'!$U$4:$U$803,$B159&amp;"|"&amp;BL$5)=0,"",SUMIF('Competency Event Log'!$U$4:$U$803,$B159&amp;"|"&amp;BL$5,'Competency Event Log'!$D$4:$D$803)))</f>
        <v/>
      </c>
      <c r="BM159" s="8" t="str">
        <f>IF($B159="","",IF(COUNTIF('Competency Event Log'!$U$4:$U$803,$B159&amp;"|"&amp;BM$5)=0,"",SUMIF('Competency Event Log'!$U$4:$U$803,$B159&amp;"|"&amp;BM$5,'Competency Event Log'!$D$4:$D$803)))</f>
        <v/>
      </c>
      <c r="BN159" s="8" t="str">
        <f>IF($B159="","",IF(COUNTIF('Competency Event Log'!$U$4:$U$803,$B159&amp;"|"&amp;BN$5)=0,"",SUMIF('Competency Event Log'!$U$4:$U$803,$B159&amp;"|"&amp;BN$5,'Competency Event Log'!$D$4:$D$803)))</f>
        <v/>
      </c>
      <c r="BO159" s="8" t="str">
        <f>IF($B159="","",IF(COUNTIF('Competency Event Log'!$U$4:$U$803,$B159&amp;"|"&amp;BO$5)=0,"",SUMIF('Competency Event Log'!$U$4:$U$803,$B159&amp;"|"&amp;BO$5,'Competency Event Log'!$D$4:$D$803)))</f>
        <v/>
      </c>
      <c r="BP159" s="8" t="str">
        <f>IF($B159="","",IF(COUNTIF('Competency Event Log'!$U$4:$U$803,$B159&amp;"|"&amp;BP$5)=0,"",SUMIF('Competency Event Log'!$U$4:$U$803,$B159&amp;"|"&amp;BP$5,'Competency Event Log'!$D$4:$D$803)))</f>
        <v/>
      </c>
      <c r="BQ159" s="8" t="str">
        <f>IF($B159="","",IF(COUNTIF('Competency Event Log'!$U$4:$U$803,$B159&amp;"|"&amp;BQ$5)=0,"",SUMIF('Competency Event Log'!$U$4:$U$803,$B159&amp;"|"&amp;BQ$5,'Competency Event Log'!$D$4:$D$803)))</f>
        <v/>
      </c>
      <c r="BR159" s="8" t="str">
        <f>IF($B159="","",IF(COUNTIF('Competency Event Log'!$U$4:$U$803,$B159&amp;"|"&amp;BR$5)=0,"",SUMIF('Competency Event Log'!$U$4:$U$803,$B159&amp;"|"&amp;BR$5,'Competency Event Log'!$D$4:$D$803)))</f>
        <v/>
      </c>
      <c r="BS159" s="8" t="str">
        <f>IF($B159="","",IF(COUNTIF('Competency Event Log'!$U$4:$U$803,$B159&amp;"|"&amp;BS$5)=0,"",SUMIF('Competency Event Log'!$U$4:$U$803,$B159&amp;"|"&amp;BS$5,'Competency Event Log'!$D$4:$D$803)))</f>
        <v/>
      </c>
      <c r="BT159" s="8" t="str">
        <f>IF($B159="","",IF(COUNTIF('Competency Event Log'!$U$4:$U$803,$B159&amp;"|"&amp;BT$5)=0,"",SUMIF('Competency Event Log'!$U$4:$U$803,$B159&amp;"|"&amp;BT$5,'Competency Event Log'!$D$4:$D$803)))</f>
        <v/>
      </c>
      <c r="BU159" s="8" t="str">
        <f>IF($B159="","",IF(COUNTIF('Competency Event Log'!$U$4:$U$803,$B159&amp;"|"&amp;BU$5)=0,"",SUMIF('Competency Event Log'!$U$4:$U$803,$B159&amp;"|"&amp;BU$5,'Competency Event Log'!$D$4:$D$803)))</f>
        <v/>
      </c>
      <c r="BV159" s="8" t="str">
        <f>IF($B159="","",IF(COUNTIF('Competency Event Log'!$U$4:$U$803,$B159&amp;"|"&amp;BV$5)=0,"",SUMIF('Competency Event Log'!$U$4:$U$803,$B159&amp;"|"&amp;BV$5,'Competency Event Log'!$D$4:$D$803)))</f>
        <v/>
      </c>
      <c r="BW159" s="8" t="str">
        <f>IF($B159="","",IF(COUNTIF('Competency Event Log'!$U$4:$U$803,$B159&amp;"|"&amp;BW$5)=0,"",SUMIF('Competency Event Log'!$U$4:$U$803,$B159&amp;"|"&amp;BW$5,'Competency Event Log'!$D$4:$D$803)))</f>
        <v/>
      </c>
      <c r="BX159" s="8" t="str">
        <f>IF($B159="","",IF(COUNTIF('Competency Event Log'!$U$4:$U$803,$B159&amp;"|"&amp;BX$5)=0,"",SUMIF('Competency Event Log'!$U$4:$U$803,$B159&amp;"|"&amp;BX$5,'Competency Event Log'!$D$4:$D$803)))</f>
        <v/>
      </c>
      <c r="BY159" s="8" t="str">
        <f>IF($B159="","",IF(COUNTIF('Competency Event Log'!$U$4:$U$803,$B159&amp;"|"&amp;BY$5)=0,"",SUMIF('Competency Event Log'!$U$4:$U$803,$B159&amp;"|"&amp;BY$5,'Competency Event Log'!$D$4:$D$803)))</f>
        <v/>
      </c>
      <c r="BZ159" s="8" t="str">
        <f>IF($B159="","",IF(COUNTIF('Competency Event Log'!$U$4:$U$803,$B159&amp;"|"&amp;BZ$5)=0,"",SUMIF('Competency Event Log'!$U$4:$U$803,$B159&amp;"|"&amp;BZ$5,'Competency Event Log'!$D$4:$D$803)))</f>
        <v/>
      </c>
      <c r="CA159" s="8" t="str">
        <f>IF($B159="","",IF(COUNTIF('Competency Event Log'!$U$4:$U$803,$B159&amp;"|"&amp;CA$5)=0,"",SUMIF('Competency Event Log'!$U$4:$U$803,$B159&amp;"|"&amp;CA$5,'Competency Event Log'!$D$4:$D$803)))</f>
        <v/>
      </c>
      <c r="CB159" s="8" t="str">
        <f>IF($B159="","",IF(COUNTIF('Competency Event Log'!$U$4:$U$803,$B159&amp;"|"&amp;CB$5)=0,"",SUMIF('Competency Event Log'!$U$4:$U$803,$B159&amp;"|"&amp;CB$5,'Competency Event Log'!$D$4:$D$803)))</f>
        <v/>
      </c>
      <c r="CC159" s="8" t="str">
        <f>IF($B159="","",IF(COUNTIF('Competency Event Log'!$U$4:$U$803,$B159&amp;"|"&amp;CC$5)=0,"",SUMIF('Competency Event Log'!$U$4:$U$803,$B159&amp;"|"&amp;CC$5,'Competency Event Log'!$D$4:$D$803)))</f>
        <v/>
      </c>
      <c r="CD159" s="8" t="str">
        <f>IF($B159="","",IF(COUNTIF('Competency Event Log'!$U$4:$U$803,$B159&amp;"|"&amp;CD$5)=0,"",SUMIF('Competency Event Log'!$U$4:$U$803,$B159&amp;"|"&amp;CD$5,'Competency Event Log'!$D$4:$D$803)))</f>
        <v/>
      </c>
      <c r="CE159" s="8" t="str">
        <f>IF($B159="","",IF(COUNTIF('Competency Event Log'!$U$4:$U$803,$B159&amp;"|"&amp;CE$5)=0,"",SUMIF('Competency Event Log'!$U$4:$U$803,$B159&amp;"|"&amp;CE$5,'Competency Event Log'!$D$4:$D$803)))</f>
        <v/>
      </c>
      <c r="CF159" s="8" t="str">
        <f>IF($B159="","",IF(COUNTIF('Competency Event Log'!$U$4:$U$803,$B159&amp;"|"&amp;CF$5)=0,"",SUMIF('Competency Event Log'!$U$4:$U$803,$B159&amp;"|"&amp;CF$5,'Competency Event Log'!$D$4:$D$803)))</f>
        <v/>
      </c>
      <c r="CG159" s="8" t="str">
        <f>IF($B159="","",IF(COUNTIF('Competency Event Log'!$U$4:$U$803,$B159&amp;"|"&amp;CG$5)=0,"",SUMIF('Competency Event Log'!$U$4:$U$803,$B159&amp;"|"&amp;CG$5,'Competency Event Log'!$D$4:$D$803)))</f>
        <v/>
      </c>
      <c r="CH159" s="8" t="str">
        <f>IF($B159="","",IF(COUNTIF('Competency Event Log'!$U$4:$U$803,$B159&amp;"|"&amp;CH$5)=0,"",SUMIF('Competency Event Log'!$U$4:$U$803,$B159&amp;"|"&amp;CH$5,'Competency Event Log'!$D$4:$D$803)))</f>
        <v/>
      </c>
      <c r="CI159" s="8" t="str">
        <f>IF($B159="","",IF(COUNTIF('Competency Event Log'!$U$4:$U$803,$B159&amp;"|"&amp;CI$5)=0,"",SUMIF('Competency Event Log'!$U$4:$U$803,$B159&amp;"|"&amp;CI$5,'Competency Event Log'!$D$4:$D$803)))</f>
        <v/>
      </c>
      <c r="CJ159" s="8" t="str">
        <f>IF($B159="","",IF(COUNTIF('Competency Event Log'!$U$4:$U$803,$B159&amp;"|"&amp;CJ$5)=0,"",SUMIF('Competency Event Log'!$U$4:$U$803,$B159&amp;"|"&amp;CJ$5,'Competency Event Log'!$D$4:$D$803)))</f>
        <v/>
      </c>
      <c r="CK159" s="8" t="str">
        <f>IF($B159="","",IF(COUNTIF('Competency Event Log'!$U$4:$U$803,$B159&amp;"|"&amp;CK$5)=0,"",SUMIF('Competency Event Log'!$U$4:$U$803,$B159&amp;"|"&amp;CK$5,'Competency Event Log'!$D$4:$D$803)))</f>
        <v/>
      </c>
      <c r="CL159" s="8" t="str">
        <f>IF($B159="","",IF(COUNTIF('Competency Event Log'!$U$4:$U$803,$B159&amp;"|"&amp;CL$5)=0,"",SUMIF('Competency Event Log'!$U$4:$U$803,$B159&amp;"|"&amp;CL$5,'Competency Event Log'!$D$4:$D$803)))</f>
        <v/>
      </c>
      <c r="CM159" s="8" t="str">
        <f>IF($B159="","",IF(COUNTIF('Competency Event Log'!$U$4:$U$803,$B159&amp;"|"&amp;CM$5)=0,"",SUMIF('Competency Event Log'!$U$4:$U$803,$B159&amp;"|"&amp;CM$5,'Competency Event Log'!$D$4:$D$803)))</f>
        <v/>
      </c>
      <c r="CN159" s="8" t="str">
        <f>IF($B159="","",IF(COUNTIF('Competency Event Log'!$U$4:$U$803,$B159&amp;"|"&amp;CN$5)=0,"",SUMIF('Competency Event Log'!$U$4:$U$803,$B159&amp;"|"&amp;CN$5,'Competency Event Log'!$D$4:$D$803)))</f>
        <v/>
      </c>
      <c r="CO159" s="8" t="str">
        <f>IF($B159="","",IF(COUNTIF('Competency Event Log'!$U$4:$U$803,$B159&amp;"|"&amp;CO$5)=0,"",SUMIF('Competency Event Log'!$U$4:$U$803,$B159&amp;"|"&amp;CO$5,'Competency Event Log'!$D$4:$D$803)))</f>
        <v/>
      </c>
      <c r="CP159" s="8" t="str">
        <f>IF($B159="","",IF(COUNTIF('Competency Event Log'!$U$4:$U$803,$B159&amp;"|"&amp;CP$5)=0,"",SUMIF('Competency Event Log'!$U$4:$U$803,$B159&amp;"|"&amp;CP$5,'Competency Event Log'!$D$4:$D$803)))</f>
        <v/>
      </c>
      <c r="CQ159" s="8" t="str">
        <f>IF($B159="","",IF(COUNTIF('Competency Event Log'!$U$4:$U$803,$B159&amp;"|"&amp;CQ$5)=0,"",SUMIF('Competency Event Log'!$U$4:$U$803,$B159&amp;"|"&amp;CQ$5,'Competency Event Log'!$D$4:$D$803)))</f>
        <v/>
      </c>
      <c r="CR159" s="8" t="str">
        <f>IF($B159="","",IF(COUNTIF('Competency Event Log'!$U$4:$U$803,$B159&amp;"|"&amp;CR$5)=0,"",SUMIF('Competency Event Log'!$U$4:$U$803,$B159&amp;"|"&amp;CR$5,'Competency Event Log'!$D$4:$D$803)))</f>
        <v/>
      </c>
      <c r="CS159" s="8" t="str">
        <f>IF($B159="","",IF(COUNTIF('Competency Event Log'!$U$4:$U$803,$B159&amp;"|"&amp;CS$5)=0,"",SUMIF('Competency Event Log'!$U$4:$U$803,$B159&amp;"|"&amp;CS$5,'Competency Event Log'!$D$4:$D$803)))</f>
        <v/>
      </c>
      <c r="CT159" s="8" t="str">
        <f>IF($B159="","",IF(COUNTIF('Competency Event Log'!$U$4:$U$803,$B159&amp;"|"&amp;CT$5)=0,"",SUMIF('Competency Event Log'!$U$4:$U$803,$B159&amp;"|"&amp;CT$5,'Competency Event Log'!$D$4:$D$803)))</f>
        <v/>
      </c>
      <c r="CU159" s="8" t="str">
        <f>IF($B159="","",IF(COUNTIF('Competency Event Log'!$U$4:$U$803,$B159&amp;"|"&amp;CU$5)=0,"",SUMIF('Competency Event Log'!$U$4:$U$803,$B159&amp;"|"&amp;CU$5,'Competency Event Log'!$D$4:$D$803)))</f>
        <v/>
      </c>
      <c r="CV159" s="8" t="str">
        <f>IF($B159="","",IF(COUNTIF('Competency Event Log'!$U$4:$U$803,$B159&amp;"|"&amp;CV$5)=0,"",SUMIF('Competency Event Log'!$U$4:$U$803,$B159&amp;"|"&amp;CV$5,'Competency Event Log'!$D$4:$D$803)))</f>
        <v/>
      </c>
      <c r="CW159" s="8" t="str">
        <f>IF($B159="","",IF(COUNTIF('Competency Event Log'!$U$4:$U$803,$B159&amp;"|"&amp;CW$5)=0,"",SUMIF('Competency Event Log'!$U$4:$U$803,$B159&amp;"|"&amp;CW$5,'Competency Event Log'!$D$4:$D$803)))</f>
        <v/>
      </c>
      <c r="CX159" s="8" t="str">
        <f>IF($B159="","",IF(COUNTIF('Competency Event Log'!$U$4:$U$803,$B159&amp;"|"&amp;CX$5)=0,"",SUMIF('Competency Event Log'!$U$4:$U$803,$B159&amp;"|"&amp;CX$5,'Competency Event Log'!$D$4:$D$803)))</f>
        <v/>
      </c>
      <c r="CY159" s="8" t="str">
        <f>IF($B159="","",IF(COUNTIF('Competency Event Log'!$U$4:$U$803,$B159&amp;"|"&amp;CY$5)=0,"",SUMIF('Competency Event Log'!$U$4:$U$803,$B159&amp;"|"&amp;CY$5,'Competency Event Log'!$D$4:$D$803)))</f>
        <v/>
      </c>
      <c r="CZ159" s="8" t="str">
        <f>IF($B159="","",IF(COUNTIF('Competency Event Log'!$U$4:$U$803,$B159&amp;"|"&amp;CZ$5)=0,"",SUMIF('Competency Event Log'!$U$4:$U$803,$B159&amp;"|"&amp;CZ$5,'Competency Event Log'!$D$4:$D$803)))</f>
        <v/>
      </c>
      <c r="DA159" s="8" t="str">
        <f>IF($B159="","",IF(COUNTIF('Competency Event Log'!$U$4:$U$803,$B159&amp;"|"&amp;DA$5)=0,"",SUMIF('Competency Event Log'!$U$4:$U$803,$B159&amp;"|"&amp;DA$5,'Competency Event Log'!$D$4:$D$803)))</f>
        <v/>
      </c>
      <c r="DB159" s="8" t="str">
        <f>IF($B159="","",IF(COUNTIF('Competency Event Log'!$U$4:$U$803,$B159&amp;"|"&amp;DB$5)=0,"",SUMIF('Competency Event Log'!$U$4:$U$803,$B159&amp;"|"&amp;DB$5,'Competency Event Log'!$D$4:$D$803)))</f>
        <v/>
      </c>
      <c r="DC159" s="8" t="str">
        <f>IF($B159="","",IF(COUNTIF('Competency Event Log'!$U$4:$U$803,$B159&amp;"|"&amp;DC$5)=0,"",SUMIF('Competency Event Log'!$U$4:$U$803,$B159&amp;"|"&amp;DC$5,'Competency Event Log'!$D$4:$D$803)))</f>
        <v/>
      </c>
      <c r="DD159" s="8" t="str">
        <f>IF($B159="","",IF(COUNTIF('Competency Event Log'!$U$4:$U$803,$B159&amp;"|"&amp;DD$5)=0,"",SUMIF('Competency Event Log'!$U$4:$U$803,$B159&amp;"|"&amp;DD$5,'Competency Event Log'!$D$4:$D$803)))</f>
        <v/>
      </c>
      <c r="DE159" s="8" t="str">
        <f>IF($B159="","",IF(COUNTIF('Competency Event Log'!$U$4:$U$803,$B159&amp;"|"&amp;DE$5)=0,"",SUMIF('Competency Event Log'!$U$4:$U$803,$B159&amp;"|"&amp;DE$5,'Competency Event Log'!$D$4:$D$803)))</f>
        <v/>
      </c>
      <c r="DF159" s="8" t="str">
        <f t="shared" si="16"/>
        <v/>
      </c>
      <c r="DG159" s="8" t="str">
        <f t="shared" si="17"/>
        <v/>
      </c>
      <c r="DH159" s="8" t="str">
        <f t="shared" si="18"/>
        <v/>
      </c>
      <c r="DI159" s="11" t="str">
        <f t="shared" si="19"/>
        <v/>
      </c>
    </row>
    <row r="160" spans="1:113">
      <c r="A160" s="7"/>
      <c r="B160" s="7"/>
      <c r="C160" s="8"/>
      <c r="D160" s="9"/>
      <c r="E160" s="10"/>
      <c r="F160" s="8"/>
      <c r="G160" s="8" t="str">
        <f>IF($B160="","",IF(COUNTIF('Competency Event Log'!$U$4:$U$803,$B160&amp;"|"&amp;G$5)=0,"",SUMIF('Competency Event Log'!$U$4:$U$803,$B160&amp;"|"&amp;G$5,'Competency Event Log'!$D$4:$D$803)))</f>
        <v/>
      </c>
      <c r="H160" s="8" t="str">
        <f>IF($B160="","",IF(COUNTIF('Competency Event Log'!$U$4:$U$803,$B160&amp;"|"&amp;H$5)=0,"",SUMIF('Competency Event Log'!$U$4:$U$803,$B160&amp;"|"&amp;H$5,'Competency Event Log'!$D$4:$D$803)))</f>
        <v/>
      </c>
      <c r="I160" s="8" t="str">
        <f>IF($B160="","",IF(COUNTIF('Competency Event Log'!$U$4:$U$803,$B160&amp;"|"&amp;I$5)=0,"",SUMIF('Competency Event Log'!$U$4:$U$803,$B160&amp;"|"&amp;I$5,'Competency Event Log'!$D$4:$D$803)))</f>
        <v/>
      </c>
      <c r="J160" s="8" t="str">
        <f>IF($B160="","",IF(COUNTIF('Competency Event Log'!$U$4:$U$803,$B160&amp;"|"&amp;J$5)=0,"",SUMIF('Competency Event Log'!$U$4:$U$803,$B160&amp;"|"&amp;J$5,'Competency Event Log'!$D$4:$D$803)))</f>
        <v/>
      </c>
      <c r="K160" s="8" t="str">
        <f>IF($B160="","",IF(COUNTIF('Competency Event Log'!$U$4:$U$803,$B160&amp;"|"&amp;K$5)=0,"",SUMIF('Competency Event Log'!$U$4:$U$803,$B160&amp;"|"&amp;K$5,'Competency Event Log'!$D$4:$D$803)))</f>
        <v/>
      </c>
      <c r="L160" s="8" t="str">
        <f>IF($B160="","",IF(COUNTIF('Competency Event Log'!$U$4:$U$803,$B160&amp;"|"&amp;L$5)=0,"",SUMIF('Competency Event Log'!$U$4:$U$803,$B160&amp;"|"&amp;L$5,'Competency Event Log'!$D$4:$D$803)))</f>
        <v/>
      </c>
      <c r="M160" s="8" t="str">
        <f>IF($B160="","",IF(COUNTIF('Competency Event Log'!$U$4:$U$803,$B160&amp;"|"&amp;M$5)=0,"",SUMIF('Competency Event Log'!$U$4:$U$803,$B160&amp;"|"&amp;M$5,'Competency Event Log'!$D$4:$D$803)))</f>
        <v/>
      </c>
      <c r="N160" s="8" t="str">
        <f>IF($B160="","",IF(COUNTIF('Competency Event Log'!$U$4:$U$803,$B160&amp;"|"&amp;N$5)=0,"",SUMIF('Competency Event Log'!$U$4:$U$803,$B160&amp;"|"&amp;N$5,'Competency Event Log'!$D$4:$D$803)))</f>
        <v/>
      </c>
      <c r="O160" s="8" t="str">
        <f>IF($B160="","",IF(COUNTIF('Competency Event Log'!$U$4:$U$803,$B160&amp;"|"&amp;O$5)=0,"",SUMIF('Competency Event Log'!$U$4:$U$803,$B160&amp;"|"&amp;O$5,'Competency Event Log'!$D$4:$D$803)))</f>
        <v/>
      </c>
      <c r="P160" s="8" t="str">
        <f>IF($B160="","",IF(COUNTIF('Competency Event Log'!$U$4:$U$803,$B160&amp;"|"&amp;P$5)=0,"",SUMIF('Competency Event Log'!$U$4:$U$803,$B160&amp;"|"&amp;P$5,'Competency Event Log'!$D$4:$D$803)))</f>
        <v/>
      </c>
      <c r="Q160" s="8" t="str">
        <f>IF($B160="","",IF(COUNTIF('Competency Event Log'!$U$4:$U$803,$B160&amp;"|"&amp;Q$5)=0,"",SUMIF('Competency Event Log'!$U$4:$U$803,$B160&amp;"|"&amp;Q$5,'Competency Event Log'!$D$4:$D$803)))</f>
        <v/>
      </c>
      <c r="R160" s="8" t="str">
        <f>IF($B160="","",IF(COUNTIF('Competency Event Log'!$U$4:$U$803,$B160&amp;"|"&amp;R$5)=0,"",SUMIF('Competency Event Log'!$U$4:$U$803,$B160&amp;"|"&amp;R$5,'Competency Event Log'!$D$4:$D$803)))</f>
        <v/>
      </c>
      <c r="S160" s="8" t="str">
        <f>IF($B160="","",IF(COUNTIF('Competency Event Log'!$U$4:$U$803,$B160&amp;"|"&amp;S$5)=0,"",SUMIF('Competency Event Log'!$U$4:$U$803,$B160&amp;"|"&amp;S$5,'Competency Event Log'!$D$4:$D$803)))</f>
        <v/>
      </c>
      <c r="T160" s="8" t="str">
        <f>IF($B160="","",IF(COUNTIF('Competency Event Log'!$U$4:$U$803,$B160&amp;"|"&amp;T$5)=0,"",SUMIF('Competency Event Log'!$U$4:$U$803,$B160&amp;"|"&amp;T$5,'Competency Event Log'!$D$4:$D$803)))</f>
        <v/>
      </c>
      <c r="U160" s="8" t="str">
        <f>IF($B160="","",IF(COUNTIF('Competency Event Log'!$U$4:$U$803,$B160&amp;"|"&amp;U$5)=0,"",SUMIF('Competency Event Log'!$U$4:$U$803,$B160&amp;"|"&amp;U$5,'Competency Event Log'!$D$4:$D$803)))</f>
        <v/>
      </c>
      <c r="V160" s="8" t="str">
        <f>IF($B160="","",IF(COUNTIF('Competency Event Log'!$U$4:$U$803,$B160&amp;"|"&amp;V$5)=0,"",SUMIF('Competency Event Log'!$U$4:$U$803,$B160&amp;"|"&amp;V$5,'Competency Event Log'!$D$4:$D$803)))</f>
        <v/>
      </c>
      <c r="W160" s="8" t="str">
        <f>IF($B160="","",IF(COUNTIF('Competency Event Log'!$U$4:$U$803,$B160&amp;"|"&amp;W$5)=0,"",SUMIF('Competency Event Log'!$U$4:$U$803,$B160&amp;"|"&amp;W$5,'Competency Event Log'!$D$4:$D$803)))</f>
        <v/>
      </c>
      <c r="X160" s="8" t="str">
        <f>IF($B160="","",IF(COUNTIF('Competency Event Log'!$U$4:$U$803,$B160&amp;"|"&amp;X$5)=0,"",SUMIF('Competency Event Log'!$U$4:$U$803,$B160&amp;"|"&amp;X$5,'Competency Event Log'!$D$4:$D$803)))</f>
        <v/>
      </c>
      <c r="Y160" s="8" t="str">
        <f>IF($B160="","",IF(COUNTIF('Competency Event Log'!$U$4:$U$803,$B160&amp;"|"&amp;Y$5)=0,"",SUMIF('Competency Event Log'!$U$4:$U$803,$B160&amp;"|"&amp;Y$5,'Competency Event Log'!$D$4:$D$803)))</f>
        <v/>
      </c>
      <c r="Z160" s="8" t="str">
        <f>IF($B160="","",IF(COUNTIF('Competency Event Log'!$U$4:$U$803,$B160&amp;"|"&amp;Z$5)=0,"",SUMIF('Competency Event Log'!$U$4:$U$803,$B160&amp;"|"&amp;Z$5,'Competency Event Log'!$D$4:$D$803)))</f>
        <v/>
      </c>
      <c r="AA160" s="8" t="str">
        <f>IF($B160="","",IF(COUNTIF('Competency Event Log'!$U$4:$U$803,$B160&amp;"|"&amp;AA$5)=0,"",SUMIF('Competency Event Log'!$U$4:$U$803,$B160&amp;"|"&amp;AA$5,'Competency Event Log'!$D$4:$D$803)))</f>
        <v/>
      </c>
      <c r="AB160" s="8" t="str">
        <f>IF($B160="","",IF(COUNTIF('Competency Event Log'!$U$4:$U$803,$B160&amp;"|"&amp;AB$5)=0,"",SUMIF('Competency Event Log'!$U$4:$U$803,$B160&amp;"|"&amp;AB$5,'Competency Event Log'!$D$4:$D$803)))</f>
        <v/>
      </c>
      <c r="AC160" s="8" t="str">
        <f>IF($B160="","",IF(COUNTIF('Competency Event Log'!$U$4:$U$803,$B160&amp;"|"&amp;AC$5)=0,"",SUMIF('Competency Event Log'!$U$4:$U$803,$B160&amp;"|"&amp;AC$5,'Competency Event Log'!$D$4:$D$803)))</f>
        <v/>
      </c>
      <c r="AD160" s="8" t="str">
        <f>IF($B160="","",IF(COUNTIF('Competency Event Log'!$U$4:$U$803,$B160&amp;"|"&amp;AD$5)=0,"",SUMIF('Competency Event Log'!$U$4:$U$803,$B160&amp;"|"&amp;AD$5,'Competency Event Log'!$D$4:$D$803)))</f>
        <v/>
      </c>
      <c r="AE160" s="8" t="str">
        <f>IF($B160="","",IF(COUNTIF('Competency Event Log'!$U$4:$U$803,$B160&amp;"|"&amp;AE$5)=0,"",SUMIF('Competency Event Log'!$U$4:$U$803,$B160&amp;"|"&amp;AE$5,'Competency Event Log'!$D$4:$D$803)))</f>
        <v/>
      </c>
      <c r="AF160" s="8" t="str">
        <f>IF($B160="","",IF(COUNTIF('Competency Event Log'!$U$4:$U$803,$B160&amp;"|"&amp;AF$5)=0,"",SUMIF('Competency Event Log'!$U$4:$U$803,$B160&amp;"|"&amp;AF$5,'Competency Event Log'!$D$4:$D$803)))</f>
        <v/>
      </c>
      <c r="AG160" s="8" t="str">
        <f>IF($B160="","",IF(COUNTIF('Competency Event Log'!$U$4:$U$803,$B160&amp;"|"&amp;AG$5)=0,"",SUMIF('Competency Event Log'!$U$4:$U$803,$B160&amp;"|"&amp;AG$5,'Competency Event Log'!$D$4:$D$803)))</f>
        <v/>
      </c>
      <c r="AH160" s="8" t="str">
        <f>IF($B160="","",IF(COUNTIF('Competency Event Log'!$U$4:$U$803,$B160&amp;"|"&amp;AH$5)=0,"",SUMIF('Competency Event Log'!$U$4:$U$803,$B160&amp;"|"&amp;AH$5,'Competency Event Log'!$D$4:$D$803)))</f>
        <v/>
      </c>
      <c r="AI160" s="8" t="str">
        <f>IF($B160="","",IF(COUNTIF('Competency Event Log'!$U$4:$U$803,$B160&amp;"|"&amp;AI$5)=0,"",SUMIF('Competency Event Log'!$U$4:$U$803,$B160&amp;"|"&amp;AI$5,'Competency Event Log'!$D$4:$D$803)))</f>
        <v/>
      </c>
      <c r="AJ160" s="8" t="str">
        <f>IF($B160="","",IF(COUNTIF('Competency Event Log'!$U$4:$U$803,$B160&amp;"|"&amp;AJ$5)=0,"",SUMIF('Competency Event Log'!$U$4:$U$803,$B160&amp;"|"&amp;AJ$5,'Competency Event Log'!$D$4:$D$803)))</f>
        <v/>
      </c>
      <c r="AK160" s="8" t="str">
        <f>IF($B160="","",IF(COUNTIF('Competency Event Log'!$U$4:$U$803,$B160&amp;"|"&amp;AK$5)=0,"",SUMIF('Competency Event Log'!$U$4:$U$803,$B160&amp;"|"&amp;AK$5,'Competency Event Log'!$D$4:$D$803)))</f>
        <v/>
      </c>
      <c r="AL160" s="8" t="str">
        <f>IF($B160="","",IF(COUNTIF('Competency Event Log'!$U$4:$U$803,$B160&amp;"|"&amp;AL$5)=0,"",SUMIF('Competency Event Log'!$U$4:$U$803,$B160&amp;"|"&amp;AL$5,'Competency Event Log'!$D$4:$D$803)))</f>
        <v/>
      </c>
      <c r="AM160" s="8" t="str">
        <f>IF($B160="","",IF(COUNTIF('Competency Event Log'!$U$4:$U$803,$B160&amp;"|"&amp;AM$5)=0,"",SUMIF('Competency Event Log'!$U$4:$U$803,$B160&amp;"|"&amp;AM$5,'Competency Event Log'!$D$4:$D$803)))</f>
        <v/>
      </c>
      <c r="AN160" s="8" t="str">
        <f>IF($B160="","",IF(COUNTIF('Competency Event Log'!$U$4:$U$803,$B160&amp;"|"&amp;AN$5)=0,"",SUMIF('Competency Event Log'!$U$4:$U$803,$B160&amp;"|"&amp;AN$5,'Competency Event Log'!$D$4:$D$803)))</f>
        <v/>
      </c>
      <c r="AO160" s="8" t="str">
        <f>IF($B160="","",IF(COUNTIF('Competency Event Log'!$U$4:$U$803,$B160&amp;"|"&amp;AO$5)=0,"",SUMIF('Competency Event Log'!$U$4:$U$803,$B160&amp;"|"&amp;AO$5,'Competency Event Log'!$D$4:$D$803)))</f>
        <v/>
      </c>
      <c r="AP160" s="8" t="str">
        <f>IF($B160="","",IF(COUNTIF('Competency Event Log'!$U$4:$U$803,$B160&amp;"|"&amp;AP$5)=0,"",SUMIF('Competency Event Log'!$U$4:$U$803,$B160&amp;"|"&amp;AP$5,'Competency Event Log'!$D$4:$D$803)))</f>
        <v/>
      </c>
      <c r="AQ160" s="8" t="str">
        <f>IF($B160="","",IF(COUNTIF('Competency Event Log'!$U$4:$U$803,$B160&amp;"|"&amp;AQ$5)=0,"",SUMIF('Competency Event Log'!$U$4:$U$803,$B160&amp;"|"&amp;AQ$5,'Competency Event Log'!$D$4:$D$803)))</f>
        <v/>
      </c>
      <c r="AR160" s="8" t="str">
        <f>IF($B160="","",IF(COUNTIF('Competency Event Log'!$U$4:$U$803,$B160&amp;"|"&amp;AR$5)=0,"",SUMIF('Competency Event Log'!$U$4:$U$803,$B160&amp;"|"&amp;AR$5,'Competency Event Log'!$D$4:$D$803)))</f>
        <v/>
      </c>
      <c r="AS160" s="8" t="str">
        <f>IF($B160="","",IF(COUNTIF('Competency Event Log'!$U$4:$U$803,$B160&amp;"|"&amp;AS$5)=0,"",SUMIF('Competency Event Log'!$U$4:$U$803,$B160&amp;"|"&amp;AS$5,'Competency Event Log'!$D$4:$D$803)))</f>
        <v/>
      </c>
      <c r="AT160" s="8" t="str">
        <f>IF($B160="","",IF(COUNTIF('Competency Event Log'!$U$4:$U$803,$B160&amp;"|"&amp;AT$5)=0,"",SUMIF('Competency Event Log'!$U$4:$U$803,$B160&amp;"|"&amp;AT$5,'Competency Event Log'!$D$4:$D$803)))</f>
        <v/>
      </c>
      <c r="AU160" s="8" t="str">
        <f>IF($B160="","",IF(COUNTIF('Competency Event Log'!$U$4:$U$803,$B160&amp;"|"&amp;AU$5)=0,"",SUMIF('Competency Event Log'!$U$4:$U$803,$B160&amp;"|"&amp;AU$5,'Competency Event Log'!$D$4:$D$803)))</f>
        <v/>
      </c>
      <c r="AV160" s="8" t="str">
        <f>IF($B160="","",IF(COUNTIF('Competency Event Log'!$U$4:$U$803,$B160&amp;"|"&amp;AV$5)=0,"",SUMIF('Competency Event Log'!$U$4:$U$803,$B160&amp;"|"&amp;AV$5,'Competency Event Log'!$D$4:$D$803)))</f>
        <v/>
      </c>
      <c r="AW160" s="8" t="str">
        <f>IF($B160="","",IF(COUNTIF('Competency Event Log'!$U$4:$U$803,$B160&amp;"|"&amp;AW$5)=0,"",SUMIF('Competency Event Log'!$U$4:$U$803,$B160&amp;"|"&amp;AW$5,'Competency Event Log'!$D$4:$D$803)))</f>
        <v/>
      </c>
      <c r="AX160" s="8" t="str">
        <f>IF($B160="","",IF(COUNTIF('Competency Event Log'!$U$4:$U$803,$B160&amp;"|"&amp;AX$5)=0,"",SUMIF('Competency Event Log'!$U$4:$U$803,$B160&amp;"|"&amp;AX$5,'Competency Event Log'!$D$4:$D$803)))</f>
        <v/>
      </c>
      <c r="AY160" s="8" t="str">
        <f>IF($B160="","",IF(COUNTIF('Competency Event Log'!$U$4:$U$803,$B160&amp;"|"&amp;AY$5)=0,"",SUMIF('Competency Event Log'!$U$4:$U$803,$B160&amp;"|"&amp;AY$5,'Competency Event Log'!$D$4:$D$803)))</f>
        <v/>
      </c>
      <c r="AZ160" s="8" t="str">
        <f>IF($B160="","",IF(COUNTIF('Competency Event Log'!$U$4:$U$803,$B160&amp;"|"&amp;AZ$5)=0,"",SUMIF('Competency Event Log'!$U$4:$U$803,$B160&amp;"|"&amp;AZ$5,'Competency Event Log'!$D$4:$D$803)))</f>
        <v/>
      </c>
      <c r="BA160" s="8" t="str">
        <f>IF($B160="","",IF(COUNTIF('Competency Event Log'!$U$4:$U$803,$B160&amp;"|"&amp;BA$5)=0,"",SUMIF('Competency Event Log'!$U$4:$U$803,$B160&amp;"|"&amp;BA$5,'Competency Event Log'!$D$4:$D$803)))</f>
        <v/>
      </c>
      <c r="BB160" s="8" t="str">
        <f>IF($B160="","",IF(COUNTIF('Competency Event Log'!$U$4:$U$803,$B160&amp;"|"&amp;BB$5)=0,"",SUMIF('Competency Event Log'!$U$4:$U$803,$B160&amp;"|"&amp;BB$5,'Competency Event Log'!$D$4:$D$803)))</f>
        <v/>
      </c>
      <c r="BC160" s="8" t="str">
        <f>IF($B160="","",IF(COUNTIF('Competency Event Log'!$U$4:$U$803,$B160&amp;"|"&amp;BC$5)=0,"",SUMIF('Competency Event Log'!$U$4:$U$803,$B160&amp;"|"&amp;BC$5,'Competency Event Log'!$D$4:$D$803)))</f>
        <v/>
      </c>
      <c r="BD160" s="8" t="str">
        <f>IF($B160="","",IF(COUNTIF('Competency Event Log'!$U$4:$U$803,$B160&amp;"|"&amp;BD$5)=0,"",SUMIF('Competency Event Log'!$U$4:$U$803,$B160&amp;"|"&amp;BD$5,'Competency Event Log'!$D$4:$D$803)))</f>
        <v/>
      </c>
      <c r="BE160" s="8" t="str">
        <f>IF($B160="","",IF(COUNTIF('Competency Event Log'!$U$4:$U$803,$B160&amp;"|"&amp;BE$5)=0,"",SUMIF('Competency Event Log'!$U$4:$U$803,$B160&amp;"|"&amp;BE$5,'Competency Event Log'!$D$4:$D$803)))</f>
        <v/>
      </c>
      <c r="BF160" s="8" t="str">
        <f>IF($B160="","",IF(COUNTIF('Competency Event Log'!$U$4:$U$803,$B160&amp;"|"&amp;BF$5)=0,"",SUMIF('Competency Event Log'!$U$4:$U$803,$B160&amp;"|"&amp;BF$5,'Competency Event Log'!$D$4:$D$803)))</f>
        <v/>
      </c>
      <c r="BG160" s="8" t="str">
        <f>IF($B160="","",IF(COUNTIF('Competency Event Log'!$U$4:$U$803,$B160&amp;"|"&amp;BG$5)=0,"",SUMIF('Competency Event Log'!$U$4:$U$803,$B160&amp;"|"&amp;BG$5,'Competency Event Log'!$D$4:$D$803)))</f>
        <v/>
      </c>
      <c r="BH160" s="8" t="str">
        <f>IF($B160="","",IF(COUNTIF('Competency Event Log'!$U$4:$U$803,$B160&amp;"|"&amp;BH$5)=0,"",SUMIF('Competency Event Log'!$U$4:$U$803,$B160&amp;"|"&amp;BH$5,'Competency Event Log'!$D$4:$D$803)))</f>
        <v/>
      </c>
      <c r="BI160" s="8" t="str">
        <f>IF($B160="","",IF(COUNTIF('Competency Event Log'!$U$4:$U$803,$B160&amp;"|"&amp;BI$5)=0,"",SUMIF('Competency Event Log'!$U$4:$U$803,$B160&amp;"|"&amp;BI$5,'Competency Event Log'!$D$4:$D$803)))</f>
        <v/>
      </c>
      <c r="BJ160" s="8" t="str">
        <f>IF($B160="","",IF(COUNTIF('Competency Event Log'!$U$4:$U$803,$B160&amp;"|"&amp;BJ$5)=0,"",SUMIF('Competency Event Log'!$U$4:$U$803,$B160&amp;"|"&amp;BJ$5,'Competency Event Log'!$D$4:$D$803)))</f>
        <v/>
      </c>
      <c r="BK160" s="8" t="str">
        <f>IF($B160="","",IF(COUNTIF('Competency Event Log'!$U$4:$U$803,$B160&amp;"|"&amp;BK$5)=0,"",SUMIF('Competency Event Log'!$U$4:$U$803,$B160&amp;"|"&amp;BK$5,'Competency Event Log'!$D$4:$D$803)))</f>
        <v/>
      </c>
      <c r="BL160" s="8" t="str">
        <f>IF($B160="","",IF(COUNTIF('Competency Event Log'!$U$4:$U$803,$B160&amp;"|"&amp;BL$5)=0,"",SUMIF('Competency Event Log'!$U$4:$U$803,$B160&amp;"|"&amp;BL$5,'Competency Event Log'!$D$4:$D$803)))</f>
        <v/>
      </c>
      <c r="BM160" s="8" t="str">
        <f>IF($B160="","",IF(COUNTIF('Competency Event Log'!$U$4:$U$803,$B160&amp;"|"&amp;BM$5)=0,"",SUMIF('Competency Event Log'!$U$4:$U$803,$B160&amp;"|"&amp;BM$5,'Competency Event Log'!$D$4:$D$803)))</f>
        <v/>
      </c>
      <c r="BN160" s="8" t="str">
        <f>IF($B160="","",IF(COUNTIF('Competency Event Log'!$U$4:$U$803,$B160&amp;"|"&amp;BN$5)=0,"",SUMIF('Competency Event Log'!$U$4:$U$803,$B160&amp;"|"&amp;BN$5,'Competency Event Log'!$D$4:$D$803)))</f>
        <v/>
      </c>
      <c r="BO160" s="8" t="str">
        <f>IF($B160="","",IF(COUNTIF('Competency Event Log'!$U$4:$U$803,$B160&amp;"|"&amp;BO$5)=0,"",SUMIF('Competency Event Log'!$U$4:$U$803,$B160&amp;"|"&amp;BO$5,'Competency Event Log'!$D$4:$D$803)))</f>
        <v/>
      </c>
      <c r="BP160" s="8" t="str">
        <f>IF($B160="","",IF(COUNTIF('Competency Event Log'!$U$4:$U$803,$B160&amp;"|"&amp;BP$5)=0,"",SUMIF('Competency Event Log'!$U$4:$U$803,$B160&amp;"|"&amp;BP$5,'Competency Event Log'!$D$4:$D$803)))</f>
        <v/>
      </c>
      <c r="BQ160" s="8" t="str">
        <f>IF($B160="","",IF(COUNTIF('Competency Event Log'!$U$4:$U$803,$B160&amp;"|"&amp;BQ$5)=0,"",SUMIF('Competency Event Log'!$U$4:$U$803,$B160&amp;"|"&amp;BQ$5,'Competency Event Log'!$D$4:$D$803)))</f>
        <v/>
      </c>
      <c r="BR160" s="8" t="str">
        <f>IF($B160="","",IF(COUNTIF('Competency Event Log'!$U$4:$U$803,$B160&amp;"|"&amp;BR$5)=0,"",SUMIF('Competency Event Log'!$U$4:$U$803,$B160&amp;"|"&amp;BR$5,'Competency Event Log'!$D$4:$D$803)))</f>
        <v/>
      </c>
      <c r="BS160" s="8" t="str">
        <f>IF($B160="","",IF(COUNTIF('Competency Event Log'!$U$4:$U$803,$B160&amp;"|"&amp;BS$5)=0,"",SUMIF('Competency Event Log'!$U$4:$U$803,$B160&amp;"|"&amp;BS$5,'Competency Event Log'!$D$4:$D$803)))</f>
        <v/>
      </c>
      <c r="BT160" s="8" t="str">
        <f>IF($B160="","",IF(COUNTIF('Competency Event Log'!$U$4:$U$803,$B160&amp;"|"&amp;BT$5)=0,"",SUMIF('Competency Event Log'!$U$4:$U$803,$B160&amp;"|"&amp;BT$5,'Competency Event Log'!$D$4:$D$803)))</f>
        <v/>
      </c>
      <c r="BU160" s="8" t="str">
        <f>IF($B160="","",IF(COUNTIF('Competency Event Log'!$U$4:$U$803,$B160&amp;"|"&amp;BU$5)=0,"",SUMIF('Competency Event Log'!$U$4:$U$803,$B160&amp;"|"&amp;BU$5,'Competency Event Log'!$D$4:$D$803)))</f>
        <v/>
      </c>
      <c r="BV160" s="8" t="str">
        <f>IF($B160="","",IF(COUNTIF('Competency Event Log'!$U$4:$U$803,$B160&amp;"|"&amp;BV$5)=0,"",SUMIF('Competency Event Log'!$U$4:$U$803,$B160&amp;"|"&amp;BV$5,'Competency Event Log'!$D$4:$D$803)))</f>
        <v/>
      </c>
      <c r="BW160" s="8" t="str">
        <f>IF($B160="","",IF(COUNTIF('Competency Event Log'!$U$4:$U$803,$B160&amp;"|"&amp;BW$5)=0,"",SUMIF('Competency Event Log'!$U$4:$U$803,$B160&amp;"|"&amp;BW$5,'Competency Event Log'!$D$4:$D$803)))</f>
        <v/>
      </c>
      <c r="BX160" s="8" t="str">
        <f>IF($B160="","",IF(COUNTIF('Competency Event Log'!$U$4:$U$803,$B160&amp;"|"&amp;BX$5)=0,"",SUMIF('Competency Event Log'!$U$4:$U$803,$B160&amp;"|"&amp;BX$5,'Competency Event Log'!$D$4:$D$803)))</f>
        <v/>
      </c>
      <c r="BY160" s="8" t="str">
        <f>IF($B160="","",IF(COUNTIF('Competency Event Log'!$U$4:$U$803,$B160&amp;"|"&amp;BY$5)=0,"",SUMIF('Competency Event Log'!$U$4:$U$803,$B160&amp;"|"&amp;BY$5,'Competency Event Log'!$D$4:$D$803)))</f>
        <v/>
      </c>
      <c r="BZ160" s="8" t="str">
        <f>IF($B160="","",IF(COUNTIF('Competency Event Log'!$U$4:$U$803,$B160&amp;"|"&amp;BZ$5)=0,"",SUMIF('Competency Event Log'!$U$4:$U$803,$B160&amp;"|"&amp;BZ$5,'Competency Event Log'!$D$4:$D$803)))</f>
        <v/>
      </c>
      <c r="CA160" s="8" t="str">
        <f>IF($B160="","",IF(COUNTIF('Competency Event Log'!$U$4:$U$803,$B160&amp;"|"&amp;CA$5)=0,"",SUMIF('Competency Event Log'!$U$4:$U$803,$B160&amp;"|"&amp;CA$5,'Competency Event Log'!$D$4:$D$803)))</f>
        <v/>
      </c>
      <c r="CB160" s="8" t="str">
        <f>IF($B160="","",IF(COUNTIF('Competency Event Log'!$U$4:$U$803,$B160&amp;"|"&amp;CB$5)=0,"",SUMIF('Competency Event Log'!$U$4:$U$803,$B160&amp;"|"&amp;CB$5,'Competency Event Log'!$D$4:$D$803)))</f>
        <v/>
      </c>
      <c r="CC160" s="8" t="str">
        <f>IF($B160="","",IF(COUNTIF('Competency Event Log'!$U$4:$U$803,$B160&amp;"|"&amp;CC$5)=0,"",SUMIF('Competency Event Log'!$U$4:$U$803,$B160&amp;"|"&amp;CC$5,'Competency Event Log'!$D$4:$D$803)))</f>
        <v/>
      </c>
      <c r="CD160" s="8" t="str">
        <f>IF($B160="","",IF(COUNTIF('Competency Event Log'!$U$4:$U$803,$B160&amp;"|"&amp;CD$5)=0,"",SUMIF('Competency Event Log'!$U$4:$U$803,$B160&amp;"|"&amp;CD$5,'Competency Event Log'!$D$4:$D$803)))</f>
        <v/>
      </c>
      <c r="CE160" s="8" t="str">
        <f>IF($B160="","",IF(COUNTIF('Competency Event Log'!$U$4:$U$803,$B160&amp;"|"&amp;CE$5)=0,"",SUMIF('Competency Event Log'!$U$4:$U$803,$B160&amp;"|"&amp;CE$5,'Competency Event Log'!$D$4:$D$803)))</f>
        <v/>
      </c>
      <c r="CF160" s="8" t="str">
        <f>IF($B160="","",IF(COUNTIF('Competency Event Log'!$U$4:$U$803,$B160&amp;"|"&amp;CF$5)=0,"",SUMIF('Competency Event Log'!$U$4:$U$803,$B160&amp;"|"&amp;CF$5,'Competency Event Log'!$D$4:$D$803)))</f>
        <v/>
      </c>
      <c r="CG160" s="8" t="str">
        <f>IF($B160="","",IF(COUNTIF('Competency Event Log'!$U$4:$U$803,$B160&amp;"|"&amp;CG$5)=0,"",SUMIF('Competency Event Log'!$U$4:$U$803,$B160&amp;"|"&amp;CG$5,'Competency Event Log'!$D$4:$D$803)))</f>
        <v/>
      </c>
      <c r="CH160" s="8" t="str">
        <f>IF($B160="","",IF(COUNTIF('Competency Event Log'!$U$4:$U$803,$B160&amp;"|"&amp;CH$5)=0,"",SUMIF('Competency Event Log'!$U$4:$U$803,$B160&amp;"|"&amp;CH$5,'Competency Event Log'!$D$4:$D$803)))</f>
        <v/>
      </c>
      <c r="CI160" s="8" t="str">
        <f>IF($B160="","",IF(COUNTIF('Competency Event Log'!$U$4:$U$803,$B160&amp;"|"&amp;CI$5)=0,"",SUMIF('Competency Event Log'!$U$4:$U$803,$B160&amp;"|"&amp;CI$5,'Competency Event Log'!$D$4:$D$803)))</f>
        <v/>
      </c>
      <c r="CJ160" s="8" t="str">
        <f>IF($B160="","",IF(COUNTIF('Competency Event Log'!$U$4:$U$803,$B160&amp;"|"&amp;CJ$5)=0,"",SUMIF('Competency Event Log'!$U$4:$U$803,$B160&amp;"|"&amp;CJ$5,'Competency Event Log'!$D$4:$D$803)))</f>
        <v/>
      </c>
      <c r="CK160" s="8" t="str">
        <f>IF($B160="","",IF(COUNTIF('Competency Event Log'!$U$4:$U$803,$B160&amp;"|"&amp;CK$5)=0,"",SUMIF('Competency Event Log'!$U$4:$U$803,$B160&amp;"|"&amp;CK$5,'Competency Event Log'!$D$4:$D$803)))</f>
        <v/>
      </c>
      <c r="CL160" s="8" t="str">
        <f>IF($B160="","",IF(COUNTIF('Competency Event Log'!$U$4:$U$803,$B160&amp;"|"&amp;CL$5)=0,"",SUMIF('Competency Event Log'!$U$4:$U$803,$B160&amp;"|"&amp;CL$5,'Competency Event Log'!$D$4:$D$803)))</f>
        <v/>
      </c>
      <c r="CM160" s="8" t="str">
        <f>IF($B160="","",IF(COUNTIF('Competency Event Log'!$U$4:$U$803,$B160&amp;"|"&amp;CM$5)=0,"",SUMIF('Competency Event Log'!$U$4:$U$803,$B160&amp;"|"&amp;CM$5,'Competency Event Log'!$D$4:$D$803)))</f>
        <v/>
      </c>
      <c r="CN160" s="8" t="str">
        <f>IF($B160="","",IF(COUNTIF('Competency Event Log'!$U$4:$U$803,$B160&amp;"|"&amp;CN$5)=0,"",SUMIF('Competency Event Log'!$U$4:$U$803,$B160&amp;"|"&amp;CN$5,'Competency Event Log'!$D$4:$D$803)))</f>
        <v/>
      </c>
      <c r="CO160" s="8" t="str">
        <f>IF($B160="","",IF(COUNTIF('Competency Event Log'!$U$4:$U$803,$B160&amp;"|"&amp;CO$5)=0,"",SUMIF('Competency Event Log'!$U$4:$U$803,$B160&amp;"|"&amp;CO$5,'Competency Event Log'!$D$4:$D$803)))</f>
        <v/>
      </c>
      <c r="CP160" s="8" t="str">
        <f>IF($B160="","",IF(COUNTIF('Competency Event Log'!$U$4:$U$803,$B160&amp;"|"&amp;CP$5)=0,"",SUMIF('Competency Event Log'!$U$4:$U$803,$B160&amp;"|"&amp;CP$5,'Competency Event Log'!$D$4:$D$803)))</f>
        <v/>
      </c>
      <c r="CQ160" s="8" t="str">
        <f>IF($B160="","",IF(COUNTIF('Competency Event Log'!$U$4:$U$803,$B160&amp;"|"&amp;CQ$5)=0,"",SUMIF('Competency Event Log'!$U$4:$U$803,$B160&amp;"|"&amp;CQ$5,'Competency Event Log'!$D$4:$D$803)))</f>
        <v/>
      </c>
      <c r="CR160" s="8" t="str">
        <f>IF($B160="","",IF(COUNTIF('Competency Event Log'!$U$4:$U$803,$B160&amp;"|"&amp;CR$5)=0,"",SUMIF('Competency Event Log'!$U$4:$U$803,$B160&amp;"|"&amp;CR$5,'Competency Event Log'!$D$4:$D$803)))</f>
        <v/>
      </c>
      <c r="CS160" s="8" t="str">
        <f>IF($B160="","",IF(COUNTIF('Competency Event Log'!$U$4:$U$803,$B160&amp;"|"&amp;CS$5)=0,"",SUMIF('Competency Event Log'!$U$4:$U$803,$B160&amp;"|"&amp;CS$5,'Competency Event Log'!$D$4:$D$803)))</f>
        <v/>
      </c>
      <c r="CT160" s="8" t="str">
        <f>IF($B160="","",IF(COUNTIF('Competency Event Log'!$U$4:$U$803,$B160&amp;"|"&amp;CT$5)=0,"",SUMIF('Competency Event Log'!$U$4:$U$803,$B160&amp;"|"&amp;CT$5,'Competency Event Log'!$D$4:$D$803)))</f>
        <v/>
      </c>
      <c r="CU160" s="8" t="str">
        <f>IF($B160="","",IF(COUNTIF('Competency Event Log'!$U$4:$U$803,$B160&amp;"|"&amp;CU$5)=0,"",SUMIF('Competency Event Log'!$U$4:$U$803,$B160&amp;"|"&amp;CU$5,'Competency Event Log'!$D$4:$D$803)))</f>
        <v/>
      </c>
      <c r="CV160" s="8" t="str">
        <f>IF($B160="","",IF(COUNTIF('Competency Event Log'!$U$4:$U$803,$B160&amp;"|"&amp;CV$5)=0,"",SUMIF('Competency Event Log'!$U$4:$U$803,$B160&amp;"|"&amp;CV$5,'Competency Event Log'!$D$4:$D$803)))</f>
        <v/>
      </c>
      <c r="CW160" s="8" t="str">
        <f>IF($B160="","",IF(COUNTIF('Competency Event Log'!$U$4:$U$803,$B160&amp;"|"&amp;CW$5)=0,"",SUMIF('Competency Event Log'!$U$4:$U$803,$B160&amp;"|"&amp;CW$5,'Competency Event Log'!$D$4:$D$803)))</f>
        <v/>
      </c>
      <c r="CX160" s="8" t="str">
        <f>IF($B160="","",IF(COUNTIF('Competency Event Log'!$U$4:$U$803,$B160&amp;"|"&amp;CX$5)=0,"",SUMIF('Competency Event Log'!$U$4:$U$803,$B160&amp;"|"&amp;CX$5,'Competency Event Log'!$D$4:$D$803)))</f>
        <v/>
      </c>
      <c r="CY160" s="8" t="str">
        <f>IF($B160="","",IF(COUNTIF('Competency Event Log'!$U$4:$U$803,$B160&amp;"|"&amp;CY$5)=0,"",SUMIF('Competency Event Log'!$U$4:$U$803,$B160&amp;"|"&amp;CY$5,'Competency Event Log'!$D$4:$D$803)))</f>
        <v/>
      </c>
      <c r="CZ160" s="8" t="str">
        <f>IF($B160="","",IF(COUNTIF('Competency Event Log'!$U$4:$U$803,$B160&amp;"|"&amp;CZ$5)=0,"",SUMIF('Competency Event Log'!$U$4:$U$803,$B160&amp;"|"&amp;CZ$5,'Competency Event Log'!$D$4:$D$803)))</f>
        <v/>
      </c>
      <c r="DA160" s="8" t="str">
        <f>IF($B160="","",IF(COUNTIF('Competency Event Log'!$U$4:$U$803,$B160&amp;"|"&amp;DA$5)=0,"",SUMIF('Competency Event Log'!$U$4:$U$803,$B160&amp;"|"&amp;DA$5,'Competency Event Log'!$D$4:$D$803)))</f>
        <v/>
      </c>
      <c r="DB160" s="8" t="str">
        <f>IF($B160="","",IF(COUNTIF('Competency Event Log'!$U$4:$U$803,$B160&amp;"|"&amp;DB$5)=0,"",SUMIF('Competency Event Log'!$U$4:$U$803,$B160&amp;"|"&amp;DB$5,'Competency Event Log'!$D$4:$D$803)))</f>
        <v/>
      </c>
      <c r="DC160" s="8" t="str">
        <f>IF($B160="","",IF(COUNTIF('Competency Event Log'!$U$4:$U$803,$B160&amp;"|"&amp;DC$5)=0,"",SUMIF('Competency Event Log'!$U$4:$U$803,$B160&amp;"|"&amp;DC$5,'Competency Event Log'!$D$4:$D$803)))</f>
        <v/>
      </c>
      <c r="DD160" s="8" t="str">
        <f>IF($B160="","",IF(COUNTIF('Competency Event Log'!$U$4:$U$803,$B160&amp;"|"&amp;DD$5)=0,"",SUMIF('Competency Event Log'!$U$4:$U$803,$B160&amp;"|"&amp;DD$5,'Competency Event Log'!$D$4:$D$803)))</f>
        <v/>
      </c>
      <c r="DE160" s="8" t="str">
        <f>IF($B160="","",IF(COUNTIF('Competency Event Log'!$U$4:$U$803,$B160&amp;"|"&amp;DE$5)=0,"",SUMIF('Competency Event Log'!$U$4:$U$803,$B160&amp;"|"&amp;DE$5,'Competency Event Log'!$D$4:$D$803)))</f>
        <v/>
      </c>
      <c r="DF160" s="8" t="str">
        <f t="shared" si="16"/>
        <v/>
      </c>
      <c r="DG160" s="8" t="str">
        <f t="shared" si="17"/>
        <v/>
      </c>
      <c r="DH160" s="8" t="str">
        <f t="shared" si="18"/>
        <v/>
      </c>
      <c r="DI160" s="11" t="str">
        <f t="shared" si="19"/>
        <v/>
      </c>
    </row>
    <row r="161" spans="1:113">
      <c r="A161" s="7"/>
      <c r="B161" s="7"/>
      <c r="C161" s="8"/>
      <c r="D161" s="9"/>
      <c r="E161" s="10"/>
      <c r="F161" s="8"/>
      <c r="G161" s="8" t="str">
        <f>IF($B161="","",IF(COUNTIF('Competency Event Log'!$U$4:$U$803,$B161&amp;"|"&amp;G$5)=0,"",SUMIF('Competency Event Log'!$U$4:$U$803,$B161&amp;"|"&amp;G$5,'Competency Event Log'!$D$4:$D$803)))</f>
        <v/>
      </c>
      <c r="H161" s="8" t="str">
        <f>IF($B161="","",IF(COUNTIF('Competency Event Log'!$U$4:$U$803,$B161&amp;"|"&amp;H$5)=0,"",SUMIF('Competency Event Log'!$U$4:$U$803,$B161&amp;"|"&amp;H$5,'Competency Event Log'!$D$4:$D$803)))</f>
        <v/>
      </c>
      <c r="I161" s="8" t="str">
        <f>IF($B161="","",IF(COUNTIF('Competency Event Log'!$U$4:$U$803,$B161&amp;"|"&amp;I$5)=0,"",SUMIF('Competency Event Log'!$U$4:$U$803,$B161&amp;"|"&amp;I$5,'Competency Event Log'!$D$4:$D$803)))</f>
        <v/>
      </c>
      <c r="J161" s="8" t="str">
        <f>IF($B161="","",IF(COUNTIF('Competency Event Log'!$U$4:$U$803,$B161&amp;"|"&amp;J$5)=0,"",SUMIF('Competency Event Log'!$U$4:$U$803,$B161&amp;"|"&amp;J$5,'Competency Event Log'!$D$4:$D$803)))</f>
        <v/>
      </c>
      <c r="K161" s="8" t="str">
        <f>IF($B161="","",IF(COUNTIF('Competency Event Log'!$U$4:$U$803,$B161&amp;"|"&amp;K$5)=0,"",SUMIF('Competency Event Log'!$U$4:$U$803,$B161&amp;"|"&amp;K$5,'Competency Event Log'!$D$4:$D$803)))</f>
        <v/>
      </c>
      <c r="L161" s="8" t="str">
        <f>IF($B161="","",IF(COUNTIF('Competency Event Log'!$U$4:$U$803,$B161&amp;"|"&amp;L$5)=0,"",SUMIF('Competency Event Log'!$U$4:$U$803,$B161&amp;"|"&amp;L$5,'Competency Event Log'!$D$4:$D$803)))</f>
        <v/>
      </c>
      <c r="M161" s="8" t="str">
        <f>IF($B161="","",IF(COUNTIF('Competency Event Log'!$U$4:$U$803,$B161&amp;"|"&amp;M$5)=0,"",SUMIF('Competency Event Log'!$U$4:$U$803,$B161&amp;"|"&amp;M$5,'Competency Event Log'!$D$4:$D$803)))</f>
        <v/>
      </c>
      <c r="N161" s="8" t="str">
        <f>IF($B161="","",IF(COUNTIF('Competency Event Log'!$U$4:$U$803,$B161&amp;"|"&amp;N$5)=0,"",SUMIF('Competency Event Log'!$U$4:$U$803,$B161&amp;"|"&amp;N$5,'Competency Event Log'!$D$4:$D$803)))</f>
        <v/>
      </c>
      <c r="O161" s="8" t="str">
        <f>IF($B161="","",IF(COUNTIF('Competency Event Log'!$U$4:$U$803,$B161&amp;"|"&amp;O$5)=0,"",SUMIF('Competency Event Log'!$U$4:$U$803,$B161&amp;"|"&amp;O$5,'Competency Event Log'!$D$4:$D$803)))</f>
        <v/>
      </c>
      <c r="P161" s="8" t="str">
        <f>IF($B161="","",IF(COUNTIF('Competency Event Log'!$U$4:$U$803,$B161&amp;"|"&amp;P$5)=0,"",SUMIF('Competency Event Log'!$U$4:$U$803,$B161&amp;"|"&amp;P$5,'Competency Event Log'!$D$4:$D$803)))</f>
        <v/>
      </c>
      <c r="Q161" s="8" t="str">
        <f>IF($B161="","",IF(COUNTIF('Competency Event Log'!$U$4:$U$803,$B161&amp;"|"&amp;Q$5)=0,"",SUMIF('Competency Event Log'!$U$4:$U$803,$B161&amp;"|"&amp;Q$5,'Competency Event Log'!$D$4:$D$803)))</f>
        <v/>
      </c>
      <c r="R161" s="8" t="str">
        <f>IF($B161="","",IF(COUNTIF('Competency Event Log'!$U$4:$U$803,$B161&amp;"|"&amp;R$5)=0,"",SUMIF('Competency Event Log'!$U$4:$U$803,$B161&amp;"|"&amp;R$5,'Competency Event Log'!$D$4:$D$803)))</f>
        <v/>
      </c>
      <c r="S161" s="8" t="str">
        <f>IF($B161="","",IF(COUNTIF('Competency Event Log'!$U$4:$U$803,$B161&amp;"|"&amp;S$5)=0,"",SUMIF('Competency Event Log'!$U$4:$U$803,$B161&amp;"|"&amp;S$5,'Competency Event Log'!$D$4:$D$803)))</f>
        <v/>
      </c>
      <c r="T161" s="8" t="str">
        <f>IF($B161="","",IF(COUNTIF('Competency Event Log'!$U$4:$U$803,$B161&amp;"|"&amp;T$5)=0,"",SUMIF('Competency Event Log'!$U$4:$U$803,$B161&amp;"|"&amp;T$5,'Competency Event Log'!$D$4:$D$803)))</f>
        <v/>
      </c>
      <c r="U161" s="8" t="str">
        <f>IF($B161="","",IF(COUNTIF('Competency Event Log'!$U$4:$U$803,$B161&amp;"|"&amp;U$5)=0,"",SUMIF('Competency Event Log'!$U$4:$U$803,$B161&amp;"|"&amp;U$5,'Competency Event Log'!$D$4:$D$803)))</f>
        <v/>
      </c>
      <c r="V161" s="8" t="str">
        <f>IF($B161="","",IF(COUNTIF('Competency Event Log'!$U$4:$U$803,$B161&amp;"|"&amp;V$5)=0,"",SUMIF('Competency Event Log'!$U$4:$U$803,$B161&amp;"|"&amp;V$5,'Competency Event Log'!$D$4:$D$803)))</f>
        <v/>
      </c>
      <c r="W161" s="8" t="str">
        <f>IF($B161="","",IF(COUNTIF('Competency Event Log'!$U$4:$U$803,$B161&amp;"|"&amp;W$5)=0,"",SUMIF('Competency Event Log'!$U$4:$U$803,$B161&amp;"|"&amp;W$5,'Competency Event Log'!$D$4:$D$803)))</f>
        <v/>
      </c>
      <c r="X161" s="8" t="str">
        <f>IF($B161="","",IF(COUNTIF('Competency Event Log'!$U$4:$U$803,$B161&amp;"|"&amp;X$5)=0,"",SUMIF('Competency Event Log'!$U$4:$U$803,$B161&amp;"|"&amp;X$5,'Competency Event Log'!$D$4:$D$803)))</f>
        <v/>
      </c>
      <c r="Y161" s="8" t="str">
        <f>IF($B161="","",IF(COUNTIF('Competency Event Log'!$U$4:$U$803,$B161&amp;"|"&amp;Y$5)=0,"",SUMIF('Competency Event Log'!$U$4:$U$803,$B161&amp;"|"&amp;Y$5,'Competency Event Log'!$D$4:$D$803)))</f>
        <v/>
      </c>
      <c r="Z161" s="8" t="str">
        <f>IF($B161="","",IF(COUNTIF('Competency Event Log'!$U$4:$U$803,$B161&amp;"|"&amp;Z$5)=0,"",SUMIF('Competency Event Log'!$U$4:$U$803,$B161&amp;"|"&amp;Z$5,'Competency Event Log'!$D$4:$D$803)))</f>
        <v/>
      </c>
      <c r="AA161" s="8" t="str">
        <f>IF($B161="","",IF(COUNTIF('Competency Event Log'!$U$4:$U$803,$B161&amp;"|"&amp;AA$5)=0,"",SUMIF('Competency Event Log'!$U$4:$U$803,$B161&amp;"|"&amp;AA$5,'Competency Event Log'!$D$4:$D$803)))</f>
        <v/>
      </c>
      <c r="AB161" s="8" t="str">
        <f>IF($B161="","",IF(COUNTIF('Competency Event Log'!$U$4:$U$803,$B161&amp;"|"&amp;AB$5)=0,"",SUMIF('Competency Event Log'!$U$4:$U$803,$B161&amp;"|"&amp;AB$5,'Competency Event Log'!$D$4:$D$803)))</f>
        <v/>
      </c>
      <c r="AC161" s="8" t="str">
        <f>IF($B161="","",IF(COUNTIF('Competency Event Log'!$U$4:$U$803,$B161&amp;"|"&amp;AC$5)=0,"",SUMIF('Competency Event Log'!$U$4:$U$803,$B161&amp;"|"&amp;AC$5,'Competency Event Log'!$D$4:$D$803)))</f>
        <v/>
      </c>
      <c r="AD161" s="8" t="str">
        <f>IF($B161="","",IF(COUNTIF('Competency Event Log'!$U$4:$U$803,$B161&amp;"|"&amp;AD$5)=0,"",SUMIF('Competency Event Log'!$U$4:$U$803,$B161&amp;"|"&amp;AD$5,'Competency Event Log'!$D$4:$D$803)))</f>
        <v/>
      </c>
      <c r="AE161" s="8" t="str">
        <f>IF($B161="","",IF(COUNTIF('Competency Event Log'!$U$4:$U$803,$B161&amp;"|"&amp;AE$5)=0,"",SUMIF('Competency Event Log'!$U$4:$U$803,$B161&amp;"|"&amp;AE$5,'Competency Event Log'!$D$4:$D$803)))</f>
        <v/>
      </c>
      <c r="AF161" s="8" t="str">
        <f>IF($B161="","",IF(COUNTIF('Competency Event Log'!$U$4:$U$803,$B161&amp;"|"&amp;AF$5)=0,"",SUMIF('Competency Event Log'!$U$4:$U$803,$B161&amp;"|"&amp;AF$5,'Competency Event Log'!$D$4:$D$803)))</f>
        <v/>
      </c>
      <c r="AG161" s="8" t="str">
        <f>IF($B161="","",IF(COUNTIF('Competency Event Log'!$U$4:$U$803,$B161&amp;"|"&amp;AG$5)=0,"",SUMIF('Competency Event Log'!$U$4:$U$803,$B161&amp;"|"&amp;AG$5,'Competency Event Log'!$D$4:$D$803)))</f>
        <v/>
      </c>
      <c r="AH161" s="8" t="str">
        <f>IF($B161="","",IF(COUNTIF('Competency Event Log'!$U$4:$U$803,$B161&amp;"|"&amp;AH$5)=0,"",SUMIF('Competency Event Log'!$U$4:$U$803,$B161&amp;"|"&amp;AH$5,'Competency Event Log'!$D$4:$D$803)))</f>
        <v/>
      </c>
      <c r="AI161" s="8" t="str">
        <f>IF($B161="","",IF(COUNTIF('Competency Event Log'!$U$4:$U$803,$B161&amp;"|"&amp;AI$5)=0,"",SUMIF('Competency Event Log'!$U$4:$U$803,$B161&amp;"|"&amp;AI$5,'Competency Event Log'!$D$4:$D$803)))</f>
        <v/>
      </c>
      <c r="AJ161" s="8" t="str">
        <f>IF($B161="","",IF(COUNTIF('Competency Event Log'!$U$4:$U$803,$B161&amp;"|"&amp;AJ$5)=0,"",SUMIF('Competency Event Log'!$U$4:$U$803,$B161&amp;"|"&amp;AJ$5,'Competency Event Log'!$D$4:$D$803)))</f>
        <v/>
      </c>
      <c r="AK161" s="8" t="str">
        <f>IF($B161="","",IF(COUNTIF('Competency Event Log'!$U$4:$U$803,$B161&amp;"|"&amp;AK$5)=0,"",SUMIF('Competency Event Log'!$U$4:$U$803,$B161&amp;"|"&amp;AK$5,'Competency Event Log'!$D$4:$D$803)))</f>
        <v/>
      </c>
      <c r="AL161" s="8" t="str">
        <f>IF($B161="","",IF(COUNTIF('Competency Event Log'!$U$4:$U$803,$B161&amp;"|"&amp;AL$5)=0,"",SUMIF('Competency Event Log'!$U$4:$U$803,$B161&amp;"|"&amp;AL$5,'Competency Event Log'!$D$4:$D$803)))</f>
        <v/>
      </c>
      <c r="AM161" s="8" t="str">
        <f>IF($B161="","",IF(COUNTIF('Competency Event Log'!$U$4:$U$803,$B161&amp;"|"&amp;AM$5)=0,"",SUMIF('Competency Event Log'!$U$4:$U$803,$B161&amp;"|"&amp;AM$5,'Competency Event Log'!$D$4:$D$803)))</f>
        <v/>
      </c>
      <c r="AN161" s="8" t="str">
        <f>IF($B161="","",IF(COUNTIF('Competency Event Log'!$U$4:$U$803,$B161&amp;"|"&amp;AN$5)=0,"",SUMIF('Competency Event Log'!$U$4:$U$803,$B161&amp;"|"&amp;AN$5,'Competency Event Log'!$D$4:$D$803)))</f>
        <v/>
      </c>
      <c r="AO161" s="8" t="str">
        <f>IF($B161="","",IF(COUNTIF('Competency Event Log'!$U$4:$U$803,$B161&amp;"|"&amp;AO$5)=0,"",SUMIF('Competency Event Log'!$U$4:$U$803,$B161&amp;"|"&amp;AO$5,'Competency Event Log'!$D$4:$D$803)))</f>
        <v/>
      </c>
      <c r="AP161" s="8" t="str">
        <f>IF($B161="","",IF(COUNTIF('Competency Event Log'!$U$4:$U$803,$B161&amp;"|"&amp;AP$5)=0,"",SUMIF('Competency Event Log'!$U$4:$U$803,$B161&amp;"|"&amp;AP$5,'Competency Event Log'!$D$4:$D$803)))</f>
        <v/>
      </c>
      <c r="AQ161" s="8" t="str">
        <f>IF($B161="","",IF(COUNTIF('Competency Event Log'!$U$4:$U$803,$B161&amp;"|"&amp;AQ$5)=0,"",SUMIF('Competency Event Log'!$U$4:$U$803,$B161&amp;"|"&amp;AQ$5,'Competency Event Log'!$D$4:$D$803)))</f>
        <v/>
      </c>
      <c r="AR161" s="8" t="str">
        <f>IF($B161="","",IF(COUNTIF('Competency Event Log'!$U$4:$U$803,$B161&amp;"|"&amp;AR$5)=0,"",SUMIF('Competency Event Log'!$U$4:$U$803,$B161&amp;"|"&amp;AR$5,'Competency Event Log'!$D$4:$D$803)))</f>
        <v/>
      </c>
      <c r="AS161" s="8" t="str">
        <f>IF($B161="","",IF(COUNTIF('Competency Event Log'!$U$4:$U$803,$B161&amp;"|"&amp;AS$5)=0,"",SUMIF('Competency Event Log'!$U$4:$U$803,$B161&amp;"|"&amp;AS$5,'Competency Event Log'!$D$4:$D$803)))</f>
        <v/>
      </c>
      <c r="AT161" s="8" t="str">
        <f>IF($B161="","",IF(COUNTIF('Competency Event Log'!$U$4:$U$803,$B161&amp;"|"&amp;AT$5)=0,"",SUMIF('Competency Event Log'!$U$4:$U$803,$B161&amp;"|"&amp;AT$5,'Competency Event Log'!$D$4:$D$803)))</f>
        <v/>
      </c>
      <c r="AU161" s="8" t="str">
        <f>IF($B161="","",IF(COUNTIF('Competency Event Log'!$U$4:$U$803,$B161&amp;"|"&amp;AU$5)=0,"",SUMIF('Competency Event Log'!$U$4:$U$803,$B161&amp;"|"&amp;AU$5,'Competency Event Log'!$D$4:$D$803)))</f>
        <v/>
      </c>
      <c r="AV161" s="8" t="str">
        <f>IF($B161="","",IF(COUNTIF('Competency Event Log'!$U$4:$U$803,$B161&amp;"|"&amp;AV$5)=0,"",SUMIF('Competency Event Log'!$U$4:$U$803,$B161&amp;"|"&amp;AV$5,'Competency Event Log'!$D$4:$D$803)))</f>
        <v/>
      </c>
      <c r="AW161" s="8" t="str">
        <f>IF($B161="","",IF(COUNTIF('Competency Event Log'!$U$4:$U$803,$B161&amp;"|"&amp;AW$5)=0,"",SUMIF('Competency Event Log'!$U$4:$U$803,$B161&amp;"|"&amp;AW$5,'Competency Event Log'!$D$4:$D$803)))</f>
        <v/>
      </c>
      <c r="AX161" s="8" t="str">
        <f>IF($B161="","",IF(COUNTIF('Competency Event Log'!$U$4:$U$803,$B161&amp;"|"&amp;AX$5)=0,"",SUMIF('Competency Event Log'!$U$4:$U$803,$B161&amp;"|"&amp;AX$5,'Competency Event Log'!$D$4:$D$803)))</f>
        <v/>
      </c>
      <c r="AY161" s="8" t="str">
        <f>IF($B161="","",IF(COUNTIF('Competency Event Log'!$U$4:$U$803,$B161&amp;"|"&amp;AY$5)=0,"",SUMIF('Competency Event Log'!$U$4:$U$803,$B161&amp;"|"&amp;AY$5,'Competency Event Log'!$D$4:$D$803)))</f>
        <v/>
      </c>
      <c r="AZ161" s="8" t="str">
        <f>IF($B161="","",IF(COUNTIF('Competency Event Log'!$U$4:$U$803,$B161&amp;"|"&amp;AZ$5)=0,"",SUMIF('Competency Event Log'!$U$4:$U$803,$B161&amp;"|"&amp;AZ$5,'Competency Event Log'!$D$4:$D$803)))</f>
        <v/>
      </c>
      <c r="BA161" s="8" t="str">
        <f>IF($B161="","",IF(COUNTIF('Competency Event Log'!$U$4:$U$803,$B161&amp;"|"&amp;BA$5)=0,"",SUMIF('Competency Event Log'!$U$4:$U$803,$B161&amp;"|"&amp;BA$5,'Competency Event Log'!$D$4:$D$803)))</f>
        <v/>
      </c>
      <c r="BB161" s="8" t="str">
        <f>IF($B161="","",IF(COUNTIF('Competency Event Log'!$U$4:$U$803,$B161&amp;"|"&amp;BB$5)=0,"",SUMIF('Competency Event Log'!$U$4:$U$803,$B161&amp;"|"&amp;BB$5,'Competency Event Log'!$D$4:$D$803)))</f>
        <v/>
      </c>
      <c r="BC161" s="8" t="str">
        <f>IF($B161="","",IF(COUNTIF('Competency Event Log'!$U$4:$U$803,$B161&amp;"|"&amp;BC$5)=0,"",SUMIF('Competency Event Log'!$U$4:$U$803,$B161&amp;"|"&amp;BC$5,'Competency Event Log'!$D$4:$D$803)))</f>
        <v/>
      </c>
      <c r="BD161" s="8" t="str">
        <f>IF($B161="","",IF(COUNTIF('Competency Event Log'!$U$4:$U$803,$B161&amp;"|"&amp;BD$5)=0,"",SUMIF('Competency Event Log'!$U$4:$U$803,$B161&amp;"|"&amp;BD$5,'Competency Event Log'!$D$4:$D$803)))</f>
        <v/>
      </c>
      <c r="BE161" s="8" t="str">
        <f>IF($B161="","",IF(COUNTIF('Competency Event Log'!$U$4:$U$803,$B161&amp;"|"&amp;BE$5)=0,"",SUMIF('Competency Event Log'!$U$4:$U$803,$B161&amp;"|"&amp;BE$5,'Competency Event Log'!$D$4:$D$803)))</f>
        <v/>
      </c>
      <c r="BF161" s="8" t="str">
        <f>IF($B161="","",IF(COUNTIF('Competency Event Log'!$U$4:$U$803,$B161&amp;"|"&amp;BF$5)=0,"",SUMIF('Competency Event Log'!$U$4:$U$803,$B161&amp;"|"&amp;BF$5,'Competency Event Log'!$D$4:$D$803)))</f>
        <v/>
      </c>
      <c r="BG161" s="8" t="str">
        <f>IF($B161="","",IF(COUNTIF('Competency Event Log'!$U$4:$U$803,$B161&amp;"|"&amp;BG$5)=0,"",SUMIF('Competency Event Log'!$U$4:$U$803,$B161&amp;"|"&amp;BG$5,'Competency Event Log'!$D$4:$D$803)))</f>
        <v/>
      </c>
      <c r="BH161" s="8" t="str">
        <f>IF($B161="","",IF(COUNTIF('Competency Event Log'!$U$4:$U$803,$B161&amp;"|"&amp;BH$5)=0,"",SUMIF('Competency Event Log'!$U$4:$U$803,$B161&amp;"|"&amp;BH$5,'Competency Event Log'!$D$4:$D$803)))</f>
        <v/>
      </c>
      <c r="BI161" s="8" t="str">
        <f>IF($B161="","",IF(COUNTIF('Competency Event Log'!$U$4:$U$803,$B161&amp;"|"&amp;BI$5)=0,"",SUMIF('Competency Event Log'!$U$4:$U$803,$B161&amp;"|"&amp;BI$5,'Competency Event Log'!$D$4:$D$803)))</f>
        <v/>
      </c>
      <c r="BJ161" s="8" t="str">
        <f>IF($B161="","",IF(COUNTIF('Competency Event Log'!$U$4:$U$803,$B161&amp;"|"&amp;BJ$5)=0,"",SUMIF('Competency Event Log'!$U$4:$U$803,$B161&amp;"|"&amp;BJ$5,'Competency Event Log'!$D$4:$D$803)))</f>
        <v/>
      </c>
      <c r="BK161" s="8" t="str">
        <f>IF($B161="","",IF(COUNTIF('Competency Event Log'!$U$4:$U$803,$B161&amp;"|"&amp;BK$5)=0,"",SUMIF('Competency Event Log'!$U$4:$U$803,$B161&amp;"|"&amp;BK$5,'Competency Event Log'!$D$4:$D$803)))</f>
        <v/>
      </c>
      <c r="BL161" s="8" t="str">
        <f>IF($B161="","",IF(COUNTIF('Competency Event Log'!$U$4:$U$803,$B161&amp;"|"&amp;BL$5)=0,"",SUMIF('Competency Event Log'!$U$4:$U$803,$B161&amp;"|"&amp;BL$5,'Competency Event Log'!$D$4:$D$803)))</f>
        <v/>
      </c>
      <c r="BM161" s="8" t="str">
        <f>IF($B161="","",IF(COUNTIF('Competency Event Log'!$U$4:$U$803,$B161&amp;"|"&amp;BM$5)=0,"",SUMIF('Competency Event Log'!$U$4:$U$803,$B161&amp;"|"&amp;BM$5,'Competency Event Log'!$D$4:$D$803)))</f>
        <v/>
      </c>
      <c r="BN161" s="8" t="str">
        <f>IF($B161="","",IF(COUNTIF('Competency Event Log'!$U$4:$U$803,$B161&amp;"|"&amp;BN$5)=0,"",SUMIF('Competency Event Log'!$U$4:$U$803,$B161&amp;"|"&amp;BN$5,'Competency Event Log'!$D$4:$D$803)))</f>
        <v/>
      </c>
      <c r="BO161" s="8" t="str">
        <f>IF($B161="","",IF(COUNTIF('Competency Event Log'!$U$4:$U$803,$B161&amp;"|"&amp;BO$5)=0,"",SUMIF('Competency Event Log'!$U$4:$U$803,$B161&amp;"|"&amp;BO$5,'Competency Event Log'!$D$4:$D$803)))</f>
        <v/>
      </c>
      <c r="BP161" s="8" t="str">
        <f>IF($B161="","",IF(COUNTIF('Competency Event Log'!$U$4:$U$803,$B161&amp;"|"&amp;BP$5)=0,"",SUMIF('Competency Event Log'!$U$4:$U$803,$B161&amp;"|"&amp;BP$5,'Competency Event Log'!$D$4:$D$803)))</f>
        <v/>
      </c>
      <c r="BQ161" s="8" t="str">
        <f>IF($B161="","",IF(COUNTIF('Competency Event Log'!$U$4:$U$803,$B161&amp;"|"&amp;BQ$5)=0,"",SUMIF('Competency Event Log'!$U$4:$U$803,$B161&amp;"|"&amp;BQ$5,'Competency Event Log'!$D$4:$D$803)))</f>
        <v/>
      </c>
      <c r="BR161" s="8" t="str">
        <f>IF($B161="","",IF(COUNTIF('Competency Event Log'!$U$4:$U$803,$B161&amp;"|"&amp;BR$5)=0,"",SUMIF('Competency Event Log'!$U$4:$U$803,$B161&amp;"|"&amp;BR$5,'Competency Event Log'!$D$4:$D$803)))</f>
        <v/>
      </c>
      <c r="BS161" s="8" t="str">
        <f>IF($B161="","",IF(COUNTIF('Competency Event Log'!$U$4:$U$803,$B161&amp;"|"&amp;BS$5)=0,"",SUMIF('Competency Event Log'!$U$4:$U$803,$B161&amp;"|"&amp;BS$5,'Competency Event Log'!$D$4:$D$803)))</f>
        <v/>
      </c>
      <c r="BT161" s="8" t="str">
        <f>IF($B161="","",IF(COUNTIF('Competency Event Log'!$U$4:$U$803,$B161&amp;"|"&amp;BT$5)=0,"",SUMIF('Competency Event Log'!$U$4:$U$803,$B161&amp;"|"&amp;BT$5,'Competency Event Log'!$D$4:$D$803)))</f>
        <v/>
      </c>
      <c r="BU161" s="8" t="str">
        <f>IF($B161="","",IF(COUNTIF('Competency Event Log'!$U$4:$U$803,$B161&amp;"|"&amp;BU$5)=0,"",SUMIF('Competency Event Log'!$U$4:$U$803,$B161&amp;"|"&amp;BU$5,'Competency Event Log'!$D$4:$D$803)))</f>
        <v/>
      </c>
      <c r="BV161" s="8" t="str">
        <f>IF($B161="","",IF(COUNTIF('Competency Event Log'!$U$4:$U$803,$B161&amp;"|"&amp;BV$5)=0,"",SUMIF('Competency Event Log'!$U$4:$U$803,$B161&amp;"|"&amp;BV$5,'Competency Event Log'!$D$4:$D$803)))</f>
        <v/>
      </c>
      <c r="BW161" s="8" t="str">
        <f>IF($B161="","",IF(COUNTIF('Competency Event Log'!$U$4:$U$803,$B161&amp;"|"&amp;BW$5)=0,"",SUMIF('Competency Event Log'!$U$4:$U$803,$B161&amp;"|"&amp;BW$5,'Competency Event Log'!$D$4:$D$803)))</f>
        <v/>
      </c>
      <c r="BX161" s="8" t="str">
        <f>IF($B161="","",IF(COUNTIF('Competency Event Log'!$U$4:$U$803,$B161&amp;"|"&amp;BX$5)=0,"",SUMIF('Competency Event Log'!$U$4:$U$803,$B161&amp;"|"&amp;BX$5,'Competency Event Log'!$D$4:$D$803)))</f>
        <v/>
      </c>
      <c r="BY161" s="8" t="str">
        <f>IF($B161="","",IF(COUNTIF('Competency Event Log'!$U$4:$U$803,$B161&amp;"|"&amp;BY$5)=0,"",SUMIF('Competency Event Log'!$U$4:$U$803,$B161&amp;"|"&amp;BY$5,'Competency Event Log'!$D$4:$D$803)))</f>
        <v/>
      </c>
      <c r="BZ161" s="8" t="str">
        <f>IF($B161="","",IF(COUNTIF('Competency Event Log'!$U$4:$U$803,$B161&amp;"|"&amp;BZ$5)=0,"",SUMIF('Competency Event Log'!$U$4:$U$803,$B161&amp;"|"&amp;BZ$5,'Competency Event Log'!$D$4:$D$803)))</f>
        <v/>
      </c>
      <c r="CA161" s="8" t="str">
        <f>IF($B161="","",IF(COUNTIF('Competency Event Log'!$U$4:$U$803,$B161&amp;"|"&amp;CA$5)=0,"",SUMIF('Competency Event Log'!$U$4:$U$803,$B161&amp;"|"&amp;CA$5,'Competency Event Log'!$D$4:$D$803)))</f>
        <v/>
      </c>
      <c r="CB161" s="8" t="str">
        <f>IF($B161="","",IF(COUNTIF('Competency Event Log'!$U$4:$U$803,$B161&amp;"|"&amp;CB$5)=0,"",SUMIF('Competency Event Log'!$U$4:$U$803,$B161&amp;"|"&amp;CB$5,'Competency Event Log'!$D$4:$D$803)))</f>
        <v/>
      </c>
      <c r="CC161" s="8" t="str">
        <f>IF($B161="","",IF(COUNTIF('Competency Event Log'!$U$4:$U$803,$B161&amp;"|"&amp;CC$5)=0,"",SUMIF('Competency Event Log'!$U$4:$U$803,$B161&amp;"|"&amp;CC$5,'Competency Event Log'!$D$4:$D$803)))</f>
        <v/>
      </c>
      <c r="CD161" s="8" t="str">
        <f>IF($B161="","",IF(COUNTIF('Competency Event Log'!$U$4:$U$803,$B161&amp;"|"&amp;CD$5)=0,"",SUMIF('Competency Event Log'!$U$4:$U$803,$B161&amp;"|"&amp;CD$5,'Competency Event Log'!$D$4:$D$803)))</f>
        <v/>
      </c>
      <c r="CE161" s="8" t="str">
        <f>IF($B161="","",IF(COUNTIF('Competency Event Log'!$U$4:$U$803,$B161&amp;"|"&amp;CE$5)=0,"",SUMIF('Competency Event Log'!$U$4:$U$803,$B161&amp;"|"&amp;CE$5,'Competency Event Log'!$D$4:$D$803)))</f>
        <v/>
      </c>
      <c r="CF161" s="8" t="str">
        <f>IF($B161="","",IF(COUNTIF('Competency Event Log'!$U$4:$U$803,$B161&amp;"|"&amp;CF$5)=0,"",SUMIF('Competency Event Log'!$U$4:$U$803,$B161&amp;"|"&amp;CF$5,'Competency Event Log'!$D$4:$D$803)))</f>
        <v/>
      </c>
      <c r="CG161" s="8" t="str">
        <f>IF($B161="","",IF(COUNTIF('Competency Event Log'!$U$4:$U$803,$B161&amp;"|"&amp;CG$5)=0,"",SUMIF('Competency Event Log'!$U$4:$U$803,$B161&amp;"|"&amp;CG$5,'Competency Event Log'!$D$4:$D$803)))</f>
        <v/>
      </c>
      <c r="CH161" s="8" t="str">
        <f>IF($B161="","",IF(COUNTIF('Competency Event Log'!$U$4:$U$803,$B161&amp;"|"&amp;CH$5)=0,"",SUMIF('Competency Event Log'!$U$4:$U$803,$B161&amp;"|"&amp;CH$5,'Competency Event Log'!$D$4:$D$803)))</f>
        <v/>
      </c>
      <c r="CI161" s="8" t="str">
        <f>IF($B161="","",IF(COUNTIF('Competency Event Log'!$U$4:$U$803,$B161&amp;"|"&amp;CI$5)=0,"",SUMIF('Competency Event Log'!$U$4:$U$803,$B161&amp;"|"&amp;CI$5,'Competency Event Log'!$D$4:$D$803)))</f>
        <v/>
      </c>
      <c r="CJ161" s="8" t="str">
        <f>IF($B161="","",IF(COUNTIF('Competency Event Log'!$U$4:$U$803,$B161&amp;"|"&amp;CJ$5)=0,"",SUMIF('Competency Event Log'!$U$4:$U$803,$B161&amp;"|"&amp;CJ$5,'Competency Event Log'!$D$4:$D$803)))</f>
        <v/>
      </c>
      <c r="CK161" s="8" t="str">
        <f>IF($B161="","",IF(COUNTIF('Competency Event Log'!$U$4:$U$803,$B161&amp;"|"&amp;CK$5)=0,"",SUMIF('Competency Event Log'!$U$4:$U$803,$B161&amp;"|"&amp;CK$5,'Competency Event Log'!$D$4:$D$803)))</f>
        <v/>
      </c>
      <c r="CL161" s="8" t="str">
        <f>IF($B161="","",IF(COUNTIF('Competency Event Log'!$U$4:$U$803,$B161&amp;"|"&amp;CL$5)=0,"",SUMIF('Competency Event Log'!$U$4:$U$803,$B161&amp;"|"&amp;CL$5,'Competency Event Log'!$D$4:$D$803)))</f>
        <v/>
      </c>
      <c r="CM161" s="8" t="str">
        <f>IF($B161="","",IF(COUNTIF('Competency Event Log'!$U$4:$U$803,$B161&amp;"|"&amp;CM$5)=0,"",SUMIF('Competency Event Log'!$U$4:$U$803,$B161&amp;"|"&amp;CM$5,'Competency Event Log'!$D$4:$D$803)))</f>
        <v/>
      </c>
      <c r="CN161" s="8" t="str">
        <f>IF($B161="","",IF(COUNTIF('Competency Event Log'!$U$4:$U$803,$B161&amp;"|"&amp;CN$5)=0,"",SUMIF('Competency Event Log'!$U$4:$U$803,$B161&amp;"|"&amp;CN$5,'Competency Event Log'!$D$4:$D$803)))</f>
        <v/>
      </c>
      <c r="CO161" s="8" t="str">
        <f>IF($B161="","",IF(COUNTIF('Competency Event Log'!$U$4:$U$803,$B161&amp;"|"&amp;CO$5)=0,"",SUMIF('Competency Event Log'!$U$4:$U$803,$B161&amp;"|"&amp;CO$5,'Competency Event Log'!$D$4:$D$803)))</f>
        <v/>
      </c>
      <c r="CP161" s="8" t="str">
        <f>IF($B161="","",IF(COUNTIF('Competency Event Log'!$U$4:$U$803,$B161&amp;"|"&amp;CP$5)=0,"",SUMIF('Competency Event Log'!$U$4:$U$803,$B161&amp;"|"&amp;CP$5,'Competency Event Log'!$D$4:$D$803)))</f>
        <v/>
      </c>
      <c r="CQ161" s="8" t="str">
        <f>IF($B161="","",IF(COUNTIF('Competency Event Log'!$U$4:$U$803,$B161&amp;"|"&amp;CQ$5)=0,"",SUMIF('Competency Event Log'!$U$4:$U$803,$B161&amp;"|"&amp;CQ$5,'Competency Event Log'!$D$4:$D$803)))</f>
        <v/>
      </c>
      <c r="CR161" s="8" t="str">
        <f>IF($B161="","",IF(COUNTIF('Competency Event Log'!$U$4:$U$803,$B161&amp;"|"&amp;CR$5)=0,"",SUMIF('Competency Event Log'!$U$4:$U$803,$B161&amp;"|"&amp;CR$5,'Competency Event Log'!$D$4:$D$803)))</f>
        <v/>
      </c>
      <c r="CS161" s="8" t="str">
        <f>IF($B161="","",IF(COUNTIF('Competency Event Log'!$U$4:$U$803,$B161&amp;"|"&amp;CS$5)=0,"",SUMIF('Competency Event Log'!$U$4:$U$803,$B161&amp;"|"&amp;CS$5,'Competency Event Log'!$D$4:$D$803)))</f>
        <v/>
      </c>
      <c r="CT161" s="8" t="str">
        <f>IF($B161="","",IF(COUNTIF('Competency Event Log'!$U$4:$U$803,$B161&amp;"|"&amp;CT$5)=0,"",SUMIF('Competency Event Log'!$U$4:$U$803,$B161&amp;"|"&amp;CT$5,'Competency Event Log'!$D$4:$D$803)))</f>
        <v/>
      </c>
      <c r="CU161" s="8" t="str">
        <f>IF($B161="","",IF(COUNTIF('Competency Event Log'!$U$4:$U$803,$B161&amp;"|"&amp;CU$5)=0,"",SUMIF('Competency Event Log'!$U$4:$U$803,$B161&amp;"|"&amp;CU$5,'Competency Event Log'!$D$4:$D$803)))</f>
        <v/>
      </c>
      <c r="CV161" s="8" t="str">
        <f>IF($B161="","",IF(COUNTIF('Competency Event Log'!$U$4:$U$803,$B161&amp;"|"&amp;CV$5)=0,"",SUMIF('Competency Event Log'!$U$4:$U$803,$B161&amp;"|"&amp;CV$5,'Competency Event Log'!$D$4:$D$803)))</f>
        <v/>
      </c>
      <c r="CW161" s="8" t="str">
        <f>IF($B161="","",IF(COUNTIF('Competency Event Log'!$U$4:$U$803,$B161&amp;"|"&amp;CW$5)=0,"",SUMIF('Competency Event Log'!$U$4:$U$803,$B161&amp;"|"&amp;CW$5,'Competency Event Log'!$D$4:$D$803)))</f>
        <v/>
      </c>
      <c r="CX161" s="8" t="str">
        <f>IF($B161="","",IF(COUNTIF('Competency Event Log'!$U$4:$U$803,$B161&amp;"|"&amp;CX$5)=0,"",SUMIF('Competency Event Log'!$U$4:$U$803,$B161&amp;"|"&amp;CX$5,'Competency Event Log'!$D$4:$D$803)))</f>
        <v/>
      </c>
      <c r="CY161" s="8" t="str">
        <f>IF($B161="","",IF(COUNTIF('Competency Event Log'!$U$4:$U$803,$B161&amp;"|"&amp;CY$5)=0,"",SUMIF('Competency Event Log'!$U$4:$U$803,$B161&amp;"|"&amp;CY$5,'Competency Event Log'!$D$4:$D$803)))</f>
        <v/>
      </c>
      <c r="CZ161" s="8" t="str">
        <f>IF($B161="","",IF(COUNTIF('Competency Event Log'!$U$4:$U$803,$B161&amp;"|"&amp;CZ$5)=0,"",SUMIF('Competency Event Log'!$U$4:$U$803,$B161&amp;"|"&amp;CZ$5,'Competency Event Log'!$D$4:$D$803)))</f>
        <v/>
      </c>
      <c r="DA161" s="8" t="str">
        <f>IF($B161="","",IF(COUNTIF('Competency Event Log'!$U$4:$U$803,$B161&amp;"|"&amp;DA$5)=0,"",SUMIF('Competency Event Log'!$U$4:$U$803,$B161&amp;"|"&amp;DA$5,'Competency Event Log'!$D$4:$D$803)))</f>
        <v/>
      </c>
      <c r="DB161" s="8" t="str">
        <f>IF($B161="","",IF(COUNTIF('Competency Event Log'!$U$4:$U$803,$B161&amp;"|"&amp;DB$5)=0,"",SUMIF('Competency Event Log'!$U$4:$U$803,$B161&amp;"|"&amp;DB$5,'Competency Event Log'!$D$4:$D$803)))</f>
        <v/>
      </c>
      <c r="DC161" s="8" t="str">
        <f>IF($B161="","",IF(COUNTIF('Competency Event Log'!$U$4:$U$803,$B161&amp;"|"&amp;DC$5)=0,"",SUMIF('Competency Event Log'!$U$4:$U$803,$B161&amp;"|"&amp;DC$5,'Competency Event Log'!$D$4:$D$803)))</f>
        <v/>
      </c>
      <c r="DD161" s="8" t="str">
        <f>IF($B161="","",IF(COUNTIF('Competency Event Log'!$U$4:$U$803,$B161&amp;"|"&amp;DD$5)=0,"",SUMIF('Competency Event Log'!$U$4:$U$803,$B161&amp;"|"&amp;DD$5,'Competency Event Log'!$D$4:$D$803)))</f>
        <v/>
      </c>
      <c r="DE161" s="8" t="str">
        <f>IF($B161="","",IF(COUNTIF('Competency Event Log'!$U$4:$U$803,$B161&amp;"|"&amp;DE$5)=0,"",SUMIF('Competency Event Log'!$U$4:$U$803,$B161&amp;"|"&amp;DE$5,'Competency Event Log'!$D$4:$D$803)))</f>
        <v/>
      </c>
      <c r="DF161" s="8" t="str">
        <f t="shared" si="16"/>
        <v/>
      </c>
      <c r="DG161" s="8" t="str">
        <f t="shared" si="17"/>
        <v/>
      </c>
      <c r="DH161" s="8" t="str">
        <f t="shared" si="18"/>
        <v/>
      </c>
      <c r="DI161" s="11" t="str">
        <f t="shared" si="19"/>
        <v/>
      </c>
    </row>
    <row r="162" spans="1:113">
      <c r="A162" s="7"/>
      <c r="B162" s="7"/>
      <c r="C162" s="8"/>
      <c r="D162" s="9"/>
      <c r="E162" s="10"/>
      <c r="F162" s="8"/>
      <c r="G162" s="8" t="str">
        <f>IF($B162="","",IF(COUNTIF('Competency Event Log'!$U$4:$U$803,$B162&amp;"|"&amp;G$5)=0,"",SUMIF('Competency Event Log'!$U$4:$U$803,$B162&amp;"|"&amp;G$5,'Competency Event Log'!$D$4:$D$803)))</f>
        <v/>
      </c>
      <c r="H162" s="8" t="str">
        <f>IF($B162="","",IF(COUNTIF('Competency Event Log'!$U$4:$U$803,$B162&amp;"|"&amp;H$5)=0,"",SUMIF('Competency Event Log'!$U$4:$U$803,$B162&amp;"|"&amp;H$5,'Competency Event Log'!$D$4:$D$803)))</f>
        <v/>
      </c>
      <c r="I162" s="8" t="str">
        <f>IF($B162="","",IF(COUNTIF('Competency Event Log'!$U$4:$U$803,$B162&amp;"|"&amp;I$5)=0,"",SUMIF('Competency Event Log'!$U$4:$U$803,$B162&amp;"|"&amp;I$5,'Competency Event Log'!$D$4:$D$803)))</f>
        <v/>
      </c>
      <c r="J162" s="8" t="str">
        <f>IF($B162="","",IF(COUNTIF('Competency Event Log'!$U$4:$U$803,$B162&amp;"|"&amp;J$5)=0,"",SUMIF('Competency Event Log'!$U$4:$U$803,$B162&amp;"|"&amp;J$5,'Competency Event Log'!$D$4:$D$803)))</f>
        <v/>
      </c>
      <c r="K162" s="8" t="str">
        <f>IF($B162="","",IF(COUNTIF('Competency Event Log'!$U$4:$U$803,$B162&amp;"|"&amp;K$5)=0,"",SUMIF('Competency Event Log'!$U$4:$U$803,$B162&amp;"|"&amp;K$5,'Competency Event Log'!$D$4:$D$803)))</f>
        <v/>
      </c>
      <c r="L162" s="8" t="str">
        <f>IF($B162="","",IF(COUNTIF('Competency Event Log'!$U$4:$U$803,$B162&amp;"|"&amp;L$5)=0,"",SUMIF('Competency Event Log'!$U$4:$U$803,$B162&amp;"|"&amp;L$5,'Competency Event Log'!$D$4:$D$803)))</f>
        <v/>
      </c>
      <c r="M162" s="8" t="str">
        <f>IF($B162="","",IF(COUNTIF('Competency Event Log'!$U$4:$U$803,$B162&amp;"|"&amp;M$5)=0,"",SUMIF('Competency Event Log'!$U$4:$U$803,$B162&amp;"|"&amp;M$5,'Competency Event Log'!$D$4:$D$803)))</f>
        <v/>
      </c>
      <c r="N162" s="8" t="str">
        <f>IF($B162="","",IF(COUNTIF('Competency Event Log'!$U$4:$U$803,$B162&amp;"|"&amp;N$5)=0,"",SUMIF('Competency Event Log'!$U$4:$U$803,$B162&amp;"|"&amp;N$5,'Competency Event Log'!$D$4:$D$803)))</f>
        <v/>
      </c>
      <c r="O162" s="8" t="str">
        <f>IF($B162="","",IF(COUNTIF('Competency Event Log'!$U$4:$U$803,$B162&amp;"|"&amp;O$5)=0,"",SUMIF('Competency Event Log'!$U$4:$U$803,$B162&amp;"|"&amp;O$5,'Competency Event Log'!$D$4:$D$803)))</f>
        <v/>
      </c>
      <c r="P162" s="8" t="str">
        <f>IF($B162="","",IF(COUNTIF('Competency Event Log'!$U$4:$U$803,$B162&amp;"|"&amp;P$5)=0,"",SUMIF('Competency Event Log'!$U$4:$U$803,$B162&amp;"|"&amp;P$5,'Competency Event Log'!$D$4:$D$803)))</f>
        <v/>
      </c>
      <c r="Q162" s="8" t="str">
        <f>IF($B162="","",IF(COUNTIF('Competency Event Log'!$U$4:$U$803,$B162&amp;"|"&amp;Q$5)=0,"",SUMIF('Competency Event Log'!$U$4:$U$803,$B162&amp;"|"&amp;Q$5,'Competency Event Log'!$D$4:$D$803)))</f>
        <v/>
      </c>
      <c r="R162" s="8" t="str">
        <f>IF($B162="","",IF(COUNTIF('Competency Event Log'!$U$4:$U$803,$B162&amp;"|"&amp;R$5)=0,"",SUMIF('Competency Event Log'!$U$4:$U$803,$B162&amp;"|"&amp;R$5,'Competency Event Log'!$D$4:$D$803)))</f>
        <v/>
      </c>
      <c r="S162" s="8" t="str">
        <f>IF($B162="","",IF(COUNTIF('Competency Event Log'!$U$4:$U$803,$B162&amp;"|"&amp;S$5)=0,"",SUMIF('Competency Event Log'!$U$4:$U$803,$B162&amp;"|"&amp;S$5,'Competency Event Log'!$D$4:$D$803)))</f>
        <v/>
      </c>
      <c r="T162" s="8" t="str">
        <f>IF($B162="","",IF(COUNTIF('Competency Event Log'!$U$4:$U$803,$B162&amp;"|"&amp;T$5)=0,"",SUMIF('Competency Event Log'!$U$4:$U$803,$B162&amp;"|"&amp;T$5,'Competency Event Log'!$D$4:$D$803)))</f>
        <v/>
      </c>
      <c r="U162" s="8" t="str">
        <f>IF($B162="","",IF(COUNTIF('Competency Event Log'!$U$4:$U$803,$B162&amp;"|"&amp;U$5)=0,"",SUMIF('Competency Event Log'!$U$4:$U$803,$B162&amp;"|"&amp;U$5,'Competency Event Log'!$D$4:$D$803)))</f>
        <v/>
      </c>
      <c r="V162" s="8" t="str">
        <f>IF($B162="","",IF(COUNTIF('Competency Event Log'!$U$4:$U$803,$B162&amp;"|"&amp;V$5)=0,"",SUMIF('Competency Event Log'!$U$4:$U$803,$B162&amp;"|"&amp;V$5,'Competency Event Log'!$D$4:$D$803)))</f>
        <v/>
      </c>
      <c r="W162" s="8" t="str">
        <f>IF($B162="","",IF(COUNTIF('Competency Event Log'!$U$4:$U$803,$B162&amp;"|"&amp;W$5)=0,"",SUMIF('Competency Event Log'!$U$4:$U$803,$B162&amp;"|"&amp;W$5,'Competency Event Log'!$D$4:$D$803)))</f>
        <v/>
      </c>
      <c r="X162" s="8" t="str">
        <f>IF($B162="","",IF(COUNTIF('Competency Event Log'!$U$4:$U$803,$B162&amp;"|"&amp;X$5)=0,"",SUMIF('Competency Event Log'!$U$4:$U$803,$B162&amp;"|"&amp;X$5,'Competency Event Log'!$D$4:$D$803)))</f>
        <v/>
      </c>
      <c r="Y162" s="8" t="str">
        <f>IF($B162="","",IF(COUNTIF('Competency Event Log'!$U$4:$U$803,$B162&amp;"|"&amp;Y$5)=0,"",SUMIF('Competency Event Log'!$U$4:$U$803,$B162&amp;"|"&amp;Y$5,'Competency Event Log'!$D$4:$D$803)))</f>
        <v/>
      </c>
      <c r="Z162" s="8" t="str">
        <f>IF($B162="","",IF(COUNTIF('Competency Event Log'!$U$4:$U$803,$B162&amp;"|"&amp;Z$5)=0,"",SUMIF('Competency Event Log'!$U$4:$U$803,$B162&amp;"|"&amp;Z$5,'Competency Event Log'!$D$4:$D$803)))</f>
        <v/>
      </c>
      <c r="AA162" s="8" t="str">
        <f>IF($B162="","",IF(COUNTIF('Competency Event Log'!$U$4:$U$803,$B162&amp;"|"&amp;AA$5)=0,"",SUMIF('Competency Event Log'!$U$4:$U$803,$B162&amp;"|"&amp;AA$5,'Competency Event Log'!$D$4:$D$803)))</f>
        <v/>
      </c>
      <c r="AB162" s="8" t="str">
        <f>IF($B162="","",IF(COUNTIF('Competency Event Log'!$U$4:$U$803,$B162&amp;"|"&amp;AB$5)=0,"",SUMIF('Competency Event Log'!$U$4:$U$803,$B162&amp;"|"&amp;AB$5,'Competency Event Log'!$D$4:$D$803)))</f>
        <v/>
      </c>
      <c r="AC162" s="8" t="str">
        <f>IF($B162="","",IF(COUNTIF('Competency Event Log'!$U$4:$U$803,$B162&amp;"|"&amp;AC$5)=0,"",SUMIF('Competency Event Log'!$U$4:$U$803,$B162&amp;"|"&amp;AC$5,'Competency Event Log'!$D$4:$D$803)))</f>
        <v/>
      </c>
      <c r="AD162" s="8" t="str">
        <f>IF($B162="","",IF(COUNTIF('Competency Event Log'!$U$4:$U$803,$B162&amp;"|"&amp;AD$5)=0,"",SUMIF('Competency Event Log'!$U$4:$U$803,$B162&amp;"|"&amp;AD$5,'Competency Event Log'!$D$4:$D$803)))</f>
        <v/>
      </c>
      <c r="AE162" s="8" t="str">
        <f>IF($B162="","",IF(COUNTIF('Competency Event Log'!$U$4:$U$803,$B162&amp;"|"&amp;AE$5)=0,"",SUMIF('Competency Event Log'!$U$4:$U$803,$B162&amp;"|"&amp;AE$5,'Competency Event Log'!$D$4:$D$803)))</f>
        <v/>
      </c>
      <c r="AF162" s="8" t="str">
        <f>IF($B162="","",IF(COUNTIF('Competency Event Log'!$U$4:$U$803,$B162&amp;"|"&amp;AF$5)=0,"",SUMIF('Competency Event Log'!$U$4:$U$803,$B162&amp;"|"&amp;AF$5,'Competency Event Log'!$D$4:$D$803)))</f>
        <v/>
      </c>
      <c r="AG162" s="8" t="str">
        <f>IF($B162="","",IF(COUNTIF('Competency Event Log'!$U$4:$U$803,$B162&amp;"|"&amp;AG$5)=0,"",SUMIF('Competency Event Log'!$U$4:$U$803,$B162&amp;"|"&amp;AG$5,'Competency Event Log'!$D$4:$D$803)))</f>
        <v/>
      </c>
      <c r="AH162" s="8" t="str">
        <f>IF($B162="","",IF(COUNTIF('Competency Event Log'!$U$4:$U$803,$B162&amp;"|"&amp;AH$5)=0,"",SUMIF('Competency Event Log'!$U$4:$U$803,$B162&amp;"|"&amp;AH$5,'Competency Event Log'!$D$4:$D$803)))</f>
        <v/>
      </c>
      <c r="AI162" s="8" t="str">
        <f>IF($B162="","",IF(COUNTIF('Competency Event Log'!$U$4:$U$803,$B162&amp;"|"&amp;AI$5)=0,"",SUMIF('Competency Event Log'!$U$4:$U$803,$B162&amp;"|"&amp;AI$5,'Competency Event Log'!$D$4:$D$803)))</f>
        <v/>
      </c>
      <c r="AJ162" s="8" t="str">
        <f>IF($B162="","",IF(COUNTIF('Competency Event Log'!$U$4:$U$803,$B162&amp;"|"&amp;AJ$5)=0,"",SUMIF('Competency Event Log'!$U$4:$U$803,$B162&amp;"|"&amp;AJ$5,'Competency Event Log'!$D$4:$D$803)))</f>
        <v/>
      </c>
      <c r="AK162" s="8" t="str">
        <f>IF($B162="","",IF(COUNTIF('Competency Event Log'!$U$4:$U$803,$B162&amp;"|"&amp;AK$5)=0,"",SUMIF('Competency Event Log'!$U$4:$U$803,$B162&amp;"|"&amp;AK$5,'Competency Event Log'!$D$4:$D$803)))</f>
        <v/>
      </c>
      <c r="AL162" s="8" t="str">
        <f>IF($B162="","",IF(COUNTIF('Competency Event Log'!$U$4:$U$803,$B162&amp;"|"&amp;AL$5)=0,"",SUMIF('Competency Event Log'!$U$4:$U$803,$B162&amp;"|"&amp;AL$5,'Competency Event Log'!$D$4:$D$803)))</f>
        <v/>
      </c>
      <c r="AM162" s="8" t="str">
        <f>IF($B162="","",IF(COUNTIF('Competency Event Log'!$U$4:$U$803,$B162&amp;"|"&amp;AM$5)=0,"",SUMIF('Competency Event Log'!$U$4:$U$803,$B162&amp;"|"&amp;AM$5,'Competency Event Log'!$D$4:$D$803)))</f>
        <v/>
      </c>
      <c r="AN162" s="8" t="str">
        <f>IF($B162="","",IF(COUNTIF('Competency Event Log'!$U$4:$U$803,$B162&amp;"|"&amp;AN$5)=0,"",SUMIF('Competency Event Log'!$U$4:$U$803,$B162&amp;"|"&amp;AN$5,'Competency Event Log'!$D$4:$D$803)))</f>
        <v/>
      </c>
      <c r="AO162" s="8" t="str">
        <f>IF($B162="","",IF(COUNTIF('Competency Event Log'!$U$4:$U$803,$B162&amp;"|"&amp;AO$5)=0,"",SUMIF('Competency Event Log'!$U$4:$U$803,$B162&amp;"|"&amp;AO$5,'Competency Event Log'!$D$4:$D$803)))</f>
        <v/>
      </c>
      <c r="AP162" s="8" t="str">
        <f>IF($B162="","",IF(COUNTIF('Competency Event Log'!$U$4:$U$803,$B162&amp;"|"&amp;AP$5)=0,"",SUMIF('Competency Event Log'!$U$4:$U$803,$B162&amp;"|"&amp;AP$5,'Competency Event Log'!$D$4:$D$803)))</f>
        <v/>
      </c>
      <c r="AQ162" s="8" t="str">
        <f>IF($B162="","",IF(COUNTIF('Competency Event Log'!$U$4:$U$803,$B162&amp;"|"&amp;AQ$5)=0,"",SUMIF('Competency Event Log'!$U$4:$U$803,$B162&amp;"|"&amp;AQ$5,'Competency Event Log'!$D$4:$D$803)))</f>
        <v/>
      </c>
      <c r="AR162" s="8" t="str">
        <f>IF($B162="","",IF(COUNTIF('Competency Event Log'!$U$4:$U$803,$B162&amp;"|"&amp;AR$5)=0,"",SUMIF('Competency Event Log'!$U$4:$U$803,$B162&amp;"|"&amp;AR$5,'Competency Event Log'!$D$4:$D$803)))</f>
        <v/>
      </c>
      <c r="AS162" s="8" t="str">
        <f>IF($B162="","",IF(COUNTIF('Competency Event Log'!$U$4:$U$803,$B162&amp;"|"&amp;AS$5)=0,"",SUMIF('Competency Event Log'!$U$4:$U$803,$B162&amp;"|"&amp;AS$5,'Competency Event Log'!$D$4:$D$803)))</f>
        <v/>
      </c>
      <c r="AT162" s="8" t="str">
        <f>IF($B162="","",IF(COUNTIF('Competency Event Log'!$U$4:$U$803,$B162&amp;"|"&amp;AT$5)=0,"",SUMIF('Competency Event Log'!$U$4:$U$803,$B162&amp;"|"&amp;AT$5,'Competency Event Log'!$D$4:$D$803)))</f>
        <v/>
      </c>
      <c r="AU162" s="8" t="str">
        <f>IF($B162="","",IF(COUNTIF('Competency Event Log'!$U$4:$U$803,$B162&amp;"|"&amp;AU$5)=0,"",SUMIF('Competency Event Log'!$U$4:$U$803,$B162&amp;"|"&amp;AU$5,'Competency Event Log'!$D$4:$D$803)))</f>
        <v/>
      </c>
      <c r="AV162" s="8" t="str">
        <f>IF($B162="","",IF(COUNTIF('Competency Event Log'!$U$4:$U$803,$B162&amp;"|"&amp;AV$5)=0,"",SUMIF('Competency Event Log'!$U$4:$U$803,$B162&amp;"|"&amp;AV$5,'Competency Event Log'!$D$4:$D$803)))</f>
        <v/>
      </c>
      <c r="AW162" s="8" t="str">
        <f>IF($B162="","",IF(COUNTIF('Competency Event Log'!$U$4:$U$803,$B162&amp;"|"&amp;AW$5)=0,"",SUMIF('Competency Event Log'!$U$4:$U$803,$B162&amp;"|"&amp;AW$5,'Competency Event Log'!$D$4:$D$803)))</f>
        <v/>
      </c>
      <c r="AX162" s="8" t="str">
        <f>IF($B162="","",IF(COUNTIF('Competency Event Log'!$U$4:$U$803,$B162&amp;"|"&amp;AX$5)=0,"",SUMIF('Competency Event Log'!$U$4:$U$803,$B162&amp;"|"&amp;AX$5,'Competency Event Log'!$D$4:$D$803)))</f>
        <v/>
      </c>
      <c r="AY162" s="8" t="str">
        <f>IF($B162="","",IF(COUNTIF('Competency Event Log'!$U$4:$U$803,$B162&amp;"|"&amp;AY$5)=0,"",SUMIF('Competency Event Log'!$U$4:$U$803,$B162&amp;"|"&amp;AY$5,'Competency Event Log'!$D$4:$D$803)))</f>
        <v/>
      </c>
      <c r="AZ162" s="8" t="str">
        <f>IF($B162="","",IF(COUNTIF('Competency Event Log'!$U$4:$U$803,$B162&amp;"|"&amp;AZ$5)=0,"",SUMIF('Competency Event Log'!$U$4:$U$803,$B162&amp;"|"&amp;AZ$5,'Competency Event Log'!$D$4:$D$803)))</f>
        <v/>
      </c>
      <c r="BA162" s="8" t="str">
        <f>IF($B162="","",IF(COUNTIF('Competency Event Log'!$U$4:$U$803,$B162&amp;"|"&amp;BA$5)=0,"",SUMIF('Competency Event Log'!$U$4:$U$803,$B162&amp;"|"&amp;BA$5,'Competency Event Log'!$D$4:$D$803)))</f>
        <v/>
      </c>
      <c r="BB162" s="8" t="str">
        <f>IF($B162="","",IF(COUNTIF('Competency Event Log'!$U$4:$U$803,$B162&amp;"|"&amp;BB$5)=0,"",SUMIF('Competency Event Log'!$U$4:$U$803,$B162&amp;"|"&amp;BB$5,'Competency Event Log'!$D$4:$D$803)))</f>
        <v/>
      </c>
      <c r="BC162" s="8" t="str">
        <f>IF($B162="","",IF(COUNTIF('Competency Event Log'!$U$4:$U$803,$B162&amp;"|"&amp;BC$5)=0,"",SUMIF('Competency Event Log'!$U$4:$U$803,$B162&amp;"|"&amp;BC$5,'Competency Event Log'!$D$4:$D$803)))</f>
        <v/>
      </c>
      <c r="BD162" s="8" t="str">
        <f>IF($B162="","",IF(COUNTIF('Competency Event Log'!$U$4:$U$803,$B162&amp;"|"&amp;BD$5)=0,"",SUMIF('Competency Event Log'!$U$4:$U$803,$B162&amp;"|"&amp;BD$5,'Competency Event Log'!$D$4:$D$803)))</f>
        <v/>
      </c>
      <c r="BE162" s="8" t="str">
        <f>IF($B162="","",IF(COUNTIF('Competency Event Log'!$U$4:$U$803,$B162&amp;"|"&amp;BE$5)=0,"",SUMIF('Competency Event Log'!$U$4:$U$803,$B162&amp;"|"&amp;BE$5,'Competency Event Log'!$D$4:$D$803)))</f>
        <v/>
      </c>
      <c r="BF162" s="8" t="str">
        <f>IF($B162="","",IF(COUNTIF('Competency Event Log'!$U$4:$U$803,$B162&amp;"|"&amp;BF$5)=0,"",SUMIF('Competency Event Log'!$U$4:$U$803,$B162&amp;"|"&amp;BF$5,'Competency Event Log'!$D$4:$D$803)))</f>
        <v/>
      </c>
      <c r="BG162" s="8" t="str">
        <f>IF($B162="","",IF(COUNTIF('Competency Event Log'!$U$4:$U$803,$B162&amp;"|"&amp;BG$5)=0,"",SUMIF('Competency Event Log'!$U$4:$U$803,$B162&amp;"|"&amp;BG$5,'Competency Event Log'!$D$4:$D$803)))</f>
        <v/>
      </c>
      <c r="BH162" s="8" t="str">
        <f>IF($B162="","",IF(COUNTIF('Competency Event Log'!$U$4:$U$803,$B162&amp;"|"&amp;BH$5)=0,"",SUMIF('Competency Event Log'!$U$4:$U$803,$B162&amp;"|"&amp;BH$5,'Competency Event Log'!$D$4:$D$803)))</f>
        <v/>
      </c>
      <c r="BI162" s="8" t="str">
        <f>IF($B162="","",IF(COUNTIF('Competency Event Log'!$U$4:$U$803,$B162&amp;"|"&amp;BI$5)=0,"",SUMIF('Competency Event Log'!$U$4:$U$803,$B162&amp;"|"&amp;BI$5,'Competency Event Log'!$D$4:$D$803)))</f>
        <v/>
      </c>
      <c r="BJ162" s="8" t="str">
        <f>IF($B162="","",IF(COUNTIF('Competency Event Log'!$U$4:$U$803,$B162&amp;"|"&amp;BJ$5)=0,"",SUMIF('Competency Event Log'!$U$4:$U$803,$B162&amp;"|"&amp;BJ$5,'Competency Event Log'!$D$4:$D$803)))</f>
        <v/>
      </c>
      <c r="BK162" s="8" t="str">
        <f>IF($B162="","",IF(COUNTIF('Competency Event Log'!$U$4:$U$803,$B162&amp;"|"&amp;BK$5)=0,"",SUMIF('Competency Event Log'!$U$4:$U$803,$B162&amp;"|"&amp;BK$5,'Competency Event Log'!$D$4:$D$803)))</f>
        <v/>
      </c>
      <c r="BL162" s="8" t="str">
        <f>IF($B162="","",IF(COUNTIF('Competency Event Log'!$U$4:$U$803,$B162&amp;"|"&amp;BL$5)=0,"",SUMIF('Competency Event Log'!$U$4:$U$803,$B162&amp;"|"&amp;BL$5,'Competency Event Log'!$D$4:$D$803)))</f>
        <v/>
      </c>
      <c r="BM162" s="8" t="str">
        <f>IF($B162="","",IF(COUNTIF('Competency Event Log'!$U$4:$U$803,$B162&amp;"|"&amp;BM$5)=0,"",SUMIF('Competency Event Log'!$U$4:$U$803,$B162&amp;"|"&amp;BM$5,'Competency Event Log'!$D$4:$D$803)))</f>
        <v/>
      </c>
      <c r="BN162" s="8" t="str">
        <f>IF($B162="","",IF(COUNTIF('Competency Event Log'!$U$4:$U$803,$B162&amp;"|"&amp;BN$5)=0,"",SUMIF('Competency Event Log'!$U$4:$U$803,$B162&amp;"|"&amp;BN$5,'Competency Event Log'!$D$4:$D$803)))</f>
        <v/>
      </c>
      <c r="BO162" s="8" t="str">
        <f>IF($B162="","",IF(COUNTIF('Competency Event Log'!$U$4:$U$803,$B162&amp;"|"&amp;BO$5)=0,"",SUMIF('Competency Event Log'!$U$4:$U$803,$B162&amp;"|"&amp;BO$5,'Competency Event Log'!$D$4:$D$803)))</f>
        <v/>
      </c>
      <c r="BP162" s="8" t="str">
        <f>IF($B162="","",IF(COUNTIF('Competency Event Log'!$U$4:$U$803,$B162&amp;"|"&amp;BP$5)=0,"",SUMIF('Competency Event Log'!$U$4:$U$803,$B162&amp;"|"&amp;BP$5,'Competency Event Log'!$D$4:$D$803)))</f>
        <v/>
      </c>
      <c r="BQ162" s="8" t="str">
        <f>IF($B162="","",IF(COUNTIF('Competency Event Log'!$U$4:$U$803,$B162&amp;"|"&amp;BQ$5)=0,"",SUMIF('Competency Event Log'!$U$4:$U$803,$B162&amp;"|"&amp;BQ$5,'Competency Event Log'!$D$4:$D$803)))</f>
        <v/>
      </c>
      <c r="BR162" s="8" t="str">
        <f>IF($B162="","",IF(COUNTIF('Competency Event Log'!$U$4:$U$803,$B162&amp;"|"&amp;BR$5)=0,"",SUMIF('Competency Event Log'!$U$4:$U$803,$B162&amp;"|"&amp;BR$5,'Competency Event Log'!$D$4:$D$803)))</f>
        <v/>
      </c>
      <c r="BS162" s="8" t="str">
        <f>IF($B162="","",IF(COUNTIF('Competency Event Log'!$U$4:$U$803,$B162&amp;"|"&amp;BS$5)=0,"",SUMIF('Competency Event Log'!$U$4:$U$803,$B162&amp;"|"&amp;BS$5,'Competency Event Log'!$D$4:$D$803)))</f>
        <v/>
      </c>
      <c r="BT162" s="8" t="str">
        <f>IF($B162="","",IF(COUNTIF('Competency Event Log'!$U$4:$U$803,$B162&amp;"|"&amp;BT$5)=0,"",SUMIF('Competency Event Log'!$U$4:$U$803,$B162&amp;"|"&amp;BT$5,'Competency Event Log'!$D$4:$D$803)))</f>
        <v/>
      </c>
      <c r="BU162" s="8" t="str">
        <f>IF($B162="","",IF(COUNTIF('Competency Event Log'!$U$4:$U$803,$B162&amp;"|"&amp;BU$5)=0,"",SUMIF('Competency Event Log'!$U$4:$U$803,$B162&amp;"|"&amp;BU$5,'Competency Event Log'!$D$4:$D$803)))</f>
        <v/>
      </c>
      <c r="BV162" s="8" t="str">
        <f>IF($B162="","",IF(COUNTIF('Competency Event Log'!$U$4:$U$803,$B162&amp;"|"&amp;BV$5)=0,"",SUMIF('Competency Event Log'!$U$4:$U$803,$B162&amp;"|"&amp;BV$5,'Competency Event Log'!$D$4:$D$803)))</f>
        <v/>
      </c>
      <c r="BW162" s="8" t="str">
        <f>IF($B162="","",IF(COUNTIF('Competency Event Log'!$U$4:$U$803,$B162&amp;"|"&amp;BW$5)=0,"",SUMIF('Competency Event Log'!$U$4:$U$803,$B162&amp;"|"&amp;BW$5,'Competency Event Log'!$D$4:$D$803)))</f>
        <v/>
      </c>
      <c r="BX162" s="8" t="str">
        <f>IF($B162="","",IF(COUNTIF('Competency Event Log'!$U$4:$U$803,$B162&amp;"|"&amp;BX$5)=0,"",SUMIF('Competency Event Log'!$U$4:$U$803,$B162&amp;"|"&amp;BX$5,'Competency Event Log'!$D$4:$D$803)))</f>
        <v/>
      </c>
      <c r="BY162" s="8" t="str">
        <f>IF($B162="","",IF(COUNTIF('Competency Event Log'!$U$4:$U$803,$B162&amp;"|"&amp;BY$5)=0,"",SUMIF('Competency Event Log'!$U$4:$U$803,$B162&amp;"|"&amp;BY$5,'Competency Event Log'!$D$4:$D$803)))</f>
        <v/>
      </c>
      <c r="BZ162" s="8" t="str">
        <f>IF($B162="","",IF(COUNTIF('Competency Event Log'!$U$4:$U$803,$B162&amp;"|"&amp;BZ$5)=0,"",SUMIF('Competency Event Log'!$U$4:$U$803,$B162&amp;"|"&amp;BZ$5,'Competency Event Log'!$D$4:$D$803)))</f>
        <v/>
      </c>
      <c r="CA162" s="8" t="str">
        <f>IF($B162="","",IF(COUNTIF('Competency Event Log'!$U$4:$U$803,$B162&amp;"|"&amp;CA$5)=0,"",SUMIF('Competency Event Log'!$U$4:$U$803,$B162&amp;"|"&amp;CA$5,'Competency Event Log'!$D$4:$D$803)))</f>
        <v/>
      </c>
      <c r="CB162" s="8" t="str">
        <f>IF($B162="","",IF(COUNTIF('Competency Event Log'!$U$4:$U$803,$B162&amp;"|"&amp;CB$5)=0,"",SUMIF('Competency Event Log'!$U$4:$U$803,$B162&amp;"|"&amp;CB$5,'Competency Event Log'!$D$4:$D$803)))</f>
        <v/>
      </c>
      <c r="CC162" s="8" t="str">
        <f>IF($B162="","",IF(COUNTIF('Competency Event Log'!$U$4:$U$803,$B162&amp;"|"&amp;CC$5)=0,"",SUMIF('Competency Event Log'!$U$4:$U$803,$B162&amp;"|"&amp;CC$5,'Competency Event Log'!$D$4:$D$803)))</f>
        <v/>
      </c>
      <c r="CD162" s="8" t="str">
        <f>IF($B162="","",IF(COUNTIF('Competency Event Log'!$U$4:$U$803,$B162&amp;"|"&amp;CD$5)=0,"",SUMIF('Competency Event Log'!$U$4:$U$803,$B162&amp;"|"&amp;CD$5,'Competency Event Log'!$D$4:$D$803)))</f>
        <v/>
      </c>
      <c r="CE162" s="8" t="str">
        <f>IF($B162="","",IF(COUNTIF('Competency Event Log'!$U$4:$U$803,$B162&amp;"|"&amp;CE$5)=0,"",SUMIF('Competency Event Log'!$U$4:$U$803,$B162&amp;"|"&amp;CE$5,'Competency Event Log'!$D$4:$D$803)))</f>
        <v/>
      </c>
      <c r="CF162" s="8" t="str">
        <f>IF($B162="","",IF(COUNTIF('Competency Event Log'!$U$4:$U$803,$B162&amp;"|"&amp;CF$5)=0,"",SUMIF('Competency Event Log'!$U$4:$U$803,$B162&amp;"|"&amp;CF$5,'Competency Event Log'!$D$4:$D$803)))</f>
        <v/>
      </c>
      <c r="CG162" s="8" t="str">
        <f>IF($B162="","",IF(COUNTIF('Competency Event Log'!$U$4:$U$803,$B162&amp;"|"&amp;CG$5)=0,"",SUMIF('Competency Event Log'!$U$4:$U$803,$B162&amp;"|"&amp;CG$5,'Competency Event Log'!$D$4:$D$803)))</f>
        <v/>
      </c>
      <c r="CH162" s="8" t="str">
        <f>IF($B162="","",IF(COUNTIF('Competency Event Log'!$U$4:$U$803,$B162&amp;"|"&amp;CH$5)=0,"",SUMIF('Competency Event Log'!$U$4:$U$803,$B162&amp;"|"&amp;CH$5,'Competency Event Log'!$D$4:$D$803)))</f>
        <v/>
      </c>
      <c r="CI162" s="8" t="str">
        <f>IF($B162="","",IF(COUNTIF('Competency Event Log'!$U$4:$U$803,$B162&amp;"|"&amp;CI$5)=0,"",SUMIF('Competency Event Log'!$U$4:$U$803,$B162&amp;"|"&amp;CI$5,'Competency Event Log'!$D$4:$D$803)))</f>
        <v/>
      </c>
      <c r="CJ162" s="8" t="str">
        <f>IF($B162="","",IF(COUNTIF('Competency Event Log'!$U$4:$U$803,$B162&amp;"|"&amp;CJ$5)=0,"",SUMIF('Competency Event Log'!$U$4:$U$803,$B162&amp;"|"&amp;CJ$5,'Competency Event Log'!$D$4:$D$803)))</f>
        <v/>
      </c>
      <c r="CK162" s="8" t="str">
        <f>IF($B162="","",IF(COUNTIF('Competency Event Log'!$U$4:$U$803,$B162&amp;"|"&amp;CK$5)=0,"",SUMIF('Competency Event Log'!$U$4:$U$803,$B162&amp;"|"&amp;CK$5,'Competency Event Log'!$D$4:$D$803)))</f>
        <v/>
      </c>
      <c r="CL162" s="8" t="str">
        <f>IF($B162="","",IF(COUNTIF('Competency Event Log'!$U$4:$U$803,$B162&amp;"|"&amp;CL$5)=0,"",SUMIF('Competency Event Log'!$U$4:$U$803,$B162&amp;"|"&amp;CL$5,'Competency Event Log'!$D$4:$D$803)))</f>
        <v/>
      </c>
      <c r="CM162" s="8" t="str">
        <f>IF($B162="","",IF(COUNTIF('Competency Event Log'!$U$4:$U$803,$B162&amp;"|"&amp;CM$5)=0,"",SUMIF('Competency Event Log'!$U$4:$U$803,$B162&amp;"|"&amp;CM$5,'Competency Event Log'!$D$4:$D$803)))</f>
        <v/>
      </c>
      <c r="CN162" s="8" t="str">
        <f>IF($B162="","",IF(COUNTIF('Competency Event Log'!$U$4:$U$803,$B162&amp;"|"&amp;CN$5)=0,"",SUMIF('Competency Event Log'!$U$4:$U$803,$B162&amp;"|"&amp;CN$5,'Competency Event Log'!$D$4:$D$803)))</f>
        <v/>
      </c>
      <c r="CO162" s="8" t="str">
        <f>IF($B162="","",IF(COUNTIF('Competency Event Log'!$U$4:$U$803,$B162&amp;"|"&amp;CO$5)=0,"",SUMIF('Competency Event Log'!$U$4:$U$803,$B162&amp;"|"&amp;CO$5,'Competency Event Log'!$D$4:$D$803)))</f>
        <v/>
      </c>
      <c r="CP162" s="8" t="str">
        <f>IF($B162="","",IF(COUNTIF('Competency Event Log'!$U$4:$U$803,$B162&amp;"|"&amp;CP$5)=0,"",SUMIF('Competency Event Log'!$U$4:$U$803,$B162&amp;"|"&amp;CP$5,'Competency Event Log'!$D$4:$D$803)))</f>
        <v/>
      </c>
      <c r="CQ162" s="8" t="str">
        <f>IF($B162="","",IF(COUNTIF('Competency Event Log'!$U$4:$U$803,$B162&amp;"|"&amp;CQ$5)=0,"",SUMIF('Competency Event Log'!$U$4:$U$803,$B162&amp;"|"&amp;CQ$5,'Competency Event Log'!$D$4:$D$803)))</f>
        <v/>
      </c>
      <c r="CR162" s="8" t="str">
        <f>IF($B162="","",IF(COUNTIF('Competency Event Log'!$U$4:$U$803,$B162&amp;"|"&amp;CR$5)=0,"",SUMIF('Competency Event Log'!$U$4:$U$803,$B162&amp;"|"&amp;CR$5,'Competency Event Log'!$D$4:$D$803)))</f>
        <v/>
      </c>
      <c r="CS162" s="8" t="str">
        <f>IF($B162="","",IF(COUNTIF('Competency Event Log'!$U$4:$U$803,$B162&amp;"|"&amp;CS$5)=0,"",SUMIF('Competency Event Log'!$U$4:$U$803,$B162&amp;"|"&amp;CS$5,'Competency Event Log'!$D$4:$D$803)))</f>
        <v/>
      </c>
      <c r="CT162" s="8" t="str">
        <f>IF($B162="","",IF(COUNTIF('Competency Event Log'!$U$4:$U$803,$B162&amp;"|"&amp;CT$5)=0,"",SUMIF('Competency Event Log'!$U$4:$U$803,$B162&amp;"|"&amp;CT$5,'Competency Event Log'!$D$4:$D$803)))</f>
        <v/>
      </c>
      <c r="CU162" s="8" t="str">
        <f>IF($B162="","",IF(COUNTIF('Competency Event Log'!$U$4:$U$803,$B162&amp;"|"&amp;CU$5)=0,"",SUMIF('Competency Event Log'!$U$4:$U$803,$B162&amp;"|"&amp;CU$5,'Competency Event Log'!$D$4:$D$803)))</f>
        <v/>
      </c>
      <c r="CV162" s="8" t="str">
        <f>IF($B162="","",IF(COUNTIF('Competency Event Log'!$U$4:$U$803,$B162&amp;"|"&amp;CV$5)=0,"",SUMIF('Competency Event Log'!$U$4:$U$803,$B162&amp;"|"&amp;CV$5,'Competency Event Log'!$D$4:$D$803)))</f>
        <v/>
      </c>
      <c r="CW162" s="8" t="str">
        <f>IF($B162="","",IF(COUNTIF('Competency Event Log'!$U$4:$U$803,$B162&amp;"|"&amp;CW$5)=0,"",SUMIF('Competency Event Log'!$U$4:$U$803,$B162&amp;"|"&amp;CW$5,'Competency Event Log'!$D$4:$D$803)))</f>
        <v/>
      </c>
      <c r="CX162" s="8" t="str">
        <f>IF($B162="","",IF(COUNTIF('Competency Event Log'!$U$4:$U$803,$B162&amp;"|"&amp;CX$5)=0,"",SUMIF('Competency Event Log'!$U$4:$U$803,$B162&amp;"|"&amp;CX$5,'Competency Event Log'!$D$4:$D$803)))</f>
        <v/>
      </c>
      <c r="CY162" s="8" t="str">
        <f>IF($B162="","",IF(COUNTIF('Competency Event Log'!$U$4:$U$803,$B162&amp;"|"&amp;CY$5)=0,"",SUMIF('Competency Event Log'!$U$4:$U$803,$B162&amp;"|"&amp;CY$5,'Competency Event Log'!$D$4:$D$803)))</f>
        <v/>
      </c>
      <c r="CZ162" s="8" t="str">
        <f>IF($B162="","",IF(COUNTIF('Competency Event Log'!$U$4:$U$803,$B162&amp;"|"&amp;CZ$5)=0,"",SUMIF('Competency Event Log'!$U$4:$U$803,$B162&amp;"|"&amp;CZ$5,'Competency Event Log'!$D$4:$D$803)))</f>
        <v/>
      </c>
      <c r="DA162" s="8" t="str">
        <f>IF($B162="","",IF(COUNTIF('Competency Event Log'!$U$4:$U$803,$B162&amp;"|"&amp;DA$5)=0,"",SUMIF('Competency Event Log'!$U$4:$U$803,$B162&amp;"|"&amp;DA$5,'Competency Event Log'!$D$4:$D$803)))</f>
        <v/>
      </c>
      <c r="DB162" s="8" t="str">
        <f>IF($B162="","",IF(COUNTIF('Competency Event Log'!$U$4:$U$803,$B162&amp;"|"&amp;DB$5)=0,"",SUMIF('Competency Event Log'!$U$4:$U$803,$B162&amp;"|"&amp;DB$5,'Competency Event Log'!$D$4:$D$803)))</f>
        <v/>
      </c>
      <c r="DC162" s="8" t="str">
        <f>IF($B162="","",IF(COUNTIF('Competency Event Log'!$U$4:$U$803,$B162&amp;"|"&amp;DC$5)=0,"",SUMIF('Competency Event Log'!$U$4:$U$803,$B162&amp;"|"&amp;DC$5,'Competency Event Log'!$D$4:$D$803)))</f>
        <v/>
      </c>
      <c r="DD162" s="8" t="str">
        <f>IF($B162="","",IF(COUNTIF('Competency Event Log'!$U$4:$U$803,$B162&amp;"|"&amp;DD$5)=0,"",SUMIF('Competency Event Log'!$U$4:$U$803,$B162&amp;"|"&amp;DD$5,'Competency Event Log'!$D$4:$D$803)))</f>
        <v/>
      </c>
      <c r="DE162" s="8" t="str">
        <f>IF($B162="","",IF(COUNTIF('Competency Event Log'!$U$4:$U$803,$B162&amp;"|"&amp;DE$5)=0,"",SUMIF('Competency Event Log'!$U$4:$U$803,$B162&amp;"|"&amp;DE$5,'Competency Event Log'!$D$4:$D$803)))</f>
        <v/>
      </c>
      <c r="DF162" s="8" t="str">
        <f t="shared" si="16"/>
        <v/>
      </c>
      <c r="DG162" s="8" t="str">
        <f t="shared" si="17"/>
        <v/>
      </c>
      <c r="DH162" s="8" t="str">
        <f t="shared" si="18"/>
        <v/>
      </c>
      <c r="DI162" s="11" t="str">
        <f t="shared" si="19"/>
        <v/>
      </c>
    </row>
    <row r="163" spans="1:113">
      <c r="A163" s="7"/>
      <c r="B163" s="7"/>
      <c r="C163" s="8"/>
      <c r="D163" s="9"/>
      <c r="E163" s="10"/>
      <c r="F163" s="8"/>
      <c r="G163" s="8" t="str">
        <f>IF($B163="","",IF(COUNTIF('Competency Event Log'!$U$4:$U$803,$B163&amp;"|"&amp;G$5)=0,"",SUMIF('Competency Event Log'!$U$4:$U$803,$B163&amp;"|"&amp;G$5,'Competency Event Log'!$D$4:$D$803)))</f>
        <v/>
      </c>
      <c r="H163" s="8" t="str">
        <f>IF($B163="","",IF(COUNTIF('Competency Event Log'!$U$4:$U$803,$B163&amp;"|"&amp;H$5)=0,"",SUMIF('Competency Event Log'!$U$4:$U$803,$B163&amp;"|"&amp;H$5,'Competency Event Log'!$D$4:$D$803)))</f>
        <v/>
      </c>
      <c r="I163" s="8" t="str">
        <f>IF($B163="","",IF(COUNTIF('Competency Event Log'!$U$4:$U$803,$B163&amp;"|"&amp;I$5)=0,"",SUMIF('Competency Event Log'!$U$4:$U$803,$B163&amp;"|"&amp;I$5,'Competency Event Log'!$D$4:$D$803)))</f>
        <v/>
      </c>
      <c r="J163" s="8" t="str">
        <f>IF($B163="","",IF(COUNTIF('Competency Event Log'!$U$4:$U$803,$B163&amp;"|"&amp;J$5)=0,"",SUMIF('Competency Event Log'!$U$4:$U$803,$B163&amp;"|"&amp;J$5,'Competency Event Log'!$D$4:$D$803)))</f>
        <v/>
      </c>
      <c r="K163" s="8" t="str">
        <f>IF($B163="","",IF(COUNTIF('Competency Event Log'!$U$4:$U$803,$B163&amp;"|"&amp;K$5)=0,"",SUMIF('Competency Event Log'!$U$4:$U$803,$B163&amp;"|"&amp;K$5,'Competency Event Log'!$D$4:$D$803)))</f>
        <v/>
      </c>
      <c r="L163" s="8" t="str">
        <f>IF($B163="","",IF(COUNTIF('Competency Event Log'!$U$4:$U$803,$B163&amp;"|"&amp;L$5)=0,"",SUMIF('Competency Event Log'!$U$4:$U$803,$B163&amp;"|"&amp;L$5,'Competency Event Log'!$D$4:$D$803)))</f>
        <v/>
      </c>
      <c r="M163" s="8" t="str">
        <f>IF($B163="","",IF(COUNTIF('Competency Event Log'!$U$4:$U$803,$B163&amp;"|"&amp;M$5)=0,"",SUMIF('Competency Event Log'!$U$4:$U$803,$B163&amp;"|"&amp;M$5,'Competency Event Log'!$D$4:$D$803)))</f>
        <v/>
      </c>
      <c r="N163" s="8" t="str">
        <f>IF($B163="","",IF(COUNTIF('Competency Event Log'!$U$4:$U$803,$B163&amp;"|"&amp;N$5)=0,"",SUMIF('Competency Event Log'!$U$4:$U$803,$B163&amp;"|"&amp;N$5,'Competency Event Log'!$D$4:$D$803)))</f>
        <v/>
      </c>
      <c r="O163" s="8" t="str">
        <f>IF($B163="","",IF(COUNTIF('Competency Event Log'!$U$4:$U$803,$B163&amp;"|"&amp;O$5)=0,"",SUMIF('Competency Event Log'!$U$4:$U$803,$B163&amp;"|"&amp;O$5,'Competency Event Log'!$D$4:$D$803)))</f>
        <v/>
      </c>
      <c r="P163" s="8" t="str">
        <f>IF($B163="","",IF(COUNTIF('Competency Event Log'!$U$4:$U$803,$B163&amp;"|"&amp;P$5)=0,"",SUMIF('Competency Event Log'!$U$4:$U$803,$B163&amp;"|"&amp;P$5,'Competency Event Log'!$D$4:$D$803)))</f>
        <v/>
      </c>
      <c r="Q163" s="8" t="str">
        <f>IF($B163="","",IF(COUNTIF('Competency Event Log'!$U$4:$U$803,$B163&amp;"|"&amp;Q$5)=0,"",SUMIF('Competency Event Log'!$U$4:$U$803,$B163&amp;"|"&amp;Q$5,'Competency Event Log'!$D$4:$D$803)))</f>
        <v/>
      </c>
      <c r="R163" s="8" t="str">
        <f>IF($B163="","",IF(COUNTIF('Competency Event Log'!$U$4:$U$803,$B163&amp;"|"&amp;R$5)=0,"",SUMIF('Competency Event Log'!$U$4:$U$803,$B163&amp;"|"&amp;R$5,'Competency Event Log'!$D$4:$D$803)))</f>
        <v/>
      </c>
      <c r="S163" s="8" t="str">
        <f>IF($B163="","",IF(COUNTIF('Competency Event Log'!$U$4:$U$803,$B163&amp;"|"&amp;S$5)=0,"",SUMIF('Competency Event Log'!$U$4:$U$803,$B163&amp;"|"&amp;S$5,'Competency Event Log'!$D$4:$D$803)))</f>
        <v/>
      </c>
      <c r="T163" s="8" t="str">
        <f>IF($B163="","",IF(COUNTIF('Competency Event Log'!$U$4:$U$803,$B163&amp;"|"&amp;T$5)=0,"",SUMIF('Competency Event Log'!$U$4:$U$803,$B163&amp;"|"&amp;T$5,'Competency Event Log'!$D$4:$D$803)))</f>
        <v/>
      </c>
      <c r="U163" s="8" t="str">
        <f>IF($B163="","",IF(COUNTIF('Competency Event Log'!$U$4:$U$803,$B163&amp;"|"&amp;U$5)=0,"",SUMIF('Competency Event Log'!$U$4:$U$803,$B163&amp;"|"&amp;U$5,'Competency Event Log'!$D$4:$D$803)))</f>
        <v/>
      </c>
      <c r="V163" s="8" t="str">
        <f>IF($B163="","",IF(COUNTIF('Competency Event Log'!$U$4:$U$803,$B163&amp;"|"&amp;V$5)=0,"",SUMIF('Competency Event Log'!$U$4:$U$803,$B163&amp;"|"&amp;V$5,'Competency Event Log'!$D$4:$D$803)))</f>
        <v/>
      </c>
      <c r="W163" s="8" t="str">
        <f>IF($B163="","",IF(COUNTIF('Competency Event Log'!$U$4:$U$803,$B163&amp;"|"&amp;W$5)=0,"",SUMIF('Competency Event Log'!$U$4:$U$803,$B163&amp;"|"&amp;W$5,'Competency Event Log'!$D$4:$D$803)))</f>
        <v/>
      </c>
      <c r="X163" s="8" t="str">
        <f>IF($B163="","",IF(COUNTIF('Competency Event Log'!$U$4:$U$803,$B163&amp;"|"&amp;X$5)=0,"",SUMIF('Competency Event Log'!$U$4:$U$803,$B163&amp;"|"&amp;X$5,'Competency Event Log'!$D$4:$D$803)))</f>
        <v/>
      </c>
      <c r="Y163" s="8" t="str">
        <f>IF($B163="","",IF(COUNTIF('Competency Event Log'!$U$4:$U$803,$B163&amp;"|"&amp;Y$5)=0,"",SUMIF('Competency Event Log'!$U$4:$U$803,$B163&amp;"|"&amp;Y$5,'Competency Event Log'!$D$4:$D$803)))</f>
        <v/>
      </c>
      <c r="Z163" s="8" t="str">
        <f>IF($B163="","",IF(COUNTIF('Competency Event Log'!$U$4:$U$803,$B163&amp;"|"&amp;Z$5)=0,"",SUMIF('Competency Event Log'!$U$4:$U$803,$B163&amp;"|"&amp;Z$5,'Competency Event Log'!$D$4:$D$803)))</f>
        <v/>
      </c>
      <c r="AA163" s="8" t="str">
        <f>IF($B163="","",IF(COUNTIF('Competency Event Log'!$U$4:$U$803,$B163&amp;"|"&amp;AA$5)=0,"",SUMIF('Competency Event Log'!$U$4:$U$803,$B163&amp;"|"&amp;AA$5,'Competency Event Log'!$D$4:$D$803)))</f>
        <v/>
      </c>
      <c r="AB163" s="8" t="str">
        <f>IF($B163="","",IF(COUNTIF('Competency Event Log'!$U$4:$U$803,$B163&amp;"|"&amp;AB$5)=0,"",SUMIF('Competency Event Log'!$U$4:$U$803,$B163&amp;"|"&amp;AB$5,'Competency Event Log'!$D$4:$D$803)))</f>
        <v/>
      </c>
      <c r="AC163" s="8" t="str">
        <f>IF($B163="","",IF(COUNTIF('Competency Event Log'!$U$4:$U$803,$B163&amp;"|"&amp;AC$5)=0,"",SUMIF('Competency Event Log'!$U$4:$U$803,$B163&amp;"|"&amp;AC$5,'Competency Event Log'!$D$4:$D$803)))</f>
        <v/>
      </c>
      <c r="AD163" s="8" t="str">
        <f>IF($B163="","",IF(COUNTIF('Competency Event Log'!$U$4:$U$803,$B163&amp;"|"&amp;AD$5)=0,"",SUMIF('Competency Event Log'!$U$4:$U$803,$B163&amp;"|"&amp;AD$5,'Competency Event Log'!$D$4:$D$803)))</f>
        <v/>
      </c>
      <c r="AE163" s="8" t="str">
        <f>IF($B163="","",IF(COUNTIF('Competency Event Log'!$U$4:$U$803,$B163&amp;"|"&amp;AE$5)=0,"",SUMIF('Competency Event Log'!$U$4:$U$803,$B163&amp;"|"&amp;AE$5,'Competency Event Log'!$D$4:$D$803)))</f>
        <v/>
      </c>
      <c r="AF163" s="8" t="str">
        <f>IF($B163="","",IF(COUNTIF('Competency Event Log'!$U$4:$U$803,$B163&amp;"|"&amp;AF$5)=0,"",SUMIF('Competency Event Log'!$U$4:$U$803,$B163&amp;"|"&amp;AF$5,'Competency Event Log'!$D$4:$D$803)))</f>
        <v/>
      </c>
      <c r="AG163" s="8" t="str">
        <f>IF($B163="","",IF(COUNTIF('Competency Event Log'!$U$4:$U$803,$B163&amp;"|"&amp;AG$5)=0,"",SUMIF('Competency Event Log'!$U$4:$U$803,$B163&amp;"|"&amp;AG$5,'Competency Event Log'!$D$4:$D$803)))</f>
        <v/>
      </c>
      <c r="AH163" s="8" t="str">
        <f>IF($B163="","",IF(COUNTIF('Competency Event Log'!$U$4:$U$803,$B163&amp;"|"&amp;AH$5)=0,"",SUMIF('Competency Event Log'!$U$4:$U$803,$B163&amp;"|"&amp;AH$5,'Competency Event Log'!$D$4:$D$803)))</f>
        <v/>
      </c>
      <c r="AI163" s="8" t="str">
        <f>IF($B163="","",IF(COUNTIF('Competency Event Log'!$U$4:$U$803,$B163&amp;"|"&amp;AI$5)=0,"",SUMIF('Competency Event Log'!$U$4:$U$803,$B163&amp;"|"&amp;AI$5,'Competency Event Log'!$D$4:$D$803)))</f>
        <v/>
      </c>
      <c r="AJ163" s="8" t="str">
        <f>IF($B163="","",IF(COUNTIF('Competency Event Log'!$U$4:$U$803,$B163&amp;"|"&amp;AJ$5)=0,"",SUMIF('Competency Event Log'!$U$4:$U$803,$B163&amp;"|"&amp;AJ$5,'Competency Event Log'!$D$4:$D$803)))</f>
        <v/>
      </c>
      <c r="AK163" s="8" t="str">
        <f>IF($B163="","",IF(COUNTIF('Competency Event Log'!$U$4:$U$803,$B163&amp;"|"&amp;AK$5)=0,"",SUMIF('Competency Event Log'!$U$4:$U$803,$B163&amp;"|"&amp;AK$5,'Competency Event Log'!$D$4:$D$803)))</f>
        <v/>
      </c>
      <c r="AL163" s="8" t="str">
        <f>IF($B163="","",IF(COUNTIF('Competency Event Log'!$U$4:$U$803,$B163&amp;"|"&amp;AL$5)=0,"",SUMIF('Competency Event Log'!$U$4:$U$803,$B163&amp;"|"&amp;AL$5,'Competency Event Log'!$D$4:$D$803)))</f>
        <v/>
      </c>
      <c r="AM163" s="8" t="str">
        <f>IF($B163="","",IF(COUNTIF('Competency Event Log'!$U$4:$U$803,$B163&amp;"|"&amp;AM$5)=0,"",SUMIF('Competency Event Log'!$U$4:$U$803,$B163&amp;"|"&amp;AM$5,'Competency Event Log'!$D$4:$D$803)))</f>
        <v/>
      </c>
      <c r="AN163" s="8" t="str">
        <f>IF($B163="","",IF(COUNTIF('Competency Event Log'!$U$4:$U$803,$B163&amp;"|"&amp;AN$5)=0,"",SUMIF('Competency Event Log'!$U$4:$U$803,$B163&amp;"|"&amp;AN$5,'Competency Event Log'!$D$4:$D$803)))</f>
        <v/>
      </c>
      <c r="AO163" s="8" t="str">
        <f>IF($B163="","",IF(COUNTIF('Competency Event Log'!$U$4:$U$803,$B163&amp;"|"&amp;AO$5)=0,"",SUMIF('Competency Event Log'!$U$4:$U$803,$B163&amp;"|"&amp;AO$5,'Competency Event Log'!$D$4:$D$803)))</f>
        <v/>
      </c>
      <c r="AP163" s="8" t="str">
        <f>IF($B163="","",IF(COUNTIF('Competency Event Log'!$U$4:$U$803,$B163&amp;"|"&amp;AP$5)=0,"",SUMIF('Competency Event Log'!$U$4:$U$803,$B163&amp;"|"&amp;AP$5,'Competency Event Log'!$D$4:$D$803)))</f>
        <v/>
      </c>
      <c r="AQ163" s="8" t="str">
        <f>IF($B163="","",IF(COUNTIF('Competency Event Log'!$U$4:$U$803,$B163&amp;"|"&amp;AQ$5)=0,"",SUMIF('Competency Event Log'!$U$4:$U$803,$B163&amp;"|"&amp;AQ$5,'Competency Event Log'!$D$4:$D$803)))</f>
        <v/>
      </c>
      <c r="AR163" s="8" t="str">
        <f>IF($B163="","",IF(COUNTIF('Competency Event Log'!$U$4:$U$803,$B163&amp;"|"&amp;AR$5)=0,"",SUMIF('Competency Event Log'!$U$4:$U$803,$B163&amp;"|"&amp;AR$5,'Competency Event Log'!$D$4:$D$803)))</f>
        <v/>
      </c>
      <c r="AS163" s="8" t="str">
        <f>IF($B163="","",IF(COUNTIF('Competency Event Log'!$U$4:$U$803,$B163&amp;"|"&amp;AS$5)=0,"",SUMIF('Competency Event Log'!$U$4:$U$803,$B163&amp;"|"&amp;AS$5,'Competency Event Log'!$D$4:$D$803)))</f>
        <v/>
      </c>
      <c r="AT163" s="8" t="str">
        <f>IF($B163="","",IF(COUNTIF('Competency Event Log'!$U$4:$U$803,$B163&amp;"|"&amp;AT$5)=0,"",SUMIF('Competency Event Log'!$U$4:$U$803,$B163&amp;"|"&amp;AT$5,'Competency Event Log'!$D$4:$D$803)))</f>
        <v/>
      </c>
      <c r="AU163" s="8" t="str">
        <f>IF($B163="","",IF(COUNTIF('Competency Event Log'!$U$4:$U$803,$B163&amp;"|"&amp;AU$5)=0,"",SUMIF('Competency Event Log'!$U$4:$U$803,$B163&amp;"|"&amp;AU$5,'Competency Event Log'!$D$4:$D$803)))</f>
        <v/>
      </c>
      <c r="AV163" s="8" t="str">
        <f>IF($B163="","",IF(COUNTIF('Competency Event Log'!$U$4:$U$803,$B163&amp;"|"&amp;AV$5)=0,"",SUMIF('Competency Event Log'!$U$4:$U$803,$B163&amp;"|"&amp;AV$5,'Competency Event Log'!$D$4:$D$803)))</f>
        <v/>
      </c>
      <c r="AW163" s="8" t="str">
        <f>IF($B163="","",IF(COUNTIF('Competency Event Log'!$U$4:$U$803,$B163&amp;"|"&amp;AW$5)=0,"",SUMIF('Competency Event Log'!$U$4:$U$803,$B163&amp;"|"&amp;AW$5,'Competency Event Log'!$D$4:$D$803)))</f>
        <v/>
      </c>
      <c r="AX163" s="8" t="str">
        <f>IF($B163="","",IF(COUNTIF('Competency Event Log'!$U$4:$U$803,$B163&amp;"|"&amp;AX$5)=0,"",SUMIF('Competency Event Log'!$U$4:$U$803,$B163&amp;"|"&amp;AX$5,'Competency Event Log'!$D$4:$D$803)))</f>
        <v/>
      </c>
      <c r="AY163" s="8" t="str">
        <f>IF($B163="","",IF(COUNTIF('Competency Event Log'!$U$4:$U$803,$B163&amp;"|"&amp;AY$5)=0,"",SUMIF('Competency Event Log'!$U$4:$U$803,$B163&amp;"|"&amp;AY$5,'Competency Event Log'!$D$4:$D$803)))</f>
        <v/>
      </c>
      <c r="AZ163" s="8" t="str">
        <f>IF($B163="","",IF(COUNTIF('Competency Event Log'!$U$4:$U$803,$B163&amp;"|"&amp;AZ$5)=0,"",SUMIF('Competency Event Log'!$U$4:$U$803,$B163&amp;"|"&amp;AZ$5,'Competency Event Log'!$D$4:$D$803)))</f>
        <v/>
      </c>
      <c r="BA163" s="8" t="str">
        <f>IF($B163="","",IF(COUNTIF('Competency Event Log'!$U$4:$U$803,$B163&amp;"|"&amp;BA$5)=0,"",SUMIF('Competency Event Log'!$U$4:$U$803,$B163&amp;"|"&amp;BA$5,'Competency Event Log'!$D$4:$D$803)))</f>
        <v/>
      </c>
      <c r="BB163" s="8" t="str">
        <f>IF($B163="","",IF(COUNTIF('Competency Event Log'!$U$4:$U$803,$B163&amp;"|"&amp;BB$5)=0,"",SUMIF('Competency Event Log'!$U$4:$U$803,$B163&amp;"|"&amp;BB$5,'Competency Event Log'!$D$4:$D$803)))</f>
        <v/>
      </c>
      <c r="BC163" s="8" t="str">
        <f>IF($B163="","",IF(COUNTIF('Competency Event Log'!$U$4:$U$803,$B163&amp;"|"&amp;BC$5)=0,"",SUMIF('Competency Event Log'!$U$4:$U$803,$B163&amp;"|"&amp;BC$5,'Competency Event Log'!$D$4:$D$803)))</f>
        <v/>
      </c>
      <c r="BD163" s="8" t="str">
        <f>IF($B163="","",IF(COUNTIF('Competency Event Log'!$U$4:$U$803,$B163&amp;"|"&amp;BD$5)=0,"",SUMIF('Competency Event Log'!$U$4:$U$803,$B163&amp;"|"&amp;BD$5,'Competency Event Log'!$D$4:$D$803)))</f>
        <v/>
      </c>
      <c r="BE163" s="8" t="str">
        <f>IF($B163="","",IF(COUNTIF('Competency Event Log'!$U$4:$U$803,$B163&amp;"|"&amp;BE$5)=0,"",SUMIF('Competency Event Log'!$U$4:$U$803,$B163&amp;"|"&amp;BE$5,'Competency Event Log'!$D$4:$D$803)))</f>
        <v/>
      </c>
      <c r="BF163" s="8" t="str">
        <f>IF($B163="","",IF(COUNTIF('Competency Event Log'!$U$4:$U$803,$B163&amp;"|"&amp;BF$5)=0,"",SUMIF('Competency Event Log'!$U$4:$U$803,$B163&amp;"|"&amp;BF$5,'Competency Event Log'!$D$4:$D$803)))</f>
        <v/>
      </c>
      <c r="BG163" s="8" t="str">
        <f>IF($B163="","",IF(COUNTIF('Competency Event Log'!$U$4:$U$803,$B163&amp;"|"&amp;BG$5)=0,"",SUMIF('Competency Event Log'!$U$4:$U$803,$B163&amp;"|"&amp;BG$5,'Competency Event Log'!$D$4:$D$803)))</f>
        <v/>
      </c>
      <c r="BH163" s="8" t="str">
        <f>IF($B163="","",IF(COUNTIF('Competency Event Log'!$U$4:$U$803,$B163&amp;"|"&amp;BH$5)=0,"",SUMIF('Competency Event Log'!$U$4:$U$803,$B163&amp;"|"&amp;BH$5,'Competency Event Log'!$D$4:$D$803)))</f>
        <v/>
      </c>
      <c r="BI163" s="8" t="str">
        <f>IF($B163="","",IF(COUNTIF('Competency Event Log'!$U$4:$U$803,$B163&amp;"|"&amp;BI$5)=0,"",SUMIF('Competency Event Log'!$U$4:$U$803,$B163&amp;"|"&amp;BI$5,'Competency Event Log'!$D$4:$D$803)))</f>
        <v/>
      </c>
      <c r="BJ163" s="8" t="str">
        <f>IF($B163="","",IF(COUNTIF('Competency Event Log'!$U$4:$U$803,$B163&amp;"|"&amp;BJ$5)=0,"",SUMIF('Competency Event Log'!$U$4:$U$803,$B163&amp;"|"&amp;BJ$5,'Competency Event Log'!$D$4:$D$803)))</f>
        <v/>
      </c>
      <c r="BK163" s="8" t="str">
        <f>IF($B163="","",IF(COUNTIF('Competency Event Log'!$U$4:$U$803,$B163&amp;"|"&amp;BK$5)=0,"",SUMIF('Competency Event Log'!$U$4:$U$803,$B163&amp;"|"&amp;BK$5,'Competency Event Log'!$D$4:$D$803)))</f>
        <v/>
      </c>
      <c r="BL163" s="8" t="str">
        <f>IF($B163="","",IF(COUNTIF('Competency Event Log'!$U$4:$U$803,$B163&amp;"|"&amp;BL$5)=0,"",SUMIF('Competency Event Log'!$U$4:$U$803,$B163&amp;"|"&amp;BL$5,'Competency Event Log'!$D$4:$D$803)))</f>
        <v/>
      </c>
      <c r="BM163" s="8" t="str">
        <f>IF($B163="","",IF(COUNTIF('Competency Event Log'!$U$4:$U$803,$B163&amp;"|"&amp;BM$5)=0,"",SUMIF('Competency Event Log'!$U$4:$U$803,$B163&amp;"|"&amp;BM$5,'Competency Event Log'!$D$4:$D$803)))</f>
        <v/>
      </c>
      <c r="BN163" s="8" t="str">
        <f>IF($B163="","",IF(COUNTIF('Competency Event Log'!$U$4:$U$803,$B163&amp;"|"&amp;BN$5)=0,"",SUMIF('Competency Event Log'!$U$4:$U$803,$B163&amp;"|"&amp;BN$5,'Competency Event Log'!$D$4:$D$803)))</f>
        <v/>
      </c>
      <c r="BO163" s="8" t="str">
        <f>IF($B163="","",IF(COUNTIF('Competency Event Log'!$U$4:$U$803,$B163&amp;"|"&amp;BO$5)=0,"",SUMIF('Competency Event Log'!$U$4:$U$803,$B163&amp;"|"&amp;BO$5,'Competency Event Log'!$D$4:$D$803)))</f>
        <v/>
      </c>
      <c r="BP163" s="8" t="str">
        <f>IF($B163="","",IF(COUNTIF('Competency Event Log'!$U$4:$U$803,$B163&amp;"|"&amp;BP$5)=0,"",SUMIF('Competency Event Log'!$U$4:$U$803,$B163&amp;"|"&amp;BP$5,'Competency Event Log'!$D$4:$D$803)))</f>
        <v/>
      </c>
      <c r="BQ163" s="8" t="str">
        <f>IF($B163="","",IF(COUNTIF('Competency Event Log'!$U$4:$U$803,$B163&amp;"|"&amp;BQ$5)=0,"",SUMIF('Competency Event Log'!$U$4:$U$803,$B163&amp;"|"&amp;BQ$5,'Competency Event Log'!$D$4:$D$803)))</f>
        <v/>
      </c>
      <c r="BR163" s="8" t="str">
        <f>IF($B163="","",IF(COUNTIF('Competency Event Log'!$U$4:$U$803,$B163&amp;"|"&amp;BR$5)=0,"",SUMIF('Competency Event Log'!$U$4:$U$803,$B163&amp;"|"&amp;BR$5,'Competency Event Log'!$D$4:$D$803)))</f>
        <v/>
      </c>
      <c r="BS163" s="8" t="str">
        <f>IF($B163="","",IF(COUNTIF('Competency Event Log'!$U$4:$U$803,$B163&amp;"|"&amp;BS$5)=0,"",SUMIF('Competency Event Log'!$U$4:$U$803,$B163&amp;"|"&amp;BS$5,'Competency Event Log'!$D$4:$D$803)))</f>
        <v/>
      </c>
      <c r="BT163" s="8" t="str">
        <f>IF($B163="","",IF(COUNTIF('Competency Event Log'!$U$4:$U$803,$B163&amp;"|"&amp;BT$5)=0,"",SUMIF('Competency Event Log'!$U$4:$U$803,$B163&amp;"|"&amp;BT$5,'Competency Event Log'!$D$4:$D$803)))</f>
        <v/>
      </c>
      <c r="BU163" s="8" t="str">
        <f>IF($B163="","",IF(COUNTIF('Competency Event Log'!$U$4:$U$803,$B163&amp;"|"&amp;BU$5)=0,"",SUMIF('Competency Event Log'!$U$4:$U$803,$B163&amp;"|"&amp;BU$5,'Competency Event Log'!$D$4:$D$803)))</f>
        <v/>
      </c>
      <c r="BV163" s="8" t="str">
        <f>IF($B163="","",IF(COUNTIF('Competency Event Log'!$U$4:$U$803,$B163&amp;"|"&amp;BV$5)=0,"",SUMIF('Competency Event Log'!$U$4:$U$803,$B163&amp;"|"&amp;BV$5,'Competency Event Log'!$D$4:$D$803)))</f>
        <v/>
      </c>
      <c r="BW163" s="8" t="str">
        <f>IF($B163="","",IF(COUNTIF('Competency Event Log'!$U$4:$U$803,$B163&amp;"|"&amp;BW$5)=0,"",SUMIF('Competency Event Log'!$U$4:$U$803,$B163&amp;"|"&amp;BW$5,'Competency Event Log'!$D$4:$D$803)))</f>
        <v/>
      </c>
      <c r="BX163" s="8" t="str">
        <f>IF($B163="","",IF(COUNTIF('Competency Event Log'!$U$4:$U$803,$B163&amp;"|"&amp;BX$5)=0,"",SUMIF('Competency Event Log'!$U$4:$U$803,$B163&amp;"|"&amp;BX$5,'Competency Event Log'!$D$4:$D$803)))</f>
        <v/>
      </c>
      <c r="BY163" s="8" t="str">
        <f>IF($B163="","",IF(COUNTIF('Competency Event Log'!$U$4:$U$803,$B163&amp;"|"&amp;BY$5)=0,"",SUMIF('Competency Event Log'!$U$4:$U$803,$B163&amp;"|"&amp;BY$5,'Competency Event Log'!$D$4:$D$803)))</f>
        <v/>
      </c>
      <c r="BZ163" s="8" t="str">
        <f>IF($B163="","",IF(COUNTIF('Competency Event Log'!$U$4:$U$803,$B163&amp;"|"&amp;BZ$5)=0,"",SUMIF('Competency Event Log'!$U$4:$U$803,$B163&amp;"|"&amp;BZ$5,'Competency Event Log'!$D$4:$D$803)))</f>
        <v/>
      </c>
      <c r="CA163" s="8" t="str">
        <f>IF($B163="","",IF(COUNTIF('Competency Event Log'!$U$4:$U$803,$B163&amp;"|"&amp;CA$5)=0,"",SUMIF('Competency Event Log'!$U$4:$U$803,$B163&amp;"|"&amp;CA$5,'Competency Event Log'!$D$4:$D$803)))</f>
        <v/>
      </c>
      <c r="CB163" s="8" t="str">
        <f>IF($B163="","",IF(COUNTIF('Competency Event Log'!$U$4:$U$803,$B163&amp;"|"&amp;CB$5)=0,"",SUMIF('Competency Event Log'!$U$4:$U$803,$B163&amp;"|"&amp;CB$5,'Competency Event Log'!$D$4:$D$803)))</f>
        <v/>
      </c>
      <c r="CC163" s="8" t="str">
        <f>IF($B163="","",IF(COUNTIF('Competency Event Log'!$U$4:$U$803,$B163&amp;"|"&amp;CC$5)=0,"",SUMIF('Competency Event Log'!$U$4:$U$803,$B163&amp;"|"&amp;CC$5,'Competency Event Log'!$D$4:$D$803)))</f>
        <v/>
      </c>
      <c r="CD163" s="8" t="str">
        <f>IF($B163="","",IF(COUNTIF('Competency Event Log'!$U$4:$U$803,$B163&amp;"|"&amp;CD$5)=0,"",SUMIF('Competency Event Log'!$U$4:$U$803,$B163&amp;"|"&amp;CD$5,'Competency Event Log'!$D$4:$D$803)))</f>
        <v/>
      </c>
      <c r="CE163" s="8" t="str">
        <f>IF($B163="","",IF(COUNTIF('Competency Event Log'!$U$4:$U$803,$B163&amp;"|"&amp;CE$5)=0,"",SUMIF('Competency Event Log'!$U$4:$U$803,$B163&amp;"|"&amp;CE$5,'Competency Event Log'!$D$4:$D$803)))</f>
        <v/>
      </c>
      <c r="CF163" s="8" t="str">
        <f>IF($B163="","",IF(COUNTIF('Competency Event Log'!$U$4:$U$803,$B163&amp;"|"&amp;CF$5)=0,"",SUMIF('Competency Event Log'!$U$4:$U$803,$B163&amp;"|"&amp;CF$5,'Competency Event Log'!$D$4:$D$803)))</f>
        <v/>
      </c>
      <c r="CG163" s="8" t="str">
        <f>IF($B163="","",IF(COUNTIF('Competency Event Log'!$U$4:$U$803,$B163&amp;"|"&amp;CG$5)=0,"",SUMIF('Competency Event Log'!$U$4:$U$803,$B163&amp;"|"&amp;CG$5,'Competency Event Log'!$D$4:$D$803)))</f>
        <v/>
      </c>
      <c r="CH163" s="8" t="str">
        <f>IF($B163="","",IF(COUNTIF('Competency Event Log'!$U$4:$U$803,$B163&amp;"|"&amp;CH$5)=0,"",SUMIF('Competency Event Log'!$U$4:$U$803,$B163&amp;"|"&amp;CH$5,'Competency Event Log'!$D$4:$D$803)))</f>
        <v/>
      </c>
      <c r="CI163" s="8" t="str">
        <f>IF($B163="","",IF(COUNTIF('Competency Event Log'!$U$4:$U$803,$B163&amp;"|"&amp;CI$5)=0,"",SUMIF('Competency Event Log'!$U$4:$U$803,$B163&amp;"|"&amp;CI$5,'Competency Event Log'!$D$4:$D$803)))</f>
        <v/>
      </c>
      <c r="CJ163" s="8" t="str">
        <f>IF($B163="","",IF(COUNTIF('Competency Event Log'!$U$4:$U$803,$B163&amp;"|"&amp;CJ$5)=0,"",SUMIF('Competency Event Log'!$U$4:$U$803,$B163&amp;"|"&amp;CJ$5,'Competency Event Log'!$D$4:$D$803)))</f>
        <v/>
      </c>
      <c r="CK163" s="8" t="str">
        <f>IF($B163="","",IF(COUNTIF('Competency Event Log'!$U$4:$U$803,$B163&amp;"|"&amp;CK$5)=0,"",SUMIF('Competency Event Log'!$U$4:$U$803,$B163&amp;"|"&amp;CK$5,'Competency Event Log'!$D$4:$D$803)))</f>
        <v/>
      </c>
      <c r="CL163" s="8" t="str">
        <f>IF($B163="","",IF(COUNTIF('Competency Event Log'!$U$4:$U$803,$B163&amp;"|"&amp;CL$5)=0,"",SUMIF('Competency Event Log'!$U$4:$U$803,$B163&amp;"|"&amp;CL$5,'Competency Event Log'!$D$4:$D$803)))</f>
        <v/>
      </c>
      <c r="CM163" s="8" t="str">
        <f>IF($B163="","",IF(COUNTIF('Competency Event Log'!$U$4:$U$803,$B163&amp;"|"&amp;CM$5)=0,"",SUMIF('Competency Event Log'!$U$4:$U$803,$B163&amp;"|"&amp;CM$5,'Competency Event Log'!$D$4:$D$803)))</f>
        <v/>
      </c>
      <c r="CN163" s="8" t="str">
        <f>IF($B163="","",IF(COUNTIF('Competency Event Log'!$U$4:$U$803,$B163&amp;"|"&amp;CN$5)=0,"",SUMIF('Competency Event Log'!$U$4:$U$803,$B163&amp;"|"&amp;CN$5,'Competency Event Log'!$D$4:$D$803)))</f>
        <v/>
      </c>
      <c r="CO163" s="8" t="str">
        <f>IF($B163="","",IF(COUNTIF('Competency Event Log'!$U$4:$U$803,$B163&amp;"|"&amp;CO$5)=0,"",SUMIF('Competency Event Log'!$U$4:$U$803,$B163&amp;"|"&amp;CO$5,'Competency Event Log'!$D$4:$D$803)))</f>
        <v/>
      </c>
      <c r="CP163" s="8" t="str">
        <f>IF($B163="","",IF(COUNTIF('Competency Event Log'!$U$4:$U$803,$B163&amp;"|"&amp;CP$5)=0,"",SUMIF('Competency Event Log'!$U$4:$U$803,$B163&amp;"|"&amp;CP$5,'Competency Event Log'!$D$4:$D$803)))</f>
        <v/>
      </c>
      <c r="CQ163" s="8" t="str">
        <f>IF($B163="","",IF(COUNTIF('Competency Event Log'!$U$4:$U$803,$B163&amp;"|"&amp;CQ$5)=0,"",SUMIF('Competency Event Log'!$U$4:$U$803,$B163&amp;"|"&amp;CQ$5,'Competency Event Log'!$D$4:$D$803)))</f>
        <v/>
      </c>
      <c r="CR163" s="8" t="str">
        <f>IF($B163="","",IF(COUNTIF('Competency Event Log'!$U$4:$U$803,$B163&amp;"|"&amp;CR$5)=0,"",SUMIF('Competency Event Log'!$U$4:$U$803,$B163&amp;"|"&amp;CR$5,'Competency Event Log'!$D$4:$D$803)))</f>
        <v/>
      </c>
      <c r="CS163" s="8" t="str">
        <f>IF($B163="","",IF(COUNTIF('Competency Event Log'!$U$4:$U$803,$B163&amp;"|"&amp;CS$5)=0,"",SUMIF('Competency Event Log'!$U$4:$U$803,$B163&amp;"|"&amp;CS$5,'Competency Event Log'!$D$4:$D$803)))</f>
        <v/>
      </c>
      <c r="CT163" s="8" t="str">
        <f>IF($B163="","",IF(COUNTIF('Competency Event Log'!$U$4:$U$803,$B163&amp;"|"&amp;CT$5)=0,"",SUMIF('Competency Event Log'!$U$4:$U$803,$B163&amp;"|"&amp;CT$5,'Competency Event Log'!$D$4:$D$803)))</f>
        <v/>
      </c>
      <c r="CU163" s="8" t="str">
        <f>IF($B163="","",IF(COUNTIF('Competency Event Log'!$U$4:$U$803,$B163&amp;"|"&amp;CU$5)=0,"",SUMIF('Competency Event Log'!$U$4:$U$803,$B163&amp;"|"&amp;CU$5,'Competency Event Log'!$D$4:$D$803)))</f>
        <v/>
      </c>
      <c r="CV163" s="8" t="str">
        <f>IF($B163="","",IF(COUNTIF('Competency Event Log'!$U$4:$U$803,$B163&amp;"|"&amp;CV$5)=0,"",SUMIF('Competency Event Log'!$U$4:$U$803,$B163&amp;"|"&amp;CV$5,'Competency Event Log'!$D$4:$D$803)))</f>
        <v/>
      </c>
      <c r="CW163" s="8" t="str">
        <f>IF($B163="","",IF(COUNTIF('Competency Event Log'!$U$4:$U$803,$B163&amp;"|"&amp;CW$5)=0,"",SUMIF('Competency Event Log'!$U$4:$U$803,$B163&amp;"|"&amp;CW$5,'Competency Event Log'!$D$4:$D$803)))</f>
        <v/>
      </c>
      <c r="CX163" s="8" t="str">
        <f>IF($B163="","",IF(COUNTIF('Competency Event Log'!$U$4:$U$803,$B163&amp;"|"&amp;CX$5)=0,"",SUMIF('Competency Event Log'!$U$4:$U$803,$B163&amp;"|"&amp;CX$5,'Competency Event Log'!$D$4:$D$803)))</f>
        <v/>
      </c>
      <c r="CY163" s="8" t="str">
        <f>IF($B163="","",IF(COUNTIF('Competency Event Log'!$U$4:$U$803,$B163&amp;"|"&amp;CY$5)=0,"",SUMIF('Competency Event Log'!$U$4:$U$803,$B163&amp;"|"&amp;CY$5,'Competency Event Log'!$D$4:$D$803)))</f>
        <v/>
      </c>
      <c r="CZ163" s="8" t="str">
        <f>IF($B163="","",IF(COUNTIF('Competency Event Log'!$U$4:$U$803,$B163&amp;"|"&amp;CZ$5)=0,"",SUMIF('Competency Event Log'!$U$4:$U$803,$B163&amp;"|"&amp;CZ$5,'Competency Event Log'!$D$4:$D$803)))</f>
        <v/>
      </c>
      <c r="DA163" s="8" t="str">
        <f>IF($B163="","",IF(COUNTIF('Competency Event Log'!$U$4:$U$803,$B163&amp;"|"&amp;DA$5)=0,"",SUMIF('Competency Event Log'!$U$4:$U$803,$B163&amp;"|"&amp;DA$5,'Competency Event Log'!$D$4:$D$803)))</f>
        <v/>
      </c>
      <c r="DB163" s="8" t="str">
        <f>IF($B163="","",IF(COUNTIF('Competency Event Log'!$U$4:$U$803,$B163&amp;"|"&amp;DB$5)=0,"",SUMIF('Competency Event Log'!$U$4:$U$803,$B163&amp;"|"&amp;DB$5,'Competency Event Log'!$D$4:$D$803)))</f>
        <v/>
      </c>
      <c r="DC163" s="8" t="str">
        <f>IF($B163="","",IF(COUNTIF('Competency Event Log'!$U$4:$U$803,$B163&amp;"|"&amp;DC$5)=0,"",SUMIF('Competency Event Log'!$U$4:$U$803,$B163&amp;"|"&amp;DC$5,'Competency Event Log'!$D$4:$D$803)))</f>
        <v/>
      </c>
      <c r="DD163" s="8" t="str">
        <f>IF($B163="","",IF(COUNTIF('Competency Event Log'!$U$4:$U$803,$B163&amp;"|"&amp;DD$5)=0,"",SUMIF('Competency Event Log'!$U$4:$U$803,$B163&amp;"|"&amp;DD$5,'Competency Event Log'!$D$4:$D$803)))</f>
        <v/>
      </c>
      <c r="DE163" s="8" t="str">
        <f>IF($B163="","",IF(COUNTIF('Competency Event Log'!$U$4:$U$803,$B163&amp;"|"&amp;DE$5)=0,"",SUMIF('Competency Event Log'!$U$4:$U$803,$B163&amp;"|"&amp;DE$5,'Competency Event Log'!$D$4:$D$803)))</f>
        <v/>
      </c>
      <c r="DF163" s="8" t="str">
        <f t="shared" si="16"/>
        <v/>
      </c>
      <c r="DG163" s="8" t="str">
        <f t="shared" si="17"/>
        <v/>
      </c>
      <c r="DH163" s="8" t="str">
        <f t="shared" si="18"/>
        <v/>
      </c>
      <c r="DI163" s="11" t="str">
        <f t="shared" si="19"/>
        <v/>
      </c>
    </row>
    <row r="164" spans="1:113">
      <c r="A164" s="7"/>
      <c r="B164" s="7"/>
      <c r="C164" s="8"/>
      <c r="D164" s="9"/>
      <c r="E164" s="10"/>
      <c r="F164" s="8"/>
      <c r="G164" s="8" t="str">
        <f>IF($B164="","",IF(COUNTIF('Competency Event Log'!$U$4:$U$803,$B164&amp;"|"&amp;G$5)=0,"",SUMIF('Competency Event Log'!$U$4:$U$803,$B164&amp;"|"&amp;G$5,'Competency Event Log'!$D$4:$D$803)))</f>
        <v/>
      </c>
      <c r="H164" s="8" t="str">
        <f>IF($B164="","",IF(COUNTIF('Competency Event Log'!$U$4:$U$803,$B164&amp;"|"&amp;H$5)=0,"",SUMIF('Competency Event Log'!$U$4:$U$803,$B164&amp;"|"&amp;H$5,'Competency Event Log'!$D$4:$D$803)))</f>
        <v/>
      </c>
      <c r="I164" s="8" t="str">
        <f>IF($B164="","",IF(COUNTIF('Competency Event Log'!$U$4:$U$803,$B164&amp;"|"&amp;I$5)=0,"",SUMIF('Competency Event Log'!$U$4:$U$803,$B164&amp;"|"&amp;I$5,'Competency Event Log'!$D$4:$D$803)))</f>
        <v/>
      </c>
      <c r="J164" s="8" t="str">
        <f>IF($B164="","",IF(COUNTIF('Competency Event Log'!$U$4:$U$803,$B164&amp;"|"&amp;J$5)=0,"",SUMIF('Competency Event Log'!$U$4:$U$803,$B164&amp;"|"&amp;J$5,'Competency Event Log'!$D$4:$D$803)))</f>
        <v/>
      </c>
      <c r="K164" s="8" t="str">
        <f>IF($B164="","",IF(COUNTIF('Competency Event Log'!$U$4:$U$803,$B164&amp;"|"&amp;K$5)=0,"",SUMIF('Competency Event Log'!$U$4:$U$803,$B164&amp;"|"&amp;K$5,'Competency Event Log'!$D$4:$D$803)))</f>
        <v/>
      </c>
      <c r="L164" s="8" t="str">
        <f>IF($B164="","",IF(COUNTIF('Competency Event Log'!$U$4:$U$803,$B164&amp;"|"&amp;L$5)=0,"",SUMIF('Competency Event Log'!$U$4:$U$803,$B164&amp;"|"&amp;L$5,'Competency Event Log'!$D$4:$D$803)))</f>
        <v/>
      </c>
      <c r="M164" s="8" t="str">
        <f>IF($B164="","",IF(COUNTIF('Competency Event Log'!$U$4:$U$803,$B164&amp;"|"&amp;M$5)=0,"",SUMIF('Competency Event Log'!$U$4:$U$803,$B164&amp;"|"&amp;M$5,'Competency Event Log'!$D$4:$D$803)))</f>
        <v/>
      </c>
      <c r="N164" s="8" t="str">
        <f>IF($B164="","",IF(COUNTIF('Competency Event Log'!$U$4:$U$803,$B164&amp;"|"&amp;N$5)=0,"",SUMIF('Competency Event Log'!$U$4:$U$803,$B164&amp;"|"&amp;N$5,'Competency Event Log'!$D$4:$D$803)))</f>
        <v/>
      </c>
      <c r="O164" s="8" t="str">
        <f>IF($B164="","",IF(COUNTIF('Competency Event Log'!$U$4:$U$803,$B164&amp;"|"&amp;O$5)=0,"",SUMIF('Competency Event Log'!$U$4:$U$803,$B164&amp;"|"&amp;O$5,'Competency Event Log'!$D$4:$D$803)))</f>
        <v/>
      </c>
      <c r="P164" s="8" t="str">
        <f>IF($B164="","",IF(COUNTIF('Competency Event Log'!$U$4:$U$803,$B164&amp;"|"&amp;P$5)=0,"",SUMIF('Competency Event Log'!$U$4:$U$803,$B164&amp;"|"&amp;P$5,'Competency Event Log'!$D$4:$D$803)))</f>
        <v/>
      </c>
      <c r="Q164" s="8" t="str">
        <f>IF($B164="","",IF(COUNTIF('Competency Event Log'!$U$4:$U$803,$B164&amp;"|"&amp;Q$5)=0,"",SUMIF('Competency Event Log'!$U$4:$U$803,$B164&amp;"|"&amp;Q$5,'Competency Event Log'!$D$4:$D$803)))</f>
        <v/>
      </c>
      <c r="R164" s="8" t="str">
        <f>IF($B164="","",IF(COUNTIF('Competency Event Log'!$U$4:$U$803,$B164&amp;"|"&amp;R$5)=0,"",SUMIF('Competency Event Log'!$U$4:$U$803,$B164&amp;"|"&amp;R$5,'Competency Event Log'!$D$4:$D$803)))</f>
        <v/>
      </c>
      <c r="S164" s="8" t="str">
        <f>IF($B164="","",IF(COUNTIF('Competency Event Log'!$U$4:$U$803,$B164&amp;"|"&amp;S$5)=0,"",SUMIF('Competency Event Log'!$U$4:$U$803,$B164&amp;"|"&amp;S$5,'Competency Event Log'!$D$4:$D$803)))</f>
        <v/>
      </c>
      <c r="T164" s="8" t="str">
        <f>IF($B164="","",IF(COUNTIF('Competency Event Log'!$U$4:$U$803,$B164&amp;"|"&amp;T$5)=0,"",SUMIF('Competency Event Log'!$U$4:$U$803,$B164&amp;"|"&amp;T$5,'Competency Event Log'!$D$4:$D$803)))</f>
        <v/>
      </c>
      <c r="U164" s="8" t="str">
        <f>IF($B164="","",IF(COUNTIF('Competency Event Log'!$U$4:$U$803,$B164&amp;"|"&amp;U$5)=0,"",SUMIF('Competency Event Log'!$U$4:$U$803,$B164&amp;"|"&amp;U$5,'Competency Event Log'!$D$4:$D$803)))</f>
        <v/>
      </c>
      <c r="V164" s="8" t="str">
        <f>IF($B164="","",IF(COUNTIF('Competency Event Log'!$U$4:$U$803,$B164&amp;"|"&amp;V$5)=0,"",SUMIF('Competency Event Log'!$U$4:$U$803,$B164&amp;"|"&amp;V$5,'Competency Event Log'!$D$4:$D$803)))</f>
        <v/>
      </c>
      <c r="W164" s="8" t="str">
        <f>IF($B164="","",IF(COUNTIF('Competency Event Log'!$U$4:$U$803,$B164&amp;"|"&amp;W$5)=0,"",SUMIF('Competency Event Log'!$U$4:$U$803,$B164&amp;"|"&amp;W$5,'Competency Event Log'!$D$4:$D$803)))</f>
        <v/>
      </c>
      <c r="X164" s="8" t="str">
        <f>IF($B164="","",IF(COUNTIF('Competency Event Log'!$U$4:$U$803,$B164&amp;"|"&amp;X$5)=0,"",SUMIF('Competency Event Log'!$U$4:$U$803,$B164&amp;"|"&amp;X$5,'Competency Event Log'!$D$4:$D$803)))</f>
        <v/>
      </c>
      <c r="Y164" s="8" t="str">
        <f>IF($B164="","",IF(COUNTIF('Competency Event Log'!$U$4:$U$803,$B164&amp;"|"&amp;Y$5)=0,"",SUMIF('Competency Event Log'!$U$4:$U$803,$B164&amp;"|"&amp;Y$5,'Competency Event Log'!$D$4:$D$803)))</f>
        <v/>
      </c>
      <c r="Z164" s="8" t="str">
        <f>IF($B164="","",IF(COUNTIF('Competency Event Log'!$U$4:$U$803,$B164&amp;"|"&amp;Z$5)=0,"",SUMIF('Competency Event Log'!$U$4:$U$803,$B164&amp;"|"&amp;Z$5,'Competency Event Log'!$D$4:$D$803)))</f>
        <v/>
      </c>
      <c r="AA164" s="8" t="str">
        <f>IF($B164="","",IF(COUNTIF('Competency Event Log'!$U$4:$U$803,$B164&amp;"|"&amp;AA$5)=0,"",SUMIF('Competency Event Log'!$U$4:$U$803,$B164&amp;"|"&amp;AA$5,'Competency Event Log'!$D$4:$D$803)))</f>
        <v/>
      </c>
      <c r="AB164" s="8" t="str">
        <f>IF($B164="","",IF(COUNTIF('Competency Event Log'!$U$4:$U$803,$B164&amp;"|"&amp;AB$5)=0,"",SUMIF('Competency Event Log'!$U$4:$U$803,$B164&amp;"|"&amp;AB$5,'Competency Event Log'!$D$4:$D$803)))</f>
        <v/>
      </c>
      <c r="AC164" s="8" t="str">
        <f>IF($B164="","",IF(COUNTIF('Competency Event Log'!$U$4:$U$803,$B164&amp;"|"&amp;AC$5)=0,"",SUMIF('Competency Event Log'!$U$4:$U$803,$B164&amp;"|"&amp;AC$5,'Competency Event Log'!$D$4:$D$803)))</f>
        <v/>
      </c>
      <c r="AD164" s="8" t="str">
        <f>IF($B164="","",IF(COUNTIF('Competency Event Log'!$U$4:$U$803,$B164&amp;"|"&amp;AD$5)=0,"",SUMIF('Competency Event Log'!$U$4:$U$803,$B164&amp;"|"&amp;AD$5,'Competency Event Log'!$D$4:$D$803)))</f>
        <v/>
      </c>
      <c r="AE164" s="8" t="str">
        <f>IF($B164="","",IF(COUNTIF('Competency Event Log'!$U$4:$U$803,$B164&amp;"|"&amp;AE$5)=0,"",SUMIF('Competency Event Log'!$U$4:$U$803,$B164&amp;"|"&amp;AE$5,'Competency Event Log'!$D$4:$D$803)))</f>
        <v/>
      </c>
      <c r="AF164" s="8" t="str">
        <f>IF($B164="","",IF(COUNTIF('Competency Event Log'!$U$4:$U$803,$B164&amp;"|"&amp;AF$5)=0,"",SUMIF('Competency Event Log'!$U$4:$U$803,$B164&amp;"|"&amp;AF$5,'Competency Event Log'!$D$4:$D$803)))</f>
        <v/>
      </c>
      <c r="AG164" s="8" t="str">
        <f>IF($B164="","",IF(COUNTIF('Competency Event Log'!$U$4:$U$803,$B164&amp;"|"&amp;AG$5)=0,"",SUMIF('Competency Event Log'!$U$4:$U$803,$B164&amp;"|"&amp;AG$5,'Competency Event Log'!$D$4:$D$803)))</f>
        <v/>
      </c>
      <c r="AH164" s="8" t="str">
        <f>IF($B164="","",IF(COUNTIF('Competency Event Log'!$U$4:$U$803,$B164&amp;"|"&amp;AH$5)=0,"",SUMIF('Competency Event Log'!$U$4:$U$803,$B164&amp;"|"&amp;AH$5,'Competency Event Log'!$D$4:$D$803)))</f>
        <v/>
      </c>
      <c r="AI164" s="8" t="str">
        <f>IF($B164="","",IF(COUNTIF('Competency Event Log'!$U$4:$U$803,$B164&amp;"|"&amp;AI$5)=0,"",SUMIF('Competency Event Log'!$U$4:$U$803,$B164&amp;"|"&amp;AI$5,'Competency Event Log'!$D$4:$D$803)))</f>
        <v/>
      </c>
      <c r="AJ164" s="8" t="str">
        <f>IF($B164="","",IF(COUNTIF('Competency Event Log'!$U$4:$U$803,$B164&amp;"|"&amp;AJ$5)=0,"",SUMIF('Competency Event Log'!$U$4:$U$803,$B164&amp;"|"&amp;AJ$5,'Competency Event Log'!$D$4:$D$803)))</f>
        <v/>
      </c>
      <c r="AK164" s="8" t="str">
        <f>IF($B164="","",IF(COUNTIF('Competency Event Log'!$U$4:$U$803,$B164&amp;"|"&amp;AK$5)=0,"",SUMIF('Competency Event Log'!$U$4:$U$803,$B164&amp;"|"&amp;AK$5,'Competency Event Log'!$D$4:$D$803)))</f>
        <v/>
      </c>
      <c r="AL164" s="8" t="str">
        <f>IF($B164="","",IF(COUNTIF('Competency Event Log'!$U$4:$U$803,$B164&amp;"|"&amp;AL$5)=0,"",SUMIF('Competency Event Log'!$U$4:$U$803,$B164&amp;"|"&amp;AL$5,'Competency Event Log'!$D$4:$D$803)))</f>
        <v/>
      </c>
      <c r="AM164" s="8" t="str">
        <f>IF($B164="","",IF(COUNTIF('Competency Event Log'!$U$4:$U$803,$B164&amp;"|"&amp;AM$5)=0,"",SUMIF('Competency Event Log'!$U$4:$U$803,$B164&amp;"|"&amp;AM$5,'Competency Event Log'!$D$4:$D$803)))</f>
        <v/>
      </c>
      <c r="AN164" s="8" t="str">
        <f>IF($B164="","",IF(COUNTIF('Competency Event Log'!$U$4:$U$803,$B164&amp;"|"&amp;AN$5)=0,"",SUMIF('Competency Event Log'!$U$4:$U$803,$B164&amp;"|"&amp;AN$5,'Competency Event Log'!$D$4:$D$803)))</f>
        <v/>
      </c>
      <c r="AO164" s="8" t="str">
        <f>IF($B164="","",IF(COUNTIF('Competency Event Log'!$U$4:$U$803,$B164&amp;"|"&amp;AO$5)=0,"",SUMIF('Competency Event Log'!$U$4:$U$803,$B164&amp;"|"&amp;AO$5,'Competency Event Log'!$D$4:$D$803)))</f>
        <v/>
      </c>
      <c r="AP164" s="8" t="str">
        <f>IF($B164="","",IF(COUNTIF('Competency Event Log'!$U$4:$U$803,$B164&amp;"|"&amp;AP$5)=0,"",SUMIF('Competency Event Log'!$U$4:$U$803,$B164&amp;"|"&amp;AP$5,'Competency Event Log'!$D$4:$D$803)))</f>
        <v/>
      </c>
      <c r="AQ164" s="8" t="str">
        <f>IF($B164="","",IF(COUNTIF('Competency Event Log'!$U$4:$U$803,$B164&amp;"|"&amp;AQ$5)=0,"",SUMIF('Competency Event Log'!$U$4:$U$803,$B164&amp;"|"&amp;AQ$5,'Competency Event Log'!$D$4:$D$803)))</f>
        <v/>
      </c>
      <c r="AR164" s="8" t="str">
        <f>IF($B164="","",IF(COUNTIF('Competency Event Log'!$U$4:$U$803,$B164&amp;"|"&amp;AR$5)=0,"",SUMIF('Competency Event Log'!$U$4:$U$803,$B164&amp;"|"&amp;AR$5,'Competency Event Log'!$D$4:$D$803)))</f>
        <v/>
      </c>
      <c r="AS164" s="8" t="str">
        <f>IF($B164="","",IF(COUNTIF('Competency Event Log'!$U$4:$U$803,$B164&amp;"|"&amp;AS$5)=0,"",SUMIF('Competency Event Log'!$U$4:$U$803,$B164&amp;"|"&amp;AS$5,'Competency Event Log'!$D$4:$D$803)))</f>
        <v/>
      </c>
      <c r="AT164" s="8" t="str">
        <f>IF($B164="","",IF(COUNTIF('Competency Event Log'!$U$4:$U$803,$B164&amp;"|"&amp;AT$5)=0,"",SUMIF('Competency Event Log'!$U$4:$U$803,$B164&amp;"|"&amp;AT$5,'Competency Event Log'!$D$4:$D$803)))</f>
        <v/>
      </c>
      <c r="AU164" s="8" t="str">
        <f>IF($B164="","",IF(COUNTIF('Competency Event Log'!$U$4:$U$803,$B164&amp;"|"&amp;AU$5)=0,"",SUMIF('Competency Event Log'!$U$4:$U$803,$B164&amp;"|"&amp;AU$5,'Competency Event Log'!$D$4:$D$803)))</f>
        <v/>
      </c>
      <c r="AV164" s="8" t="str">
        <f>IF($B164="","",IF(COUNTIF('Competency Event Log'!$U$4:$U$803,$B164&amp;"|"&amp;AV$5)=0,"",SUMIF('Competency Event Log'!$U$4:$U$803,$B164&amp;"|"&amp;AV$5,'Competency Event Log'!$D$4:$D$803)))</f>
        <v/>
      </c>
      <c r="AW164" s="8" t="str">
        <f>IF($B164="","",IF(COUNTIF('Competency Event Log'!$U$4:$U$803,$B164&amp;"|"&amp;AW$5)=0,"",SUMIF('Competency Event Log'!$U$4:$U$803,$B164&amp;"|"&amp;AW$5,'Competency Event Log'!$D$4:$D$803)))</f>
        <v/>
      </c>
      <c r="AX164" s="8" t="str">
        <f>IF($B164="","",IF(COUNTIF('Competency Event Log'!$U$4:$U$803,$B164&amp;"|"&amp;AX$5)=0,"",SUMIF('Competency Event Log'!$U$4:$U$803,$B164&amp;"|"&amp;AX$5,'Competency Event Log'!$D$4:$D$803)))</f>
        <v/>
      </c>
      <c r="AY164" s="8" t="str">
        <f>IF($B164="","",IF(COUNTIF('Competency Event Log'!$U$4:$U$803,$B164&amp;"|"&amp;AY$5)=0,"",SUMIF('Competency Event Log'!$U$4:$U$803,$B164&amp;"|"&amp;AY$5,'Competency Event Log'!$D$4:$D$803)))</f>
        <v/>
      </c>
      <c r="AZ164" s="8" t="str">
        <f>IF($B164="","",IF(COUNTIF('Competency Event Log'!$U$4:$U$803,$B164&amp;"|"&amp;AZ$5)=0,"",SUMIF('Competency Event Log'!$U$4:$U$803,$B164&amp;"|"&amp;AZ$5,'Competency Event Log'!$D$4:$D$803)))</f>
        <v/>
      </c>
      <c r="BA164" s="8" t="str">
        <f>IF($B164="","",IF(COUNTIF('Competency Event Log'!$U$4:$U$803,$B164&amp;"|"&amp;BA$5)=0,"",SUMIF('Competency Event Log'!$U$4:$U$803,$B164&amp;"|"&amp;BA$5,'Competency Event Log'!$D$4:$D$803)))</f>
        <v/>
      </c>
      <c r="BB164" s="8" t="str">
        <f>IF($B164="","",IF(COUNTIF('Competency Event Log'!$U$4:$U$803,$B164&amp;"|"&amp;BB$5)=0,"",SUMIF('Competency Event Log'!$U$4:$U$803,$B164&amp;"|"&amp;BB$5,'Competency Event Log'!$D$4:$D$803)))</f>
        <v/>
      </c>
      <c r="BC164" s="8" t="str">
        <f>IF($B164="","",IF(COUNTIF('Competency Event Log'!$U$4:$U$803,$B164&amp;"|"&amp;BC$5)=0,"",SUMIF('Competency Event Log'!$U$4:$U$803,$B164&amp;"|"&amp;BC$5,'Competency Event Log'!$D$4:$D$803)))</f>
        <v/>
      </c>
      <c r="BD164" s="8" t="str">
        <f>IF($B164="","",IF(COUNTIF('Competency Event Log'!$U$4:$U$803,$B164&amp;"|"&amp;BD$5)=0,"",SUMIF('Competency Event Log'!$U$4:$U$803,$B164&amp;"|"&amp;BD$5,'Competency Event Log'!$D$4:$D$803)))</f>
        <v/>
      </c>
      <c r="BE164" s="8" t="str">
        <f>IF($B164="","",IF(COUNTIF('Competency Event Log'!$U$4:$U$803,$B164&amp;"|"&amp;BE$5)=0,"",SUMIF('Competency Event Log'!$U$4:$U$803,$B164&amp;"|"&amp;BE$5,'Competency Event Log'!$D$4:$D$803)))</f>
        <v/>
      </c>
      <c r="BF164" s="8" t="str">
        <f>IF($B164="","",IF(COUNTIF('Competency Event Log'!$U$4:$U$803,$B164&amp;"|"&amp;BF$5)=0,"",SUMIF('Competency Event Log'!$U$4:$U$803,$B164&amp;"|"&amp;BF$5,'Competency Event Log'!$D$4:$D$803)))</f>
        <v/>
      </c>
      <c r="BG164" s="8" t="str">
        <f>IF($B164="","",IF(COUNTIF('Competency Event Log'!$U$4:$U$803,$B164&amp;"|"&amp;BG$5)=0,"",SUMIF('Competency Event Log'!$U$4:$U$803,$B164&amp;"|"&amp;BG$5,'Competency Event Log'!$D$4:$D$803)))</f>
        <v/>
      </c>
      <c r="BH164" s="8" t="str">
        <f>IF($B164="","",IF(COUNTIF('Competency Event Log'!$U$4:$U$803,$B164&amp;"|"&amp;BH$5)=0,"",SUMIF('Competency Event Log'!$U$4:$U$803,$B164&amp;"|"&amp;BH$5,'Competency Event Log'!$D$4:$D$803)))</f>
        <v/>
      </c>
      <c r="BI164" s="8" t="str">
        <f>IF($B164="","",IF(COUNTIF('Competency Event Log'!$U$4:$U$803,$B164&amp;"|"&amp;BI$5)=0,"",SUMIF('Competency Event Log'!$U$4:$U$803,$B164&amp;"|"&amp;BI$5,'Competency Event Log'!$D$4:$D$803)))</f>
        <v/>
      </c>
      <c r="BJ164" s="8" t="str">
        <f>IF($B164="","",IF(COUNTIF('Competency Event Log'!$U$4:$U$803,$B164&amp;"|"&amp;BJ$5)=0,"",SUMIF('Competency Event Log'!$U$4:$U$803,$B164&amp;"|"&amp;BJ$5,'Competency Event Log'!$D$4:$D$803)))</f>
        <v/>
      </c>
      <c r="BK164" s="8" t="str">
        <f>IF($B164="","",IF(COUNTIF('Competency Event Log'!$U$4:$U$803,$B164&amp;"|"&amp;BK$5)=0,"",SUMIF('Competency Event Log'!$U$4:$U$803,$B164&amp;"|"&amp;BK$5,'Competency Event Log'!$D$4:$D$803)))</f>
        <v/>
      </c>
      <c r="BL164" s="8" t="str">
        <f>IF($B164="","",IF(COUNTIF('Competency Event Log'!$U$4:$U$803,$B164&amp;"|"&amp;BL$5)=0,"",SUMIF('Competency Event Log'!$U$4:$U$803,$B164&amp;"|"&amp;BL$5,'Competency Event Log'!$D$4:$D$803)))</f>
        <v/>
      </c>
      <c r="BM164" s="8" t="str">
        <f>IF($B164="","",IF(COUNTIF('Competency Event Log'!$U$4:$U$803,$B164&amp;"|"&amp;BM$5)=0,"",SUMIF('Competency Event Log'!$U$4:$U$803,$B164&amp;"|"&amp;BM$5,'Competency Event Log'!$D$4:$D$803)))</f>
        <v/>
      </c>
      <c r="BN164" s="8" t="str">
        <f>IF($B164="","",IF(COUNTIF('Competency Event Log'!$U$4:$U$803,$B164&amp;"|"&amp;BN$5)=0,"",SUMIF('Competency Event Log'!$U$4:$U$803,$B164&amp;"|"&amp;BN$5,'Competency Event Log'!$D$4:$D$803)))</f>
        <v/>
      </c>
      <c r="BO164" s="8" t="str">
        <f>IF($B164="","",IF(COUNTIF('Competency Event Log'!$U$4:$U$803,$B164&amp;"|"&amp;BO$5)=0,"",SUMIF('Competency Event Log'!$U$4:$U$803,$B164&amp;"|"&amp;BO$5,'Competency Event Log'!$D$4:$D$803)))</f>
        <v/>
      </c>
      <c r="BP164" s="8" t="str">
        <f>IF($B164="","",IF(COUNTIF('Competency Event Log'!$U$4:$U$803,$B164&amp;"|"&amp;BP$5)=0,"",SUMIF('Competency Event Log'!$U$4:$U$803,$B164&amp;"|"&amp;BP$5,'Competency Event Log'!$D$4:$D$803)))</f>
        <v/>
      </c>
      <c r="BQ164" s="8" t="str">
        <f>IF($B164="","",IF(COUNTIF('Competency Event Log'!$U$4:$U$803,$B164&amp;"|"&amp;BQ$5)=0,"",SUMIF('Competency Event Log'!$U$4:$U$803,$B164&amp;"|"&amp;BQ$5,'Competency Event Log'!$D$4:$D$803)))</f>
        <v/>
      </c>
      <c r="BR164" s="8" t="str">
        <f>IF($B164="","",IF(COUNTIF('Competency Event Log'!$U$4:$U$803,$B164&amp;"|"&amp;BR$5)=0,"",SUMIF('Competency Event Log'!$U$4:$U$803,$B164&amp;"|"&amp;BR$5,'Competency Event Log'!$D$4:$D$803)))</f>
        <v/>
      </c>
      <c r="BS164" s="8" t="str">
        <f>IF($B164="","",IF(COUNTIF('Competency Event Log'!$U$4:$U$803,$B164&amp;"|"&amp;BS$5)=0,"",SUMIF('Competency Event Log'!$U$4:$U$803,$B164&amp;"|"&amp;BS$5,'Competency Event Log'!$D$4:$D$803)))</f>
        <v/>
      </c>
      <c r="BT164" s="8" t="str">
        <f>IF($B164="","",IF(COUNTIF('Competency Event Log'!$U$4:$U$803,$B164&amp;"|"&amp;BT$5)=0,"",SUMIF('Competency Event Log'!$U$4:$U$803,$B164&amp;"|"&amp;BT$5,'Competency Event Log'!$D$4:$D$803)))</f>
        <v/>
      </c>
      <c r="BU164" s="8" t="str">
        <f>IF($B164="","",IF(COUNTIF('Competency Event Log'!$U$4:$U$803,$B164&amp;"|"&amp;BU$5)=0,"",SUMIF('Competency Event Log'!$U$4:$U$803,$B164&amp;"|"&amp;BU$5,'Competency Event Log'!$D$4:$D$803)))</f>
        <v/>
      </c>
      <c r="BV164" s="8" t="str">
        <f>IF($B164="","",IF(COUNTIF('Competency Event Log'!$U$4:$U$803,$B164&amp;"|"&amp;BV$5)=0,"",SUMIF('Competency Event Log'!$U$4:$U$803,$B164&amp;"|"&amp;BV$5,'Competency Event Log'!$D$4:$D$803)))</f>
        <v/>
      </c>
      <c r="BW164" s="8" t="str">
        <f>IF($B164="","",IF(COUNTIF('Competency Event Log'!$U$4:$U$803,$B164&amp;"|"&amp;BW$5)=0,"",SUMIF('Competency Event Log'!$U$4:$U$803,$B164&amp;"|"&amp;BW$5,'Competency Event Log'!$D$4:$D$803)))</f>
        <v/>
      </c>
      <c r="BX164" s="8" t="str">
        <f>IF($B164="","",IF(COUNTIF('Competency Event Log'!$U$4:$U$803,$B164&amp;"|"&amp;BX$5)=0,"",SUMIF('Competency Event Log'!$U$4:$U$803,$B164&amp;"|"&amp;BX$5,'Competency Event Log'!$D$4:$D$803)))</f>
        <v/>
      </c>
      <c r="BY164" s="8" t="str">
        <f>IF($B164="","",IF(COUNTIF('Competency Event Log'!$U$4:$U$803,$B164&amp;"|"&amp;BY$5)=0,"",SUMIF('Competency Event Log'!$U$4:$U$803,$B164&amp;"|"&amp;BY$5,'Competency Event Log'!$D$4:$D$803)))</f>
        <v/>
      </c>
      <c r="BZ164" s="8" t="str">
        <f>IF($B164="","",IF(COUNTIF('Competency Event Log'!$U$4:$U$803,$B164&amp;"|"&amp;BZ$5)=0,"",SUMIF('Competency Event Log'!$U$4:$U$803,$B164&amp;"|"&amp;BZ$5,'Competency Event Log'!$D$4:$D$803)))</f>
        <v/>
      </c>
      <c r="CA164" s="8" t="str">
        <f>IF($B164="","",IF(COUNTIF('Competency Event Log'!$U$4:$U$803,$B164&amp;"|"&amp;CA$5)=0,"",SUMIF('Competency Event Log'!$U$4:$U$803,$B164&amp;"|"&amp;CA$5,'Competency Event Log'!$D$4:$D$803)))</f>
        <v/>
      </c>
      <c r="CB164" s="8" t="str">
        <f>IF($B164="","",IF(COUNTIF('Competency Event Log'!$U$4:$U$803,$B164&amp;"|"&amp;CB$5)=0,"",SUMIF('Competency Event Log'!$U$4:$U$803,$B164&amp;"|"&amp;CB$5,'Competency Event Log'!$D$4:$D$803)))</f>
        <v/>
      </c>
      <c r="CC164" s="8" t="str">
        <f>IF($B164="","",IF(COUNTIF('Competency Event Log'!$U$4:$U$803,$B164&amp;"|"&amp;CC$5)=0,"",SUMIF('Competency Event Log'!$U$4:$U$803,$B164&amp;"|"&amp;CC$5,'Competency Event Log'!$D$4:$D$803)))</f>
        <v/>
      </c>
      <c r="CD164" s="8" t="str">
        <f>IF($B164="","",IF(COUNTIF('Competency Event Log'!$U$4:$U$803,$B164&amp;"|"&amp;CD$5)=0,"",SUMIF('Competency Event Log'!$U$4:$U$803,$B164&amp;"|"&amp;CD$5,'Competency Event Log'!$D$4:$D$803)))</f>
        <v/>
      </c>
      <c r="CE164" s="8" t="str">
        <f>IF($B164="","",IF(COUNTIF('Competency Event Log'!$U$4:$U$803,$B164&amp;"|"&amp;CE$5)=0,"",SUMIF('Competency Event Log'!$U$4:$U$803,$B164&amp;"|"&amp;CE$5,'Competency Event Log'!$D$4:$D$803)))</f>
        <v/>
      </c>
      <c r="CF164" s="8" t="str">
        <f>IF($B164="","",IF(COUNTIF('Competency Event Log'!$U$4:$U$803,$B164&amp;"|"&amp;CF$5)=0,"",SUMIF('Competency Event Log'!$U$4:$U$803,$B164&amp;"|"&amp;CF$5,'Competency Event Log'!$D$4:$D$803)))</f>
        <v/>
      </c>
      <c r="CG164" s="8" t="str">
        <f>IF($B164="","",IF(COUNTIF('Competency Event Log'!$U$4:$U$803,$B164&amp;"|"&amp;CG$5)=0,"",SUMIF('Competency Event Log'!$U$4:$U$803,$B164&amp;"|"&amp;CG$5,'Competency Event Log'!$D$4:$D$803)))</f>
        <v/>
      </c>
      <c r="CH164" s="8" t="str">
        <f>IF($B164="","",IF(COUNTIF('Competency Event Log'!$U$4:$U$803,$B164&amp;"|"&amp;CH$5)=0,"",SUMIF('Competency Event Log'!$U$4:$U$803,$B164&amp;"|"&amp;CH$5,'Competency Event Log'!$D$4:$D$803)))</f>
        <v/>
      </c>
      <c r="CI164" s="8" t="str">
        <f>IF($B164="","",IF(COUNTIF('Competency Event Log'!$U$4:$U$803,$B164&amp;"|"&amp;CI$5)=0,"",SUMIF('Competency Event Log'!$U$4:$U$803,$B164&amp;"|"&amp;CI$5,'Competency Event Log'!$D$4:$D$803)))</f>
        <v/>
      </c>
      <c r="CJ164" s="8" t="str">
        <f>IF($B164="","",IF(COUNTIF('Competency Event Log'!$U$4:$U$803,$B164&amp;"|"&amp;CJ$5)=0,"",SUMIF('Competency Event Log'!$U$4:$U$803,$B164&amp;"|"&amp;CJ$5,'Competency Event Log'!$D$4:$D$803)))</f>
        <v/>
      </c>
      <c r="CK164" s="8" t="str">
        <f>IF($B164="","",IF(COUNTIF('Competency Event Log'!$U$4:$U$803,$B164&amp;"|"&amp;CK$5)=0,"",SUMIF('Competency Event Log'!$U$4:$U$803,$B164&amp;"|"&amp;CK$5,'Competency Event Log'!$D$4:$D$803)))</f>
        <v/>
      </c>
      <c r="CL164" s="8" t="str">
        <f>IF($B164="","",IF(COUNTIF('Competency Event Log'!$U$4:$U$803,$B164&amp;"|"&amp;CL$5)=0,"",SUMIF('Competency Event Log'!$U$4:$U$803,$B164&amp;"|"&amp;CL$5,'Competency Event Log'!$D$4:$D$803)))</f>
        <v/>
      </c>
      <c r="CM164" s="8" t="str">
        <f>IF($B164="","",IF(COUNTIF('Competency Event Log'!$U$4:$U$803,$B164&amp;"|"&amp;CM$5)=0,"",SUMIF('Competency Event Log'!$U$4:$U$803,$B164&amp;"|"&amp;CM$5,'Competency Event Log'!$D$4:$D$803)))</f>
        <v/>
      </c>
      <c r="CN164" s="8" t="str">
        <f>IF($B164="","",IF(COUNTIF('Competency Event Log'!$U$4:$U$803,$B164&amp;"|"&amp;CN$5)=0,"",SUMIF('Competency Event Log'!$U$4:$U$803,$B164&amp;"|"&amp;CN$5,'Competency Event Log'!$D$4:$D$803)))</f>
        <v/>
      </c>
      <c r="CO164" s="8" t="str">
        <f>IF($B164="","",IF(COUNTIF('Competency Event Log'!$U$4:$U$803,$B164&amp;"|"&amp;CO$5)=0,"",SUMIF('Competency Event Log'!$U$4:$U$803,$B164&amp;"|"&amp;CO$5,'Competency Event Log'!$D$4:$D$803)))</f>
        <v/>
      </c>
      <c r="CP164" s="8" t="str">
        <f>IF($B164="","",IF(COUNTIF('Competency Event Log'!$U$4:$U$803,$B164&amp;"|"&amp;CP$5)=0,"",SUMIF('Competency Event Log'!$U$4:$U$803,$B164&amp;"|"&amp;CP$5,'Competency Event Log'!$D$4:$D$803)))</f>
        <v/>
      </c>
      <c r="CQ164" s="8" t="str">
        <f>IF($B164="","",IF(COUNTIF('Competency Event Log'!$U$4:$U$803,$B164&amp;"|"&amp;CQ$5)=0,"",SUMIF('Competency Event Log'!$U$4:$U$803,$B164&amp;"|"&amp;CQ$5,'Competency Event Log'!$D$4:$D$803)))</f>
        <v/>
      </c>
      <c r="CR164" s="8" t="str">
        <f>IF($B164="","",IF(COUNTIF('Competency Event Log'!$U$4:$U$803,$B164&amp;"|"&amp;CR$5)=0,"",SUMIF('Competency Event Log'!$U$4:$U$803,$B164&amp;"|"&amp;CR$5,'Competency Event Log'!$D$4:$D$803)))</f>
        <v/>
      </c>
      <c r="CS164" s="8" t="str">
        <f>IF($B164="","",IF(COUNTIF('Competency Event Log'!$U$4:$U$803,$B164&amp;"|"&amp;CS$5)=0,"",SUMIF('Competency Event Log'!$U$4:$U$803,$B164&amp;"|"&amp;CS$5,'Competency Event Log'!$D$4:$D$803)))</f>
        <v/>
      </c>
      <c r="CT164" s="8" t="str">
        <f>IF($B164="","",IF(COUNTIF('Competency Event Log'!$U$4:$U$803,$B164&amp;"|"&amp;CT$5)=0,"",SUMIF('Competency Event Log'!$U$4:$U$803,$B164&amp;"|"&amp;CT$5,'Competency Event Log'!$D$4:$D$803)))</f>
        <v/>
      </c>
      <c r="CU164" s="8" t="str">
        <f>IF($B164="","",IF(COUNTIF('Competency Event Log'!$U$4:$U$803,$B164&amp;"|"&amp;CU$5)=0,"",SUMIF('Competency Event Log'!$U$4:$U$803,$B164&amp;"|"&amp;CU$5,'Competency Event Log'!$D$4:$D$803)))</f>
        <v/>
      </c>
      <c r="CV164" s="8" t="str">
        <f>IF($B164="","",IF(COUNTIF('Competency Event Log'!$U$4:$U$803,$B164&amp;"|"&amp;CV$5)=0,"",SUMIF('Competency Event Log'!$U$4:$U$803,$B164&amp;"|"&amp;CV$5,'Competency Event Log'!$D$4:$D$803)))</f>
        <v/>
      </c>
      <c r="CW164" s="8" t="str">
        <f>IF($B164="","",IF(COUNTIF('Competency Event Log'!$U$4:$U$803,$B164&amp;"|"&amp;CW$5)=0,"",SUMIF('Competency Event Log'!$U$4:$U$803,$B164&amp;"|"&amp;CW$5,'Competency Event Log'!$D$4:$D$803)))</f>
        <v/>
      </c>
      <c r="CX164" s="8" t="str">
        <f>IF($B164="","",IF(COUNTIF('Competency Event Log'!$U$4:$U$803,$B164&amp;"|"&amp;CX$5)=0,"",SUMIF('Competency Event Log'!$U$4:$U$803,$B164&amp;"|"&amp;CX$5,'Competency Event Log'!$D$4:$D$803)))</f>
        <v/>
      </c>
      <c r="CY164" s="8" t="str">
        <f>IF($B164="","",IF(COUNTIF('Competency Event Log'!$U$4:$U$803,$B164&amp;"|"&amp;CY$5)=0,"",SUMIF('Competency Event Log'!$U$4:$U$803,$B164&amp;"|"&amp;CY$5,'Competency Event Log'!$D$4:$D$803)))</f>
        <v/>
      </c>
      <c r="CZ164" s="8" t="str">
        <f>IF($B164="","",IF(COUNTIF('Competency Event Log'!$U$4:$U$803,$B164&amp;"|"&amp;CZ$5)=0,"",SUMIF('Competency Event Log'!$U$4:$U$803,$B164&amp;"|"&amp;CZ$5,'Competency Event Log'!$D$4:$D$803)))</f>
        <v/>
      </c>
      <c r="DA164" s="8" t="str">
        <f>IF($B164="","",IF(COUNTIF('Competency Event Log'!$U$4:$U$803,$B164&amp;"|"&amp;DA$5)=0,"",SUMIF('Competency Event Log'!$U$4:$U$803,$B164&amp;"|"&amp;DA$5,'Competency Event Log'!$D$4:$D$803)))</f>
        <v/>
      </c>
      <c r="DB164" s="8" t="str">
        <f>IF($B164="","",IF(COUNTIF('Competency Event Log'!$U$4:$U$803,$B164&amp;"|"&amp;DB$5)=0,"",SUMIF('Competency Event Log'!$U$4:$U$803,$B164&amp;"|"&amp;DB$5,'Competency Event Log'!$D$4:$D$803)))</f>
        <v/>
      </c>
      <c r="DC164" s="8" t="str">
        <f>IF($B164="","",IF(COUNTIF('Competency Event Log'!$U$4:$U$803,$B164&amp;"|"&amp;DC$5)=0,"",SUMIF('Competency Event Log'!$U$4:$U$803,$B164&amp;"|"&amp;DC$5,'Competency Event Log'!$D$4:$D$803)))</f>
        <v/>
      </c>
      <c r="DD164" s="8" t="str">
        <f>IF($B164="","",IF(COUNTIF('Competency Event Log'!$U$4:$U$803,$B164&amp;"|"&amp;DD$5)=0,"",SUMIF('Competency Event Log'!$U$4:$U$803,$B164&amp;"|"&amp;DD$5,'Competency Event Log'!$D$4:$D$803)))</f>
        <v/>
      </c>
      <c r="DE164" s="8" t="str">
        <f>IF($B164="","",IF(COUNTIF('Competency Event Log'!$U$4:$U$803,$B164&amp;"|"&amp;DE$5)=0,"",SUMIF('Competency Event Log'!$U$4:$U$803,$B164&amp;"|"&amp;DE$5,'Competency Event Log'!$D$4:$D$803)))</f>
        <v/>
      </c>
      <c r="DF164" s="8" t="str">
        <f t="shared" si="16"/>
        <v/>
      </c>
      <c r="DG164" s="8" t="str">
        <f t="shared" si="17"/>
        <v/>
      </c>
      <c r="DH164" s="8" t="str">
        <f t="shared" si="18"/>
        <v/>
      </c>
      <c r="DI164" s="11" t="str">
        <f t="shared" si="19"/>
        <v/>
      </c>
    </row>
    <row r="165" spans="1:113">
      <c r="A165" s="7"/>
      <c r="B165" s="7"/>
      <c r="C165" s="8"/>
      <c r="D165" s="9"/>
      <c r="E165" s="10"/>
      <c r="F165" s="8"/>
      <c r="G165" s="8" t="str">
        <f>IF($B165="","",IF(COUNTIF('Competency Event Log'!$U$4:$U$803,$B165&amp;"|"&amp;G$5)=0,"",SUMIF('Competency Event Log'!$U$4:$U$803,$B165&amp;"|"&amp;G$5,'Competency Event Log'!$D$4:$D$803)))</f>
        <v/>
      </c>
      <c r="H165" s="8" t="str">
        <f>IF($B165="","",IF(COUNTIF('Competency Event Log'!$U$4:$U$803,$B165&amp;"|"&amp;H$5)=0,"",SUMIF('Competency Event Log'!$U$4:$U$803,$B165&amp;"|"&amp;H$5,'Competency Event Log'!$D$4:$D$803)))</f>
        <v/>
      </c>
      <c r="I165" s="8" t="str">
        <f>IF($B165="","",IF(COUNTIF('Competency Event Log'!$U$4:$U$803,$B165&amp;"|"&amp;I$5)=0,"",SUMIF('Competency Event Log'!$U$4:$U$803,$B165&amp;"|"&amp;I$5,'Competency Event Log'!$D$4:$D$803)))</f>
        <v/>
      </c>
      <c r="J165" s="8" t="str">
        <f>IF($B165="","",IF(COUNTIF('Competency Event Log'!$U$4:$U$803,$B165&amp;"|"&amp;J$5)=0,"",SUMIF('Competency Event Log'!$U$4:$U$803,$B165&amp;"|"&amp;J$5,'Competency Event Log'!$D$4:$D$803)))</f>
        <v/>
      </c>
      <c r="K165" s="8" t="str">
        <f>IF($B165="","",IF(COUNTIF('Competency Event Log'!$U$4:$U$803,$B165&amp;"|"&amp;K$5)=0,"",SUMIF('Competency Event Log'!$U$4:$U$803,$B165&amp;"|"&amp;K$5,'Competency Event Log'!$D$4:$D$803)))</f>
        <v/>
      </c>
      <c r="L165" s="8" t="str">
        <f>IF($B165="","",IF(COUNTIF('Competency Event Log'!$U$4:$U$803,$B165&amp;"|"&amp;L$5)=0,"",SUMIF('Competency Event Log'!$U$4:$U$803,$B165&amp;"|"&amp;L$5,'Competency Event Log'!$D$4:$D$803)))</f>
        <v/>
      </c>
      <c r="M165" s="8" t="str">
        <f>IF($B165="","",IF(COUNTIF('Competency Event Log'!$U$4:$U$803,$B165&amp;"|"&amp;M$5)=0,"",SUMIF('Competency Event Log'!$U$4:$U$803,$B165&amp;"|"&amp;M$5,'Competency Event Log'!$D$4:$D$803)))</f>
        <v/>
      </c>
      <c r="N165" s="8" t="str">
        <f>IF($B165="","",IF(COUNTIF('Competency Event Log'!$U$4:$U$803,$B165&amp;"|"&amp;N$5)=0,"",SUMIF('Competency Event Log'!$U$4:$U$803,$B165&amp;"|"&amp;N$5,'Competency Event Log'!$D$4:$D$803)))</f>
        <v/>
      </c>
      <c r="O165" s="8" t="str">
        <f>IF($B165="","",IF(COUNTIF('Competency Event Log'!$U$4:$U$803,$B165&amp;"|"&amp;O$5)=0,"",SUMIF('Competency Event Log'!$U$4:$U$803,$B165&amp;"|"&amp;O$5,'Competency Event Log'!$D$4:$D$803)))</f>
        <v/>
      </c>
      <c r="P165" s="8" t="str">
        <f>IF($B165="","",IF(COUNTIF('Competency Event Log'!$U$4:$U$803,$B165&amp;"|"&amp;P$5)=0,"",SUMIF('Competency Event Log'!$U$4:$U$803,$B165&amp;"|"&amp;P$5,'Competency Event Log'!$D$4:$D$803)))</f>
        <v/>
      </c>
      <c r="Q165" s="8" t="str">
        <f>IF($B165="","",IF(COUNTIF('Competency Event Log'!$U$4:$U$803,$B165&amp;"|"&amp;Q$5)=0,"",SUMIF('Competency Event Log'!$U$4:$U$803,$B165&amp;"|"&amp;Q$5,'Competency Event Log'!$D$4:$D$803)))</f>
        <v/>
      </c>
      <c r="R165" s="8" t="str">
        <f>IF($B165="","",IF(COUNTIF('Competency Event Log'!$U$4:$U$803,$B165&amp;"|"&amp;R$5)=0,"",SUMIF('Competency Event Log'!$U$4:$U$803,$B165&amp;"|"&amp;R$5,'Competency Event Log'!$D$4:$D$803)))</f>
        <v/>
      </c>
      <c r="S165" s="8" t="str">
        <f>IF($B165="","",IF(COUNTIF('Competency Event Log'!$U$4:$U$803,$B165&amp;"|"&amp;S$5)=0,"",SUMIF('Competency Event Log'!$U$4:$U$803,$B165&amp;"|"&amp;S$5,'Competency Event Log'!$D$4:$D$803)))</f>
        <v/>
      </c>
      <c r="T165" s="8" t="str">
        <f>IF($B165="","",IF(COUNTIF('Competency Event Log'!$U$4:$U$803,$B165&amp;"|"&amp;T$5)=0,"",SUMIF('Competency Event Log'!$U$4:$U$803,$B165&amp;"|"&amp;T$5,'Competency Event Log'!$D$4:$D$803)))</f>
        <v/>
      </c>
      <c r="U165" s="8" t="str">
        <f>IF($B165="","",IF(COUNTIF('Competency Event Log'!$U$4:$U$803,$B165&amp;"|"&amp;U$5)=0,"",SUMIF('Competency Event Log'!$U$4:$U$803,$B165&amp;"|"&amp;U$5,'Competency Event Log'!$D$4:$D$803)))</f>
        <v/>
      </c>
      <c r="V165" s="8" t="str">
        <f>IF($B165="","",IF(COUNTIF('Competency Event Log'!$U$4:$U$803,$B165&amp;"|"&amp;V$5)=0,"",SUMIF('Competency Event Log'!$U$4:$U$803,$B165&amp;"|"&amp;V$5,'Competency Event Log'!$D$4:$D$803)))</f>
        <v/>
      </c>
      <c r="W165" s="8" t="str">
        <f>IF($B165="","",IF(COUNTIF('Competency Event Log'!$U$4:$U$803,$B165&amp;"|"&amp;W$5)=0,"",SUMIF('Competency Event Log'!$U$4:$U$803,$B165&amp;"|"&amp;W$5,'Competency Event Log'!$D$4:$D$803)))</f>
        <v/>
      </c>
      <c r="X165" s="8" t="str">
        <f>IF($B165="","",IF(COUNTIF('Competency Event Log'!$U$4:$U$803,$B165&amp;"|"&amp;X$5)=0,"",SUMIF('Competency Event Log'!$U$4:$U$803,$B165&amp;"|"&amp;X$5,'Competency Event Log'!$D$4:$D$803)))</f>
        <v/>
      </c>
      <c r="Y165" s="8" t="str">
        <f>IF($B165="","",IF(COUNTIF('Competency Event Log'!$U$4:$U$803,$B165&amp;"|"&amp;Y$5)=0,"",SUMIF('Competency Event Log'!$U$4:$U$803,$B165&amp;"|"&amp;Y$5,'Competency Event Log'!$D$4:$D$803)))</f>
        <v/>
      </c>
      <c r="Z165" s="8" t="str">
        <f>IF($B165="","",IF(COUNTIF('Competency Event Log'!$U$4:$U$803,$B165&amp;"|"&amp;Z$5)=0,"",SUMIF('Competency Event Log'!$U$4:$U$803,$B165&amp;"|"&amp;Z$5,'Competency Event Log'!$D$4:$D$803)))</f>
        <v/>
      </c>
      <c r="AA165" s="8" t="str">
        <f>IF($B165="","",IF(COUNTIF('Competency Event Log'!$U$4:$U$803,$B165&amp;"|"&amp;AA$5)=0,"",SUMIF('Competency Event Log'!$U$4:$U$803,$B165&amp;"|"&amp;AA$5,'Competency Event Log'!$D$4:$D$803)))</f>
        <v/>
      </c>
      <c r="AB165" s="8" t="str">
        <f>IF($B165="","",IF(COUNTIF('Competency Event Log'!$U$4:$U$803,$B165&amp;"|"&amp;AB$5)=0,"",SUMIF('Competency Event Log'!$U$4:$U$803,$B165&amp;"|"&amp;AB$5,'Competency Event Log'!$D$4:$D$803)))</f>
        <v/>
      </c>
      <c r="AC165" s="8" t="str">
        <f>IF($B165="","",IF(COUNTIF('Competency Event Log'!$U$4:$U$803,$B165&amp;"|"&amp;AC$5)=0,"",SUMIF('Competency Event Log'!$U$4:$U$803,$B165&amp;"|"&amp;AC$5,'Competency Event Log'!$D$4:$D$803)))</f>
        <v/>
      </c>
      <c r="AD165" s="8" t="str">
        <f>IF($B165="","",IF(COUNTIF('Competency Event Log'!$U$4:$U$803,$B165&amp;"|"&amp;AD$5)=0,"",SUMIF('Competency Event Log'!$U$4:$U$803,$B165&amp;"|"&amp;AD$5,'Competency Event Log'!$D$4:$D$803)))</f>
        <v/>
      </c>
      <c r="AE165" s="8" t="str">
        <f>IF($B165="","",IF(COUNTIF('Competency Event Log'!$U$4:$U$803,$B165&amp;"|"&amp;AE$5)=0,"",SUMIF('Competency Event Log'!$U$4:$U$803,$B165&amp;"|"&amp;AE$5,'Competency Event Log'!$D$4:$D$803)))</f>
        <v/>
      </c>
      <c r="AF165" s="8" t="str">
        <f>IF($B165="","",IF(COUNTIF('Competency Event Log'!$U$4:$U$803,$B165&amp;"|"&amp;AF$5)=0,"",SUMIF('Competency Event Log'!$U$4:$U$803,$B165&amp;"|"&amp;AF$5,'Competency Event Log'!$D$4:$D$803)))</f>
        <v/>
      </c>
      <c r="AG165" s="8" t="str">
        <f>IF($B165="","",IF(COUNTIF('Competency Event Log'!$U$4:$U$803,$B165&amp;"|"&amp;AG$5)=0,"",SUMIF('Competency Event Log'!$U$4:$U$803,$B165&amp;"|"&amp;AG$5,'Competency Event Log'!$D$4:$D$803)))</f>
        <v/>
      </c>
      <c r="AH165" s="8" t="str">
        <f>IF($B165="","",IF(COUNTIF('Competency Event Log'!$U$4:$U$803,$B165&amp;"|"&amp;AH$5)=0,"",SUMIF('Competency Event Log'!$U$4:$U$803,$B165&amp;"|"&amp;AH$5,'Competency Event Log'!$D$4:$D$803)))</f>
        <v/>
      </c>
      <c r="AI165" s="8" t="str">
        <f>IF($B165="","",IF(COUNTIF('Competency Event Log'!$U$4:$U$803,$B165&amp;"|"&amp;AI$5)=0,"",SUMIF('Competency Event Log'!$U$4:$U$803,$B165&amp;"|"&amp;AI$5,'Competency Event Log'!$D$4:$D$803)))</f>
        <v/>
      </c>
      <c r="AJ165" s="8" t="str">
        <f>IF($B165="","",IF(COUNTIF('Competency Event Log'!$U$4:$U$803,$B165&amp;"|"&amp;AJ$5)=0,"",SUMIF('Competency Event Log'!$U$4:$U$803,$B165&amp;"|"&amp;AJ$5,'Competency Event Log'!$D$4:$D$803)))</f>
        <v/>
      </c>
      <c r="AK165" s="8" t="str">
        <f>IF($B165="","",IF(COUNTIF('Competency Event Log'!$U$4:$U$803,$B165&amp;"|"&amp;AK$5)=0,"",SUMIF('Competency Event Log'!$U$4:$U$803,$B165&amp;"|"&amp;AK$5,'Competency Event Log'!$D$4:$D$803)))</f>
        <v/>
      </c>
      <c r="AL165" s="8" t="str">
        <f>IF($B165="","",IF(COUNTIF('Competency Event Log'!$U$4:$U$803,$B165&amp;"|"&amp;AL$5)=0,"",SUMIF('Competency Event Log'!$U$4:$U$803,$B165&amp;"|"&amp;AL$5,'Competency Event Log'!$D$4:$D$803)))</f>
        <v/>
      </c>
      <c r="AM165" s="8" t="str">
        <f>IF($B165="","",IF(COUNTIF('Competency Event Log'!$U$4:$U$803,$B165&amp;"|"&amp;AM$5)=0,"",SUMIF('Competency Event Log'!$U$4:$U$803,$B165&amp;"|"&amp;AM$5,'Competency Event Log'!$D$4:$D$803)))</f>
        <v/>
      </c>
      <c r="AN165" s="8" t="str">
        <f>IF($B165="","",IF(COUNTIF('Competency Event Log'!$U$4:$U$803,$B165&amp;"|"&amp;AN$5)=0,"",SUMIF('Competency Event Log'!$U$4:$U$803,$B165&amp;"|"&amp;AN$5,'Competency Event Log'!$D$4:$D$803)))</f>
        <v/>
      </c>
      <c r="AO165" s="8" t="str">
        <f>IF($B165="","",IF(COUNTIF('Competency Event Log'!$U$4:$U$803,$B165&amp;"|"&amp;AO$5)=0,"",SUMIF('Competency Event Log'!$U$4:$U$803,$B165&amp;"|"&amp;AO$5,'Competency Event Log'!$D$4:$D$803)))</f>
        <v/>
      </c>
      <c r="AP165" s="8" t="str">
        <f>IF($B165="","",IF(COUNTIF('Competency Event Log'!$U$4:$U$803,$B165&amp;"|"&amp;AP$5)=0,"",SUMIF('Competency Event Log'!$U$4:$U$803,$B165&amp;"|"&amp;AP$5,'Competency Event Log'!$D$4:$D$803)))</f>
        <v/>
      </c>
      <c r="AQ165" s="8" t="str">
        <f>IF($B165="","",IF(COUNTIF('Competency Event Log'!$U$4:$U$803,$B165&amp;"|"&amp;AQ$5)=0,"",SUMIF('Competency Event Log'!$U$4:$U$803,$B165&amp;"|"&amp;AQ$5,'Competency Event Log'!$D$4:$D$803)))</f>
        <v/>
      </c>
      <c r="AR165" s="8" t="str">
        <f>IF($B165="","",IF(COUNTIF('Competency Event Log'!$U$4:$U$803,$B165&amp;"|"&amp;AR$5)=0,"",SUMIF('Competency Event Log'!$U$4:$U$803,$B165&amp;"|"&amp;AR$5,'Competency Event Log'!$D$4:$D$803)))</f>
        <v/>
      </c>
      <c r="AS165" s="8" t="str">
        <f>IF($B165="","",IF(COUNTIF('Competency Event Log'!$U$4:$U$803,$B165&amp;"|"&amp;AS$5)=0,"",SUMIF('Competency Event Log'!$U$4:$U$803,$B165&amp;"|"&amp;AS$5,'Competency Event Log'!$D$4:$D$803)))</f>
        <v/>
      </c>
      <c r="AT165" s="8" t="str">
        <f>IF($B165="","",IF(COUNTIF('Competency Event Log'!$U$4:$U$803,$B165&amp;"|"&amp;AT$5)=0,"",SUMIF('Competency Event Log'!$U$4:$U$803,$B165&amp;"|"&amp;AT$5,'Competency Event Log'!$D$4:$D$803)))</f>
        <v/>
      </c>
      <c r="AU165" s="8" t="str">
        <f>IF($B165="","",IF(COUNTIF('Competency Event Log'!$U$4:$U$803,$B165&amp;"|"&amp;AU$5)=0,"",SUMIF('Competency Event Log'!$U$4:$U$803,$B165&amp;"|"&amp;AU$5,'Competency Event Log'!$D$4:$D$803)))</f>
        <v/>
      </c>
      <c r="AV165" s="8" t="str">
        <f>IF($B165="","",IF(COUNTIF('Competency Event Log'!$U$4:$U$803,$B165&amp;"|"&amp;AV$5)=0,"",SUMIF('Competency Event Log'!$U$4:$U$803,$B165&amp;"|"&amp;AV$5,'Competency Event Log'!$D$4:$D$803)))</f>
        <v/>
      </c>
      <c r="AW165" s="8" t="str">
        <f>IF($B165="","",IF(COUNTIF('Competency Event Log'!$U$4:$U$803,$B165&amp;"|"&amp;AW$5)=0,"",SUMIF('Competency Event Log'!$U$4:$U$803,$B165&amp;"|"&amp;AW$5,'Competency Event Log'!$D$4:$D$803)))</f>
        <v/>
      </c>
      <c r="AX165" s="8" t="str">
        <f>IF($B165="","",IF(COUNTIF('Competency Event Log'!$U$4:$U$803,$B165&amp;"|"&amp;AX$5)=0,"",SUMIF('Competency Event Log'!$U$4:$U$803,$B165&amp;"|"&amp;AX$5,'Competency Event Log'!$D$4:$D$803)))</f>
        <v/>
      </c>
      <c r="AY165" s="8" t="str">
        <f>IF($B165="","",IF(COUNTIF('Competency Event Log'!$U$4:$U$803,$B165&amp;"|"&amp;AY$5)=0,"",SUMIF('Competency Event Log'!$U$4:$U$803,$B165&amp;"|"&amp;AY$5,'Competency Event Log'!$D$4:$D$803)))</f>
        <v/>
      </c>
      <c r="AZ165" s="8" t="str">
        <f>IF($B165="","",IF(COUNTIF('Competency Event Log'!$U$4:$U$803,$B165&amp;"|"&amp;AZ$5)=0,"",SUMIF('Competency Event Log'!$U$4:$U$803,$B165&amp;"|"&amp;AZ$5,'Competency Event Log'!$D$4:$D$803)))</f>
        <v/>
      </c>
      <c r="BA165" s="8" t="str">
        <f>IF($B165="","",IF(COUNTIF('Competency Event Log'!$U$4:$U$803,$B165&amp;"|"&amp;BA$5)=0,"",SUMIF('Competency Event Log'!$U$4:$U$803,$B165&amp;"|"&amp;BA$5,'Competency Event Log'!$D$4:$D$803)))</f>
        <v/>
      </c>
      <c r="BB165" s="8" t="str">
        <f>IF($B165="","",IF(COUNTIF('Competency Event Log'!$U$4:$U$803,$B165&amp;"|"&amp;BB$5)=0,"",SUMIF('Competency Event Log'!$U$4:$U$803,$B165&amp;"|"&amp;BB$5,'Competency Event Log'!$D$4:$D$803)))</f>
        <v/>
      </c>
      <c r="BC165" s="8" t="str">
        <f>IF($B165="","",IF(COUNTIF('Competency Event Log'!$U$4:$U$803,$B165&amp;"|"&amp;BC$5)=0,"",SUMIF('Competency Event Log'!$U$4:$U$803,$B165&amp;"|"&amp;BC$5,'Competency Event Log'!$D$4:$D$803)))</f>
        <v/>
      </c>
      <c r="BD165" s="8" t="str">
        <f>IF($B165="","",IF(COUNTIF('Competency Event Log'!$U$4:$U$803,$B165&amp;"|"&amp;BD$5)=0,"",SUMIF('Competency Event Log'!$U$4:$U$803,$B165&amp;"|"&amp;BD$5,'Competency Event Log'!$D$4:$D$803)))</f>
        <v/>
      </c>
      <c r="BE165" s="8" t="str">
        <f>IF($B165="","",IF(COUNTIF('Competency Event Log'!$U$4:$U$803,$B165&amp;"|"&amp;BE$5)=0,"",SUMIF('Competency Event Log'!$U$4:$U$803,$B165&amp;"|"&amp;BE$5,'Competency Event Log'!$D$4:$D$803)))</f>
        <v/>
      </c>
      <c r="BF165" s="8" t="str">
        <f>IF($B165="","",IF(COUNTIF('Competency Event Log'!$U$4:$U$803,$B165&amp;"|"&amp;BF$5)=0,"",SUMIF('Competency Event Log'!$U$4:$U$803,$B165&amp;"|"&amp;BF$5,'Competency Event Log'!$D$4:$D$803)))</f>
        <v/>
      </c>
      <c r="BG165" s="8" t="str">
        <f>IF($B165="","",IF(COUNTIF('Competency Event Log'!$U$4:$U$803,$B165&amp;"|"&amp;BG$5)=0,"",SUMIF('Competency Event Log'!$U$4:$U$803,$B165&amp;"|"&amp;BG$5,'Competency Event Log'!$D$4:$D$803)))</f>
        <v/>
      </c>
      <c r="BH165" s="8" t="str">
        <f>IF($B165="","",IF(COUNTIF('Competency Event Log'!$U$4:$U$803,$B165&amp;"|"&amp;BH$5)=0,"",SUMIF('Competency Event Log'!$U$4:$U$803,$B165&amp;"|"&amp;BH$5,'Competency Event Log'!$D$4:$D$803)))</f>
        <v/>
      </c>
      <c r="BI165" s="8" t="str">
        <f>IF($B165="","",IF(COUNTIF('Competency Event Log'!$U$4:$U$803,$B165&amp;"|"&amp;BI$5)=0,"",SUMIF('Competency Event Log'!$U$4:$U$803,$B165&amp;"|"&amp;BI$5,'Competency Event Log'!$D$4:$D$803)))</f>
        <v/>
      </c>
      <c r="BJ165" s="8" t="str">
        <f>IF($B165="","",IF(COUNTIF('Competency Event Log'!$U$4:$U$803,$B165&amp;"|"&amp;BJ$5)=0,"",SUMIF('Competency Event Log'!$U$4:$U$803,$B165&amp;"|"&amp;BJ$5,'Competency Event Log'!$D$4:$D$803)))</f>
        <v/>
      </c>
      <c r="BK165" s="8" t="str">
        <f>IF($B165="","",IF(COUNTIF('Competency Event Log'!$U$4:$U$803,$B165&amp;"|"&amp;BK$5)=0,"",SUMIF('Competency Event Log'!$U$4:$U$803,$B165&amp;"|"&amp;BK$5,'Competency Event Log'!$D$4:$D$803)))</f>
        <v/>
      </c>
      <c r="BL165" s="8" t="str">
        <f>IF($B165="","",IF(COUNTIF('Competency Event Log'!$U$4:$U$803,$B165&amp;"|"&amp;BL$5)=0,"",SUMIF('Competency Event Log'!$U$4:$U$803,$B165&amp;"|"&amp;BL$5,'Competency Event Log'!$D$4:$D$803)))</f>
        <v/>
      </c>
      <c r="BM165" s="8" t="str">
        <f>IF($B165="","",IF(COUNTIF('Competency Event Log'!$U$4:$U$803,$B165&amp;"|"&amp;BM$5)=0,"",SUMIF('Competency Event Log'!$U$4:$U$803,$B165&amp;"|"&amp;BM$5,'Competency Event Log'!$D$4:$D$803)))</f>
        <v/>
      </c>
      <c r="BN165" s="8" t="str">
        <f>IF($B165="","",IF(COUNTIF('Competency Event Log'!$U$4:$U$803,$B165&amp;"|"&amp;BN$5)=0,"",SUMIF('Competency Event Log'!$U$4:$U$803,$B165&amp;"|"&amp;BN$5,'Competency Event Log'!$D$4:$D$803)))</f>
        <v/>
      </c>
      <c r="BO165" s="8" t="str">
        <f>IF($B165="","",IF(COUNTIF('Competency Event Log'!$U$4:$U$803,$B165&amp;"|"&amp;BO$5)=0,"",SUMIF('Competency Event Log'!$U$4:$U$803,$B165&amp;"|"&amp;BO$5,'Competency Event Log'!$D$4:$D$803)))</f>
        <v/>
      </c>
      <c r="BP165" s="8" t="str">
        <f>IF($B165="","",IF(COUNTIF('Competency Event Log'!$U$4:$U$803,$B165&amp;"|"&amp;BP$5)=0,"",SUMIF('Competency Event Log'!$U$4:$U$803,$B165&amp;"|"&amp;BP$5,'Competency Event Log'!$D$4:$D$803)))</f>
        <v/>
      </c>
      <c r="BQ165" s="8" t="str">
        <f>IF($B165="","",IF(COUNTIF('Competency Event Log'!$U$4:$U$803,$B165&amp;"|"&amp;BQ$5)=0,"",SUMIF('Competency Event Log'!$U$4:$U$803,$B165&amp;"|"&amp;BQ$5,'Competency Event Log'!$D$4:$D$803)))</f>
        <v/>
      </c>
      <c r="BR165" s="8" t="str">
        <f>IF($B165="","",IF(COUNTIF('Competency Event Log'!$U$4:$U$803,$B165&amp;"|"&amp;BR$5)=0,"",SUMIF('Competency Event Log'!$U$4:$U$803,$B165&amp;"|"&amp;BR$5,'Competency Event Log'!$D$4:$D$803)))</f>
        <v/>
      </c>
      <c r="BS165" s="8" t="str">
        <f>IF($B165="","",IF(COUNTIF('Competency Event Log'!$U$4:$U$803,$B165&amp;"|"&amp;BS$5)=0,"",SUMIF('Competency Event Log'!$U$4:$U$803,$B165&amp;"|"&amp;BS$5,'Competency Event Log'!$D$4:$D$803)))</f>
        <v/>
      </c>
      <c r="BT165" s="8" t="str">
        <f>IF($B165="","",IF(COUNTIF('Competency Event Log'!$U$4:$U$803,$B165&amp;"|"&amp;BT$5)=0,"",SUMIF('Competency Event Log'!$U$4:$U$803,$B165&amp;"|"&amp;BT$5,'Competency Event Log'!$D$4:$D$803)))</f>
        <v/>
      </c>
      <c r="BU165" s="8" t="str">
        <f>IF($B165="","",IF(COUNTIF('Competency Event Log'!$U$4:$U$803,$B165&amp;"|"&amp;BU$5)=0,"",SUMIF('Competency Event Log'!$U$4:$U$803,$B165&amp;"|"&amp;BU$5,'Competency Event Log'!$D$4:$D$803)))</f>
        <v/>
      </c>
      <c r="BV165" s="8" t="str">
        <f>IF($B165="","",IF(COUNTIF('Competency Event Log'!$U$4:$U$803,$B165&amp;"|"&amp;BV$5)=0,"",SUMIF('Competency Event Log'!$U$4:$U$803,$B165&amp;"|"&amp;BV$5,'Competency Event Log'!$D$4:$D$803)))</f>
        <v/>
      </c>
      <c r="BW165" s="8" t="str">
        <f>IF($B165="","",IF(COUNTIF('Competency Event Log'!$U$4:$U$803,$B165&amp;"|"&amp;BW$5)=0,"",SUMIF('Competency Event Log'!$U$4:$U$803,$B165&amp;"|"&amp;BW$5,'Competency Event Log'!$D$4:$D$803)))</f>
        <v/>
      </c>
      <c r="BX165" s="8" t="str">
        <f>IF($B165="","",IF(COUNTIF('Competency Event Log'!$U$4:$U$803,$B165&amp;"|"&amp;BX$5)=0,"",SUMIF('Competency Event Log'!$U$4:$U$803,$B165&amp;"|"&amp;BX$5,'Competency Event Log'!$D$4:$D$803)))</f>
        <v/>
      </c>
      <c r="BY165" s="8" t="str">
        <f>IF($B165="","",IF(COUNTIF('Competency Event Log'!$U$4:$U$803,$B165&amp;"|"&amp;BY$5)=0,"",SUMIF('Competency Event Log'!$U$4:$U$803,$B165&amp;"|"&amp;BY$5,'Competency Event Log'!$D$4:$D$803)))</f>
        <v/>
      </c>
      <c r="BZ165" s="8" t="str">
        <f>IF($B165="","",IF(COUNTIF('Competency Event Log'!$U$4:$U$803,$B165&amp;"|"&amp;BZ$5)=0,"",SUMIF('Competency Event Log'!$U$4:$U$803,$B165&amp;"|"&amp;BZ$5,'Competency Event Log'!$D$4:$D$803)))</f>
        <v/>
      </c>
      <c r="CA165" s="8" t="str">
        <f>IF($B165="","",IF(COUNTIF('Competency Event Log'!$U$4:$U$803,$B165&amp;"|"&amp;CA$5)=0,"",SUMIF('Competency Event Log'!$U$4:$U$803,$B165&amp;"|"&amp;CA$5,'Competency Event Log'!$D$4:$D$803)))</f>
        <v/>
      </c>
      <c r="CB165" s="8" t="str">
        <f>IF($B165="","",IF(COUNTIF('Competency Event Log'!$U$4:$U$803,$B165&amp;"|"&amp;CB$5)=0,"",SUMIF('Competency Event Log'!$U$4:$U$803,$B165&amp;"|"&amp;CB$5,'Competency Event Log'!$D$4:$D$803)))</f>
        <v/>
      </c>
      <c r="CC165" s="8" t="str">
        <f>IF($B165="","",IF(COUNTIF('Competency Event Log'!$U$4:$U$803,$B165&amp;"|"&amp;CC$5)=0,"",SUMIF('Competency Event Log'!$U$4:$U$803,$B165&amp;"|"&amp;CC$5,'Competency Event Log'!$D$4:$D$803)))</f>
        <v/>
      </c>
      <c r="CD165" s="8" t="str">
        <f>IF($B165="","",IF(COUNTIF('Competency Event Log'!$U$4:$U$803,$B165&amp;"|"&amp;CD$5)=0,"",SUMIF('Competency Event Log'!$U$4:$U$803,$B165&amp;"|"&amp;CD$5,'Competency Event Log'!$D$4:$D$803)))</f>
        <v/>
      </c>
      <c r="CE165" s="8" t="str">
        <f>IF($B165="","",IF(COUNTIF('Competency Event Log'!$U$4:$U$803,$B165&amp;"|"&amp;CE$5)=0,"",SUMIF('Competency Event Log'!$U$4:$U$803,$B165&amp;"|"&amp;CE$5,'Competency Event Log'!$D$4:$D$803)))</f>
        <v/>
      </c>
      <c r="CF165" s="8" t="str">
        <f>IF($B165="","",IF(COUNTIF('Competency Event Log'!$U$4:$U$803,$B165&amp;"|"&amp;CF$5)=0,"",SUMIF('Competency Event Log'!$U$4:$U$803,$B165&amp;"|"&amp;CF$5,'Competency Event Log'!$D$4:$D$803)))</f>
        <v/>
      </c>
      <c r="CG165" s="8" t="str">
        <f>IF($B165="","",IF(COUNTIF('Competency Event Log'!$U$4:$U$803,$B165&amp;"|"&amp;CG$5)=0,"",SUMIF('Competency Event Log'!$U$4:$U$803,$B165&amp;"|"&amp;CG$5,'Competency Event Log'!$D$4:$D$803)))</f>
        <v/>
      </c>
      <c r="CH165" s="8" t="str">
        <f>IF($B165="","",IF(COUNTIF('Competency Event Log'!$U$4:$U$803,$B165&amp;"|"&amp;CH$5)=0,"",SUMIF('Competency Event Log'!$U$4:$U$803,$B165&amp;"|"&amp;CH$5,'Competency Event Log'!$D$4:$D$803)))</f>
        <v/>
      </c>
      <c r="CI165" s="8" t="str">
        <f>IF($B165="","",IF(COUNTIF('Competency Event Log'!$U$4:$U$803,$B165&amp;"|"&amp;CI$5)=0,"",SUMIF('Competency Event Log'!$U$4:$U$803,$B165&amp;"|"&amp;CI$5,'Competency Event Log'!$D$4:$D$803)))</f>
        <v/>
      </c>
      <c r="CJ165" s="8" t="str">
        <f>IF($B165="","",IF(COUNTIF('Competency Event Log'!$U$4:$U$803,$B165&amp;"|"&amp;CJ$5)=0,"",SUMIF('Competency Event Log'!$U$4:$U$803,$B165&amp;"|"&amp;CJ$5,'Competency Event Log'!$D$4:$D$803)))</f>
        <v/>
      </c>
      <c r="CK165" s="8" t="str">
        <f>IF($B165="","",IF(COUNTIF('Competency Event Log'!$U$4:$U$803,$B165&amp;"|"&amp;CK$5)=0,"",SUMIF('Competency Event Log'!$U$4:$U$803,$B165&amp;"|"&amp;CK$5,'Competency Event Log'!$D$4:$D$803)))</f>
        <v/>
      </c>
      <c r="CL165" s="8" t="str">
        <f>IF($B165="","",IF(COUNTIF('Competency Event Log'!$U$4:$U$803,$B165&amp;"|"&amp;CL$5)=0,"",SUMIF('Competency Event Log'!$U$4:$U$803,$B165&amp;"|"&amp;CL$5,'Competency Event Log'!$D$4:$D$803)))</f>
        <v/>
      </c>
      <c r="CM165" s="8" t="str">
        <f>IF($B165="","",IF(COUNTIF('Competency Event Log'!$U$4:$U$803,$B165&amp;"|"&amp;CM$5)=0,"",SUMIF('Competency Event Log'!$U$4:$U$803,$B165&amp;"|"&amp;CM$5,'Competency Event Log'!$D$4:$D$803)))</f>
        <v/>
      </c>
      <c r="CN165" s="8" t="str">
        <f>IF($B165="","",IF(COUNTIF('Competency Event Log'!$U$4:$U$803,$B165&amp;"|"&amp;CN$5)=0,"",SUMIF('Competency Event Log'!$U$4:$U$803,$B165&amp;"|"&amp;CN$5,'Competency Event Log'!$D$4:$D$803)))</f>
        <v/>
      </c>
      <c r="CO165" s="8" t="str">
        <f>IF($B165="","",IF(COUNTIF('Competency Event Log'!$U$4:$U$803,$B165&amp;"|"&amp;CO$5)=0,"",SUMIF('Competency Event Log'!$U$4:$U$803,$B165&amp;"|"&amp;CO$5,'Competency Event Log'!$D$4:$D$803)))</f>
        <v/>
      </c>
      <c r="CP165" s="8" t="str">
        <f>IF($B165="","",IF(COUNTIF('Competency Event Log'!$U$4:$U$803,$B165&amp;"|"&amp;CP$5)=0,"",SUMIF('Competency Event Log'!$U$4:$U$803,$B165&amp;"|"&amp;CP$5,'Competency Event Log'!$D$4:$D$803)))</f>
        <v/>
      </c>
      <c r="CQ165" s="8" t="str">
        <f>IF($B165="","",IF(COUNTIF('Competency Event Log'!$U$4:$U$803,$B165&amp;"|"&amp;CQ$5)=0,"",SUMIF('Competency Event Log'!$U$4:$U$803,$B165&amp;"|"&amp;CQ$5,'Competency Event Log'!$D$4:$D$803)))</f>
        <v/>
      </c>
      <c r="CR165" s="8" t="str">
        <f>IF($B165="","",IF(COUNTIF('Competency Event Log'!$U$4:$U$803,$B165&amp;"|"&amp;CR$5)=0,"",SUMIF('Competency Event Log'!$U$4:$U$803,$B165&amp;"|"&amp;CR$5,'Competency Event Log'!$D$4:$D$803)))</f>
        <v/>
      </c>
      <c r="CS165" s="8" t="str">
        <f>IF($B165="","",IF(COUNTIF('Competency Event Log'!$U$4:$U$803,$B165&amp;"|"&amp;CS$5)=0,"",SUMIF('Competency Event Log'!$U$4:$U$803,$B165&amp;"|"&amp;CS$5,'Competency Event Log'!$D$4:$D$803)))</f>
        <v/>
      </c>
      <c r="CT165" s="8" t="str">
        <f>IF($B165="","",IF(COUNTIF('Competency Event Log'!$U$4:$U$803,$B165&amp;"|"&amp;CT$5)=0,"",SUMIF('Competency Event Log'!$U$4:$U$803,$B165&amp;"|"&amp;CT$5,'Competency Event Log'!$D$4:$D$803)))</f>
        <v/>
      </c>
      <c r="CU165" s="8" t="str">
        <f>IF($B165="","",IF(COUNTIF('Competency Event Log'!$U$4:$U$803,$B165&amp;"|"&amp;CU$5)=0,"",SUMIF('Competency Event Log'!$U$4:$U$803,$B165&amp;"|"&amp;CU$5,'Competency Event Log'!$D$4:$D$803)))</f>
        <v/>
      </c>
      <c r="CV165" s="8" t="str">
        <f>IF($B165="","",IF(COUNTIF('Competency Event Log'!$U$4:$U$803,$B165&amp;"|"&amp;CV$5)=0,"",SUMIF('Competency Event Log'!$U$4:$U$803,$B165&amp;"|"&amp;CV$5,'Competency Event Log'!$D$4:$D$803)))</f>
        <v/>
      </c>
      <c r="CW165" s="8" t="str">
        <f>IF($B165="","",IF(COUNTIF('Competency Event Log'!$U$4:$U$803,$B165&amp;"|"&amp;CW$5)=0,"",SUMIF('Competency Event Log'!$U$4:$U$803,$B165&amp;"|"&amp;CW$5,'Competency Event Log'!$D$4:$D$803)))</f>
        <v/>
      </c>
      <c r="CX165" s="8" t="str">
        <f>IF($B165="","",IF(COUNTIF('Competency Event Log'!$U$4:$U$803,$B165&amp;"|"&amp;CX$5)=0,"",SUMIF('Competency Event Log'!$U$4:$U$803,$B165&amp;"|"&amp;CX$5,'Competency Event Log'!$D$4:$D$803)))</f>
        <v/>
      </c>
      <c r="CY165" s="8" t="str">
        <f>IF($B165="","",IF(COUNTIF('Competency Event Log'!$U$4:$U$803,$B165&amp;"|"&amp;CY$5)=0,"",SUMIF('Competency Event Log'!$U$4:$U$803,$B165&amp;"|"&amp;CY$5,'Competency Event Log'!$D$4:$D$803)))</f>
        <v/>
      </c>
      <c r="CZ165" s="8" t="str">
        <f>IF($B165="","",IF(COUNTIF('Competency Event Log'!$U$4:$U$803,$B165&amp;"|"&amp;CZ$5)=0,"",SUMIF('Competency Event Log'!$U$4:$U$803,$B165&amp;"|"&amp;CZ$5,'Competency Event Log'!$D$4:$D$803)))</f>
        <v/>
      </c>
      <c r="DA165" s="8" t="str">
        <f>IF($B165="","",IF(COUNTIF('Competency Event Log'!$U$4:$U$803,$B165&amp;"|"&amp;DA$5)=0,"",SUMIF('Competency Event Log'!$U$4:$U$803,$B165&amp;"|"&amp;DA$5,'Competency Event Log'!$D$4:$D$803)))</f>
        <v/>
      </c>
      <c r="DB165" s="8" t="str">
        <f>IF($B165="","",IF(COUNTIF('Competency Event Log'!$U$4:$U$803,$B165&amp;"|"&amp;DB$5)=0,"",SUMIF('Competency Event Log'!$U$4:$U$803,$B165&amp;"|"&amp;DB$5,'Competency Event Log'!$D$4:$D$803)))</f>
        <v/>
      </c>
      <c r="DC165" s="8" t="str">
        <f>IF($B165="","",IF(COUNTIF('Competency Event Log'!$U$4:$U$803,$B165&amp;"|"&amp;DC$5)=0,"",SUMIF('Competency Event Log'!$U$4:$U$803,$B165&amp;"|"&amp;DC$5,'Competency Event Log'!$D$4:$D$803)))</f>
        <v/>
      </c>
      <c r="DD165" s="8" t="str">
        <f>IF($B165="","",IF(COUNTIF('Competency Event Log'!$U$4:$U$803,$B165&amp;"|"&amp;DD$5)=0,"",SUMIF('Competency Event Log'!$U$4:$U$803,$B165&amp;"|"&amp;DD$5,'Competency Event Log'!$D$4:$D$803)))</f>
        <v/>
      </c>
      <c r="DE165" s="8" t="str">
        <f>IF($B165="","",IF(COUNTIF('Competency Event Log'!$U$4:$U$803,$B165&amp;"|"&amp;DE$5)=0,"",SUMIF('Competency Event Log'!$U$4:$U$803,$B165&amp;"|"&amp;DE$5,'Competency Event Log'!$D$4:$D$803)))</f>
        <v/>
      </c>
      <c r="DF165" s="8" t="str">
        <f t="shared" si="16"/>
        <v/>
      </c>
      <c r="DG165" s="8" t="str">
        <f t="shared" si="17"/>
        <v/>
      </c>
      <c r="DH165" s="8" t="str">
        <f t="shared" si="18"/>
        <v/>
      </c>
      <c r="DI165" s="11" t="str">
        <f t="shared" si="19"/>
        <v/>
      </c>
    </row>
    <row r="166" spans="1:113">
      <c r="A166" s="7"/>
      <c r="B166" s="7"/>
      <c r="C166" s="8"/>
      <c r="D166" s="9"/>
      <c r="E166" s="10"/>
      <c r="F166" s="8"/>
      <c r="G166" s="8" t="str">
        <f>IF($B166="","",IF(COUNTIF('Competency Event Log'!$U$4:$U$803,$B166&amp;"|"&amp;G$5)=0,"",SUMIF('Competency Event Log'!$U$4:$U$803,$B166&amp;"|"&amp;G$5,'Competency Event Log'!$D$4:$D$803)))</f>
        <v/>
      </c>
      <c r="H166" s="8" t="str">
        <f>IF($B166="","",IF(COUNTIF('Competency Event Log'!$U$4:$U$803,$B166&amp;"|"&amp;H$5)=0,"",SUMIF('Competency Event Log'!$U$4:$U$803,$B166&amp;"|"&amp;H$5,'Competency Event Log'!$D$4:$D$803)))</f>
        <v/>
      </c>
      <c r="I166" s="8" t="str">
        <f>IF($B166="","",IF(COUNTIF('Competency Event Log'!$U$4:$U$803,$B166&amp;"|"&amp;I$5)=0,"",SUMIF('Competency Event Log'!$U$4:$U$803,$B166&amp;"|"&amp;I$5,'Competency Event Log'!$D$4:$D$803)))</f>
        <v/>
      </c>
      <c r="J166" s="8" t="str">
        <f>IF($B166="","",IF(COUNTIF('Competency Event Log'!$U$4:$U$803,$B166&amp;"|"&amp;J$5)=0,"",SUMIF('Competency Event Log'!$U$4:$U$803,$B166&amp;"|"&amp;J$5,'Competency Event Log'!$D$4:$D$803)))</f>
        <v/>
      </c>
      <c r="K166" s="8" t="str">
        <f>IF($B166="","",IF(COUNTIF('Competency Event Log'!$U$4:$U$803,$B166&amp;"|"&amp;K$5)=0,"",SUMIF('Competency Event Log'!$U$4:$U$803,$B166&amp;"|"&amp;K$5,'Competency Event Log'!$D$4:$D$803)))</f>
        <v/>
      </c>
      <c r="L166" s="8" t="str">
        <f>IF($B166="","",IF(COUNTIF('Competency Event Log'!$U$4:$U$803,$B166&amp;"|"&amp;L$5)=0,"",SUMIF('Competency Event Log'!$U$4:$U$803,$B166&amp;"|"&amp;L$5,'Competency Event Log'!$D$4:$D$803)))</f>
        <v/>
      </c>
      <c r="M166" s="8" t="str">
        <f>IF($B166="","",IF(COUNTIF('Competency Event Log'!$U$4:$U$803,$B166&amp;"|"&amp;M$5)=0,"",SUMIF('Competency Event Log'!$U$4:$U$803,$B166&amp;"|"&amp;M$5,'Competency Event Log'!$D$4:$D$803)))</f>
        <v/>
      </c>
      <c r="N166" s="8" t="str">
        <f>IF($B166="","",IF(COUNTIF('Competency Event Log'!$U$4:$U$803,$B166&amp;"|"&amp;N$5)=0,"",SUMIF('Competency Event Log'!$U$4:$U$803,$B166&amp;"|"&amp;N$5,'Competency Event Log'!$D$4:$D$803)))</f>
        <v/>
      </c>
      <c r="O166" s="8" t="str">
        <f>IF($B166="","",IF(COUNTIF('Competency Event Log'!$U$4:$U$803,$B166&amp;"|"&amp;O$5)=0,"",SUMIF('Competency Event Log'!$U$4:$U$803,$B166&amp;"|"&amp;O$5,'Competency Event Log'!$D$4:$D$803)))</f>
        <v/>
      </c>
      <c r="P166" s="8" t="str">
        <f>IF($B166="","",IF(COUNTIF('Competency Event Log'!$U$4:$U$803,$B166&amp;"|"&amp;P$5)=0,"",SUMIF('Competency Event Log'!$U$4:$U$803,$B166&amp;"|"&amp;P$5,'Competency Event Log'!$D$4:$D$803)))</f>
        <v/>
      </c>
      <c r="Q166" s="8" t="str">
        <f>IF($B166="","",IF(COUNTIF('Competency Event Log'!$U$4:$U$803,$B166&amp;"|"&amp;Q$5)=0,"",SUMIF('Competency Event Log'!$U$4:$U$803,$B166&amp;"|"&amp;Q$5,'Competency Event Log'!$D$4:$D$803)))</f>
        <v/>
      </c>
      <c r="R166" s="8" t="str">
        <f>IF($B166="","",IF(COUNTIF('Competency Event Log'!$U$4:$U$803,$B166&amp;"|"&amp;R$5)=0,"",SUMIF('Competency Event Log'!$U$4:$U$803,$B166&amp;"|"&amp;R$5,'Competency Event Log'!$D$4:$D$803)))</f>
        <v/>
      </c>
      <c r="S166" s="8" t="str">
        <f>IF($B166="","",IF(COUNTIF('Competency Event Log'!$U$4:$U$803,$B166&amp;"|"&amp;S$5)=0,"",SUMIF('Competency Event Log'!$U$4:$U$803,$B166&amp;"|"&amp;S$5,'Competency Event Log'!$D$4:$D$803)))</f>
        <v/>
      </c>
      <c r="T166" s="8" t="str">
        <f>IF($B166="","",IF(COUNTIF('Competency Event Log'!$U$4:$U$803,$B166&amp;"|"&amp;T$5)=0,"",SUMIF('Competency Event Log'!$U$4:$U$803,$B166&amp;"|"&amp;T$5,'Competency Event Log'!$D$4:$D$803)))</f>
        <v/>
      </c>
      <c r="U166" s="8" t="str">
        <f>IF($B166="","",IF(COUNTIF('Competency Event Log'!$U$4:$U$803,$B166&amp;"|"&amp;U$5)=0,"",SUMIF('Competency Event Log'!$U$4:$U$803,$B166&amp;"|"&amp;U$5,'Competency Event Log'!$D$4:$D$803)))</f>
        <v/>
      </c>
      <c r="V166" s="8" t="str">
        <f>IF($B166="","",IF(COUNTIF('Competency Event Log'!$U$4:$U$803,$B166&amp;"|"&amp;V$5)=0,"",SUMIF('Competency Event Log'!$U$4:$U$803,$B166&amp;"|"&amp;V$5,'Competency Event Log'!$D$4:$D$803)))</f>
        <v/>
      </c>
      <c r="W166" s="8" t="str">
        <f>IF($B166="","",IF(COUNTIF('Competency Event Log'!$U$4:$U$803,$B166&amp;"|"&amp;W$5)=0,"",SUMIF('Competency Event Log'!$U$4:$U$803,$B166&amp;"|"&amp;W$5,'Competency Event Log'!$D$4:$D$803)))</f>
        <v/>
      </c>
      <c r="X166" s="8" t="str">
        <f>IF($B166="","",IF(COUNTIF('Competency Event Log'!$U$4:$U$803,$B166&amp;"|"&amp;X$5)=0,"",SUMIF('Competency Event Log'!$U$4:$U$803,$B166&amp;"|"&amp;X$5,'Competency Event Log'!$D$4:$D$803)))</f>
        <v/>
      </c>
      <c r="Y166" s="8" t="str">
        <f>IF($B166="","",IF(COUNTIF('Competency Event Log'!$U$4:$U$803,$B166&amp;"|"&amp;Y$5)=0,"",SUMIF('Competency Event Log'!$U$4:$U$803,$B166&amp;"|"&amp;Y$5,'Competency Event Log'!$D$4:$D$803)))</f>
        <v/>
      </c>
      <c r="Z166" s="8" t="str">
        <f>IF($B166="","",IF(COUNTIF('Competency Event Log'!$U$4:$U$803,$B166&amp;"|"&amp;Z$5)=0,"",SUMIF('Competency Event Log'!$U$4:$U$803,$B166&amp;"|"&amp;Z$5,'Competency Event Log'!$D$4:$D$803)))</f>
        <v/>
      </c>
      <c r="AA166" s="8" t="str">
        <f>IF($B166="","",IF(COUNTIF('Competency Event Log'!$U$4:$U$803,$B166&amp;"|"&amp;AA$5)=0,"",SUMIF('Competency Event Log'!$U$4:$U$803,$B166&amp;"|"&amp;AA$5,'Competency Event Log'!$D$4:$D$803)))</f>
        <v/>
      </c>
      <c r="AB166" s="8" t="str">
        <f>IF($B166="","",IF(COUNTIF('Competency Event Log'!$U$4:$U$803,$B166&amp;"|"&amp;AB$5)=0,"",SUMIF('Competency Event Log'!$U$4:$U$803,$B166&amp;"|"&amp;AB$5,'Competency Event Log'!$D$4:$D$803)))</f>
        <v/>
      </c>
      <c r="AC166" s="8" t="str">
        <f>IF($B166="","",IF(COUNTIF('Competency Event Log'!$U$4:$U$803,$B166&amp;"|"&amp;AC$5)=0,"",SUMIF('Competency Event Log'!$U$4:$U$803,$B166&amp;"|"&amp;AC$5,'Competency Event Log'!$D$4:$D$803)))</f>
        <v/>
      </c>
      <c r="AD166" s="8" t="str">
        <f>IF($B166="","",IF(COUNTIF('Competency Event Log'!$U$4:$U$803,$B166&amp;"|"&amp;AD$5)=0,"",SUMIF('Competency Event Log'!$U$4:$U$803,$B166&amp;"|"&amp;AD$5,'Competency Event Log'!$D$4:$D$803)))</f>
        <v/>
      </c>
      <c r="AE166" s="8" t="str">
        <f>IF($B166="","",IF(COUNTIF('Competency Event Log'!$U$4:$U$803,$B166&amp;"|"&amp;AE$5)=0,"",SUMIF('Competency Event Log'!$U$4:$U$803,$B166&amp;"|"&amp;AE$5,'Competency Event Log'!$D$4:$D$803)))</f>
        <v/>
      </c>
      <c r="AF166" s="8" t="str">
        <f>IF($B166="","",IF(COUNTIF('Competency Event Log'!$U$4:$U$803,$B166&amp;"|"&amp;AF$5)=0,"",SUMIF('Competency Event Log'!$U$4:$U$803,$B166&amp;"|"&amp;AF$5,'Competency Event Log'!$D$4:$D$803)))</f>
        <v/>
      </c>
      <c r="AG166" s="8" t="str">
        <f>IF($B166="","",IF(COUNTIF('Competency Event Log'!$U$4:$U$803,$B166&amp;"|"&amp;AG$5)=0,"",SUMIF('Competency Event Log'!$U$4:$U$803,$B166&amp;"|"&amp;AG$5,'Competency Event Log'!$D$4:$D$803)))</f>
        <v/>
      </c>
      <c r="AH166" s="8" t="str">
        <f>IF($B166="","",IF(COUNTIF('Competency Event Log'!$U$4:$U$803,$B166&amp;"|"&amp;AH$5)=0,"",SUMIF('Competency Event Log'!$U$4:$U$803,$B166&amp;"|"&amp;AH$5,'Competency Event Log'!$D$4:$D$803)))</f>
        <v/>
      </c>
      <c r="AI166" s="8" t="str">
        <f>IF($B166="","",IF(COUNTIF('Competency Event Log'!$U$4:$U$803,$B166&amp;"|"&amp;AI$5)=0,"",SUMIF('Competency Event Log'!$U$4:$U$803,$B166&amp;"|"&amp;AI$5,'Competency Event Log'!$D$4:$D$803)))</f>
        <v/>
      </c>
      <c r="AJ166" s="8" t="str">
        <f>IF($B166="","",IF(COUNTIF('Competency Event Log'!$U$4:$U$803,$B166&amp;"|"&amp;AJ$5)=0,"",SUMIF('Competency Event Log'!$U$4:$U$803,$B166&amp;"|"&amp;AJ$5,'Competency Event Log'!$D$4:$D$803)))</f>
        <v/>
      </c>
      <c r="AK166" s="8" t="str">
        <f>IF($B166="","",IF(COUNTIF('Competency Event Log'!$U$4:$U$803,$B166&amp;"|"&amp;AK$5)=0,"",SUMIF('Competency Event Log'!$U$4:$U$803,$B166&amp;"|"&amp;AK$5,'Competency Event Log'!$D$4:$D$803)))</f>
        <v/>
      </c>
      <c r="AL166" s="8" t="str">
        <f>IF($B166="","",IF(COUNTIF('Competency Event Log'!$U$4:$U$803,$B166&amp;"|"&amp;AL$5)=0,"",SUMIF('Competency Event Log'!$U$4:$U$803,$B166&amp;"|"&amp;AL$5,'Competency Event Log'!$D$4:$D$803)))</f>
        <v/>
      </c>
      <c r="AM166" s="8" t="str">
        <f>IF($B166="","",IF(COUNTIF('Competency Event Log'!$U$4:$U$803,$B166&amp;"|"&amp;AM$5)=0,"",SUMIF('Competency Event Log'!$U$4:$U$803,$B166&amp;"|"&amp;AM$5,'Competency Event Log'!$D$4:$D$803)))</f>
        <v/>
      </c>
      <c r="AN166" s="8" t="str">
        <f>IF($B166="","",IF(COUNTIF('Competency Event Log'!$U$4:$U$803,$B166&amp;"|"&amp;AN$5)=0,"",SUMIF('Competency Event Log'!$U$4:$U$803,$B166&amp;"|"&amp;AN$5,'Competency Event Log'!$D$4:$D$803)))</f>
        <v/>
      </c>
      <c r="AO166" s="8" t="str">
        <f>IF($B166="","",IF(COUNTIF('Competency Event Log'!$U$4:$U$803,$B166&amp;"|"&amp;AO$5)=0,"",SUMIF('Competency Event Log'!$U$4:$U$803,$B166&amp;"|"&amp;AO$5,'Competency Event Log'!$D$4:$D$803)))</f>
        <v/>
      </c>
      <c r="AP166" s="8" t="str">
        <f>IF($B166="","",IF(COUNTIF('Competency Event Log'!$U$4:$U$803,$B166&amp;"|"&amp;AP$5)=0,"",SUMIF('Competency Event Log'!$U$4:$U$803,$B166&amp;"|"&amp;AP$5,'Competency Event Log'!$D$4:$D$803)))</f>
        <v/>
      </c>
      <c r="AQ166" s="8" t="str">
        <f>IF($B166="","",IF(COUNTIF('Competency Event Log'!$U$4:$U$803,$B166&amp;"|"&amp;AQ$5)=0,"",SUMIF('Competency Event Log'!$U$4:$U$803,$B166&amp;"|"&amp;AQ$5,'Competency Event Log'!$D$4:$D$803)))</f>
        <v/>
      </c>
      <c r="AR166" s="8" t="str">
        <f>IF($B166="","",IF(COUNTIF('Competency Event Log'!$U$4:$U$803,$B166&amp;"|"&amp;AR$5)=0,"",SUMIF('Competency Event Log'!$U$4:$U$803,$B166&amp;"|"&amp;AR$5,'Competency Event Log'!$D$4:$D$803)))</f>
        <v/>
      </c>
      <c r="AS166" s="8" t="str">
        <f>IF($B166="","",IF(COUNTIF('Competency Event Log'!$U$4:$U$803,$B166&amp;"|"&amp;AS$5)=0,"",SUMIF('Competency Event Log'!$U$4:$U$803,$B166&amp;"|"&amp;AS$5,'Competency Event Log'!$D$4:$D$803)))</f>
        <v/>
      </c>
      <c r="AT166" s="8" t="str">
        <f>IF($B166="","",IF(COUNTIF('Competency Event Log'!$U$4:$U$803,$B166&amp;"|"&amp;AT$5)=0,"",SUMIF('Competency Event Log'!$U$4:$U$803,$B166&amp;"|"&amp;AT$5,'Competency Event Log'!$D$4:$D$803)))</f>
        <v/>
      </c>
      <c r="AU166" s="8" t="str">
        <f>IF($B166="","",IF(COUNTIF('Competency Event Log'!$U$4:$U$803,$B166&amp;"|"&amp;AU$5)=0,"",SUMIF('Competency Event Log'!$U$4:$U$803,$B166&amp;"|"&amp;AU$5,'Competency Event Log'!$D$4:$D$803)))</f>
        <v/>
      </c>
      <c r="AV166" s="8" t="str">
        <f>IF($B166="","",IF(COUNTIF('Competency Event Log'!$U$4:$U$803,$B166&amp;"|"&amp;AV$5)=0,"",SUMIF('Competency Event Log'!$U$4:$U$803,$B166&amp;"|"&amp;AV$5,'Competency Event Log'!$D$4:$D$803)))</f>
        <v/>
      </c>
      <c r="AW166" s="8" t="str">
        <f>IF($B166="","",IF(COUNTIF('Competency Event Log'!$U$4:$U$803,$B166&amp;"|"&amp;AW$5)=0,"",SUMIF('Competency Event Log'!$U$4:$U$803,$B166&amp;"|"&amp;AW$5,'Competency Event Log'!$D$4:$D$803)))</f>
        <v/>
      </c>
      <c r="AX166" s="8" t="str">
        <f>IF($B166="","",IF(COUNTIF('Competency Event Log'!$U$4:$U$803,$B166&amp;"|"&amp;AX$5)=0,"",SUMIF('Competency Event Log'!$U$4:$U$803,$B166&amp;"|"&amp;AX$5,'Competency Event Log'!$D$4:$D$803)))</f>
        <v/>
      </c>
      <c r="AY166" s="8" t="str">
        <f>IF($B166="","",IF(COUNTIF('Competency Event Log'!$U$4:$U$803,$B166&amp;"|"&amp;AY$5)=0,"",SUMIF('Competency Event Log'!$U$4:$U$803,$B166&amp;"|"&amp;AY$5,'Competency Event Log'!$D$4:$D$803)))</f>
        <v/>
      </c>
      <c r="AZ166" s="8" t="str">
        <f>IF($B166="","",IF(COUNTIF('Competency Event Log'!$U$4:$U$803,$B166&amp;"|"&amp;AZ$5)=0,"",SUMIF('Competency Event Log'!$U$4:$U$803,$B166&amp;"|"&amp;AZ$5,'Competency Event Log'!$D$4:$D$803)))</f>
        <v/>
      </c>
      <c r="BA166" s="8" t="str">
        <f>IF($B166="","",IF(COUNTIF('Competency Event Log'!$U$4:$U$803,$B166&amp;"|"&amp;BA$5)=0,"",SUMIF('Competency Event Log'!$U$4:$U$803,$B166&amp;"|"&amp;BA$5,'Competency Event Log'!$D$4:$D$803)))</f>
        <v/>
      </c>
      <c r="BB166" s="8" t="str">
        <f>IF($B166="","",IF(COUNTIF('Competency Event Log'!$U$4:$U$803,$B166&amp;"|"&amp;BB$5)=0,"",SUMIF('Competency Event Log'!$U$4:$U$803,$B166&amp;"|"&amp;BB$5,'Competency Event Log'!$D$4:$D$803)))</f>
        <v/>
      </c>
      <c r="BC166" s="8" t="str">
        <f>IF($B166="","",IF(COUNTIF('Competency Event Log'!$U$4:$U$803,$B166&amp;"|"&amp;BC$5)=0,"",SUMIF('Competency Event Log'!$U$4:$U$803,$B166&amp;"|"&amp;BC$5,'Competency Event Log'!$D$4:$D$803)))</f>
        <v/>
      </c>
      <c r="BD166" s="8" t="str">
        <f>IF($B166="","",IF(COUNTIF('Competency Event Log'!$U$4:$U$803,$B166&amp;"|"&amp;BD$5)=0,"",SUMIF('Competency Event Log'!$U$4:$U$803,$B166&amp;"|"&amp;BD$5,'Competency Event Log'!$D$4:$D$803)))</f>
        <v/>
      </c>
      <c r="BE166" s="8" t="str">
        <f>IF($B166="","",IF(COUNTIF('Competency Event Log'!$U$4:$U$803,$B166&amp;"|"&amp;BE$5)=0,"",SUMIF('Competency Event Log'!$U$4:$U$803,$B166&amp;"|"&amp;BE$5,'Competency Event Log'!$D$4:$D$803)))</f>
        <v/>
      </c>
      <c r="BF166" s="8" t="str">
        <f>IF($B166="","",IF(COUNTIF('Competency Event Log'!$U$4:$U$803,$B166&amp;"|"&amp;BF$5)=0,"",SUMIF('Competency Event Log'!$U$4:$U$803,$B166&amp;"|"&amp;BF$5,'Competency Event Log'!$D$4:$D$803)))</f>
        <v/>
      </c>
      <c r="BG166" s="8" t="str">
        <f>IF($B166="","",IF(COUNTIF('Competency Event Log'!$U$4:$U$803,$B166&amp;"|"&amp;BG$5)=0,"",SUMIF('Competency Event Log'!$U$4:$U$803,$B166&amp;"|"&amp;BG$5,'Competency Event Log'!$D$4:$D$803)))</f>
        <v/>
      </c>
      <c r="BH166" s="8" t="str">
        <f>IF($B166="","",IF(COUNTIF('Competency Event Log'!$U$4:$U$803,$B166&amp;"|"&amp;BH$5)=0,"",SUMIF('Competency Event Log'!$U$4:$U$803,$B166&amp;"|"&amp;BH$5,'Competency Event Log'!$D$4:$D$803)))</f>
        <v/>
      </c>
      <c r="BI166" s="8" t="str">
        <f>IF($B166="","",IF(COUNTIF('Competency Event Log'!$U$4:$U$803,$B166&amp;"|"&amp;BI$5)=0,"",SUMIF('Competency Event Log'!$U$4:$U$803,$B166&amp;"|"&amp;BI$5,'Competency Event Log'!$D$4:$D$803)))</f>
        <v/>
      </c>
      <c r="BJ166" s="8" t="str">
        <f>IF($B166="","",IF(COUNTIF('Competency Event Log'!$U$4:$U$803,$B166&amp;"|"&amp;BJ$5)=0,"",SUMIF('Competency Event Log'!$U$4:$U$803,$B166&amp;"|"&amp;BJ$5,'Competency Event Log'!$D$4:$D$803)))</f>
        <v/>
      </c>
      <c r="BK166" s="8" t="str">
        <f>IF($B166="","",IF(COUNTIF('Competency Event Log'!$U$4:$U$803,$B166&amp;"|"&amp;BK$5)=0,"",SUMIF('Competency Event Log'!$U$4:$U$803,$B166&amp;"|"&amp;BK$5,'Competency Event Log'!$D$4:$D$803)))</f>
        <v/>
      </c>
      <c r="BL166" s="8" t="str">
        <f>IF($B166="","",IF(COUNTIF('Competency Event Log'!$U$4:$U$803,$B166&amp;"|"&amp;BL$5)=0,"",SUMIF('Competency Event Log'!$U$4:$U$803,$B166&amp;"|"&amp;BL$5,'Competency Event Log'!$D$4:$D$803)))</f>
        <v/>
      </c>
      <c r="BM166" s="8" t="str">
        <f>IF($B166="","",IF(COUNTIF('Competency Event Log'!$U$4:$U$803,$B166&amp;"|"&amp;BM$5)=0,"",SUMIF('Competency Event Log'!$U$4:$U$803,$B166&amp;"|"&amp;BM$5,'Competency Event Log'!$D$4:$D$803)))</f>
        <v/>
      </c>
      <c r="BN166" s="8" t="str">
        <f>IF($B166="","",IF(COUNTIF('Competency Event Log'!$U$4:$U$803,$B166&amp;"|"&amp;BN$5)=0,"",SUMIF('Competency Event Log'!$U$4:$U$803,$B166&amp;"|"&amp;BN$5,'Competency Event Log'!$D$4:$D$803)))</f>
        <v/>
      </c>
      <c r="BO166" s="8" t="str">
        <f>IF($B166="","",IF(COUNTIF('Competency Event Log'!$U$4:$U$803,$B166&amp;"|"&amp;BO$5)=0,"",SUMIF('Competency Event Log'!$U$4:$U$803,$B166&amp;"|"&amp;BO$5,'Competency Event Log'!$D$4:$D$803)))</f>
        <v/>
      </c>
      <c r="BP166" s="8" t="str">
        <f>IF($B166="","",IF(COUNTIF('Competency Event Log'!$U$4:$U$803,$B166&amp;"|"&amp;BP$5)=0,"",SUMIF('Competency Event Log'!$U$4:$U$803,$B166&amp;"|"&amp;BP$5,'Competency Event Log'!$D$4:$D$803)))</f>
        <v/>
      </c>
      <c r="BQ166" s="8" t="str">
        <f>IF($B166="","",IF(COUNTIF('Competency Event Log'!$U$4:$U$803,$B166&amp;"|"&amp;BQ$5)=0,"",SUMIF('Competency Event Log'!$U$4:$U$803,$B166&amp;"|"&amp;BQ$5,'Competency Event Log'!$D$4:$D$803)))</f>
        <v/>
      </c>
      <c r="BR166" s="8" t="str">
        <f>IF($B166="","",IF(COUNTIF('Competency Event Log'!$U$4:$U$803,$B166&amp;"|"&amp;BR$5)=0,"",SUMIF('Competency Event Log'!$U$4:$U$803,$B166&amp;"|"&amp;BR$5,'Competency Event Log'!$D$4:$D$803)))</f>
        <v/>
      </c>
      <c r="BS166" s="8" t="str">
        <f>IF($B166="","",IF(COUNTIF('Competency Event Log'!$U$4:$U$803,$B166&amp;"|"&amp;BS$5)=0,"",SUMIF('Competency Event Log'!$U$4:$U$803,$B166&amp;"|"&amp;BS$5,'Competency Event Log'!$D$4:$D$803)))</f>
        <v/>
      </c>
      <c r="BT166" s="8" t="str">
        <f>IF($B166="","",IF(COUNTIF('Competency Event Log'!$U$4:$U$803,$B166&amp;"|"&amp;BT$5)=0,"",SUMIF('Competency Event Log'!$U$4:$U$803,$B166&amp;"|"&amp;BT$5,'Competency Event Log'!$D$4:$D$803)))</f>
        <v/>
      </c>
      <c r="BU166" s="8" t="str">
        <f>IF($B166="","",IF(COUNTIF('Competency Event Log'!$U$4:$U$803,$B166&amp;"|"&amp;BU$5)=0,"",SUMIF('Competency Event Log'!$U$4:$U$803,$B166&amp;"|"&amp;BU$5,'Competency Event Log'!$D$4:$D$803)))</f>
        <v/>
      </c>
      <c r="BV166" s="8" t="str">
        <f>IF($B166="","",IF(COUNTIF('Competency Event Log'!$U$4:$U$803,$B166&amp;"|"&amp;BV$5)=0,"",SUMIF('Competency Event Log'!$U$4:$U$803,$B166&amp;"|"&amp;BV$5,'Competency Event Log'!$D$4:$D$803)))</f>
        <v/>
      </c>
      <c r="BW166" s="8" t="str">
        <f>IF($B166="","",IF(COUNTIF('Competency Event Log'!$U$4:$U$803,$B166&amp;"|"&amp;BW$5)=0,"",SUMIF('Competency Event Log'!$U$4:$U$803,$B166&amp;"|"&amp;BW$5,'Competency Event Log'!$D$4:$D$803)))</f>
        <v/>
      </c>
      <c r="BX166" s="8" t="str">
        <f>IF($B166="","",IF(COUNTIF('Competency Event Log'!$U$4:$U$803,$B166&amp;"|"&amp;BX$5)=0,"",SUMIF('Competency Event Log'!$U$4:$U$803,$B166&amp;"|"&amp;BX$5,'Competency Event Log'!$D$4:$D$803)))</f>
        <v/>
      </c>
      <c r="BY166" s="8" t="str">
        <f>IF($B166="","",IF(COUNTIF('Competency Event Log'!$U$4:$U$803,$B166&amp;"|"&amp;BY$5)=0,"",SUMIF('Competency Event Log'!$U$4:$U$803,$B166&amp;"|"&amp;BY$5,'Competency Event Log'!$D$4:$D$803)))</f>
        <v/>
      </c>
      <c r="BZ166" s="8" t="str">
        <f>IF($B166="","",IF(COUNTIF('Competency Event Log'!$U$4:$U$803,$B166&amp;"|"&amp;BZ$5)=0,"",SUMIF('Competency Event Log'!$U$4:$U$803,$B166&amp;"|"&amp;BZ$5,'Competency Event Log'!$D$4:$D$803)))</f>
        <v/>
      </c>
      <c r="CA166" s="8" t="str">
        <f>IF($B166="","",IF(COUNTIF('Competency Event Log'!$U$4:$U$803,$B166&amp;"|"&amp;CA$5)=0,"",SUMIF('Competency Event Log'!$U$4:$U$803,$B166&amp;"|"&amp;CA$5,'Competency Event Log'!$D$4:$D$803)))</f>
        <v/>
      </c>
      <c r="CB166" s="8" t="str">
        <f>IF($B166="","",IF(COUNTIF('Competency Event Log'!$U$4:$U$803,$B166&amp;"|"&amp;CB$5)=0,"",SUMIF('Competency Event Log'!$U$4:$U$803,$B166&amp;"|"&amp;CB$5,'Competency Event Log'!$D$4:$D$803)))</f>
        <v/>
      </c>
      <c r="CC166" s="8" t="str">
        <f>IF($B166="","",IF(COUNTIF('Competency Event Log'!$U$4:$U$803,$B166&amp;"|"&amp;CC$5)=0,"",SUMIF('Competency Event Log'!$U$4:$U$803,$B166&amp;"|"&amp;CC$5,'Competency Event Log'!$D$4:$D$803)))</f>
        <v/>
      </c>
      <c r="CD166" s="8" t="str">
        <f>IF($B166="","",IF(COUNTIF('Competency Event Log'!$U$4:$U$803,$B166&amp;"|"&amp;CD$5)=0,"",SUMIF('Competency Event Log'!$U$4:$U$803,$B166&amp;"|"&amp;CD$5,'Competency Event Log'!$D$4:$D$803)))</f>
        <v/>
      </c>
      <c r="CE166" s="8" t="str">
        <f>IF($B166="","",IF(COUNTIF('Competency Event Log'!$U$4:$U$803,$B166&amp;"|"&amp;CE$5)=0,"",SUMIF('Competency Event Log'!$U$4:$U$803,$B166&amp;"|"&amp;CE$5,'Competency Event Log'!$D$4:$D$803)))</f>
        <v/>
      </c>
      <c r="CF166" s="8" t="str">
        <f>IF($B166="","",IF(COUNTIF('Competency Event Log'!$U$4:$U$803,$B166&amp;"|"&amp;CF$5)=0,"",SUMIF('Competency Event Log'!$U$4:$U$803,$B166&amp;"|"&amp;CF$5,'Competency Event Log'!$D$4:$D$803)))</f>
        <v/>
      </c>
      <c r="CG166" s="8" t="str">
        <f>IF($B166="","",IF(COUNTIF('Competency Event Log'!$U$4:$U$803,$B166&amp;"|"&amp;CG$5)=0,"",SUMIF('Competency Event Log'!$U$4:$U$803,$B166&amp;"|"&amp;CG$5,'Competency Event Log'!$D$4:$D$803)))</f>
        <v/>
      </c>
      <c r="CH166" s="8" t="str">
        <f>IF($B166="","",IF(COUNTIF('Competency Event Log'!$U$4:$U$803,$B166&amp;"|"&amp;CH$5)=0,"",SUMIF('Competency Event Log'!$U$4:$U$803,$B166&amp;"|"&amp;CH$5,'Competency Event Log'!$D$4:$D$803)))</f>
        <v/>
      </c>
      <c r="CI166" s="8" t="str">
        <f>IF($B166="","",IF(COUNTIF('Competency Event Log'!$U$4:$U$803,$B166&amp;"|"&amp;CI$5)=0,"",SUMIF('Competency Event Log'!$U$4:$U$803,$B166&amp;"|"&amp;CI$5,'Competency Event Log'!$D$4:$D$803)))</f>
        <v/>
      </c>
      <c r="CJ166" s="8" t="str">
        <f>IF($B166="","",IF(COUNTIF('Competency Event Log'!$U$4:$U$803,$B166&amp;"|"&amp;CJ$5)=0,"",SUMIF('Competency Event Log'!$U$4:$U$803,$B166&amp;"|"&amp;CJ$5,'Competency Event Log'!$D$4:$D$803)))</f>
        <v/>
      </c>
      <c r="CK166" s="8" t="str">
        <f>IF($B166="","",IF(COUNTIF('Competency Event Log'!$U$4:$U$803,$B166&amp;"|"&amp;CK$5)=0,"",SUMIF('Competency Event Log'!$U$4:$U$803,$B166&amp;"|"&amp;CK$5,'Competency Event Log'!$D$4:$D$803)))</f>
        <v/>
      </c>
      <c r="CL166" s="8" t="str">
        <f>IF($B166="","",IF(COUNTIF('Competency Event Log'!$U$4:$U$803,$B166&amp;"|"&amp;CL$5)=0,"",SUMIF('Competency Event Log'!$U$4:$U$803,$B166&amp;"|"&amp;CL$5,'Competency Event Log'!$D$4:$D$803)))</f>
        <v/>
      </c>
      <c r="CM166" s="8" t="str">
        <f>IF($B166="","",IF(COUNTIF('Competency Event Log'!$U$4:$U$803,$B166&amp;"|"&amp;CM$5)=0,"",SUMIF('Competency Event Log'!$U$4:$U$803,$B166&amp;"|"&amp;CM$5,'Competency Event Log'!$D$4:$D$803)))</f>
        <v/>
      </c>
      <c r="CN166" s="8" t="str">
        <f>IF($B166="","",IF(COUNTIF('Competency Event Log'!$U$4:$U$803,$B166&amp;"|"&amp;CN$5)=0,"",SUMIF('Competency Event Log'!$U$4:$U$803,$B166&amp;"|"&amp;CN$5,'Competency Event Log'!$D$4:$D$803)))</f>
        <v/>
      </c>
      <c r="CO166" s="8" t="str">
        <f>IF($B166="","",IF(COUNTIF('Competency Event Log'!$U$4:$U$803,$B166&amp;"|"&amp;CO$5)=0,"",SUMIF('Competency Event Log'!$U$4:$U$803,$B166&amp;"|"&amp;CO$5,'Competency Event Log'!$D$4:$D$803)))</f>
        <v/>
      </c>
      <c r="CP166" s="8" t="str">
        <f>IF($B166="","",IF(COUNTIF('Competency Event Log'!$U$4:$U$803,$B166&amp;"|"&amp;CP$5)=0,"",SUMIF('Competency Event Log'!$U$4:$U$803,$B166&amp;"|"&amp;CP$5,'Competency Event Log'!$D$4:$D$803)))</f>
        <v/>
      </c>
      <c r="CQ166" s="8" t="str">
        <f>IF($B166="","",IF(COUNTIF('Competency Event Log'!$U$4:$U$803,$B166&amp;"|"&amp;CQ$5)=0,"",SUMIF('Competency Event Log'!$U$4:$U$803,$B166&amp;"|"&amp;CQ$5,'Competency Event Log'!$D$4:$D$803)))</f>
        <v/>
      </c>
      <c r="CR166" s="8" t="str">
        <f>IF($B166="","",IF(COUNTIF('Competency Event Log'!$U$4:$U$803,$B166&amp;"|"&amp;CR$5)=0,"",SUMIF('Competency Event Log'!$U$4:$U$803,$B166&amp;"|"&amp;CR$5,'Competency Event Log'!$D$4:$D$803)))</f>
        <v/>
      </c>
      <c r="CS166" s="8" t="str">
        <f>IF($B166="","",IF(COUNTIF('Competency Event Log'!$U$4:$U$803,$B166&amp;"|"&amp;CS$5)=0,"",SUMIF('Competency Event Log'!$U$4:$U$803,$B166&amp;"|"&amp;CS$5,'Competency Event Log'!$D$4:$D$803)))</f>
        <v/>
      </c>
      <c r="CT166" s="8" t="str">
        <f>IF($B166="","",IF(COUNTIF('Competency Event Log'!$U$4:$U$803,$B166&amp;"|"&amp;CT$5)=0,"",SUMIF('Competency Event Log'!$U$4:$U$803,$B166&amp;"|"&amp;CT$5,'Competency Event Log'!$D$4:$D$803)))</f>
        <v/>
      </c>
      <c r="CU166" s="8" t="str">
        <f>IF($B166="","",IF(COUNTIF('Competency Event Log'!$U$4:$U$803,$B166&amp;"|"&amp;CU$5)=0,"",SUMIF('Competency Event Log'!$U$4:$U$803,$B166&amp;"|"&amp;CU$5,'Competency Event Log'!$D$4:$D$803)))</f>
        <v/>
      </c>
      <c r="CV166" s="8" t="str">
        <f>IF($B166="","",IF(COUNTIF('Competency Event Log'!$U$4:$U$803,$B166&amp;"|"&amp;CV$5)=0,"",SUMIF('Competency Event Log'!$U$4:$U$803,$B166&amp;"|"&amp;CV$5,'Competency Event Log'!$D$4:$D$803)))</f>
        <v/>
      </c>
      <c r="CW166" s="8" t="str">
        <f>IF($B166="","",IF(COUNTIF('Competency Event Log'!$U$4:$U$803,$B166&amp;"|"&amp;CW$5)=0,"",SUMIF('Competency Event Log'!$U$4:$U$803,$B166&amp;"|"&amp;CW$5,'Competency Event Log'!$D$4:$D$803)))</f>
        <v/>
      </c>
      <c r="CX166" s="8" t="str">
        <f>IF($B166="","",IF(COUNTIF('Competency Event Log'!$U$4:$U$803,$B166&amp;"|"&amp;CX$5)=0,"",SUMIF('Competency Event Log'!$U$4:$U$803,$B166&amp;"|"&amp;CX$5,'Competency Event Log'!$D$4:$D$803)))</f>
        <v/>
      </c>
      <c r="CY166" s="8" t="str">
        <f>IF($B166="","",IF(COUNTIF('Competency Event Log'!$U$4:$U$803,$B166&amp;"|"&amp;CY$5)=0,"",SUMIF('Competency Event Log'!$U$4:$U$803,$B166&amp;"|"&amp;CY$5,'Competency Event Log'!$D$4:$D$803)))</f>
        <v/>
      </c>
      <c r="CZ166" s="8" t="str">
        <f>IF($B166="","",IF(COUNTIF('Competency Event Log'!$U$4:$U$803,$B166&amp;"|"&amp;CZ$5)=0,"",SUMIF('Competency Event Log'!$U$4:$U$803,$B166&amp;"|"&amp;CZ$5,'Competency Event Log'!$D$4:$D$803)))</f>
        <v/>
      </c>
      <c r="DA166" s="8" t="str">
        <f>IF($B166="","",IF(COUNTIF('Competency Event Log'!$U$4:$U$803,$B166&amp;"|"&amp;DA$5)=0,"",SUMIF('Competency Event Log'!$U$4:$U$803,$B166&amp;"|"&amp;DA$5,'Competency Event Log'!$D$4:$D$803)))</f>
        <v/>
      </c>
      <c r="DB166" s="8" t="str">
        <f>IF($B166="","",IF(COUNTIF('Competency Event Log'!$U$4:$U$803,$B166&amp;"|"&amp;DB$5)=0,"",SUMIF('Competency Event Log'!$U$4:$U$803,$B166&amp;"|"&amp;DB$5,'Competency Event Log'!$D$4:$D$803)))</f>
        <v/>
      </c>
      <c r="DC166" s="8" t="str">
        <f>IF($B166="","",IF(COUNTIF('Competency Event Log'!$U$4:$U$803,$B166&amp;"|"&amp;DC$5)=0,"",SUMIF('Competency Event Log'!$U$4:$U$803,$B166&amp;"|"&amp;DC$5,'Competency Event Log'!$D$4:$D$803)))</f>
        <v/>
      </c>
      <c r="DD166" s="8" t="str">
        <f>IF($B166="","",IF(COUNTIF('Competency Event Log'!$U$4:$U$803,$B166&amp;"|"&amp;DD$5)=0,"",SUMIF('Competency Event Log'!$U$4:$U$803,$B166&amp;"|"&amp;DD$5,'Competency Event Log'!$D$4:$D$803)))</f>
        <v/>
      </c>
      <c r="DE166" s="8" t="str">
        <f>IF($B166="","",IF(COUNTIF('Competency Event Log'!$U$4:$U$803,$B166&amp;"|"&amp;DE$5)=0,"",SUMIF('Competency Event Log'!$U$4:$U$803,$B166&amp;"|"&amp;DE$5,'Competency Event Log'!$D$4:$D$803)))</f>
        <v/>
      </c>
      <c r="DF166" s="8" t="str">
        <f t="shared" ref="DF166:DF197" si="20">IF($B166="","",SUM($G166:$DE166))</f>
        <v/>
      </c>
      <c r="DG166" s="8" t="str">
        <f t="shared" ref="DG166:DG197" si="21">IF($B166="","",COUNT($G166:$DE166))</f>
        <v/>
      </c>
      <c r="DH166" s="8" t="str">
        <f t="shared" ref="DH166:DH197" si="22">IF($B166="","",COUNTIF($G166:$DE166,3))</f>
        <v/>
      </c>
      <c r="DI166" s="11" t="str">
        <f t="shared" ref="DI166:DI197" si="23">IF($B166="","",IFERROR(SUMPRODUCT(--(($G$4:$DE$4=$A166)+($G$4:$DE$4="All Departments")&gt;0),--($G166:$DE166&lt;&gt;""))/(COUNTIF($G$4:$DE$4,$A166)+COUNTIF($G$4:$DE$4,"All Departments")),0))</f>
        <v/>
      </c>
    </row>
    <row r="167" spans="1:113">
      <c r="A167" s="7"/>
      <c r="B167" s="7"/>
      <c r="C167" s="8"/>
      <c r="D167" s="9"/>
      <c r="E167" s="10"/>
      <c r="F167" s="8"/>
      <c r="G167" s="8" t="str">
        <f>IF($B167="","",IF(COUNTIF('Competency Event Log'!$U$4:$U$803,$B167&amp;"|"&amp;G$5)=0,"",SUMIF('Competency Event Log'!$U$4:$U$803,$B167&amp;"|"&amp;G$5,'Competency Event Log'!$D$4:$D$803)))</f>
        <v/>
      </c>
      <c r="H167" s="8" t="str">
        <f>IF($B167="","",IF(COUNTIF('Competency Event Log'!$U$4:$U$803,$B167&amp;"|"&amp;H$5)=0,"",SUMIF('Competency Event Log'!$U$4:$U$803,$B167&amp;"|"&amp;H$5,'Competency Event Log'!$D$4:$D$803)))</f>
        <v/>
      </c>
      <c r="I167" s="8" t="str">
        <f>IF($B167="","",IF(COUNTIF('Competency Event Log'!$U$4:$U$803,$B167&amp;"|"&amp;I$5)=0,"",SUMIF('Competency Event Log'!$U$4:$U$803,$B167&amp;"|"&amp;I$5,'Competency Event Log'!$D$4:$D$803)))</f>
        <v/>
      </c>
      <c r="J167" s="8" t="str">
        <f>IF($B167="","",IF(COUNTIF('Competency Event Log'!$U$4:$U$803,$B167&amp;"|"&amp;J$5)=0,"",SUMIF('Competency Event Log'!$U$4:$U$803,$B167&amp;"|"&amp;J$5,'Competency Event Log'!$D$4:$D$803)))</f>
        <v/>
      </c>
      <c r="K167" s="8" t="str">
        <f>IF($B167="","",IF(COUNTIF('Competency Event Log'!$U$4:$U$803,$B167&amp;"|"&amp;K$5)=0,"",SUMIF('Competency Event Log'!$U$4:$U$803,$B167&amp;"|"&amp;K$5,'Competency Event Log'!$D$4:$D$803)))</f>
        <v/>
      </c>
      <c r="L167" s="8" t="str">
        <f>IF($B167="","",IF(COUNTIF('Competency Event Log'!$U$4:$U$803,$B167&amp;"|"&amp;L$5)=0,"",SUMIF('Competency Event Log'!$U$4:$U$803,$B167&amp;"|"&amp;L$5,'Competency Event Log'!$D$4:$D$803)))</f>
        <v/>
      </c>
      <c r="M167" s="8" t="str">
        <f>IF($B167="","",IF(COUNTIF('Competency Event Log'!$U$4:$U$803,$B167&amp;"|"&amp;M$5)=0,"",SUMIF('Competency Event Log'!$U$4:$U$803,$B167&amp;"|"&amp;M$5,'Competency Event Log'!$D$4:$D$803)))</f>
        <v/>
      </c>
      <c r="N167" s="8" t="str">
        <f>IF($B167="","",IF(COUNTIF('Competency Event Log'!$U$4:$U$803,$B167&amp;"|"&amp;N$5)=0,"",SUMIF('Competency Event Log'!$U$4:$U$803,$B167&amp;"|"&amp;N$5,'Competency Event Log'!$D$4:$D$803)))</f>
        <v/>
      </c>
      <c r="O167" s="8" t="str">
        <f>IF($B167="","",IF(COUNTIF('Competency Event Log'!$U$4:$U$803,$B167&amp;"|"&amp;O$5)=0,"",SUMIF('Competency Event Log'!$U$4:$U$803,$B167&amp;"|"&amp;O$5,'Competency Event Log'!$D$4:$D$803)))</f>
        <v/>
      </c>
      <c r="P167" s="8" t="str">
        <f>IF($B167="","",IF(COUNTIF('Competency Event Log'!$U$4:$U$803,$B167&amp;"|"&amp;P$5)=0,"",SUMIF('Competency Event Log'!$U$4:$U$803,$B167&amp;"|"&amp;P$5,'Competency Event Log'!$D$4:$D$803)))</f>
        <v/>
      </c>
      <c r="Q167" s="8" t="str">
        <f>IF($B167="","",IF(COUNTIF('Competency Event Log'!$U$4:$U$803,$B167&amp;"|"&amp;Q$5)=0,"",SUMIF('Competency Event Log'!$U$4:$U$803,$B167&amp;"|"&amp;Q$5,'Competency Event Log'!$D$4:$D$803)))</f>
        <v/>
      </c>
      <c r="R167" s="8" t="str">
        <f>IF($B167="","",IF(COUNTIF('Competency Event Log'!$U$4:$U$803,$B167&amp;"|"&amp;R$5)=0,"",SUMIF('Competency Event Log'!$U$4:$U$803,$B167&amp;"|"&amp;R$5,'Competency Event Log'!$D$4:$D$803)))</f>
        <v/>
      </c>
      <c r="S167" s="8" t="str">
        <f>IF($B167="","",IF(COUNTIF('Competency Event Log'!$U$4:$U$803,$B167&amp;"|"&amp;S$5)=0,"",SUMIF('Competency Event Log'!$U$4:$U$803,$B167&amp;"|"&amp;S$5,'Competency Event Log'!$D$4:$D$803)))</f>
        <v/>
      </c>
      <c r="T167" s="8" t="str">
        <f>IF($B167="","",IF(COUNTIF('Competency Event Log'!$U$4:$U$803,$B167&amp;"|"&amp;T$5)=0,"",SUMIF('Competency Event Log'!$U$4:$U$803,$B167&amp;"|"&amp;T$5,'Competency Event Log'!$D$4:$D$803)))</f>
        <v/>
      </c>
      <c r="U167" s="8" t="str">
        <f>IF($B167="","",IF(COUNTIF('Competency Event Log'!$U$4:$U$803,$B167&amp;"|"&amp;U$5)=0,"",SUMIF('Competency Event Log'!$U$4:$U$803,$B167&amp;"|"&amp;U$5,'Competency Event Log'!$D$4:$D$803)))</f>
        <v/>
      </c>
      <c r="V167" s="8" t="str">
        <f>IF($B167="","",IF(COUNTIF('Competency Event Log'!$U$4:$U$803,$B167&amp;"|"&amp;V$5)=0,"",SUMIF('Competency Event Log'!$U$4:$U$803,$B167&amp;"|"&amp;V$5,'Competency Event Log'!$D$4:$D$803)))</f>
        <v/>
      </c>
      <c r="W167" s="8" t="str">
        <f>IF($B167="","",IF(COUNTIF('Competency Event Log'!$U$4:$U$803,$B167&amp;"|"&amp;W$5)=0,"",SUMIF('Competency Event Log'!$U$4:$U$803,$B167&amp;"|"&amp;W$5,'Competency Event Log'!$D$4:$D$803)))</f>
        <v/>
      </c>
      <c r="X167" s="8" t="str">
        <f>IF($B167="","",IF(COUNTIF('Competency Event Log'!$U$4:$U$803,$B167&amp;"|"&amp;X$5)=0,"",SUMIF('Competency Event Log'!$U$4:$U$803,$B167&amp;"|"&amp;X$5,'Competency Event Log'!$D$4:$D$803)))</f>
        <v/>
      </c>
      <c r="Y167" s="8" t="str">
        <f>IF($B167="","",IF(COUNTIF('Competency Event Log'!$U$4:$U$803,$B167&amp;"|"&amp;Y$5)=0,"",SUMIF('Competency Event Log'!$U$4:$U$803,$B167&amp;"|"&amp;Y$5,'Competency Event Log'!$D$4:$D$803)))</f>
        <v/>
      </c>
      <c r="Z167" s="8" t="str">
        <f>IF($B167="","",IF(COUNTIF('Competency Event Log'!$U$4:$U$803,$B167&amp;"|"&amp;Z$5)=0,"",SUMIF('Competency Event Log'!$U$4:$U$803,$B167&amp;"|"&amp;Z$5,'Competency Event Log'!$D$4:$D$803)))</f>
        <v/>
      </c>
      <c r="AA167" s="8" t="str">
        <f>IF($B167="","",IF(COUNTIF('Competency Event Log'!$U$4:$U$803,$B167&amp;"|"&amp;AA$5)=0,"",SUMIF('Competency Event Log'!$U$4:$U$803,$B167&amp;"|"&amp;AA$5,'Competency Event Log'!$D$4:$D$803)))</f>
        <v/>
      </c>
      <c r="AB167" s="8" t="str">
        <f>IF($B167="","",IF(COUNTIF('Competency Event Log'!$U$4:$U$803,$B167&amp;"|"&amp;AB$5)=0,"",SUMIF('Competency Event Log'!$U$4:$U$803,$B167&amp;"|"&amp;AB$5,'Competency Event Log'!$D$4:$D$803)))</f>
        <v/>
      </c>
      <c r="AC167" s="8" t="str">
        <f>IF($B167="","",IF(COUNTIF('Competency Event Log'!$U$4:$U$803,$B167&amp;"|"&amp;AC$5)=0,"",SUMIF('Competency Event Log'!$U$4:$U$803,$B167&amp;"|"&amp;AC$5,'Competency Event Log'!$D$4:$D$803)))</f>
        <v/>
      </c>
      <c r="AD167" s="8" t="str">
        <f>IF($B167="","",IF(COUNTIF('Competency Event Log'!$U$4:$U$803,$B167&amp;"|"&amp;AD$5)=0,"",SUMIF('Competency Event Log'!$U$4:$U$803,$B167&amp;"|"&amp;AD$5,'Competency Event Log'!$D$4:$D$803)))</f>
        <v/>
      </c>
      <c r="AE167" s="8" t="str">
        <f>IF($B167="","",IF(COUNTIF('Competency Event Log'!$U$4:$U$803,$B167&amp;"|"&amp;AE$5)=0,"",SUMIF('Competency Event Log'!$U$4:$U$803,$B167&amp;"|"&amp;AE$5,'Competency Event Log'!$D$4:$D$803)))</f>
        <v/>
      </c>
      <c r="AF167" s="8" t="str">
        <f>IF($B167="","",IF(COUNTIF('Competency Event Log'!$U$4:$U$803,$B167&amp;"|"&amp;AF$5)=0,"",SUMIF('Competency Event Log'!$U$4:$U$803,$B167&amp;"|"&amp;AF$5,'Competency Event Log'!$D$4:$D$803)))</f>
        <v/>
      </c>
      <c r="AG167" s="8" t="str">
        <f>IF($B167="","",IF(COUNTIF('Competency Event Log'!$U$4:$U$803,$B167&amp;"|"&amp;AG$5)=0,"",SUMIF('Competency Event Log'!$U$4:$U$803,$B167&amp;"|"&amp;AG$5,'Competency Event Log'!$D$4:$D$803)))</f>
        <v/>
      </c>
      <c r="AH167" s="8" t="str">
        <f>IF($B167="","",IF(COUNTIF('Competency Event Log'!$U$4:$U$803,$B167&amp;"|"&amp;AH$5)=0,"",SUMIF('Competency Event Log'!$U$4:$U$803,$B167&amp;"|"&amp;AH$5,'Competency Event Log'!$D$4:$D$803)))</f>
        <v/>
      </c>
      <c r="AI167" s="8" t="str">
        <f>IF($B167="","",IF(COUNTIF('Competency Event Log'!$U$4:$U$803,$B167&amp;"|"&amp;AI$5)=0,"",SUMIF('Competency Event Log'!$U$4:$U$803,$B167&amp;"|"&amp;AI$5,'Competency Event Log'!$D$4:$D$803)))</f>
        <v/>
      </c>
      <c r="AJ167" s="8" t="str">
        <f>IF($B167="","",IF(COUNTIF('Competency Event Log'!$U$4:$U$803,$B167&amp;"|"&amp;AJ$5)=0,"",SUMIF('Competency Event Log'!$U$4:$U$803,$B167&amp;"|"&amp;AJ$5,'Competency Event Log'!$D$4:$D$803)))</f>
        <v/>
      </c>
      <c r="AK167" s="8" t="str">
        <f>IF($B167="","",IF(COUNTIF('Competency Event Log'!$U$4:$U$803,$B167&amp;"|"&amp;AK$5)=0,"",SUMIF('Competency Event Log'!$U$4:$U$803,$B167&amp;"|"&amp;AK$5,'Competency Event Log'!$D$4:$D$803)))</f>
        <v/>
      </c>
      <c r="AL167" s="8" t="str">
        <f>IF($B167="","",IF(COUNTIF('Competency Event Log'!$U$4:$U$803,$B167&amp;"|"&amp;AL$5)=0,"",SUMIF('Competency Event Log'!$U$4:$U$803,$B167&amp;"|"&amp;AL$5,'Competency Event Log'!$D$4:$D$803)))</f>
        <v/>
      </c>
      <c r="AM167" s="8" t="str">
        <f>IF($B167="","",IF(COUNTIF('Competency Event Log'!$U$4:$U$803,$B167&amp;"|"&amp;AM$5)=0,"",SUMIF('Competency Event Log'!$U$4:$U$803,$B167&amp;"|"&amp;AM$5,'Competency Event Log'!$D$4:$D$803)))</f>
        <v/>
      </c>
      <c r="AN167" s="8" t="str">
        <f>IF($B167="","",IF(COUNTIF('Competency Event Log'!$U$4:$U$803,$B167&amp;"|"&amp;AN$5)=0,"",SUMIF('Competency Event Log'!$U$4:$U$803,$B167&amp;"|"&amp;AN$5,'Competency Event Log'!$D$4:$D$803)))</f>
        <v/>
      </c>
      <c r="AO167" s="8" t="str">
        <f>IF($B167="","",IF(COUNTIF('Competency Event Log'!$U$4:$U$803,$B167&amp;"|"&amp;AO$5)=0,"",SUMIF('Competency Event Log'!$U$4:$U$803,$B167&amp;"|"&amp;AO$5,'Competency Event Log'!$D$4:$D$803)))</f>
        <v/>
      </c>
      <c r="AP167" s="8" t="str">
        <f>IF($B167="","",IF(COUNTIF('Competency Event Log'!$U$4:$U$803,$B167&amp;"|"&amp;AP$5)=0,"",SUMIF('Competency Event Log'!$U$4:$U$803,$B167&amp;"|"&amp;AP$5,'Competency Event Log'!$D$4:$D$803)))</f>
        <v/>
      </c>
      <c r="AQ167" s="8" t="str">
        <f>IF($B167="","",IF(COUNTIF('Competency Event Log'!$U$4:$U$803,$B167&amp;"|"&amp;AQ$5)=0,"",SUMIF('Competency Event Log'!$U$4:$U$803,$B167&amp;"|"&amp;AQ$5,'Competency Event Log'!$D$4:$D$803)))</f>
        <v/>
      </c>
      <c r="AR167" s="8" t="str">
        <f>IF($B167="","",IF(COUNTIF('Competency Event Log'!$U$4:$U$803,$B167&amp;"|"&amp;AR$5)=0,"",SUMIF('Competency Event Log'!$U$4:$U$803,$B167&amp;"|"&amp;AR$5,'Competency Event Log'!$D$4:$D$803)))</f>
        <v/>
      </c>
      <c r="AS167" s="8" t="str">
        <f>IF($B167="","",IF(COUNTIF('Competency Event Log'!$U$4:$U$803,$B167&amp;"|"&amp;AS$5)=0,"",SUMIF('Competency Event Log'!$U$4:$U$803,$B167&amp;"|"&amp;AS$5,'Competency Event Log'!$D$4:$D$803)))</f>
        <v/>
      </c>
      <c r="AT167" s="8" t="str">
        <f>IF($B167="","",IF(COUNTIF('Competency Event Log'!$U$4:$U$803,$B167&amp;"|"&amp;AT$5)=0,"",SUMIF('Competency Event Log'!$U$4:$U$803,$B167&amp;"|"&amp;AT$5,'Competency Event Log'!$D$4:$D$803)))</f>
        <v/>
      </c>
      <c r="AU167" s="8" t="str">
        <f>IF($B167="","",IF(COUNTIF('Competency Event Log'!$U$4:$U$803,$B167&amp;"|"&amp;AU$5)=0,"",SUMIF('Competency Event Log'!$U$4:$U$803,$B167&amp;"|"&amp;AU$5,'Competency Event Log'!$D$4:$D$803)))</f>
        <v/>
      </c>
      <c r="AV167" s="8" t="str">
        <f>IF($B167="","",IF(COUNTIF('Competency Event Log'!$U$4:$U$803,$B167&amp;"|"&amp;AV$5)=0,"",SUMIF('Competency Event Log'!$U$4:$U$803,$B167&amp;"|"&amp;AV$5,'Competency Event Log'!$D$4:$D$803)))</f>
        <v/>
      </c>
      <c r="AW167" s="8" t="str">
        <f>IF($B167="","",IF(COUNTIF('Competency Event Log'!$U$4:$U$803,$B167&amp;"|"&amp;AW$5)=0,"",SUMIF('Competency Event Log'!$U$4:$U$803,$B167&amp;"|"&amp;AW$5,'Competency Event Log'!$D$4:$D$803)))</f>
        <v/>
      </c>
      <c r="AX167" s="8" t="str">
        <f>IF($B167="","",IF(COUNTIF('Competency Event Log'!$U$4:$U$803,$B167&amp;"|"&amp;AX$5)=0,"",SUMIF('Competency Event Log'!$U$4:$U$803,$B167&amp;"|"&amp;AX$5,'Competency Event Log'!$D$4:$D$803)))</f>
        <v/>
      </c>
      <c r="AY167" s="8" t="str">
        <f>IF($B167="","",IF(COUNTIF('Competency Event Log'!$U$4:$U$803,$B167&amp;"|"&amp;AY$5)=0,"",SUMIF('Competency Event Log'!$U$4:$U$803,$B167&amp;"|"&amp;AY$5,'Competency Event Log'!$D$4:$D$803)))</f>
        <v/>
      </c>
      <c r="AZ167" s="8" t="str">
        <f>IF($B167="","",IF(COUNTIF('Competency Event Log'!$U$4:$U$803,$B167&amp;"|"&amp;AZ$5)=0,"",SUMIF('Competency Event Log'!$U$4:$U$803,$B167&amp;"|"&amp;AZ$5,'Competency Event Log'!$D$4:$D$803)))</f>
        <v/>
      </c>
      <c r="BA167" s="8" t="str">
        <f>IF($B167="","",IF(COUNTIF('Competency Event Log'!$U$4:$U$803,$B167&amp;"|"&amp;BA$5)=0,"",SUMIF('Competency Event Log'!$U$4:$U$803,$B167&amp;"|"&amp;BA$5,'Competency Event Log'!$D$4:$D$803)))</f>
        <v/>
      </c>
      <c r="BB167" s="8" t="str">
        <f>IF($B167="","",IF(COUNTIF('Competency Event Log'!$U$4:$U$803,$B167&amp;"|"&amp;BB$5)=0,"",SUMIF('Competency Event Log'!$U$4:$U$803,$B167&amp;"|"&amp;BB$5,'Competency Event Log'!$D$4:$D$803)))</f>
        <v/>
      </c>
      <c r="BC167" s="8" t="str">
        <f>IF($B167="","",IF(COUNTIF('Competency Event Log'!$U$4:$U$803,$B167&amp;"|"&amp;BC$5)=0,"",SUMIF('Competency Event Log'!$U$4:$U$803,$B167&amp;"|"&amp;BC$5,'Competency Event Log'!$D$4:$D$803)))</f>
        <v/>
      </c>
      <c r="BD167" s="8" t="str">
        <f>IF($B167="","",IF(COUNTIF('Competency Event Log'!$U$4:$U$803,$B167&amp;"|"&amp;BD$5)=0,"",SUMIF('Competency Event Log'!$U$4:$U$803,$B167&amp;"|"&amp;BD$5,'Competency Event Log'!$D$4:$D$803)))</f>
        <v/>
      </c>
      <c r="BE167" s="8" t="str">
        <f>IF($B167="","",IF(COUNTIF('Competency Event Log'!$U$4:$U$803,$B167&amp;"|"&amp;BE$5)=0,"",SUMIF('Competency Event Log'!$U$4:$U$803,$B167&amp;"|"&amp;BE$5,'Competency Event Log'!$D$4:$D$803)))</f>
        <v/>
      </c>
      <c r="BF167" s="8" t="str">
        <f>IF($B167="","",IF(COUNTIF('Competency Event Log'!$U$4:$U$803,$B167&amp;"|"&amp;BF$5)=0,"",SUMIF('Competency Event Log'!$U$4:$U$803,$B167&amp;"|"&amp;BF$5,'Competency Event Log'!$D$4:$D$803)))</f>
        <v/>
      </c>
      <c r="BG167" s="8" t="str">
        <f>IF($B167="","",IF(COUNTIF('Competency Event Log'!$U$4:$U$803,$B167&amp;"|"&amp;BG$5)=0,"",SUMIF('Competency Event Log'!$U$4:$U$803,$B167&amp;"|"&amp;BG$5,'Competency Event Log'!$D$4:$D$803)))</f>
        <v/>
      </c>
      <c r="BH167" s="8" t="str">
        <f>IF($B167="","",IF(COUNTIF('Competency Event Log'!$U$4:$U$803,$B167&amp;"|"&amp;BH$5)=0,"",SUMIF('Competency Event Log'!$U$4:$U$803,$B167&amp;"|"&amp;BH$5,'Competency Event Log'!$D$4:$D$803)))</f>
        <v/>
      </c>
      <c r="BI167" s="8" t="str">
        <f>IF($B167="","",IF(COUNTIF('Competency Event Log'!$U$4:$U$803,$B167&amp;"|"&amp;BI$5)=0,"",SUMIF('Competency Event Log'!$U$4:$U$803,$B167&amp;"|"&amp;BI$5,'Competency Event Log'!$D$4:$D$803)))</f>
        <v/>
      </c>
      <c r="BJ167" s="8" t="str">
        <f>IF($B167="","",IF(COUNTIF('Competency Event Log'!$U$4:$U$803,$B167&amp;"|"&amp;BJ$5)=0,"",SUMIF('Competency Event Log'!$U$4:$U$803,$B167&amp;"|"&amp;BJ$5,'Competency Event Log'!$D$4:$D$803)))</f>
        <v/>
      </c>
      <c r="BK167" s="8" t="str">
        <f>IF($B167="","",IF(COUNTIF('Competency Event Log'!$U$4:$U$803,$B167&amp;"|"&amp;BK$5)=0,"",SUMIF('Competency Event Log'!$U$4:$U$803,$B167&amp;"|"&amp;BK$5,'Competency Event Log'!$D$4:$D$803)))</f>
        <v/>
      </c>
      <c r="BL167" s="8" t="str">
        <f>IF($B167="","",IF(COUNTIF('Competency Event Log'!$U$4:$U$803,$B167&amp;"|"&amp;BL$5)=0,"",SUMIF('Competency Event Log'!$U$4:$U$803,$B167&amp;"|"&amp;BL$5,'Competency Event Log'!$D$4:$D$803)))</f>
        <v/>
      </c>
      <c r="BM167" s="8" t="str">
        <f>IF($B167="","",IF(COUNTIF('Competency Event Log'!$U$4:$U$803,$B167&amp;"|"&amp;BM$5)=0,"",SUMIF('Competency Event Log'!$U$4:$U$803,$B167&amp;"|"&amp;BM$5,'Competency Event Log'!$D$4:$D$803)))</f>
        <v/>
      </c>
      <c r="BN167" s="8" t="str">
        <f>IF($B167="","",IF(COUNTIF('Competency Event Log'!$U$4:$U$803,$B167&amp;"|"&amp;BN$5)=0,"",SUMIF('Competency Event Log'!$U$4:$U$803,$B167&amp;"|"&amp;BN$5,'Competency Event Log'!$D$4:$D$803)))</f>
        <v/>
      </c>
      <c r="BO167" s="8" t="str">
        <f>IF($B167="","",IF(COUNTIF('Competency Event Log'!$U$4:$U$803,$B167&amp;"|"&amp;BO$5)=0,"",SUMIF('Competency Event Log'!$U$4:$U$803,$B167&amp;"|"&amp;BO$5,'Competency Event Log'!$D$4:$D$803)))</f>
        <v/>
      </c>
      <c r="BP167" s="8" t="str">
        <f>IF($B167="","",IF(COUNTIF('Competency Event Log'!$U$4:$U$803,$B167&amp;"|"&amp;BP$5)=0,"",SUMIF('Competency Event Log'!$U$4:$U$803,$B167&amp;"|"&amp;BP$5,'Competency Event Log'!$D$4:$D$803)))</f>
        <v/>
      </c>
      <c r="BQ167" s="8" t="str">
        <f>IF($B167="","",IF(COUNTIF('Competency Event Log'!$U$4:$U$803,$B167&amp;"|"&amp;BQ$5)=0,"",SUMIF('Competency Event Log'!$U$4:$U$803,$B167&amp;"|"&amp;BQ$5,'Competency Event Log'!$D$4:$D$803)))</f>
        <v/>
      </c>
      <c r="BR167" s="8" t="str">
        <f>IF($B167="","",IF(COUNTIF('Competency Event Log'!$U$4:$U$803,$B167&amp;"|"&amp;BR$5)=0,"",SUMIF('Competency Event Log'!$U$4:$U$803,$B167&amp;"|"&amp;BR$5,'Competency Event Log'!$D$4:$D$803)))</f>
        <v/>
      </c>
      <c r="BS167" s="8" t="str">
        <f>IF($B167="","",IF(COUNTIF('Competency Event Log'!$U$4:$U$803,$B167&amp;"|"&amp;BS$5)=0,"",SUMIF('Competency Event Log'!$U$4:$U$803,$B167&amp;"|"&amp;BS$5,'Competency Event Log'!$D$4:$D$803)))</f>
        <v/>
      </c>
      <c r="BT167" s="8" t="str">
        <f>IF($B167="","",IF(COUNTIF('Competency Event Log'!$U$4:$U$803,$B167&amp;"|"&amp;BT$5)=0,"",SUMIF('Competency Event Log'!$U$4:$U$803,$B167&amp;"|"&amp;BT$5,'Competency Event Log'!$D$4:$D$803)))</f>
        <v/>
      </c>
      <c r="BU167" s="8" t="str">
        <f>IF($B167="","",IF(COUNTIF('Competency Event Log'!$U$4:$U$803,$B167&amp;"|"&amp;BU$5)=0,"",SUMIF('Competency Event Log'!$U$4:$U$803,$B167&amp;"|"&amp;BU$5,'Competency Event Log'!$D$4:$D$803)))</f>
        <v/>
      </c>
      <c r="BV167" s="8" t="str">
        <f>IF($B167="","",IF(COUNTIF('Competency Event Log'!$U$4:$U$803,$B167&amp;"|"&amp;BV$5)=0,"",SUMIF('Competency Event Log'!$U$4:$U$803,$B167&amp;"|"&amp;BV$5,'Competency Event Log'!$D$4:$D$803)))</f>
        <v/>
      </c>
      <c r="BW167" s="8" t="str">
        <f>IF($B167="","",IF(COUNTIF('Competency Event Log'!$U$4:$U$803,$B167&amp;"|"&amp;BW$5)=0,"",SUMIF('Competency Event Log'!$U$4:$U$803,$B167&amp;"|"&amp;BW$5,'Competency Event Log'!$D$4:$D$803)))</f>
        <v/>
      </c>
      <c r="BX167" s="8" t="str">
        <f>IF($B167="","",IF(COUNTIF('Competency Event Log'!$U$4:$U$803,$B167&amp;"|"&amp;BX$5)=0,"",SUMIF('Competency Event Log'!$U$4:$U$803,$B167&amp;"|"&amp;BX$5,'Competency Event Log'!$D$4:$D$803)))</f>
        <v/>
      </c>
      <c r="BY167" s="8" t="str">
        <f>IF($B167="","",IF(COUNTIF('Competency Event Log'!$U$4:$U$803,$B167&amp;"|"&amp;BY$5)=0,"",SUMIF('Competency Event Log'!$U$4:$U$803,$B167&amp;"|"&amp;BY$5,'Competency Event Log'!$D$4:$D$803)))</f>
        <v/>
      </c>
      <c r="BZ167" s="8" t="str">
        <f>IF($B167="","",IF(COUNTIF('Competency Event Log'!$U$4:$U$803,$B167&amp;"|"&amp;BZ$5)=0,"",SUMIF('Competency Event Log'!$U$4:$U$803,$B167&amp;"|"&amp;BZ$5,'Competency Event Log'!$D$4:$D$803)))</f>
        <v/>
      </c>
      <c r="CA167" s="8" t="str">
        <f>IF($B167="","",IF(COUNTIF('Competency Event Log'!$U$4:$U$803,$B167&amp;"|"&amp;CA$5)=0,"",SUMIF('Competency Event Log'!$U$4:$U$803,$B167&amp;"|"&amp;CA$5,'Competency Event Log'!$D$4:$D$803)))</f>
        <v/>
      </c>
      <c r="CB167" s="8" t="str">
        <f>IF($B167="","",IF(COUNTIF('Competency Event Log'!$U$4:$U$803,$B167&amp;"|"&amp;CB$5)=0,"",SUMIF('Competency Event Log'!$U$4:$U$803,$B167&amp;"|"&amp;CB$5,'Competency Event Log'!$D$4:$D$803)))</f>
        <v/>
      </c>
      <c r="CC167" s="8" t="str">
        <f>IF($B167="","",IF(COUNTIF('Competency Event Log'!$U$4:$U$803,$B167&amp;"|"&amp;CC$5)=0,"",SUMIF('Competency Event Log'!$U$4:$U$803,$B167&amp;"|"&amp;CC$5,'Competency Event Log'!$D$4:$D$803)))</f>
        <v/>
      </c>
      <c r="CD167" s="8" t="str">
        <f>IF($B167="","",IF(COUNTIF('Competency Event Log'!$U$4:$U$803,$B167&amp;"|"&amp;CD$5)=0,"",SUMIF('Competency Event Log'!$U$4:$U$803,$B167&amp;"|"&amp;CD$5,'Competency Event Log'!$D$4:$D$803)))</f>
        <v/>
      </c>
      <c r="CE167" s="8" t="str">
        <f>IF($B167="","",IF(COUNTIF('Competency Event Log'!$U$4:$U$803,$B167&amp;"|"&amp;CE$5)=0,"",SUMIF('Competency Event Log'!$U$4:$U$803,$B167&amp;"|"&amp;CE$5,'Competency Event Log'!$D$4:$D$803)))</f>
        <v/>
      </c>
      <c r="CF167" s="8" t="str">
        <f>IF($B167="","",IF(COUNTIF('Competency Event Log'!$U$4:$U$803,$B167&amp;"|"&amp;CF$5)=0,"",SUMIF('Competency Event Log'!$U$4:$U$803,$B167&amp;"|"&amp;CF$5,'Competency Event Log'!$D$4:$D$803)))</f>
        <v/>
      </c>
      <c r="CG167" s="8" t="str">
        <f>IF($B167="","",IF(COUNTIF('Competency Event Log'!$U$4:$U$803,$B167&amp;"|"&amp;CG$5)=0,"",SUMIF('Competency Event Log'!$U$4:$U$803,$B167&amp;"|"&amp;CG$5,'Competency Event Log'!$D$4:$D$803)))</f>
        <v/>
      </c>
      <c r="CH167" s="8" t="str">
        <f>IF($B167="","",IF(COUNTIF('Competency Event Log'!$U$4:$U$803,$B167&amp;"|"&amp;CH$5)=0,"",SUMIF('Competency Event Log'!$U$4:$U$803,$B167&amp;"|"&amp;CH$5,'Competency Event Log'!$D$4:$D$803)))</f>
        <v/>
      </c>
      <c r="CI167" s="8" t="str">
        <f>IF($B167="","",IF(COUNTIF('Competency Event Log'!$U$4:$U$803,$B167&amp;"|"&amp;CI$5)=0,"",SUMIF('Competency Event Log'!$U$4:$U$803,$B167&amp;"|"&amp;CI$5,'Competency Event Log'!$D$4:$D$803)))</f>
        <v/>
      </c>
      <c r="CJ167" s="8" t="str">
        <f>IF($B167="","",IF(COUNTIF('Competency Event Log'!$U$4:$U$803,$B167&amp;"|"&amp;CJ$5)=0,"",SUMIF('Competency Event Log'!$U$4:$U$803,$B167&amp;"|"&amp;CJ$5,'Competency Event Log'!$D$4:$D$803)))</f>
        <v/>
      </c>
      <c r="CK167" s="8" t="str">
        <f>IF($B167="","",IF(COUNTIF('Competency Event Log'!$U$4:$U$803,$B167&amp;"|"&amp;CK$5)=0,"",SUMIF('Competency Event Log'!$U$4:$U$803,$B167&amp;"|"&amp;CK$5,'Competency Event Log'!$D$4:$D$803)))</f>
        <v/>
      </c>
      <c r="CL167" s="8" t="str">
        <f>IF($B167="","",IF(COUNTIF('Competency Event Log'!$U$4:$U$803,$B167&amp;"|"&amp;CL$5)=0,"",SUMIF('Competency Event Log'!$U$4:$U$803,$B167&amp;"|"&amp;CL$5,'Competency Event Log'!$D$4:$D$803)))</f>
        <v/>
      </c>
      <c r="CM167" s="8" t="str">
        <f>IF($B167="","",IF(COUNTIF('Competency Event Log'!$U$4:$U$803,$B167&amp;"|"&amp;CM$5)=0,"",SUMIF('Competency Event Log'!$U$4:$U$803,$B167&amp;"|"&amp;CM$5,'Competency Event Log'!$D$4:$D$803)))</f>
        <v/>
      </c>
      <c r="CN167" s="8" t="str">
        <f>IF($B167="","",IF(COUNTIF('Competency Event Log'!$U$4:$U$803,$B167&amp;"|"&amp;CN$5)=0,"",SUMIF('Competency Event Log'!$U$4:$U$803,$B167&amp;"|"&amp;CN$5,'Competency Event Log'!$D$4:$D$803)))</f>
        <v/>
      </c>
      <c r="CO167" s="8" t="str">
        <f>IF($B167="","",IF(COUNTIF('Competency Event Log'!$U$4:$U$803,$B167&amp;"|"&amp;CO$5)=0,"",SUMIF('Competency Event Log'!$U$4:$U$803,$B167&amp;"|"&amp;CO$5,'Competency Event Log'!$D$4:$D$803)))</f>
        <v/>
      </c>
      <c r="CP167" s="8" t="str">
        <f>IF($B167="","",IF(COUNTIF('Competency Event Log'!$U$4:$U$803,$B167&amp;"|"&amp;CP$5)=0,"",SUMIF('Competency Event Log'!$U$4:$U$803,$B167&amp;"|"&amp;CP$5,'Competency Event Log'!$D$4:$D$803)))</f>
        <v/>
      </c>
      <c r="CQ167" s="8" t="str">
        <f>IF($B167="","",IF(COUNTIF('Competency Event Log'!$U$4:$U$803,$B167&amp;"|"&amp;CQ$5)=0,"",SUMIF('Competency Event Log'!$U$4:$U$803,$B167&amp;"|"&amp;CQ$5,'Competency Event Log'!$D$4:$D$803)))</f>
        <v/>
      </c>
      <c r="CR167" s="8" t="str">
        <f>IF($B167="","",IF(COUNTIF('Competency Event Log'!$U$4:$U$803,$B167&amp;"|"&amp;CR$5)=0,"",SUMIF('Competency Event Log'!$U$4:$U$803,$B167&amp;"|"&amp;CR$5,'Competency Event Log'!$D$4:$D$803)))</f>
        <v/>
      </c>
      <c r="CS167" s="8" t="str">
        <f>IF($B167="","",IF(COUNTIF('Competency Event Log'!$U$4:$U$803,$B167&amp;"|"&amp;CS$5)=0,"",SUMIF('Competency Event Log'!$U$4:$U$803,$B167&amp;"|"&amp;CS$5,'Competency Event Log'!$D$4:$D$803)))</f>
        <v/>
      </c>
      <c r="CT167" s="8" t="str">
        <f>IF($B167="","",IF(COUNTIF('Competency Event Log'!$U$4:$U$803,$B167&amp;"|"&amp;CT$5)=0,"",SUMIF('Competency Event Log'!$U$4:$U$803,$B167&amp;"|"&amp;CT$5,'Competency Event Log'!$D$4:$D$803)))</f>
        <v/>
      </c>
      <c r="CU167" s="8" t="str">
        <f>IF($B167="","",IF(COUNTIF('Competency Event Log'!$U$4:$U$803,$B167&amp;"|"&amp;CU$5)=0,"",SUMIF('Competency Event Log'!$U$4:$U$803,$B167&amp;"|"&amp;CU$5,'Competency Event Log'!$D$4:$D$803)))</f>
        <v/>
      </c>
      <c r="CV167" s="8" t="str">
        <f>IF($B167="","",IF(COUNTIF('Competency Event Log'!$U$4:$U$803,$B167&amp;"|"&amp;CV$5)=0,"",SUMIF('Competency Event Log'!$U$4:$U$803,$B167&amp;"|"&amp;CV$5,'Competency Event Log'!$D$4:$D$803)))</f>
        <v/>
      </c>
      <c r="CW167" s="8" t="str">
        <f>IF($B167="","",IF(COUNTIF('Competency Event Log'!$U$4:$U$803,$B167&amp;"|"&amp;CW$5)=0,"",SUMIF('Competency Event Log'!$U$4:$U$803,$B167&amp;"|"&amp;CW$5,'Competency Event Log'!$D$4:$D$803)))</f>
        <v/>
      </c>
      <c r="CX167" s="8" t="str">
        <f>IF($B167="","",IF(COUNTIF('Competency Event Log'!$U$4:$U$803,$B167&amp;"|"&amp;CX$5)=0,"",SUMIF('Competency Event Log'!$U$4:$U$803,$B167&amp;"|"&amp;CX$5,'Competency Event Log'!$D$4:$D$803)))</f>
        <v/>
      </c>
      <c r="CY167" s="8" t="str">
        <f>IF($B167="","",IF(COUNTIF('Competency Event Log'!$U$4:$U$803,$B167&amp;"|"&amp;CY$5)=0,"",SUMIF('Competency Event Log'!$U$4:$U$803,$B167&amp;"|"&amp;CY$5,'Competency Event Log'!$D$4:$D$803)))</f>
        <v/>
      </c>
      <c r="CZ167" s="8" t="str">
        <f>IF($B167="","",IF(COUNTIF('Competency Event Log'!$U$4:$U$803,$B167&amp;"|"&amp;CZ$5)=0,"",SUMIF('Competency Event Log'!$U$4:$U$803,$B167&amp;"|"&amp;CZ$5,'Competency Event Log'!$D$4:$D$803)))</f>
        <v/>
      </c>
      <c r="DA167" s="8" t="str">
        <f>IF($B167="","",IF(COUNTIF('Competency Event Log'!$U$4:$U$803,$B167&amp;"|"&amp;DA$5)=0,"",SUMIF('Competency Event Log'!$U$4:$U$803,$B167&amp;"|"&amp;DA$5,'Competency Event Log'!$D$4:$D$803)))</f>
        <v/>
      </c>
      <c r="DB167" s="8" t="str">
        <f>IF($B167="","",IF(COUNTIF('Competency Event Log'!$U$4:$U$803,$B167&amp;"|"&amp;DB$5)=0,"",SUMIF('Competency Event Log'!$U$4:$U$803,$B167&amp;"|"&amp;DB$5,'Competency Event Log'!$D$4:$D$803)))</f>
        <v/>
      </c>
      <c r="DC167" s="8" t="str">
        <f>IF($B167="","",IF(COUNTIF('Competency Event Log'!$U$4:$U$803,$B167&amp;"|"&amp;DC$5)=0,"",SUMIF('Competency Event Log'!$U$4:$U$803,$B167&amp;"|"&amp;DC$5,'Competency Event Log'!$D$4:$D$803)))</f>
        <v/>
      </c>
      <c r="DD167" s="8" t="str">
        <f>IF($B167="","",IF(COUNTIF('Competency Event Log'!$U$4:$U$803,$B167&amp;"|"&amp;DD$5)=0,"",SUMIF('Competency Event Log'!$U$4:$U$803,$B167&amp;"|"&amp;DD$5,'Competency Event Log'!$D$4:$D$803)))</f>
        <v/>
      </c>
      <c r="DE167" s="8" t="str">
        <f>IF($B167="","",IF(COUNTIF('Competency Event Log'!$U$4:$U$803,$B167&amp;"|"&amp;DE$5)=0,"",SUMIF('Competency Event Log'!$U$4:$U$803,$B167&amp;"|"&amp;DE$5,'Competency Event Log'!$D$4:$D$803)))</f>
        <v/>
      </c>
      <c r="DF167" s="8" t="str">
        <f t="shared" si="20"/>
        <v/>
      </c>
      <c r="DG167" s="8" t="str">
        <f t="shared" si="21"/>
        <v/>
      </c>
      <c r="DH167" s="8" t="str">
        <f t="shared" si="22"/>
        <v/>
      </c>
      <c r="DI167" s="11" t="str">
        <f t="shared" si="23"/>
        <v/>
      </c>
    </row>
    <row r="168" spans="1:113">
      <c r="A168" s="7"/>
      <c r="B168" s="7"/>
      <c r="C168" s="8"/>
      <c r="D168" s="9"/>
      <c r="E168" s="10"/>
      <c r="F168" s="8"/>
      <c r="G168" s="8" t="str">
        <f>IF($B168="","",IF(COUNTIF('Competency Event Log'!$U$4:$U$803,$B168&amp;"|"&amp;G$5)=0,"",SUMIF('Competency Event Log'!$U$4:$U$803,$B168&amp;"|"&amp;G$5,'Competency Event Log'!$D$4:$D$803)))</f>
        <v/>
      </c>
      <c r="H168" s="8" t="str">
        <f>IF($B168="","",IF(COUNTIF('Competency Event Log'!$U$4:$U$803,$B168&amp;"|"&amp;H$5)=0,"",SUMIF('Competency Event Log'!$U$4:$U$803,$B168&amp;"|"&amp;H$5,'Competency Event Log'!$D$4:$D$803)))</f>
        <v/>
      </c>
      <c r="I168" s="8" t="str">
        <f>IF($B168="","",IF(COUNTIF('Competency Event Log'!$U$4:$U$803,$B168&amp;"|"&amp;I$5)=0,"",SUMIF('Competency Event Log'!$U$4:$U$803,$B168&amp;"|"&amp;I$5,'Competency Event Log'!$D$4:$D$803)))</f>
        <v/>
      </c>
      <c r="J168" s="8" t="str">
        <f>IF($B168="","",IF(COUNTIF('Competency Event Log'!$U$4:$U$803,$B168&amp;"|"&amp;J$5)=0,"",SUMIF('Competency Event Log'!$U$4:$U$803,$B168&amp;"|"&amp;J$5,'Competency Event Log'!$D$4:$D$803)))</f>
        <v/>
      </c>
      <c r="K168" s="8" t="str">
        <f>IF($B168="","",IF(COUNTIF('Competency Event Log'!$U$4:$U$803,$B168&amp;"|"&amp;K$5)=0,"",SUMIF('Competency Event Log'!$U$4:$U$803,$B168&amp;"|"&amp;K$5,'Competency Event Log'!$D$4:$D$803)))</f>
        <v/>
      </c>
      <c r="L168" s="8" t="str">
        <f>IF($B168="","",IF(COUNTIF('Competency Event Log'!$U$4:$U$803,$B168&amp;"|"&amp;L$5)=0,"",SUMIF('Competency Event Log'!$U$4:$U$803,$B168&amp;"|"&amp;L$5,'Competency Event Log'!$D$4:$D$803)))</f>
        <v/>
      </c>
      <c r="M168" s="8" t="str">
        <f>IF($B168="","",IF(COUNTIF('Competency Event Log'!$U$4:$U$803,$B168&amp;"|"&amp;M$5)=0,"",SUMIF('Competency Event Log'!$U$4:$U$803,$B168&amp;"|"&amp;M$5,'Competency Event Log'!$D$4:$D$803)))</f>
        <v/>
      </c>
      <c r="N168" s="8" t="str">
        <f>IF($B168="","",IF(COUNTIF('Competency Event Log'!$U$4:$U$803,$B168&amp;"|"&amp;N$5)=0,"",SUMIF('Competency Event Log'!$U$4:$U$803,$B168&amp;"|"&amp;N$5,'Competency Event Log'!$D$4:$D$803)))</f>
        <v/>
      </c>
      <c r="O168" s="8" t="str">
        <f>IF($B168="","",IF(COUNTIF('Competency Event Log'!$U$4:$U$803,$B168&amp;"|"&amp;O$5)=0,"",SUMIF('Competency Event Log'!$U$4:$U$803,$B168&amp;"|"&amp;O$5,'Competency Event Log'!$D$4:$D$803)))</f>
        <v/>
      </c>
      <c r="P168" s="8" t="str">
        <f>IF($B168="","",IF(COUNTIF('Competency Event Log'!$U$4:$U$803,$B168&amp;"|"&amp;P$5)=0,"",SUMIF('Competency Event Log'!$U$4:$U$803,$B168&amp;"|"&amp;P$5,'Competency Event Log'!$D$4:$D$803)))</f>
        <v/>
      </c>
      <c r="Q168" s="8" t="str">
        <f>IF($B168="","",IF(COUNTIF('Competency Event Log'!$U$4:$U$803,$B168&amp;"|"&amp;Q$5)=0,"",SUMIF('Competency Event Log'!$U$4:$U$803,$B168&amp;"|"&amp;Q$5,'Competency Event Log'!$D$4:$D$803)))</f>
        <v/>
      </c>
      <c r="R168" s="8" t="str">
        <f>IF($B168="","",IF(COUNTIF('Competency Event Log'!$U$4:$U$803,$B168&amp;"|"&amp;R$5)=0,"",SUMIF('Competency Event Log'!$U$4:$U$803,$B168&amp;"|"&amp;R$5,'Competency Event Log'!$D$4:$D$803)))</f>
        <v/>
      </c>
      <c r="S168" s="8" t="str">
        <f>IF($B168="","",IF(COUNTIF('Competency Event Log'!$U$4:$U$803,$B168&amp;"|"&amp;S$5)=0,"",SUMIF('Competency Event Log'!$U$4:$U$803,$B168&amp;"|"&amp;S$5,'Competency Event Log'!$D$4:$D$803)))</f>
        <v/>
      </c>
      <c r="T168" s="8" t="str">
        <f>IF($B168="","",IF(COUNTIF('Competency Event Log'!$U$4:$U$803,$B168&amp;"|"&amp;T$5)=0,"",SUMIF('Competency Event Log'!$U$4:$U$803,$B168&amp;"|"&amp;T$5,'Competency Event Log'!$D$4:$D$803)))</f>
        <v/>
      </c>
      <c r="U168" s="8" t="str">
        <f>IF($B168="","",IF(COUNTIF('Competency Event Log'!$U$4:$U$803,$B168&amp;"|"&amp;U$5)=0,"",SUMIF('Competency Event Log'!$U$4:$U$803,$B168&amp;"|"&amp;U$5,'Competency Event Log'!$D$4:$D$803)))</f>
        <v/>
      </c>
      <c r="V168" s="8" t="str">
        <f>IF($B168="","",IF(COUNTIF('Competency Event Log'!$U$4:$U$803,$B168&amp;"|"&amp;V$5)=0,"",SUMIF('Competency Event Log'!$U$4:$U$803,$B168&amp;"|"&amp;V$5,'Competency Event Log'!$D$4:$D$803)))</f>
        <v/>
      </c>
      <c r="W168" s="8" t="str">
        <f>IF($B168="","",IF(COUNTIF('Competency Event Log'!$U$4:$U$803,$B168&amp;"|"&amp;W$5)=0,"",SUMIF('Competency Event Log'!$U$4:$U$803,$B168&amp;"|"&amp;W$5,'Competency Event Log'!$D$4:$D$803)))</f>
        <v/>
      </c>
      <c r="X168" s="8" t="str">
        <f>IF($B168="","",IF(COUNTIF('Competency Event Log'!$U$4:$U$803,$B168&amp;"|"&amp;X$5)=0,"",SUMIF('Competency Event Log'!$U$4:$U$803,$B168&amp;"|"&amp;X$5,'Competency Event Log'!$D$4:$D$803)))</f>
        <v/>
      </c>
      <c r="Y168" s="8" t="str">
        <f>IF($B168="","",IF(COUNTIF('Competency Event Log'!$U$4:$U$803,$B168&amp;"|"&amp;Y$5)=0,"",SUMIF('Competency Event Log'!$U$4:$U$803,$B168&amp;"|"&amp;Y$5,'Competency Event Log'!$D$4:$D$803)))</f>
        <v/>
      </c>
      <c r="Z168" s="8" t="str">
        <f>IF($B168="","",IF(COUNTIF('Competency Event Log'!$U$4:$U$803,$B168&amp;"|"&amp;Z$5)=0,"",SUMIF('Competency Event Log'!$U$4:$U$803,$B168&amp;"|"&amp;Z$5,'Competency Event Log'!$D$4:$D$803)))</f>
        <v/>
      </c>
      <c r="AA168" s="8" t="str">
        <f>IF($B168="","",IF(COUNTIF('Competency Event Log'!$U$4:$U$803,$B168&amp;"|"&amp;AA$5)=0,"",SUMIF('Competency Event Log'!$U$4:$U$803,$B168&amp;"|"&amp;AA$5,'Competency Event Log'!$D$4:$D$803)))</f>
        <v/>
      </c>
      <c r="AB168" s="8" t="str">
        <f>IF($B168="","",IF(COUNTIF('Competency Event Log'!$U$4:$U$803,$B168&amp;"|"&amp;AB$5)=0,"",SUMIF('Competency Event Log'!$U$4:$U$803,$B168&amp;"|"&amp;AB$5,'Competency Event Log'!$D$4:$D$803)))</f>
        <v/>
      </c>
      <c r="AC168" s="8" t="str">
        <f>IF($B168="","",IF(COUNTIF('Competency Event Log'!$U$4:$U$803,$B168&amp;"|"&amp;AC$5)=0,"",SUMIF('Competency Event Log'!$U$4:$U$803,$B168&amp;"|"&amp;AC$5,'Competency Event Log'!$D$4:$D$803)))</f>
        <v/>
      </c>
      <c r="AD168" s="8" t="str">
        <f>IF($B168="","",IF(COUNTIF('Competency Event Log'!$U$4:$U$803,$B168&amp;"|"&amp;AD$5)=0,"",SUMIF('Competency Event Log'!$U$4:$U$803,$B168&amp;"|"&amp;AD$5,'Competency Event Log'!$D$4:$D$803)))</f>
        <v/>
      </c>
      <c r="AE168" s="8" t="str">
        <f>IF($B168="","",IF(COUNTIF('Competency Event Log'!$U$4:$U$803,$B168&amp;"|"&amp;AE$5)=0,"",SUMIF('Competency Event Log'!$U$4:$U$803,$B168&amp;"|"&amp;AE$5,'Competency Event Log'!$D$4:$D$803)))</f>
        <v/>
      </c>
      <c r="AF168" s="8" t="str">
        <f>IF($B168="","",IF(COUNTIF('Competency Event Log'!$U$4:$U$803,$B168&amp;"|"&amp;AF$5)=0,"",SUMIF('Competency Event Log'!$U$4:$U$803,$B168&amp;"|"&amp;AF$5,'Competency Event Log'!$D$4:$D$803)))</f>
        <v/>
      </c>
      <c r="AG168" s="8" t="str">
        <f>IF($B168="","",IF(COUNTIF('Competency Event Log'!$U$4:$U$803,$B168&amp;"|"&amp;AG$5)=0,"",SUMIF('Competency Event Log'!$U$4:$U$803,$B168&amp;"|"&amp;AG$5,'Competency Event Log'!$D$4:$D$803)))</f>
        <v/>
      </c>
      <c r="AH168" s="8" t="str">
        <f>IF($B168="","",IF(COUNTIF('Competency Event Log'!$U$4:$U$803,$B168&amp;"|"&amp;AH$5)=0,"",SUMIF('Competency Event Log'!$U$4:$U$803,$B168&amp;"|"&amp;AH$5,'Competency Event Log'!$D$4:$D$803)))</f>
        <v/>
      </c>
      <c r="AI168" s="8" t="str">
        <f>IF($B168="","",IF(COUNTIF('Competency Event Log'!$U$4:$U$803,$B168&amp;"|"&amp;AI$5)=0,"",SUMIF('Competency Event Log'!$U$4:$U$803,$B168&amp;"|"&amp;AI$5,'Competency Event Log'!$D$4:$D$803)))</f>
        <v/>
      </c>
      <c r="AJ168" s="8" t="str">
        <f>IF($B168="","",IF(COUNTIF('Competency Event Log'!$U$4:$U$803,$B168&amp;"|"&amp;AJ$5)=0,"",SUMIF('Competency Event Log'!$U$4:$U$803,$B168&amp;"|"&amp;AJ$5,'Competency Event Log'!$D$4:$D$803)))</f>
        <v/>
      </c>
      <c r="AK168" s="8" t="str">
        <f>IF($B168="","",IF(COUNTIF('Competency Event Log'!$U$4:$U$803,$B168&amp;"|"&amp;AK$5)=0,"",SUMIF('Competency Event Log'!$U$4:$U$803,$B168&amp;"|"&amp;AK$5,'Competency Event Log'!$D$4:$D$803)))</f>
        <v/>
      </c>
      <c r="AL168" s="8" t="str">
        <f>IF($B168="","",IF(COUNTIF('Competency Event Log'!$U$4:$U$803,$B168&amp;"|"&amp;AL$5)=0,"",SUMIF('Competency Event Log'!$U$4:$U$803,$B168&amp;"|"&amp;AL$5,'Competency Event Log'!$D$4:$D$803)))</f>
        <v/>
      </c>
      <c r="AM168" s="8" t="str">
        <f>IF($B168="","",IF(COUNTIF('Competency Event Log'!$U$4:$U$803,$B168&amp;"|"&amp;AM$5)=0,"",SUMIF('Competency Event Log'!$U$4:$U$803,$B168&amp;"|"&amp;AM$5,'Competency Event Log'!$D$4:$D$803)))</f>
        <v/>
      </c>
      <c r="AN168" s="8" t="str">
        <f>IF($B168="","",IF(COUNTIF('Competency Event Log'!$U$4:$U$803,$B168&amp;"|"&amp;AN$5)=0,"",SUMIF('Competency Event Log'!$U$4:$U$803,$B168&amp;"|"&amp;AN$5,'Competency Event Log'!$D$4:$D$803)))</f>
        <v/>
      </c>
      <c r="AO168" s="8" t="str">
        <f>IF($B168="","",IF(COUNTIF('Competency Event Log'!$U$4:$U$803,$B168&amp;"|"&amp;AO$5)=0,"",SUMIF('Competency Event Log'!$U$4:$U$803,$B168&amp;"|"&amp;AO$5,'Competency Event Log'!$D$4:$D$803)))</f>
        <v/>
      </c>
      <c r="AP168" s="8" t="str">
        <f>IF($B168="","",IF(COUNTIF('Competency Event Log'!$U$4:$U$803,$B168&amp;"|"&amp;AP$5)=0,"",SUMIF('Competency Event Log'!$U$4:$U$803,$B168&amp;"|"&amp;AP$5,'Competency Event Log'!$D$4:$D$803)))</f>
        <v/>
      </c>
      <c r="AQ168" s="8" t="str">
        <f>IF($B168="","",IF(COUNTIF('Competency Event Log'!$U$4:$U$803,$B168&amp;"|"&amp;AQ$5)=0,"",SUMIF('Competency Event Log'!$U$4:$U$803,$B168&amp;"|"&amp;AQ$5,'Competency Event Log'!$D$4:$D$803)))</f>
        <v/>
      </c>
      <c r="AR168" s="8" t="str">
        <f>IF($B168="","",IF(COUNTIF('Competency Event Log'!$U$4:$U$803,$B168&amp;"|"&amp;AR$5)=0,"",SUMIF('Competency Event Log'!$U$4:$U$803,$B168&amp;"|"&amp;AR$5,'Competency Event Log'!$D$4:$D$803)))</f>
        <v/>
      </c>
      <c r="AS168" s="8" t="str">
        <f>IF($B168="","",IF(COUNTIF('Competency Event Log'!$U$4:$U$803,$B168&amp;"|"&amp;AS$5)=0,"",SUMIF('Competency Event Log'!$U$4:$U$803,$B168&amp;"|"&amp;AS$5,'Competency Event Log'!$D$4:$D$803)))</f>
        <v/>
      </c>
      <c r="AT168" s="8" t="str">
        <f>IF($B168="","",IF(COUNTIF('Competency Event Log'!$U$4:$U$803,$B168&amp;"|"&amp;AT$5)=0,"",SUMIF('Competency Event Log'!$U$4:$U$803,$B168&amp;"|"&amp;AT$5,'Competency Event Log'!$D$4:$D$803)))</f>
        <v/>
      </c>
      <c r="AU168" s="8" t="str">
        <f>IF($B168="","",IF(COUNTIF('Competency Event Log'!$U$4:$U$803,$B168&amp;"|"&amp;AU$5)=0,"",SUMIF('Competency Event Log'!$U$4:$U$803,$B168&amp;"|"&amp;AU$5,'Competency Event Log'!$D$4:$D$803)))</f>
        <v/>
      </c>
      <c r="AV168" s="8" t="str">
        <f>IF($B168="","",IF(COUNTIF('Competency Event Log'!$U$4:$U$803,$B168&amp;"|"&amp;AV$5)=0,"",SUMIF('Competency Event Log'!$U$4:$U$803,$B168&amp;"|"&amp;AV$5,'Competency Event Log'!$D$4:$D$803)))</f>
        <v/>
      </c>
      <c r="AW168" s="8" t="str">
        <f>IF($B168="","",IF(COUNTIF('Competency Event Log'!$U$4:$U$803,$B168&amp;"|"&amp;AW$5)=0,"",SUMIF('Competency Event Log'!$U$4:$U$803,$B168&amp;"|"&amp;AW$5,'Competency Event Log'!$D$4:$D$803)))</f>
        <v/>
      </c>
      <c r="AX168" s="8" t="str">
        <f>IF($B168="","",IF(COUNTIF('Competency Event Log'!$U$4:$U$803,$B168&amp;"|"&amp;AX$5)=0,"",SUMIF('Competency Event Log'!$U$4:$U$803,$B168&amp;"|"&amp;AX$5,'Competency Event Log'!$D$4:$D$803)))</f>
        <v/>
      </c>
      <c r="AY168" s="8" t="str">
        <f>IF($B168="","",IF(COUNTIF('Competency Event Log'!$U$4:$U$803,$B168&amp;"|"&amp;AY$5)=0,"",SUMIF('Competency Event Log'!$U$4:$U$803,$B168&amp;"|"&amp;AY$5,'Competency Event Log'!$D$4:$D$803)))</f>
        <v/>
      </c>
      <c r="AZ168" s="8" t="str">
        <f>IF($B168="","",IF(COUNTIF('Competency Event Log'!$U$4:$U$803,$B168&amp;"|"&amp;AZ$5)=0,"",SUMIF('Competency Event Log'!$U$4:$U$803,$B168&amp;"|"&amp;AZ$5,'Competency Event Log'!$D$4:$D$803)))</f>
        <v/>
      </c>
      <c r="BA168" s="8" t="str">
        <f>IF($B168="","",IF(COUNTIF('Competency Event Log'!$U$4:$U$803,$B168&amp;"|"&amp;BA$5)=0,"",SUMIF('Competency Event Log'!$U$4:$U$803,$B168&amp;"|"&amp;BA$5,'Competency Event Log'!$D$4:$D$803)))</f>
        <v/>
      </c>
      <c r="BB168" s="8" t="str">
        <f>IF($B168="","",IF(COUNTIF('Competency Event Log'!$U$4:$U$803,$B168&amp;"|"&amp;BB$5)=0,"",SUMIF('Competency Event Log'!$U$4:$U$803,$B168&amp;"|"&amp;BB$5,'Competency Event Log'!$D$4:$D$803)))</f>
        <v/>
      </c>
      <c r="BC168" s="8" t="str">
        <f>IF($B168="","",IF(COUNTIF('Competency Event Log'!$U$4:$U$803,$B168&amp;"|"&amp;BC$5)=0,"",SUMIF('Competency Event Log'!$U$4:$U$803,$B168&amp;"|"&amp;BC$5,'Competency Event Log'!$D$4:$D$803)))</f>
        <v/>
      </c>
      <c r="BD168" s="8" t="str">
        <f>IF($B168="","",IF(COUNTIF('Competency Event Log'!$U$4:$U$803,$B168&amp;"|"&amp;BD$5)=0,"",SUMIF('Competency Event Log'!$U$4:$U$803,$B168&amp;"|"&amp;BD$5,'Competency Event Log'!$D$4:$D$803)))</f>
        <v/>
      </c>
      <c r="BE168" s="8" t="str">
        <f>IF($B168="","",IF(COUNTIF('Competency Event Log'!$U$4:$U$803,$B168&amp;"|"&amp;BE$5)=0,"",SUMIF('Competency Event Log'!$U$4:$U$803,$B168&amp;"|"&amp;BE$5,'Competency Event Log'!$D$4:$D$803)))</f>
        <v/>
      </c>
      <c r="BF168" s="8" t="str">
        <f>IF($B168="","",IF(COUNTIF('Competency Event Log'!$U$4:$U$803,$B168&amp;"|"&amp;BF$5)=0,"",SUMIF('Competency Event Log'!$U$4:$U$803,$B168&amp;"|"&amp;BF$5,'Competency Event Log'!$D$4:$D$803)))</f>
        <v/>
      </c>
      <c r="BG168" s="8" t="str">
        <f>IF($B168="","",IF(COUNTIF('Competency Event Log'!$U$4:$U$803,$B168&amp;"|"&amp;BG$5)=0,"",SUMIF('Competency Event Log'!$U$4:$U$803,$B168&amp;"|"&amp;BG$5,'Competency Event Log'!$D$4:$D$803)))</f>
        <v/>
      </c>
      <c r="BH168" s="8" t="str">
        <f>IF($B168="","",IF(COUNTIF('Competency Event Log'!$U$4:$U$803,$B168&amp;"|"&amp;BH$5)=0,"",SUMIF('Competency Event Log'!$U$4:$U$803,$B168&amp;"|"&amp;BH$5,'Competency Event Log'!$D$4:$D$803)))</f>
        <v/>
      </c>
      <c r="BI168" s="8" t="str">
        <f>IF($B168="","",IF(COUNTIF('Competency Event Log'!$U$4:$U$803,$B168&amp;"|"&amp;BI$5)=0,"",SUMIF('Competency Event Log'!$U$4:$U$803,$B168&amp;"|"&amp;BI$5,'Competency Event Log'!$D$4:$D$803)))</f>
        <v/>
      </c>
      <c r="BJ168" s="8" t="str">
        <f>IF($B168="","",IF(COUNTIF('Competency Event Log'!$U$4:$U$803,$B168&amp;"|"&amp;BJ$5)=0,"",SUMIF('Competency Event Log'!$U$4:$U$803,$B168&amp;"|"&amp;BJ$5,'Competency Event Log'!$D$4:$D$803)))</f>
        <v/>
      </c>
      <c r="BK168" s="8" t="str">
        <f>IF($B168="","",IF(COUNTIF('Competency Event Log'!$U$4:$U$803,$B168&amp;"|"&amp;BK$5)=0,"",SUMIF('Competency Event Log'!$U$4:$U$803,$B168&amp;"|"&amp;BK$5,'Competency Event Log'!$D$4:$D$803)))</f>
        <v/>
      </c>
      <c r="BL168" s="8" t="str">
        <f>IF($B168="","",IF(COUNTIF('Competency Event Log'!$U$4:$U$803,$B168&amp;"|"&amp;BL$5)=0,"",SUMIF('Competency Event Log'!$U$4:$U$803,$B168&amp;"|"&amp;BL$5,'Competency Event Log'!$D$4:$D$803)))</f>
        <v/>
      </c>
      <c r="BM168" s="8" t="str">
        <f>IF($B168="","",IF(COUNTIF('Competency Event Log'!$U$4:$U$803,$B168&amp;"|"&amp;BM$5)=0,"",SUMIF('Competency Event Log'!$U$4:$U$803,$B168&amp;"|"&amp;BM$5,'Competency Event Log'!$D$4:$D$803)))</f>
        <v/>
      </c>
      <c r="BN168" s="8" t="str">
        <f>IF($B168="","",IF(COUNTIF('Competency Event Log'!$U$4:$U$803,$B168&amp;"|"&amp;BN$5)=0,"",SUMIF('Competency Event Log'!$U$4:$U$803,$B168&amp;"|"&amp;BN$5,'Competency Event Log'!$D$4:$D$803)))</f>
        <v/>
      </c>
      <c r="BO168" s="8" t="str">
        <f>IF($B168="","",IF(COUNTIF('Competency Event Log'!$U$4:$U$803,$B168&amp;"|"&amp;BO$5)=0,"",SUMIF('Competency Event Log'!$U$4:$U$803,$B168&amp;"|"&amp;BO$5,'Competency Event Log'!$D$4:$D$803)))</f>
        <v/>
      </c>
      <c r="BP168" s="8" t="str">
        <f>IF($B168="","",IF(COUNTIF('Competency Event Log'!$U$4:$U$803,$B168&amp;"|"&amp;BP$5)=0,"",SUMIF('Competency Event Log'!$U$4:$U$803,$B168&amp;"|"&amp;BP$5,'Competency Event Log'!$D$4:$D$803)))</f>
        <v/>
      </c>
      <c r="BQ168" s="8" t="str">
        <f>IF($B168="","",IF(COUNTIF('Competency Event Log'!$U$4:$U$803,$B168&amp;"|"&amp;BQ$5)=0,"",SUMIF('Competency Event Log'!$U$4:$U$803,$B168&amp;"|"&amp;BQ$5,'Competency Event Log'!$D$4:$D$803)))</f>
        <v/>
      </c>
      <c r="BR168" s="8" t="str">
        <f>IF($B168="","",IF(COUNTIF('Competency Event Log'!$U$4:$U$803,$B168&amp;"|"&amp;BR$5)=0,"",SUMIF('Competency Event Log'!$U$4:$U$803,$B168&amp;"|"&amp;BR$5,'Competency Event Log'!$D$4:$D$803)))</f>
        <v/>
      </c>
      <c r="BS168" s="8" t="str">
        <f>IF($B168="","",IF(COUNTIF('Competency Event Log'!$U$4:$U$803,$B168&amp;"|"&amp;BS$5)=0,"",SUMIF('Competency Event Log'!$U$4:$U$803,$B168&amp;"|"&amp;BS$5,'Competency Event Log'!$D$4:$D$803)))</f>
        <v/>
      </c>
      <c r="BT168" s="8" t="str">
        <f>IF($B168="","",IF(COUNTIF('Competency Event Log'!$U$4:$U$803,$B168&amp;"|"&amp;BT$5)=0,"",SUMIF('Competency Event Log'!$U$4:$U$803,$B168&amp;"|"&amp;BT$5,'Competency Event Log'!$D$4:$D$803)))</f>
        <v/>
      </c>
      <c r="BU168" s="8" t="str">
        <f>IF($B168="","",IF(COUNTIF('Competency Event Log'!$U$4:$U$803,$B168&amp;"|"&amp;BU$5)=0,"",SUMIF('Competency Event Log'!$U$4:$U$803,$B168&amp;"|"&amp;BU$5,'Competency Event Log'!$D$4:$D$803)))</f>
        <v/>
      </c>
      <c r="BV168" s="8" t="str">
        <f>IF($B168="","",IF(COUNTIF('Competency Event Log'!$U$4:$U$803,$B168&amp;"|"&amp;BV$5)=0,"",SUMIF('Competency Event Log'!$U$4:$U$803,$B168&amp;"|"&amp;BV$5,'Competency Event Log'!$D$4:$D$803)))</f>
        <v/>
      </c>
      <c r="BW168" s="8" t="str">
        <f>IF($B168="","",IF(COUNTIF('Competency Event Log'!$U$4:$U$803,$B168&amp;"|"&amp;BW$5)=0,"",SUMIF('Competency Event Log'!$U$4:$U$803,$B168&amp;"|"&amp;BW$5,'Competency Event Log'!$D$4:$D$803)))</f>
        <v/>
      </c>
      <c r="BX168" s="8" t="str">
        <f>IF($B168="","",IF(COUNTIF('Competency Event Log'!$U$4:$U$803,$B168&amp;"|"&amp;BX$5)=0,"",SUMIF('Competency Event Log'!$U$4:$U$803,$B168&amp;"|"&amp;BX$5,'Competency Event Log'!$D$4:$D$803)))</f>
        <v/>
      </c>
      <c r="BY168" s="8" t="str">
        <f>IF($B168="","",IF(COUNTIF('Competency Event Log'!$U$4:$U$803,$B168&amp;"|"&amp;BY$5)=0,"",SUMIF('Competency Event Log'!$U$4:$U$803,$B168&amp;"|"&amp;BY$5,'Competency Event Log'!$D$4:$D$803)))</f>
        <v/>
      </c>
      <c r="BZ168" s="8" t="str">
        <f>IF($B168="","",IF(COUNTIF('Competency Event Log'!$U$4:$U$803,$B168&amp;"|"&amp;BZ$5)=0,"",SUMIF('Competency Event Log'!$U$4:$U$803,$B168&amp;"|"&amp;BZ$5,'Competency Event Log'!$D$4:$D$803)))</f>
        <v/>
      </c>
      <c r="CA168" s="8" t="str">
        <f>IF($B168="","",IF(COUNTIF('Competency Event Log'!$U$4:$U$803,$B168&amp;"|"&amp;CA$5)=0,"",SUMIF('Competency Event Log'!$U$4:$U$803,$B168&amp;"|"&amp;CA$5,'Competency Event Log'!$D$4:$D$803)))</f>
        <v/>
      </c>
      <c r="CB168" s="8" t="str">
        <f>IF($B168="","",IF(COUNTIF('Competency Event Log'!$U$4:$U$803,$B168&amp;"|"&amp;CB$5)=0,"",SUMIF('Competency Event Log'!$U$4:$U$803,$B168&amp;"|"&amp;CB$5,'Competency Event Log'!$D$4:$D$803)))</f>
        <v/>
      </c>
      <c r="CC168" s="8" t="str">
        <f>IF($B168="","",IF(COUNTIF('Competency Event Log'!$U$4:$U$803,$B168&amp;"|"&amp;CC$5)=0,"",SUMIF('Competency Event Log'!$U$4:$U$803,$B168&amp;"|"&amp;CC$5,'Competency Event Log'!$D$4:$D$803)))</f>
        <v/>
      </c>
      <c r="CD168" s="8" t="str">
        <f>IF($B168="","",IF(COUNTIF('Competency Event Log'!$U$4:$U$803,$B168&amp;"|"&amp;CD$5)=0,"",SUMIF('Competency Event Log'!$U$4:$U$803,$B168&amp;"|"&amp;CD$5,'Competency Event Log'!$D$4:$D$803)))</f>
        <v/>
      </c>
      <c r="CE168" s="8" t="str">
        <f>IF($B168="","",IF(COUNTIF('Competency Event Log'!$U$4:$U$803,$B168&amp;"|"&amp;CE$5)=0,"",SUMIF('Competency Event Log'!$U$4:$U$803,$B168&amp;"|"&amp;CE$5,'Competency Event Log'!$D$4:$D$803)))</f>
        <v/>
      </c>
      <c r="CF168" s="8" t="str">
        <f>IF($B168="","",IF(COUNTIF('Competency Event Log'!$U$4:$U$803,$B168&amp;"|"&amp;CF$5)=0,"",SUMIF('Competency Event Log'!$U$4:$U$803,$B168&amp;"|"&amp;CF$5,'Competency Event Log'!$D$4:$D$803)))</f>
        <v/>
      </c>
      <c r="CG168" s="8" t="str">
        <f>IF($B168="","",IF(COUNTIF('Competency Event Log'!$U$4:$U$803,$B168&amp;"|"&amp;CG$5)=0,"",SUMIF('Competency Event Log'!$U$4:$U$803,$B168&amp;"|"&amp;CG$5,'Competency Event Log'!$D$4:$D$803)))</f>
        <v/>
      </c>
      <c r="CH168" s="8" t="str">
        <f>IF($B168="","",IF(COUNTIF('Competency Event Log'!$U$4:$U$803,$B168&amp;"|"&amp;CH$5)=0,"",SUMIF('Competency Event Log'!$U$4:$U$803,$B168&amp;"|"&amp;CH$5,'Competency Event Log'!$D$4:$D$803)))</f>
        <v/>
      </c>
      <c r="CI168" s="8" t="str">
        <f>IF($B168="","",IF(COUNTIF('Competency Event Log'!$U$4:$U$803,$B168&amp;"|"&amp;CI$5)=0,"",SUMIF('Competency Event Log'!$U$4:$U$803,$B168&amp;"|"&amp;CI$5,'Competency Event Log'!$D$4:$D$803)))</f>
        <v/>
      </c>
      <c r="CJ168" s="8" t="str">
        <f>IF($B168="","",IF(COUNTIF('Competency Event Log'!$U$4:$U$803,$B168&amp;"|"&amp;CJ$5)=0,"",SUMIF('Competency Event Log'!$U$4:$U$803,$B168&amp;"|"&amp;CJ$5,'Competency Event Log'!$D$4:$D$803)))</f>
        <v/>
      </c>
      <c r="CK168" s="8" t="str">
        <f>IF($B168="","",IF(COUNTIF('Competency Event Log'!$U$4:$U$803,$B168&amp;"|"&amp;CK$5)=0,"",SUMIF('Competency Event Log'!$U$4:$U$803,$B168&amp;"|"&amp;CK$5,'Competency Event Log'!$D$4:$D$803)))</f>
        <v/>
      </c>
      <c r="CL168" s="8" t="str">
        <f>IF($B168="","",IF(COUNTIF('Competency Event Log'!$U$4:$U$803,$B168&amp;"|"&amp;CL$5)=0,"",SUMIF('Competency Event Log'!$U$4:$U$803,$B168&amp;"|"&amp;CL$5,'Competency Event Log'!$D$4:$D$803)))</f>
        <v/>
      </c>
      <c r="CM168" s="8" t="str">
        <f>IF($B168="","",IF(COUNTIF('Competency Event Log'!$U$4:$U$803,$B168&amp;"|"&amp;CM$5)=0,"",SUMIF('Competency Event Log'!$U$4:$U$803,$B168&amp;"|"&amp;CM$5,'Competency Event Log'!$D$4:$D$803)))</f>
        <v/>
      </c>
      <c r="CN168" s="8" t="str">
        <f>IF($B168="","",IF(COUNTIF('Competency Event Log'!$U$4:$U$803,$B168&amp;"|"&amp;CN$5)=0,"",SUMIF('Competency Event Log'!$U$4:$U$803,$B168&amp;"|"&amp;CN$5,'Competency Event Log'!$D$4:$D$803)))</f>
        <v/>
      </c>
      <c r="CO168" s="8" t="str">
        <f>IF($B168="","",IF(COUNTIF('Competency Event Log'!$U$4:$U$803,$B168&amp;"|"&amp;CO$5)=0,"",SUMIF('Competency Event Log'!$U$4:$U$803,$B168&amp;"|"&amp;CO$5,'Competency Event Log'!$D$4:$D$803)))</f>
        <v/>
      </c>
      <c r="CP168" s="8" t="str">
        <f>IF($B168="","",IF(COUNTIF('Competency Event Log'!$U$4:$U$803,$B168&amp;"|"&amp;CP$5)=0,"",SUMIF('Competency Event Log'!$U$4:$U$803,$B168&amp;"|"&amp;CP$5,'Competency Event Log'!$D$4:$D$803)))</f>
        <v/>
      </c>
      <c r="CQ168" s="8" t="str">
        <f>IF($B168="","",IF(COUNTIF('Competency Event Log'!$U$4:$U$803,$B168&amp;"|"&amp;CQ$5)=0,"",SUMIF('Competency Event Log'!$U$4:$U$803,$B168&amp;"|"&amp;CQ$5,'Competency Event Log'!$D$4:$D$803)))</f>
        <v/>
      </c>
      <c r="CR168" s="8" t="str">
        <f>IF($B168="","",IF(COUNTIF('Competency Event Log'!$U$4:$U$803,$B168&amp;"|"&amp;CR$5)=0,"",SUMIF('Competency Event Log'!$U$4:$U$803,$B168&amp;"|"&amp;CR$5,'Competency Event Log'!$D$4:$D$803)))</f>
        <v/>
      </c>
      <c r="CS168" s="8" t="str">
        <f>IF($B168="","",IF(COUNTIF('Competency Event Log'!$U$4:$U$803,$B168&amp;"|"&amp;CS$5)=0,"",SUMIF('Competency Event Log'!$U$4:$U$803,$B168&amp;"|"&amp;CS$5,'Competency Event Log'!$D$4:$D$803)))</f>
        <v/>
      </c>
      <c r="CT168" s="8" t="str">
        <f>IF($B168="","",IF(COUNTIF('Competency Event Log'!$U$4:$U$803,$B168&amp;"|"&amp;CT$5)=0,"",SUMIF('Competency Event Log'!$U$4:$U$803,$B168&amp;"|"&amp;CT$5,'Competency Event Log'!$D$4:$D$803)))</f>
        <v/>
      </c>
      <c r="CU168" s="8" t="str">
        <f>IF($B168="","",IF(COUNTIF('Competency Event Log'!$U$4:$U$803,$B168&amp;"|"&amp;CU$5)=0,"",SUMIF('Competency Event Log'!$U$4:$U$803,$B168&amp;"|"&amp;CU$5,'Competency Event Log'!$D$4:$D$803)))</f>
        <v/>
      </c>
      <c r="CV168" s="8" t="str">
        <f>IF($B168="","",IF(COUNTIF('Competency Event Log'!$U$4:$U$803,$B168&amp;"|"&amp;CV$5)=0,"",SUMIF('Competency Event Log'!$U$4:$U$803,$B168&amp;"|"&amp;CV$5,'Competency Event Log'!$D$4:$D$803)))</f>
        <v/>
      </c>
      <c r="CW168" s="8" t="str">
        <f>IF($B168="","",IF(COUNTIF('Competency Event Log'!$U$4:$U$803,$B168&amp;"|"&amp;CW$5)=0,"",SUMIF('Competency Event Log'!$U$4:$U$803,$B168&amp;"|"&amp;CW$5,'Competency Event Log'!$D$4:$D$803)))</f>
        <v/>
      </c>
      <c r="CX168" s="8" t="str">
        <f>IF($B168="","",IF(COUNTIF('Competency Event Log'!$U$4:$U$803,$B168&amp;"|"&amp;CX$5)=0,"",SUMIF('Competency Event Log'!$U$4:$U$803,$B168&amp;"|"&amp;CX$5,'Competency Event Log'!$D$4:$D$803)))</f>
        <v/>
      </c>
      <c r="CY168" s="8" t="str">
        <f>IF($B168="","",IF(COUNTIF('Competency Event Log'!$U$4:$U$803,$B168&amp;"|"&amp;CY$5)=0,"",SUMIF('Competency Event Log'!$U$4:$U$803,$B168&amp;"|"&amp;CY$5,'Competency Event Log'!$D$4:$D$803)))</f>
        <v/>
      </c>
      <c r="CZ168" s="8" t="str">
        <f>IF($B168="","",IF(COUNTIF('Competency Event Log'!$U$4:$U$803,$B168&amp;"|"&amp;CZ$5)=0,"",SUMIF('Competency Event Log'!$U$4:$U$803,$B168&amp;"|"&amp;CZ$5,'Competency Event Log'!$D$4:$D$803)))</f>
        <v/>
      </c>
      <c r="DA168" s="8" t="str">
        <f>IF($B168="","",IF(COUNTIF('Competency Event Log'!$U$4:$U$803,$B168&amp;"|"&amp;DA$5)=0,"",SUMIF('Competency Event Log'!$U$4:$U$803,$B168&amp;"|"&amp;DA$5,'Competency Event Log'!$D$4:$D$803)))</f>
        <v/>
      </c>
      <c r="DB168" s="8" t="str">
        <f>IF($B168="","",IF(COUNTIF('Competency Event Log'!$U$4:$U$803,$B168&amp;"|"&amp;DB$5)=0,"",SUMIF('Competency Event Log'!$U$4:$U$803,$B168&amp;"|"&amp;DB$5,'Competency Event Log'!$D$4:$D$803)))</f>
        <v/>
      </c>
      <c r="DC168" s="8" t="str">
        <f>IF($B168="","",IF(COUNTIF('Competency Event Log'!$U$4:$U$803,$B168&amp;"|"&amp;DC$5)=0,"",SUMIF('Competency Event Log'!$U$4:$U$803,$B168&amp;"|"&amp;DC$5,'Competency Event Log'!$D$4:$D$803)))</f>
        <v/>
      </c>
      <c r="DD168" s="8" t="str">
        <f>IF($B168="","",IF(COUNTIF('Competency Event Log'!$U$4:$U$803,$B168&amp;"|"&amp;DD$5)=0,"",SUMIF('Competency Event Log'!$U$4:$U$803,$B168&amp;"|"&amp;DD$5,'Competency Event Log'!$D$4:$D$803)))</f>
        <v/>
      </c>
      <c r="DE168" s="8" t="str">
        <f>IF($B168="","",IF(COUNTIF('Competency Event Log'!$U$4:$U$803,$B168&amp;"|"&amp;DE$5)=0,"",SUMIF('Competency Event Log'!$U$4:$U$803,$B168&amp;"|"&amp;DE$5,'Competency Event Log'!$D$4:$D$803)))</f>
        <v/>
      </c>
      <c r="DF168" s="8" t="str">
        <f t="shared" si="20"/>
        <v/>
      </c>
      <c r="DG168" s="8" t="str">
        <f t="shared" si="21"/>
        <v/>
      </c>
      <c r="DH168" s="8" t="str">
        <f t="shared" si="22"/>
        <v/>
      </c>
      <c r="DI168" s="11" t="str">
        <f t="shared" si="23"/>
        <v/>
      </c>
    </row>
    <row r="169" spans="1:113">
      <c r="A169" s="7"/>
      <c r="B169" s="7"/>
      <c r="C169" s="8"/>
      <c r="D169" s="9"/>
      <c r="E169" s="10"/>
      <c r="F169" s="8"/>
      <c r="G169" s="8" t="str">
        <f>IF($B169="","",IF(COUNTIF('Competency Event Log'!$U$4:$U$803,$B169&amp;"|"&amp;G$5)=0,"",SUMIF('Competency Event Log'!$U$4:$U$803,$B169&amp;"|"&amp;G$5,'Competency Event Log'!$D$4:$D$803)))</f>
        <v/>
      </c>
      <c r="H169" s="8" t="str">
        <f>IF($B169="","",IF(COUNTIF('Competency Event Log'!$U$4:$U$803,$B169&amp;"|"&amp;H$5)=0,"",SUMIF('Competency Event Log'!$U$4:$U$803,$B169&amp;"|"&amp;H$5,'Competency Event Log'!$D$4:$D$803)))</f>
        <v/>
      </c>
      <c r="I169" s="8" t="str">
        <f>IF($B169="","",IF(COUNTIF('Competency Event Log'!$U$4:$U$803,$B169&amp;"|"&amp;I$5)=0,"",SUMIF('Competency Event Log'!$U$4:$U$803,$B169&amp;"|"&amp;I$5,'Competency Event Log'!$D$4:$D$803)))</f>
        <v/>
      </c>
      <c r="J169" s="8" t="str">
        <f>IF($B169="","",IF(COUNTIF('Competency Event Log'!$U$4:$U$803,$B169&amp;"|"&amp;J$5)=0,"",SUMIF('Competency Event Log'!$U$4:$U$803,$B169&amp;"|"&amp;J$5,'Competency Event Log'!$D$4:$D$803)))</f>
        <v/>
      </c>
      <c r="K169" s="8" t="str">
        <f>IF($B169="","",IF(COUNTIF('Competency Event Log'!$U$4:$U$803,$B169&amp;"|"&amp;K$5)=0,"",SUMIF('Competency Event Log'!$U$4:$U$803,$B169&amp;"|"&amp;K$5,'Competency Event Log'!$D$4:$D$803)))</f>
        <v/>
      </c>
      <c r="L169" s="8" t="str">
        <f>IF($B169="","",IF(COUNTIF('Competency Event Log'!$U$4:$U$803,$B169&amp;"|"&amp;L$5)=0,"",SUMIF('Competency Event Log'!$U$4:$U$803,$B169&amp;"|"&amp;L$5,'Competency Event Log'!$D$4:$D$803)))</f>
        <v/>
      </c>
      <c r="M169" s="8" t="str">
        <f>IF($B169="","",IF(COUNTIF('Competency Event Log'!$U$4:$U$803,$B169&amp;"|"&amp;M$5)=0,"",SUMIF('Competency Event Log'!$U$4:$U$803,$B169&amp;"|"&amp;M$5,'Competency Event Log'!$D$4:$D$803)))</f>
        <v/>
      </c>
      <c r="N169" s="8" t="str">
        <f>IF($B169="","",IF(COUNTIF('Competency Event Log'!$U$4:$U$803,$B169&amp;"|"&amp;N$5)=0,"",SUMIF('Competency Event Log'!$U$4:$U$803,$B169&amp;"|"&amp;N$5,'Competency Event Log'!$D$4:$D$803)))</f>
        <v/>
      </c>
      <c r="O169" s="8" t="str">
        <f>IF($B169="","",IF(COUNTIF('Competency Event Log'!$U$4:$U$803,$B169&amp;"|"&amp;O$5)=0,"",SUMIF('Competency Event Log'!$U$4:$U$803,$B169&amp;"|"&amp;O$5,'Competency Event Log'!$D$4:$D$803)))</f>
        <v/>
      </c>
      <c r="P169" s="8" t="str">
        <f>IF($B169="","",IF(COUNTIF('Competency Event Log'!$U$4:$U$803,$B169&amp;"|"&amp;P$5)=0,"",SUMIF('Competency Event Log'!$U$4:$U$803,$B169&amp;"|"&amp;P$5,'Competency Event Log'!$D$4:$D$803)))</f>
        <v/>
      </c>
      <c r="Q169" s="8" t="str">
        <f>IF($B169="","",IF(COUNTIF('Competency Event Log'!$U$4:$U$803,$B169&amp;"|"&amp;Q$5)=0,"",SUMIF('Competency Event Log'!$U$4:$U$803,$B169&amp;"|"&amp;Q$5,'Competency Event Log'!$D$4:$D$803)))</f>
        <v/>
      </c>
      <c r="R169" s="8" t="str">
        <f>IF($B169="","",IF(COUNTIF('Competency Event Log'!$U$4:$U$803,$B169&amp;"|"&amp;R$5)=0,"",SUMIF('Competency Event Log'!$U$4:$U$803,$B169&amp;"|"&amp;R$5,'Competency Event Log'!$D$4:$D$803)))</f>
        <v/>
      </c>
      <c r="S169" s="8" t="str">
        <f>IF($B169="","",IF(COUNTIF('Competency Event Log'!$U$4:$U$803,$B169&amp;"|"&amp;S$5)=0,"",SUMIF('Competency Event Log'!$U$4:$U$803,$B169&amp;"|"&amp;S$5,'Competency Event Log'!$D$4:$D$803)))</f>
        <v/>
      </c>
      <c r="T169" s="8" t="str">
        <f>IF($B169="","",IF(COUNTIF('Competency Event Log'!$U$4:$U$803,$B169&amp;"|"&amp;T$5)=0,"",SUMIF('Competency Event Log'!$U$4:$U$803,$B169&amp;"|"&amp;T$5,'Competency Event Log'!$D$4:$D$803)))</f>
        <v/>
      </c>
      <c r="U169" s="8" t="str">
        <f>IF($B169="","",IF(COUNTIF('Competency Event Log'!$U$4:$U$803,$B169&amp;"|"&amp;U$5)=0,"",SUMIF('Competency Event Log'!$U$4:$U$803,$B169&amp;"|"&amp;U$5,'Competency Event Log'!$D$4:$D$803)))</f>
        <v/>
      </c>
      <c r="V169" s="8" t="str">
        <f>IF($B169="","",IF(COUNTIF('Competency Event Log'!$U$4:$U$803,$B169&amp;"|"&amp;V$5)=0,"",SUMIF('Competency Event Log'!$U$4:$U$803,$B169&amp;"|"&amp;V$5,'Competency Event Log'!$D$4:$D$803)))</f>
        <v/>
      </c>
      <c r="W169" s="8" t="str">
        <f>IF($B169="","",IF(COUNTIF('Competency Event Log'!$U$4:$U$803,$B169&amp;"|"&amp;W$5)=0,"",SUMIF('Competency Event Log'!$U$4:$U$803,$B169&amp;"|"&amp;W$5,'Competency Event Log'!$D$4:$D$803)))</f>
        <v/>
      </c>
      <c r="X169" s="8" t="str">
        <f>IF($B169="","",IF(COUNTIF('Competency Event Log'!$U$4:$U$803,$B169&amp;"|"&amp;X$5)=0,"",SUMIF('Competency Event Log'!$U$4:$U$803,$B169&amp;"|"&amp;X$5,'Competency Event Log'!$D$4:$D$803)))</f>
        <v/>
      </c>
      <c r="Y169" s="8" t="str">
        <f>IF($B169="","",IF(COUNTIF('Competency Event Log'!$U$4:$U$803,$B169&amp;"|"&amp;Y$5)=0,"",SUMIF('Competency Event Log'!$U$4:$U$803,$B169&amp;"|"&amp;Y$5,'Competency Event Log'!$D$4:$D$803)))</f>
        <v/>
      </c>
      <c r="Z169" s="8" t="str">
        <f>IF($B169="","",IF(COUNTIF('Competency Event Log'!$U$4:$U$803,$B169&amp;"|"&amp;Z$5)=0,"",SUMIF('Competency Event Log'!$U$4:$U$803,$B169&amp;"|"&amp;Z$5,'Competency Event Log'!$D$4:$D$803)))</f>
        <v/>
      </c>
      <c r="AA169" s="8" t="str">
        <f>IF($B169="","",IF(COUNTIF('Competency Event Log'!$U$4:$U$803,$B169&amp;"|"&amp;AA$5)=0,"",SUMIF('Competency Event Log'!$U$4:$U$803,$B169&amp;"|"&amp;AA$5,'Competency Event Log'!$D$4:$D$803)))</f>
        <v/>
      </c>
      <c r="AB169" s="8" t="str">
        <f>IF($B169="","",IF(COUNTIF('Competency Event Log'!$U$4:$U$803,$B169&amp;"|"&amp;AB$5)=0,"",SUMIF('Competency Event Log'!$U$4:$U$803,$B169&amp;"|"&amp;AB$5,'Competency Event Log'!$D$4:$D$803)))</f>
        <v/>
      </c>
      <c r="AC169" s="8" t="str">
        <f>IF($B169="","",IF(COUNTIF('Competency Event Log'!$U$4:$U$803,$B169&amp;"|"&amp;AC$5)=0,"",SUMIF('Competency Event Log'!$U$4:$U$803,$B169&amp;"|"&amp;AC$5,'Competency Event Log'!$D$4:$D$803)))</f>
        <v/>
      </c>
      <c r="AD169" s="8" t="str">
        <f>IF($B169="","",IF(COUNTIF('Competency Event Log'!$U$4:$U$803,$B169&amp;"|"&amp;AD$5)=0,"",SUMIF('Competency Event Log'!$U$4:$U$803,$B169&amp;"|"&amp;AD$5,'Competency Event Log'!$D$4:$D$803)))</f>
        <v/>
      </c>
      <c r="AE169" s="8" t="str">
        <f>IF($B169="","",IF(COUNTIF('Competency Event Log'!$U$4:$U$803,$B169&amp;"|"&amp;AE$5)=0,"",SUMIF('Competency Event Log'!$U$4:$U$803,$B169&amp;"|"&amp;AE$5,'Competency Event Log'!$D$4:$D$803)))</f>
        <v/>
      </c>
      <c r="AF169" s="8" t="str">
        <f>IF($B169="","",IF(COUNTIF('Competency Event Log'!$U$4:$U$803,$B169&amp;"|"&amp;AF$5)=0,"",SUMIF('Competency Event Log'!$U$4:$U$803,$B169&amp;"|"&amp;AF$5,'Competency Event Log'!$D$4:$D$803)))</f>
        <v/>
      </c>
      <c r="AG169" s="8" t="str">
        <f>IF($B169="","",IF(COUNTIF('Competency Event Log'!$U$4:$U$803,$B169&amp;"|"&amp;AG$5)=0,"",SUMIF('Competency Event Log'!$U$4:$U$803,$B169&amp;"|"&amp;AG$5,'Competency Event Log'!$D$4:$D$803)))</f>
        <v/>
      </c>
      <c r="AH169" s="8" t="str">
        <f>IF($B169="","",IF(COUNTIF('Competency Event Log'!$U$4:$U$803,$B169&amp;"|"&amp;AH$5)=0,"",SUMIF('Competency Event Log'!$U$4:$U$803,$B169&amp;"|"&amp;AH$5,'Competency Event Log'!$D$4:$D$803)))</f>
        <v/>
      </c>
      <c r="AI169" s="8" t="str">
        <f>IF($B169="","",IF(COUNTIF('Competency Event Log'!$U$4:$U$803,$B169&amp;"|"&amp;AI$5)=0,"",SUMIF('Competency Event Log'!$U$4:$U$803,$B169&amp;"|"&amp;AI$5,'Competency Event Log'!$D$4:$D$803)))</f>
        <v/>
      </c>
      <c r="AJ169" s="8" t="str">
        <f>IF($B169="","",IF(COUNTIF('Competency Event Log'!$U$4:$U$803,$B169&amp;"|"&amp;AJ$5)=0,"",SUMIF('Competency Event Log'!$U$4:$U$803,$B169&amp;"|"&amp;AJ$5,'Competency Event Log'!$D$4:$D$803)))</f>
        <v/>
      </c>
      <c r="AK169" s="8" t="str">
        <f>IF($B169="","",IF(COUNTIF('Competency Event Log'!$U$4:$U$803,$B169&amp;"|"&amp;AK$5)=0,"",SUMIF('Competency Event Log'!$U$4:$U$803,$B169&amp;"|"&amp;AK$5,'Competency Event Log'!$D$4:$D$803)))</f>
        <v/>
      </c>
      <c r="AL169" s="8" t="str">
        <f>IF($B169="","",IF(COUNTIF('Competency Event Log'!$U$4:$U$803,$B169&amp;"|"&amp;AL$5)=0,"",SUMIF('Competency Event Log'!$U$4:$U$803,$B169&amp;"|"&amp;AL$5,'Competency Event Log'!$D$4:$D$803)))</f>
        <v/>
      </c>
      <c r="AM169" s="8" t="str">
        <f>IF($B169="","",IF(COUNTIF('Competency Event Log'!$U$4:$U$803,$B169&amp;"|"&amp;AM$5)=0,"",SUMIF('Competency Event Log'!$U$4:$U$803,$B169&amp;"|"&amp;AM$5,'Competency Event Log'!$D$4:$D$803)))</f>
        <v/>
      </c>
      <c r="AN169" s="8" t="str">
        <f>IF($B169="","",IF(COUNTIF('Competency Event Log'!$U$4:$U$803,$B169&amp;"|"&amp;AN$5)=0,"",SUMIF('Competency Event Log'!$U$4:$U$803,$B169&amp;"|"&amp;AN$5,'Competency Event Log'!$D$4:$D$803)))</f>
        <v/>
      </c>
      <c r="AO169" s="8" t="str">
        <f>IF($B169="","",IF(COUNTIF('Competency Event Log'!$U$4:$U$803,$B169&amp;"|"&amp;AO$5)=0,"",SUMIF('Competency Event Log'!$U$4:$U$803,$B169&amp;"|"&amp;AO$5,'Competency Event Log'!$D$4:$D$803)))</f>
        <v/>
      </c>
      <c r="AP169" s="8" t="str">
        <f>IF($B169="","",IF(COUNTIF('Competency Event Log'!$U$4:$U$803,$B169&amp;"|"&amp;AP$5)=0,"",SUMIF('Competency Event Log'!$U$4:$U$803,$B169&amp;"|"&amp;AP$5,'Competency Event Log'!$D$4:$D$803)))</f>
        <v/>
      </c>
      <c r="AQ169" s="8" t="str">
        <f>IF($B169="","",IF(COUNTIF('Competency Event Log'!$U$4:$U$803,$B169&amp;"|"&amp;AQ$5)=0,"",SUMIF('Competency Event Log'!$U$4:$U$803,$B169&amp;"|"&amp;AQ$5,'Competency Event Log'!$D$4:$D$803)))</f>
        <v/>
      </c>
      <c r="AR169" s="8" t="str">
        <f>IF($B169="","",IF(COUNTIF('Competency Event Log'!$U$4:$U$803,$B169&amp;"|"&amp;AR$5)=0,"",SUMIF('Competency Event Log'!$U$4:$U$803,$B169&amp;"|"&amp;AR$5,'Competency Event Log'!$D$4:$D$803)))</f>
        <v/>
      </c>
      <c r="AS169" s="8" t="str">
        <f>IF($B169="","",IF(COUNTIF('Competency Event Log'!$U$4:$U$803,$B169&amp;"|"&amp;AS$5)=0,"",SUMIF('Competency Event Log'!$U$4:$U$803,$B169&amp;"|"&amp;AS$5,'Competency Event Log'!$D$4:$D$803)))</f>
        <v/>
      </c>
      <c r="AT169" s="8" t="str">
        <f>IF($B169="","",IF(COUNTIF('Competency Event Log'!$U$4:$U$803,$B169&amp;"|"&amp;AT$5)=0,"",SUMIF('Competency Event Log'!$U$4:$U$803,$B169&amp;"|"&amp;AT$5,'Competency Event Log'!$D$4:$D$803)))</f>
        <v/>
      </c>
      <c r="AU169" s="8" t="str">
        <f>IF($B169="","",IF(COUNTIF('Competency Event Log'!$U$4:$U$803,$B169&amp;"|"&amp;AU$5)=0,"",SUMIF('Competency Event Log'!$U$4:$U$803,$B169&amp;"|"&amp;AU$5,'Competency Event Log'!$D$4:$D$803)))</f>
        <v/>
      </c>
      <c r="AV169" s="8" t="str">
        <f>IF($B169="","",IF(COUNTIF('Competency Event Log'!$U$4:$U$803,$B169&amp;"|"&amp;AV$5)=0,"",SUMIF('Competency Event Log'!$U$4:$U$803,$B169&amp;"|"&amp;AV$5,'Competency Event Log'!$D$4:$D$803)))</f>
        <v/>
      </c>
      <c r="AW169" s="8" t="str">
        <f>IF($B169="","",IF(COUNTIF('Competency Event Log'!$U$4:$U$803,$B169&amp;"|"&amp;AW$5)=0,"",SUMIF('Competency Event Log'!$U$4:$U$803,$B169&amp;"|"&amp;AW$5,'Competency Event Log'!$D$4:$D$803)))</f>
        <v/>
      </c>
      <c r="AX169" s="8" t="str">
        <f>IF($B169="","",IF(COUNTIF('Competency Event Log'!$U$4:$U$803,$B169&amp;"|"&amp;AX$5)=0,"",SUMIF('Competency Event Log'!$U$4:$U$803,$B169&amp;"|"&amp;AX$5,'Competency Event Log'!$D$4:$D$803)))</f>
        <v/>
      </c>
      <c r="AY169" s="8" t="str">
        <f>IF($B169="","",IF(COUNTIF('Competency Event Log'!$U$4:$U$803,$B169&amp;"|"&amp;AY$5)=0,"",SUMIF('Competency Event Log'!$U$4:$U$803,$B169&amp;"|"&amp;AY$5,'Competency Event Log'!$D$4:$D$803)))</f>
        <v/>
      </c>
      <c r="AZ169" s="8" t="str">
        <f>IF($B169="","",IF(COUNTIF('Competency Event Log'!$U$4:$U$803,$B169&amp;"|"&amp;AZ$5)=0,"",SUMIF('Competency Event Log'!$U$4:$U$803,$B169&amp;"|"&amp;AZ$5,'Competency Event Log'!$D$4:$D$803)))</f>
        <v/>
      </c>
      <c r="BA169" s="8" t="str">
        <f>IF($B169="","",IF(COUNTIF('Competency Event Log'!$U$4:$U$803,$B169&amp;"|"&amp;BA$5)=0,"",SUMIF('Competency Event Log'!$U$4:$U$803,$B169&amp;"|"&amp;BA$5,'Competency Event Log'!$D$4:$D$803)))</f>
        <v/>
      </c>
      <c r="BB169" s="8" t="str">
        <f>IF($B169="","",IF(COUNTIF('Competency Event Log'!$U$4:$U$803,$B169&amp;"|"&amp;BB$5)=0,"",SUMIF('Competency Event Log'!$U$4:$U$803,$B169&amp;"|"&amp;BB$5,'Competency Event Log'!$D$4:$D$803)))</f>
        <v/>
      </c>
      <c r="BC169" s="8" t="str">
        <f>IF($B169="","",IF(COUNTIF('Competency Event Log'!$U$4:$U$803,$B169&amp;"|"&amp;BC$5)=0,"",SUMIF('Competency Event Log'!$U$4:$U$803,$B169&amp;"|"&amp;BC$5,'Competency Event Log'!$D$4:$D$803)))</f>
        <v/>
      </c>
      <c r="BD169" s="8" t="str">
        <f>IF($B169="","",IF(COUNTIF('Competency Event Log'!$U$4:$U$803,$B169&amp;"|"&amp;BD$5)=0,"",SUMIF('Competency Event Log'!$U$4:$U$803,$B169&amp;"|"&amp;BD$5,'Competency Event Log'!$D$4:$D$803)))</f>
        <v/>
      </c>
      <c r="BE169" s="8" t="str">
        <f>IF($B169="","",IF(COUNTIF('Competency Event Log'!$U$4:$U$803,$B169&amp;"|"&amp;BE$5)=0,"",SUMIF('Competency Event Log'!$U$4:$U$803,$B169&amp;"|"&amp;BE$5,'Competency Event Log'!$D$4:$D$803)))</f>
        <v/>
      </c>
      <c r="BF169" s="8" t="str">
        <f>IF($B169="","",IF(COUNTIF('Competency Event Log'!$U$4:$U$803,$B169&amp;"|"&amp;BF$5)=0,"",SUMIF('Competency Event Log'!$U$4:$U$803,$B169&amp;"|"&amp;BF$5,'Competency Event Log'!$D$4:$D$803)))</f>
        <v/>
      </c>
      <c r="BG169" s="8" t="str">
        <f>IF($B169="","",IF(COUNTIF('Competency Event Log'!$U$4:$U$803,$B169&amp;"|"&amp;BG$5)=0,"",SUMIF('Competency Event Log'!$U$4:$U$803,$B169&amp;"|"&amp;BG$5,'Competency Event Log'!$D$4:$D$803)))</f>
        <v/>
      </c>
      <c r="BH169" s="8" t="str">
        <f>IF($B169="","",IF(COUNTIF('Competency Event Log'!$U$4:$U$803,$B169&amp;"|"&amp;BH$5)=0,"",SUMIF('Competency Event Log'!$U$4:$U$803,$B169&amp;"|"&amp;BH$5,'Competency Event Log'!$D$4:$D$803)))</f>
        <v/>
      </c>
      <c r="BI169" s="8" t="str">
        <f>IF($B169="","",IF(COUNTIF('Competency Event Log'!$U$4:$U$803,$B169&amp;"|"&amp;BI$5)=0,"",SUMIF('Competency Event Log'!$U$4:$U$803,$B169&amp;"|"&amp;BI$5,'Competency Event Log'!$D$4:$D$803)))</f>
        <v/>
      </c>
      <c r="BJ169" s="8" t="str">
        <f>IF($B169="","",IF(COUNTIF('Competency Event Log'!$U$4:$U$803,$B169&amp;"|"&amp;BJ$5)=0,"",SUMIF('Competency Event Log'!$U$4:$U$803,$B169&amp;"|"&amp;BJ$5,'Competency Event Log'!$D$4:$D$803)))</f>
        <v/>
      </c>
      <c r="BK169" s="8" t="str">
        <f>IF($B169="","",IF(COUNTIF('Competency Event Log'!$U$4:$U$803,$B169&amp;"|"&amp;BK$5)=0,"",SUMIF('Competency Event Log'!$U$4:$U$803,$B169&amp;"|"&amp;BK$5,'Competency Event Log'!$D$4:$D$803)))</f>
        <v/>
      </c>
      <c r="BL169" s="8" t="str">
        <f>IF($B169="","",IF(COUNTIF('Competency Event Log'!$U$4:$U$803,$B169&amp;"|"&amp;BL$5)=0,"",SUMIF('Competency Event Log'!$U$4:$U$803,$B169&amp;"|"&amp;BL$5,'Competency Event Log'!$D$4:$D$803)))</f>
        <v/>
      </c>
      <c r="BM169" s="8" t="str">
        <f>IF($B169="","",IF(COUNTIF('Competency Event Log'!$U$4:$U$803,$B169&amp;"|"&amp;BM$5)=0,"",SUMIF('Competency Event Log'!$U$4:$U$803,$B169&amp;"|"&amp;BM$5,'Competency Event Log'!$D$4:$D$803)))</f>
        <v/>
      </c>
      <c r="BN169" s="8" t="str">
        <f>IF($B169="","",IF(COUNTIF('Competency Event Log'!$U$4:$U$803,$B169&amp;"|"&amp;BN$5)=0,"",SUMIF('Competency Event Log'!$U$4:$U$803,$B169&amp;"|"&amp;BN$5,'Competency Event Log'!$D$4:$D$803)))</f>
        <v/>
      </c>
      <c r="BO169" s="8" t="str">
        <f>IF($B169="","",IF(COUNTIF('Competency Event Log'!$U$4:$U$803,$B169&amp;"|"&amp;BO$5)=0,"",SUMIF('Competency Event Log'!$U$4:$U$803,$B169&amp;"|"&amp;BO$5,'Competency Event Log'!$D$4:$D$803)))</f>
        <v/>
      </c>
      <c r="BP169" s="8" t="str">
        <f>IF($B169="","",IF(COUNTIF('Competency Event Log'!$U$4:$U$803,$B169&amp;"|"&amp;BP$5)=0,"",SUMIF('Competency Event Log'!$U$4:$U$803,$B169&amp;"|"&amp;BP$5,'Competency Event Log'!$D$4:$D$803)))</f>
        <v/>
      </c>
      <c r="BQ169" s="8" t="str">
        <f>IF($B169="","",IF(COUNTIF('Competency Event Log'!$U$4:$U$803,$B169&amp;"|"&amp;BQ$5)=0,"",SUMIF('Competency Event Log'!$U$4:$U$803,$B169&amp;"|"&amp;BQ$5,'Competency Event Log'!$D$4:$D$803)))</f>
        <v/>
      </c>
      <c r="BR169" s="8" t="str">
        <f>IF($B169="","",IF(COUNTIF('Competency Event Log'!$U$4:$U$803,$B169&amp;"|"&amp;BR$5)=0,"",SUMIF('Competency Event Log'!$U$4:$U$803,$B169&amp;"|"&amp;BR$5,'Competency Event Log'!$D$4:$D$803)))</f>
        <v/>
      </c>
      <c r="BS169" s="8" t="str">
        <f>IF($B169="","",IF(COUNTIF('Competency Event Log'!$U$4:$U$803,$B169&amp;"|"&amp;BS$5)=0,"",SUMIF('Competency Event Log'!$U$4:$U$803,$B169&amp;"|"&amp;BS$5,'Competency Event Log'!$D$4:$D$803)))</f>
        <v/>
      </c>
      <c r="BT169" s="8" t="str">
        <f>IF($B169="","",IF(COUNTIF('Competency Event Log'!$U$4:$U$803,$B169&amp;"|"&amp;BT$5)=0,"",SUMIF('Competency Event Log'!$U$4:$U$803,$B169&amp;"|"&amp;BT$5,'Competency Event Log'!$D$4:$D$803)))</f>
        <v/>
      </c>
      <c r="BU169" s="8" t="str">
        <f>IF($B169="","",IF(COUNTIF('Competency Event Log'!$U$4:$U$803,$B169&amp;"|"&amp;BU$5)=0,"",SUMIF('Competency Event Log'!$U$4:$U$803,$B169&amp;"|"&amp;BU$5,'Competency Event Log'!$D$4:$D$803)))</f>
        <v/>
      </c>
      <c r="BV169" s="8" t="str">
        <f>IF($B169="","",IF(COUNTIF('Competency Event Log'!$U$4:$U$803,$B169&amp;"|"&amp;BV$5)=0,"",SUMIF('Competency Event Log'!$U$4:$U$803,$B169&amp;"|"&amp;BV$5,'Competency Event Log'!$D$4:$D$803)))</f>
        <v/>
      </c>
      <c r="BW169" s="8" t="str">
        <f>IF($B169="","",IF(COUNTIF('Competency Event Log'!$U$4:$U$803,$B169&amp;"|"&amp;BW$5)=0,"",SUMIF('Competency Event Log'!$U$4:$U$803,$B169&amp;"|"&amp;BW$5,'Competency Event Log'!$D$4:$D$803)))</f>
        <v/>
      </c>
      <c r="BX169" s="8" t="str">
        <f>IF($B169="","",IF(COUNTIF('Competency Event Log'!$U$4:$U$803,$B169&amp;"|"&amp;BX$5)=0,"",SUMIF('Competency Event Log'!$U$4:$U$803,$B169&amp;"|"&amp;BX$5,'Competency Event Log'!$D$4:$D$803)))</f>
        <v/>
      </c>
      <c r="BY169" s="8" t="str">
        <f>IF($B169="","",IF(COUNTIF('Competency Event Log'!$U$4:$U$803,$B169&amp;"|"&amp;BY$5)=0,"",SUMIF('Competency Event Log'!$U$4:$U$803,$B169&amp;"|"&amp;BY$5,'Competency Event Log'!$D$4:$D$803)))</f>
        <v/>
      </c>
      <c r="BZ169" s="8" t="str">
        <f>IF($B169="","",IF(COUNTIF('Competency Event Log'!$U$4:$U$803,$B169&amp;"|"&amp;BZ$5)=0,"",SUMIF('Competency Event Log'!$U$4:$U$803,$B169&amp;"|"&amp;BZ$5,'Competency Event Log'!$D$4:$D$803)))</f>
        <v/>
      </c>
      <c r="CA169" s="8" t="str">
        <f>IF($B169="","",IF(COUNTIF('Competency Event Log'!$U$4:$U$803,$B169&amp;"|"&amp;CA$5)=0,"",SUMIF('Competency Event Log'!$U$4:$U$803,$B169&amp;"|"&amp;CA$5,'Competency Event Log'!$D$4:$D$803)))</f>
        <v/>
      </c>
      <c r="CB169" s="8" t="str">
        <f>IF($B169="","",IF(COUNTIF('Competency Event Log'!$U$4:$U$803,$B169&amp;"|"&amp;CB$5)=0,"",SUMIF('Competency Event Log'!$U$4:$U$803,$B169&amp;"|"&amp;CB$5,'Competency Event Log'!$D$4:$D$803)))</f>
        <v/>
      </c>
      <c r="CC169" s="8" t="str">
        <f>IF($B169="","",IF(COUNTIF('Competency Event Log'!$U$4:$U$803,$B169&amp;"|"&amp;CC$5)=0,"",SUMIF('Competency Event Log'!$U$4:$U$803,$B169&amp;"|"&amp;CC$5,'Competency Event Log'!$D$4:$D$803)))</f>
        <v/>
      </c>
      <c r="CD169" s="8" t="str">
        <f>IF($B169="","",IF(COUNTIF('Competency Event Log'!$U$4:$U$803,$B169&amp;"|"&amp;CD$5)=0,"",SUMIF('Competency Event Log'!$U$4:$U$803,$B169&amp;"|"&amp;CD$5,'Competency Event Log'!$D$4:$D$803)))</f>
        <v/>
      </c>
      <c r="CE169" s="8" t="str">
        <f>IF($B169="","",IF(COUNTIF('Competency Event Log'!$U$4:$U$803,$B169&amp;"|"&amp;CE$5)=0,"",SUMIF('Competency Event Log'!$U$4:$U$803,$B169&amp;"|"&amp;CE$5,'Competency Event Log'!$D$4:$D$803)))</f>
        <v/>
      </c>
      <c r="CF169" s="8" t="str">
        <f>IF($B169="","",IF(COUNTIF('Competency Event Log'!$U$4:$U$803,$B169&amp;"|"&amp;CF$5)=0,"",SUMIF('Competency Event Log'!$U$4:$U$803,$B169&amp;"|"&amp;CF$5,'Competency Event Log'!$D$4:$D$803)))</f>
        <v/>
      </c>
      <c r="CG169" s="8" t="str">
        <f>IF($B169="","",IF(COUNTIF('Competency Event Log'!$U$4:$U$803,$B169&amp;"|"&amp;CG$5)=0,"",SUMIF('Competency Event Log'!$U$4:$U$803,$B169&amp;"|"&amp;CG$5,'Competency Event Log'!$D$4:$D$803)))</f>
        <v/>
      </c>
      <c r="CH169" s="8" t="str">
        <f>IF($B169="","",IF(COUNTIF('Competency Event Log'!$U$4:$U$803,$B169&amp;"|"&amp;CH$5)=0,"",SUMIF('Competency Event Log'!$U$4:$U$803,$B169&amp;"|"&amp;CH$5,'Competency Event Log'!$D$4:$D$803)))</f>
        <v/>
      </c>
      <c r="CI169" s="8" t="str">
        <f>IF($B169="","",IF(COUNTIF('Competency Event Log'!$U$4:$U$803,$B169&amp;"|"&amp;CI$5)=0,"",SUMIF('Competency Event Log'!$U$4:$U$803,$B169&amp;"|"&amp;CI$5,'Competency Event Log'!$D$4:$D$803)))</f>
        <v/>
      </c>
      <c r="CJ169" s="8" t="str">
        <f>IF($B169="","",IF(COUNTIF('Competency Event Log'!$U$4:$U$803,$B169&amp;"|"&amp;CJ$5)=0,"",SUMIF('Competency Event Log'!$U$4:$U$803,$B169&amp;"|"&amp;CJ$5,'Competency Event Log'!$D$4:$D$803)))</f>
        <v/>
      </c>
      <c r="CK169" s="8" t="str">
        <f>IF($B169="","",IF(COUNTIF('Competency Event Log'!$U$4:$U$803,$B169&amp;"|"&amp;CK$5)=0,"",SUMIF('Competency Event Log'!$U$4:$U$803,$B169&amp;"|"&amp;CK$5,'Competency Event Log'!$D$4:$D$803)))</f>
        <v/>
      </c>
      <c r="CL169" s="8" t="str">
        <f>IF($B169="","",IF(COUNTIF('Competency Event Log'!$U$4:$U$803,$B169&amp;"|"&amp;CL$5)=0,"",SUMIF('Competency Event Log'!$U$4:$U$803,$B169&amp;"|"&amp;CL$5,'Competency Event Log'!$D$4:$D$803)))</f>
        <v/>
      </c>
      <c r="CM169" s="8" t="str">
        <f>IF($B169="","",IF(COUNTIF('Competency Event Log'!$U$4:$U$803,$B169&amp;"|"&amp;CM$5)=0,"",SUMIF('Competency Event Log'!$U$4:$U$803,$B169&amp;"|"&amp;CM$5,'Competency Event Log'!$D$4:$D$803)))</f>
        <v/>
      </c>
      <c r="CN169" s="8" t="str">
        <f>IF($B169="","",IF(COUNTIF('Competency Event Log'!$U$4:$U$803,$B169&amp;"|"&amp;CN$5)=0,"",SUMIF('Competency Event Log'!$U$4:$U$803,$B169&amp;"|"&amp;CN$5,'Competency Event Log'!$D$4:$D$803)))</f>
        <v/>
      </c>
      <c r="CO169" s="8" t="str">
        <f>IF($B169="","",IF(COUNTIF('Competency Event Log'!$U$4:$U$803,$B169&amp;"|"&amp;CO$5)=0,"",SUMIF('Competency Event Log'!$U$4:$U$803,$B169&amp;"|"&amp;CO$5,'Competency Event Log'!$D$4:$D$803)))</f>
        <v/>
      </c>
      <c r="CP169" s="8" t="str">
        <f>IF($B169="","",IF(COUNTIF('Competency Event Log'!$U$4:$U$803,$B169&amp;"|"&amp;CP$5)=0,"",SUMIF('Competency Event Log'!$U$4:$U$803,$B169&amp;"|"&amp;CP$5,'Competency Event Log'!$D$4:$D$803)))</f>
        <v/>
      </c>
      <c r="CQ169" s="8" t="str">
        <f>IF($B169="","",IF(COUNTIF('Competency Event Log'!$U$4:$U$803,$B169&amp;"|"&amp;CQ$5)=0,"",SUMIF('Competency Event Log'!$U$4:$U$803,$B169&amp;"|"&amp;CQ$5,'Competency Event Log'!$D$4:$D$803)))</f>
        <v/>
      </c>
      <c r="CR169" s="8" t="str">
        <f>IF($B169="","",IF(COUNTIF('Competency Event Log'!$U$4:$U$803,$B169&amp;"|"&amp;CR$5)=0,"",SUMIF('Competency Event Log'!$U$4:$U$803,$B169&amp;"|"&amp;CR$5,'Competency Event Log'!$D$4:$D$803)))</f>
        <v/>
      </c>
      <c r="CS169" s="8" t="str">
        <f>IF($B169="","",IF(COUNTIF('Competency Event Log'!$U$4:$U$803,$B169&amp;"|"&amp;CS$5)=0,"",SUMIF('Competency Event Log'!$U$4:$U$803,$B169&amp;"|"&amp;CS$5,'Competency Event Log'!$D$4:$D$803)))</f>
        <v/>
      </c>
      <c r="CT169" s="8" t="str">
        <f>IF($B169="","",IF(COUNTIF('Competency Event Log'!$U$4:$U$803,$B169&amp;"|"&amp;CT$5)=0,"",SUMIF('Competency Event Log'!$U$4:$U$803,$B169&amp;"|"&amp;CT$5,'Competency Event Log'!$D$4:$D$803)))</f>
        <v/>
      </c>
      <c r="CU169" s="8" t="str">
        <f>IF($B169="","",IF(COUNTIF('Competency Event Log'!$U$4:$U$803,$B169&amp;"|"&amp;CU$5)=0,"",SUMIF('Competency Event Log'!$U$4:$U$803,$B169&amp;"|"&amp;CU$5,'Competency Event Log'!$D$4:$D$803)))</f>
        <v/>
      </c>
      <c r="CV169" s="8" t="str">
        <f>IF($B169="","",IF(COUNTIF('Competency Event Log'!$U$4:$U$803,$B169&amp;"|"&amp;CV$5)=0,"",SUMIF('Competency Event Log'!$U$4:$U$803,$B169&amp;"|"&amp;CV$5,'Competency Event Log'!$D$4:$D$803)))</f>
        <v/>
      </c>
      <c r="CW169" s="8" t="str">
        <f>IF($B169="","",IF(COUNTIF('Competency Event Log'!$U$4:$U$803,$B169&amp;"|"&amp;CW$5)=0,"",SUMIF('Competency Event Log'!$U$4:$U$803,$B169&amp;"|"&amp;CW$5,'Competency Event Log'!$D$4:$D$803)))</f>
        <v/>
      </c>
      <c r="CX169" s="8" t="str">
        <f>IF($B169="","",IF(COUNTIF('Competency Event Log'!$U$4:$U$803,$B169&amp;"|"&amp;CX$5)=0,"",SUMIF('Competency Event Log'!$U$4:$U$803,$B169&amp;"|"&amp;CX$5,'Competency Event Log'!$D$4:$D$803)))</f>
        <v/>
      </c>
      <c r="CY169" s="8" t="str">
        <f>IF($B169="","",IF(COUNTIF('Competency Event Log'!$U$4:$U$803,$B169&amp;"|"&amp;CY$5)=0,"",SUMIF('Competency Event Log'!$U$4:$U$803,$B169&amp;"|"&amp;CY$5,'Competency Event Log'!$D$4:$D$803)))</f>
        <v/>
      </c>
      <c r="CZ169" s="8" t="str">
        <f>IF($B169="","",IF(COUNTIF('Competency Event Log'!$U$4:$U$803,$B169&amp;"|"&amp;CZ$5)=0,"",SUMIF('Competency Event Log'!$U$4:$U$803,$B169&amp;"|"&amp;CZ$5,'Competency Event Log'!$D$4:$D$803)))</f>
        <v/>
      </c>
      <c r="DA169" s="8" t="str">
        <f>IF($B169="","",IF(COUNTIF('Competency Event Log'!$U$4:$U$803,$B169&amp;"|"&amp;DA$5)=0,"",SUMIF('Competency Event Log'!$U$4:$U$803,$B169&amp;"|"&amp;DA$5,'Competency Event Log'!$D$4:$D$803)))</f>
        <v/>
      </c>
      <c r="DB169" s="8" t="str">
        <f>IF($B169="","",IF(COUNTIF('Competency Event Log'!$U$4:$U$803,$B169&amp;"|"&amp;DB$5)=0,"",SUMIF('Competency Event Log'!$U$4:$U$803,$B169&amp;"|"&amp;DB$5,'Competency Event Log'!$D$4:$D$803)))</f>
        <v/>
      </c>
      <c r="DC169" s="8" t="str">
        <f>IF($B169="","",IF(COUNTIF('Competency Event Log'!$U$4:$U$803,$B169&amp;"|"&amp;DC$5)=0,"",SUMIF('Competency Event Log'!$U$4:$U$803,$B169&amp;"|"&amp;DC$5,'Competency Event Log'!$D$4:$D$803)))</f>
        <v/>
      </c>
      <c r="DD169" s="8" t="str">
        <f>IF($B169="","",IF(COUNTIF('Competency Event Log'!$U$4:$U$803,$B169&amp;"|"&amp;DD$5)=0,"",SUMIF('Competency Event Log'!$U$4:$U$803,$B169&amp;"|"&amp;DD$5,'Competency Event Log'!$D$4:$D$803)))</f>
        <v/>
      </c>
      <c r="DE169" s="8" t="str">
        <f>IF($B169="","",IF(COUNTIF('Competency Event Log'!$U$4:$U$803,$B169&amp;"|"&amp;DE$5)=0,"",SUMIF('Competency Event Log'!$U$4:$U$803,$B169&amp;"|"&amp;DE$5,'Competency Event Log'!$D$4:$D$803)))</f>
        <v/>
      </c>
      <c r="DF169" s="8" t="str">
        <f t="shared" si="20"/>
        <v/>
      </c>
      <c r="DG169" s="8" t="str">
        <f t="shared" si="21"/>
        <v/>
      </c>
      <c r="DH169" s="8" t="str">
        <f t="shared" si="22"/>
        <v/>
      </c>
      <c r="DI169" s="11" t="str">
        <f t="shared" si="23"/>
        <v/>
      </c>
    </row>
    <row r="170" spans="1:113">
      <c r="A170" s="7"/>
      <c r="B170" s="7"/>
      <c r="C170" s="8"/>
      <c r="D170" s="9"/>
      <c r="E170" s="10"/>
      <c r="F170" s="8"/>
      <c r="G170" s="8" t="str">
        <f>IF($B170="","",IF(COUNTIF('Competency Event Log'!$U$4:$U$803,$B170&amp;"|"&amp;G$5)=0,"",SUMIF('Competency Event Log'!$U$4:$U$803,$B170&amp;"|"&amp;G$5,'Competency Event Log'!$D$4:$D$803)))</f>
        <v/>
      </c>
      <c r="H170" s="8" t="str">
        <f>IF($B170="","",IF(COUNTIF('Competency Event Log'!$U$4:$U$803,$B170&amp;"|"&amp;H$5)=0,"",SUMIF('Competency Event Log'!$U$4:$U$803,$B170&amp;"|"&amp;H$5,'Competency Event Log'!$D$4:$D$803)))</f>
        <v/>
      </c>
      <c r="I170" s="8" t="str">
        <f>IF($B170="","",IF(COUNTIF('Competency Event Log'!$U$4:$U$803,$B170&amp;"|"&amp;I$5)=0,"",SUMIF('Competency Event Log'!$U$4:$U$803,$B170&amp;"|"&amp;I$5,'Competency Event Log'!$D$4:$D$803)))</f>
        <v/>
      </c>
      <c r="J170" s="8" t="str">
        <f>IF($B170="","",IF(COUNTIF('Competency Event Log'!$U$4:$U$803,$B170&amp;"|"&amp;J$5)=0,"",SUMIF('Competency Event Log'!$U$4:$U$803,$B170&amp;"|"&amp;J$5,'Competency Event Log'!$D$4:$D$803)))</f>
        <v/>
      </c>
      <c r="K170" s="8" t="str">
        <f>IF($B170="","",IF(COUNTIF('Competency Event Log'!$U$4:$U$803,$B170&amp;"|"&amp;K$5)=0,"",SUMIF('Competency Event Log'!$U$4:$U$803,$B170&amp;"|"&amp;K$5,'Competency Event Log'!$D$4:$D$803)))</f>
        <v/>
      </c>
      <c r="L170" s="8" t="str">
        <f>IF($B170="","",IF(COUNTIF('Competency Event Log'!$U$4:$U$803,$B170&amp;"|"&amp;L$5)=0,"",SUMIF('Competency Event Log'!$U$4:$U$803,$B170&amp;"|"&amp;L$5,'Competency Event Log'!$D$4:$D$803)))</f>
        <v/>
      </c>
      <c r="M170" s="8" t="str">
        <f>IF($B170="","",IF(COUNTIF('Competency Event Log'!$U$4:$U$803,$B170&amp;"|"&amp;M$5)=0,"",SUMIF('Competency Event Log'!$U$4:$U$803,$B170&amp;"|"&amp;M$5,'Competency Event Log'!$D$4:$D$803)))</f>
        <v/>
      </c>
      <c r="N170" s="8" t="str">
        <f>IF($B170="","",IF(COUNTIF('Competency Event Log'!$U$4:$U$803,$B170&amp;"|"&amp;N$5)=0,"",SUMIF('Competency Event Log'!$U$4:$U$803,$B170&amp;"|"&amp;N$5,'Competency Event Log'!$D$4:$D$803)))</f>
        <v/>
      </c>
      <c r="O170" s="8" t="str">
        <f>IF($B170="","",IF(COUNTIF('Competency Event Log'!$U$4:$U$803,$B170&amp;"|"&amp;O$5)=0,"",SUMIF('Competency Event Log'!$U$4:$U$803,$B170&amp;"|"&amp;O$5,'Competency Event Log'!$D$4:$D$803)))</f>
        <v/>
      </c>
      <c r="P170" s="8" t="str">
        <f>IF($B170="","",IF(COUNTIF('Competency Event Log'!$U$4:$U$803,$B170&amp;"|"&amp;P$5)=0,"",SUMIF('Competency Event Log'!$U$4:$U$803,$B170&amp;"|"&amp;P$5,'Competency Event Log'!$D$4:$D$803)))</f>
        <v/>
      </c>
      <c r="Q170" s="8" t="str">
        <f>IF($B170="","",IF(COUNTIF('Competency Event Log'!$U$4:$U$803,$B170&amp;"|"&amp;Q$5)=0,"",SUMIF('Competency Event Log'!$U$4:$U$803,$B170&amp;"|"&amp;Q$5,'Competency Event Log'!$D$4:$D$803)))</f>
        <v/>
      </c>
      <c r="R170" s="8" t="str">
        <f>IF($B170="","",IF(COUNTIF('Competency Event Log'!$U$4:$U$803,$B170&amp;"|"&amp;R$5)=0,"",SUMIF('Competency Event Log'!$U$4:$U$803,$B170&amp;"|"&amp;R$5,'Competency Event Log'!$D$4:$D$803)))</f>
        <v/>
      </c>
      <c r="S170" s="8" t="str">
        <f>IF($B170="","",IF(COUNTIF('Competency Event Log'!$U$4:$U$803,$B170&amp;"|"&amp;S$5)=0,"",SUMIF('Competency Event Log'!$U$4:$U$803,$B170&amp;"|"&amp;S$5,'Competency Event Log'!$D$4:$D$803)))</f>
        <v/>
      </c>
      <c r="T170" s="8" t="str">
        <f>IF($B170="","",IF(COUNTIF('Competency Event Log'!$U$4:$U$803,$B170&amp;"|"&amp;T$5)=0,"",SUMIF('Competency Event Log'!$U$4:$U$803,$B170&amp;"|"&amp;T$5,'Competency Event Log'!$D$4:$D$803)))</f>
        <v/>
      </c>
      <c r="U170" s="8" t="str">
        <f>IF($B170="","",IF(COUNTIF('Competency Event Log'!$U$4:$U$803,$B170&amp;"|"&amp;U$5)=0,"",SUMIF('Competency Event Log'!$U$4:$U$803,$B170&amp;"|"&amp;U$5,'Competency Event Log'!$D$4:$D$803)))</f>
        <v/>
      </c>
      <c r="V170" s="8" t="str">
        <f>IF($B170="","",IF(COUNTIF('Competency Event Log'!$U$4:$U$803,$B170&amp;"|"&amp;V$5)=0,"",SUMIF('Competency Event Log'!$U$4:$U$803,$B170&amp;"|"&amp;V$5,'Competency Event Log'!$D$4:$D$803)))</f>
        <v/>
      </c>
      <c r="W170" s="8" t="str">
        <f>IF($B170="","",IF(COUNTIF('Competency Event Log'!$U$4:$U$803,$B170&amp;"|"&amp;W$5)=0,"",SUMIF('Competency Event Log'!$U$4:$U$803,$B170&amp;"|"&amp;W$5,'Competency Event Log'!$D$4:$D$803)))</f>
        <v/>
      </c>
      <c r="X170" s="8" t="str">
        <f>IF($B170="","",IF(COUNTIF('Competency Event Log'!$U$4:$U$803,$B170&amp;"|"&amp;X$5)=0,"",SUMIF('Competency Event Log'!$U$4:$U$803,$B170&amp;"|"&amp;X$5,'Competency Event Log'!$D$4:$D$803)))</f>
        <v/>
      </c>
      <c r="Y170" s="8" t="str">
        <f>IF($B170="","",IF(COUNTIF('Competency Event Log'!$U$4:$U$803,$B170&amp;"|"&amp;Y$5)=0,"",SUMIF('Competency Event Log'!$U$4:$U$803,$B170&amp;"|"&amp;Y$5,'Competency Event Log'!$D$4:$D$803)))</f>
        <v/>
      </c>
      <c r="Z170" s="8" t="str">
        <f>IF($B170="","",IF(COUNTIF('Competency Event Log'!$U$4:$U$803,$B170&amp;"|"&amp;Z$5)=0,"",SUMIF('Competency Event Log'!$U$4:$U$803,$B170&amp;"|"&amp;Z$5,'Competency Event Log'!$D$4:$D$803)))</f>
        <v/>
      </c>
      <c r="AA170" s="8" t="str">
        <f>IF($B170="","",IF(COUNTIF('Competency Event Log'!$U$4:$U$803,$B170&amp;"|"&amp;AA$5)=0,"",SUMIF('Competency Event Log'!$U$4:$U$803,$B170&amp;"|"&amp;AA$5,'Competency Event Log'!$D$4:$D$803)))</f>
        <v/>
      </c>
      <c r="AB170" s="8" t="str">
        <f>IF($B170="","",IF(COUNTIF('Competency Event Log'!$U$4:$U$803,$B170&amp;"|"&amp;AB$5)=0,"",SUMIF('Competency Event Log'!$U$4:$U$803,$B170&amp;"|"&amp;AB$5,'Competency Event Log'!$D$4:$D$803)))</f>
        <v/>
      </c>
      <c r="AC170" s="8" t="str">
        <f>IF($B170="","",IF(COUNTIF('Competency Event Log'!$U$4:$U$803,$B170&amp;"|"&amp;AC$5)=0,"",SUMIF('Competency Event Log'!$U$4:$U$803,$B170&amp;"|"&amp;AC$5,'Competency Event Log'!$D$4:$D$803)))</f>
        <v/>
      </c>
      <c r="AD170" s="8" t="str">
        <f>IF($B170="","",IF(COUNTIF('Competency Event Log'!$U$4:$U$803,$B170&amp;"|"&amp;AD$5)=0,"",SUMIF('Competency Event Log'!$U$4:$U$803,$B170&amp;"|"&amp;AD$5,'Competency Event Log'!$D$4:$D$803)))</f>
        <v/>
      </c>
      <c r="AE170" s="8" t="str">
        <f>IF($B170="","",IF(COUNTIF('Competency Event Log'!$U$4:$U$803,$B170&amp;"|"&amp;AE$5)=0,"",SUMIF('Competency Event Log'!$U$4:$U$803,$B170&amp;"|"&amp;AE$5,'Competency Event Log'!$D$4:$D$803)))</f>
        <v/>
      </c>
      <c r="AF170" s="8" t="str">
        <f>IF($B170="","",IF(COUNTIF('Competency Event Log'!$U$4:$U$803,$B170&amp;"|"&amp;AF$5)=0,"",SUMIF('Competency Event Log'!$U$4:$U$803,$B170&amp;"|"&amp;AF$5,'Competency Event Log'!$D$4:$D$803)))</f>
        <v/>
      </c>
      <c r="AG170" s="8" t="str">
        <f>IF($B170="","",IF(COUNTIF('Competency Event Log'!$U$4:$U$803,$B170&amp;"|"&amp;AG$5)=0,"",SUMIF('Competency Event Log'!$U$4:$U$803,$B170&amp;"|"&amp;AG$5,'Competency Event Log'!$D$4:$D$803)))</f>
        <v/>
      </c>
      <c r="AH170" s="8" t="str">
        <f>IF($B170="","",IF(COUNTIF('Competency Event Log'!$U$4:$U$803,$B170&amp;"|"&amp;AH$5)=0,"",SUMIF('Competency Event Log'!$U$4:$U$803,$B170&amp;"|"&amp;AH$5,'Competency Event Log'!$D$4:$D$803)))</f>
        <v/>
      </c>
      <c r="AI170" s="8" t="str">
        <f>IF($B170="","",IF(COUNTIF('Competency Event Log'!$U$4:$U$803,$B170&amp;"|"&amp;AI$5)=0,"",SUMIF('Competency Event Log'!$U$4:$U$803,$B170&amp;"|"&amp;AI$5,'Competency Event Log'!$D$4:$D$803)))</f>
        <v/>
      </c>
      <c r="AJ170" s="8" t="str">
        <f>IF($B170="","",IF(COUNTIF('Competency Event Log'!$U$4:$U$803,$B170&amp;"|"&amp;AJ$5)=0,"",SUMIF('Competency Event Log'!$U$4:$U$803,$B170&amp;"|"&amp;AJ$5,'Competency Event Log'!$D$4:$D$803)))</f>
        <v/>
      </c>
      <c r="AK170" s="8" t="str">
        <f>IF($B170="","",IF(COUNTIF('Competency Event Log'!$U$4:$U$803,$B170&amp;"|"&amp;AK$5)=0,"",SUMIF('Competency Event Log'!$U$4:$U$803,$B170&amp;"|"&amp;AK$5,'Competency Event Log'!$D$4:$D$803)))</f>
        <v/>
      </c>
      <c r="AL170" s="8" t="str">
        <f>IF($B170="","",IF(COUNTIF('Competency Event Log'!$U$4:$U$803,$B170&amp;"|"&amp;AL$5)=0,"",SUMIF('Competency Event Log'!$U$4:$U$803,$B170&amp;"|"&amp;AL$5,'Competency Event Log'!$D$4:$D$803)))</f>
        <v/>
      </c>
      <c r="AM170" s="8" t="str">
        <f>IF($B170="","",IF(COUNTIF('Competency Event Log'!$U$4:$U$803,$B170&amp;"|"&amp;AM$5)=0,"",SUMIF('Competency Event Log'!$U$4:$U$803,$B170&amp;"|"&amp;AM$5,'Competency Event Log'!$D$4:$D$803)))</f>
        <v/>
      </c>
      <c r="AN170" s="8" t="str">
        <f>IF($B170="","",IF(COUNTIF('Competency Event Log'!$U$4:$U$803,$B170&amp;"|"&amp;AN$5)=0,"",SUMIF('Competency Event Log'!$U$4:$U$803,$B170&amp;"|"&amp;AN$5,'Competency Event Log'!$D$4:$D$803)))</f>
        <v/>
      </c>
      <c r="AO170" s="8" t="str">
        <f>IF($B170="","",IF(COUNTIF('Competency Event Log'!$U$4:$U$803,$B170&amp;"|"&amp;AO$5)=0,"",SUMIF('Competency Event Log'!$U$4:$U$803,$B170&amp;"|"&amp;AO$5,'Competency Event Log'!$D$4:$D$803)))</f>
        <v/>
      </c>
      <c r="AP170" s="8" t="str">
        <f>IF($B170="","",IF(COUNTIF('Competency Event Log'!$U$4:$U$803,$B170&amp;"|"&amp;AP$5)=0,"",SUMIF('Competency Event Log'!$U$4:$U$803,$B170&amp;"|"&amp;AP$5,'Competency Event Log'!$D$4:$D$803)))</f>
        <v/>
      </c>
      <c r="AQ170" s="8" t="str">
        <f>IF($B170="","",IF(COUNTIF('Competency Event Log'!$U$4:$U$803,$B170&amp;"|"&amp;AQ$5)=0,"",SUMIF('Competency Event Log'!$U$4:$U$803,$B170&amp;"|"&amp;AQ$5,'Competency Event Log'!$D$4:$D$803)))</f>
        <v/>
      </c>
      <c r="AR170" s="8" t="str">
        <f>IF($B170="","",IF(COUNTIF('Competency Event Log'!$U$4:$U$803,$B170&amp;"|"&amp;AR$5)=0,"",SUMIF('Competency Event Log'!$U$4:$U$803,$B170&amp;"|"&amp;AR$5,'Competency Event Log'!$D$4:$D$803)))</f>
        <v/>
      </c>
      <c r="AS170" s="8" t="str">
        <f>IF($B170="","",IF(COUNTIF('Competency Event Log'!$U$4:$U$803,$B170&amp;"|"&amp;AS$5)=0,"",SUMIF('Competency Event Log'!$U$4:$U$803,$B170&amp;"|"&amp;AS$5,'Competency Event Log'!$D$4:$D$803)))</f>
        <v/>
      </c>
      <c r="AT170" s="8" t="str">
        <f>IF($B170="","",IF(COUNTIF('Competency Event Log'!$U$4:$U$803,$B170&amp;"|"&amp;AT$5)=0,"",SUMIF('Competency Event Log'!$U$4:$U$803,$B170&amp;"|"&amp;AT$5,'Competency Event Log'!$D$4:$D$803)))</f>
        <v/>
      </c>
      <c r="AU170" s="8" t="str">
        <f>IF($B170="","",IF(COUNTIF('Competency Event Log'!$U$4:$U$803,$B170&amp;"|"&amp;AU$5)=0,"",SUMIF('Competency Event Log'!$U$4:$U$803,$B170&amp;"|"&amp;AU$5,'Competency Event Log'!$D$4:$D$803)))</f>
        <v/>
      </c>
      <c r="AV170" s="8" t="str">
        <f>IF($B170="","",IF(COUNTIF('Competency Event Log'!$U$4:$U$803,$B170&amp;"|"&amp;AV$5)=0,"",SUMIF('Competency Event Log'!$U$4:$U$803,$B170&amp;"|"&amp;AV$5,'Competency Event Log'!$D$4:$D$803)))</f>
        <v/>
      </c>
      <c r="AW170" s="8" t="str">
        <f>IF($B170="","",IF(COUNTIF('Competency Event Log'!$U$4:$U$803,$B170&amp;"|"&amp;AW$5)=0,"",SUMIF('Competency Event Log'!$U$4:$U$803,$B170&amp;"|"&amp;AW$5,'Competency Event Log'!$D$4:$D$803)))</f>
        <v/>
      </c>
      <c r="AX170" s="8" t="str">
        <f>IF($B170="","",IF(COUNTIF('Competency Event Log'!$U$4:$U$803,$B170&amp;"|"&amp;AX$5)=0,"",SUMIF('Competency Event Log'!$U$4:$U$803,$B170&amp;"|"&amp;AX$5,'Competency Event Log'!$D$4:$D$803)))</f>
        <v/>
      </c>
      <c r="AY170" s="8" t="str">
        <f>IF($B170="","",IF(COUNTIF('Competency Event Log'!$U$4:$U$803,$B170&amp;"|"&amp;AY$5)=0,"",SUMIF('Competency Event Log'!$U$4:$U$803,$B170&amp;"|"&amp;AY$5,'Competency Event Log'!$D$4:$D$803)))</f>
        <v/>
      </c>
      <c r="AZ170" s="8" t="str">
        <f>IF($B170="","",IF(COUNTIF('Competency Event Log'!$U$4:$U$803,$B170&amp;"|"&amp;AZ$5)=0,"",SUMIF('Competency Event Log'!$U$4:$U$803,$B170&amp;"|"&amp;AZ$5,'Competency Event Log'!$D$4:$D$803)))</f>
        <v/>
      </c>
      <c r="BA170" s="8" t="str">
        <f>IF($B170="","",IF(COUNTIF('Competency Event Log'!$U$4:$U$803,$B170&amp;"|"&amp;BA$5)=0,"",SUMIF('Competency Event Log'!$U$4:$U$803,$B170&amp;"|"&amp;BA$5,'Competency Event Log'!$D$4:$D$803)))</f>
        <v/>
      </c>
      <c r="BB170" s="8" t="str">
        <f>IF($B170="","",IF(COUNTIF('Competency Event Log'!$U$4:$U$803,$B170&amp;"|"&amp;BB$5)=0,"",SUMIF('Competency Event Log'!$U$4:$U$803,$B170&amp;"|"&amp;BB$5,'Competency Event Log'!$D$4:$D$803)))</f>
        <v/>
      </c>
      <c r="BC170" s="8" t="str">
        <f>IF($B170="","",IF(COUNTIF('Competency Event Log'!$U$4:$U$803,$B170&amp;"|"&amp;BC$5)=0,"",SUMIF('Competency Event Log'!$U$4:$U$803,$B170&amp;"|"&amp;BC$5,'Competency Event Log'!$D$4:$D$803)))</f>
        <v/>
      </c>
      <c r="BD170" s="8" t="str">
        <f>IF($B170="","",IF(COUNTIF('Competency Event Log'!$U$4:$U$803,$B170&amp;"|"&amp;BD$5)=0,"",SUMIF('Competency Event Log'!$U$4:$U$803,$B170&amp;"|"&amp;BD$5,'Competency Event Log'!$D$4:$D$803)))</f>
        <v/>
      </c>
      <c r="BE170" s="8" t="str">
        <f>IF($B170="","",IF(COUNTIF('Competency Event Log'!$U$4:$U$803,$B170&amp;"|"&amp;BE$5)=0,"",SUMIF('Competency Event Log'!$U$4:$U$803,$B170&amp;"|"&amp;BE$5,'Competency Event Log'!$D$4:$D$803)))</f>
        <v/>
      </c>
      <c r="BF170" s="8" t="str">
        <f>IF($B170="","",IF(COUNTIF('Competency Event Log'!$U$4:$U$803,$B170&amp;"|"&amp;BF$5)=0,"",SUMIF('Competency Event Log'!$U$4:$U$803,$B170&amp;"|"&amp;BF$5,'Competency Event Log'!$D$4:$D$803)))</f>
        <v/>
      </c>
      <c r="BG170" s="8" t="str">
        <f>IF($B170="","",IF(COUNTIF('Competency Event Log'!$U$4:$U$803,$B170&amp;"|"&amp;BG$5)=0,"",SUMIF('Competency Event Log'!$U$4:$U$803,$B170&amp;"|"&amp;BG$5,'Competency Event Log'!$D$4:$D$803)))</f>
        <v/>
      </c>
      <c r="BH170" s="8" t="str">
        <f>IF($B170="","",IF(COUNTIF('Competency Event Log'!$U$4:$U$803,$B170&amp;"|"&amp;BH$5)=0,"",SUMIF('Competency Event Log'!$U$4:$U$803,$B170&amp;"|"&amp;BH$5,'Competency Event Log'!$D$4:$D$803)))</f>
        <v/>
      </c>
      <c r="BI170" s="8" t="str">
        <f>IF($B170="","",IF(COUNTIF('Competency Event Log'!$U$4:$U$803,$B170&amp;"|"&amp;BI$5)=0,"",SUMIF('Competency Event Log'!$U$4:$U$803,$B170&amp;"|"&amp;BI$5,'Competency Event Log'!$D$4:$D$803)))</f>
        <v/>
      </c>
      <c r="BJ170" s="8" t="str">
        <f>IF($B170="","",IF(COUNTIF('Competency Event Log'!$U$4:$U$803,$B170&amp;"|"&amp;BJ$5)=0,"",SUMIF('Competency Event Log'!$U$4:$U$803,$B170&amp;"|"&amp;BJ$5,'Competency Event Log'!$D$4:$D$803)))</f>
        <v/>
      </c>
      <c r="BK170" s="8" t="str">
        <f>IF($B170="","",IF(COUNTIF('Competency Event Log'!$U$4:$U$803,$B170&amp;"|"&amp;BK$5)=0,"",SUMIF('Competency Event Log'!$U$4:$U$803,$B170&amp;"|"&amp;BK$5,'Competency Event Log'!$D$4:$D$803)))</f>
        <v/>
      </c>
      <c r="BL170" s="8" t="str">
        <f>IF($B170="","",IF(COUNTIF('Competency Event Log'!$U$4:$U$803,$B170&amp;"|"&amp;BL$5)=0,"",SUMIF('Competency Event Log'!$U$4:$U$803,$B170&amp;"|"&amp;BL$5,'Competency Event Log'!$D$4:$D$803)))</f>
        <v/>
      </c>
      <c r="BM170" s="8" t="str">
        <f>IF($B170="","",IF(COUNTIF('Competency Event Log'!$U$4:$U$803,$B170&amp;"|"&amp;BM$5)=0,"",SUMIF('Competency Event Log'!$U$4:$U$803,$B170&amp;"|"&amp;BM$5,'Competency Event Log'!$D$4:$D$803)))</f>
        <v/>
      </c>
      <c r="BN170" s="8" t="str">
        <f>IF($B170="","",IF(COUNTIF('Competency Event Log'!$U$4:$U$803,$B170&amp;"|"&amp;BN$5)=0,"",SUMIF('Competency Event Log'!$U$4:$U$803,$B170&amp;"|"&amp;BN$5,'Competency Event Log'!$D$4:$D$803)))</f>
        <v/>
      </c>
      <c r="BO170" s="8" t="str">
        <f>IF($B170="","",IF(COUNTIF('Competency Event Log'!$U$4:$U$803,$B170&amp;"|"&amp;BO$5)=0,"",SUMIF('Competency Event Log'!$U$4:$U$803,$B170&amp;"|"&amp;BO$5,'Competency Event Log'!$D$4:$D$803)))</f>
        <v/>
      </c>
      <c r="BP170" s="8" t="str">
        <f>IF($B170="","",IF(COUNTIF('Competency Event Log'!$U$4:$U$803,$B170&amp;"|"&amp;BP$5)=0,"",SUMIF('Competency Event Log'!$U$4:$U$803,$B170&amp;"|"&amp;BP$5,'Competency Event Log'!$D$4:$D$803)))</f>
        <v/>
      </c>
      <c r="BQ170" s="8" t="str">
        <f>IF($B170="","",IF(COUNTIF('Competency Event Log'!$U$4:$U$803,$B170&amp;"|"&amp;BQ$5)=0,"",SUMIF('Competency Event Log'!$U$4:$U$803,$B170&amp;"|"&amp;BQ$5,'Competency Event Log'!$D$4:$D$803)))</f>
        <v/>
      </c>
      <c r="BR170" s="8" t="str">
        <f>IF($B170="","",IF(COUNTIF('Competency Event Log'!$U$4:$U$803,$B170&amp;"|"&amp;BR$5)=0,"",SUMIF('Competency Event Log'!$U$4:$U$803,$B170&amp;"|"&amp;BR$5,'Competency Event Log'!$D$4:$D$803)))</f>
        <v/>
      </c>
      <c r="BS170" s="8" t="str">
        <f>IF($B170="","",IF(COUNTIF('Competency Event Log'!$U$4:$U$803,$B170&amp;"|"&amp;BS$5)=0,"",SUMIF('Competency Event Log'!$U$4:$U$803,$B170&amp;"|"&amp;BS$5,'Competency Event Log'!$D$4:$D$803)))</f>
        <v/>
      </c>
      <c r="BT170" s="8" t="str">
        <f>IF($B170="","",IF(COUNTIF('Competency Event Log'!$U$4:$U$803,$B170&amp;"|"&amp;BT$5)=0,"",SUMIF('Competency Event Log'!$U$4:$U$803,$B170&amp;"|"&amp;BT$5,'Competency Event Log'!$D$4:$D$803)))</f>
        <v/>
      </c>
      <c r="BU170" s="8" t="str">
        <f>IF($B170="","",IF(COUNTIF('Competency Event Log'!$U$4:$U$803,$B170&amp;"|"&amp;BU$5)=0,"",SUMIF('Competency Event Log'!$U$4:$U$803,$B170&amp;"|"&amp;BU$5,'Competency Event Log'!$D$4:$D$803)))</f>
        <v/>
      </c>
      <c r="BV170" s="8" t="str">
        <f>IF($B170="","",IF(COUNTIF('Competency Event Log'!$U$4:$U$803,$B170&amp;"|"&amp;BV$5)=0,"",SUMIF('Competency Event Log'!$U$4:$U$803,$B170&amp;"|"&amp;BV$5,'Competency Event Log'!$D$4:$D$803)))</f>
        <v/>
      </c>
      <c r="BW170" s="8" t="str">
        <f>IF($B170="","",IF(COUNTIF('Competency Event Log'!$U$4:$U$803,$B170&amp;"|"&amp;BW$5)=0,"",SUMIF('Competency Event Log'!$U$4:$U$803,$B170&amp;"|"&amp;BW$5,'Competency Event Log'!$D$4:$D$803)))</f>
        <v/>
      </c>
      <c r="BX170" s="8" t="str">
        <f>IF($B170="","",IF(COUNTIF('Competency Event Log'!$U$4:$U$803,$B170&amp;"|"&amp;BX$5)=0,"",SUMIF('Competency Event Log'!$U$4:$U$803,$B170&amp;"|"&amp;BX$5,'Competency Event Log'!$D$4:$D$803)))</f>
        <v/>
      </c>
      <c r="BY170" s="8" t="str">
        <f>IF($B170="","",IF(COUNTIF('Competency Event Log'!$U$4:$U$803,$B170&amp;"|"&amp;BY$5)=0,"",SUMIF('Competency Event Log'!$U$4:$U$803,$B170&amp;"|"&amp;BY$5,'Competency Event Log'!$D$4:$D$803)))</f>
        <v/>
      </c>
      <c r="BZ170" s="8" t="str">
        <f>IF($B170="","",IF(COUNTIF('Competency Event Log'!$U$4:$U$803,$B170&amp;"|"&amp;BZ$5)=0,"",SUMIF('Competency Event Log'!$U$4:$U$803,$B170&amp;"|"&amp;BZ$5,'Competency Event Log'!$D$4:$D$803)))</f>
        <v/>
      </c>
      <c r="CA170" s="8" t="str">
        <f>IF($B170="","",IF(COUNTIF('Competency Event Log'!$U$4:$U$803,$B170&amp;"|"&amp;CA$5)=0,"",SUMIF('Competency Event Log'!$U$4:$U$803,$B170&amp;"|"&amp;CA$5,'Competency Event Log'!$D$4:$D$803)))</f>
        <v/>
      </c>
      <c r="CB170" s="8" t="str">
        <f>IF($B170="","",IF(COUNTIF('Competency Event Log'!$U$4:$U$803,$B170&amp;"|"&amp;CB$5)=0,"",SUMIF('Competency Event Log'!$U$4:$U$803,$B170&amp;"|"&amp;CB$5,'Competency Event Log'!$D$4:$D$803)))</f>
        <v/>
      </c>
      <c r="CC170" s="8" t="str">
        <f>IF($B170="","",IF(COUNTIF('Competency Event Log'!$U$4:$U$803,$B170&amp;"|"&amp;CC$5)=0,"",SUMIF('Competency Event Log'!$U$4:$U$803,$B170&amp;"|"&amp;CC$5,'Competency Event Log'!$D$4:$D$803)))</f>
        <v/>
      </c>
      <c r="CD170" s="8" t="str">
        <f>IF($B170="","",IF(COUNTIF('Competency Event Log'!$U$4:$U$803,$B170&amp;"|"&amp;CD$5)=0,"",SUMIF('Competency Event Log'!$U$4:$U$803,$B170&amp;"|"&amp;CD$5,'Competency Event Log'!$D$4:$D$803)))</f>
        <v/>
      </c>
      <c r="CE170" s="8" t="str">
        <f>IF($B170="","",IF(COUNTIF('Competency Event Log'!$U$4:$U$803,$B170&amp;"|"&amp;CE$5)=0,"",SUMIF('Competency Event Log'!$U$4:$U$803,$B170&amp;"|"&amp;CE$5,'Competency Event Log'!$D$4:$D$803)))</f>
        <v/>
      </c>
      <c r="CF170" s="8" t="str">
        <f>IF($B170="","",IF(COUNTIF('Competency Event Log'!$U$4:$U$803,$B170&amp;"|"&amp;CF$5)=0,"",SUMIF('Competency Event Log'!$U$4:$U$803,$B170&amp;"|"&amp;CF$5,'Competency Event Log'!$D$4:$D$803)))</f>
        <v/>
      </c>
      <c r="CG170" s="8" t="str">
        <f>IF($B170="","",IF(COUNTIF('Competency Event Log'!$U$4:$U$803,$B170&amp;"|"&amp;CG$5)=0,"",SUMIF('Competency Event Log'!$U$4:$U$803,$B170&amp;"|"&amp;CG$5,'Competency Event Log'!$D$4:$D$803)))</f>
        <v/>
      </c>
      <c r="CH170" s="8" t="str">
        <f>IF($B170="","",IF(COUNTIF('Competency Event Log'!$U$4:$U$803,$B170&amp;"|"&amp;CH$5)=0,"",SUMIF('Competency Event Log'!$U$4:$U$803,$B170&amp;"|"&amp;CH$5,'Competency Event Log'!$D$4:$D$803)))</f>
        <v/>
      </c>
      <c r="CI170" s="8" t="str">
        <f>IF($B170="","",IF(COUNTIF('Competency Event Log'!$U$4:$U$803,$B170&amp;"|"&amp;CI$5)=0,"",SUMIF('Competency Event Log'!$U$4:$U$803,$B170&amp;"|"&amp;CI$5,'Competency Event Log'!$D$4:$D$803)))</f>
        <v/>
      </c>
      <c r="CJ170" s="8" t="str">
        <f>IF($B170="","",IF(COUNTIF('Competency Event Log'!$U$4:$U$803,$B170&amp;"|"&amp;CJ$5)=0,"",SUMIF('Competency Event Log'!$U$4:$U$803,$B170&amp;"|"&amp;CJ$5,'Competency Event Log'!$D$4:$D$803)))</f>
        <v/>
      </c>
      <c r="CK170" s="8" t="str">
        <f>IF($B170="","",IF(COUNTIF('Competency Event Log'!$U$4:$U$803,$B170&amp;"|"&amp;CK$5)=0,"",SUMIF('Competency Event Log'!$U$4:$U$803,$B170&amp;"|"&amp;CK$5,'Competency Event Log'!$D$4:$D$803)))</f>
        <v/>
      </c>
      <c r="CL170" s="8" t="str">
        <f>IF($B170="","",IF(COUNTIF('Competency Event Log'!$U$4:$U$803,$B170&amp;"|"&amp;CL$5)=0,"",SUMIF('Competency Event Log'!$U$4:$U$803,$B170&amp;"|"&amp;CL$5,'Competency Event Log'!$D$4:$D$803)))</f>
        <v/>
      </c>
      <c r="CM170" s="8" t="str">
        <f>IF($B170="","",IF(COUNTIF('Competency Event Log'!$U$4:$U$803,$B170&amp;"|"&amp;CM$5)=0,"",SUMIF('Competency Event Log'!$U$4:$U$803,$B170&amp;"|"&amp;CM$5,'Competency Event Log'!$D$4:$D$803)))</f>
        <v/>
      </c>
      <c r="CN170" s="8" t="str">
        <f>IF($B170="","",IF(COUNTIF('Competency Event Log'!$U$4:$U$803,$B170&amp;"|"&amp;CN$5)=0,"",SUMIF('Competency Event Log'!$U$4:$U$803,$B170&amp;"|"&amp;CN$5,'Competency Event Log'!$D$4:$D$803)))</f>
        <v/>
      </c>
      <c r="CO170" s="8" t="str">
        <f>IF($B170="","",IF(COUNTIF('Competency Event Log'!$U$4:$U$803,$B170&amp;"|"&amp;CO$5)=0,"",SUMIF('Competency Event Log'!$U$4:$U$803,$B170&amp;"|"&amp;CO$5,'Competency Event Log'!$D$4:$D$803)))</f>
        <v/>
      </c>
      <c r="CP170" s="8" t="str">
        <f>IF($B170="","",IF(COUNTIF('Competency Event Log'!$U$4:$U$803,$B170&amp;"|"&amp;CP$5)=0,"",SUMIF('Competency Event Log'!$U$4:$U$803,$B170&amp;"|"&amp;CP$5,'Competency Event Log'!$D$4:$D$803)))</f>
        <v/>
      </c>
      <c r="CQ170" s="8" t="str">
        <f>IF($B170="","",IF(COUNTIF('Competency Event Log'!$U$4:$U$803,$B170&amp;"|"&amp;CQ$5)=0,"",SUMIF('Competency Event Log'!$U$4:$U$803,$B170&amp;"|"&amp;CQ$5,'Competency Event Log'!$D$4:$D$803)))</f>
        <v/>
      </c>
      <c r="CR170" s="8" t="str">
        <f>IF($B170="","",IF(COUNTIF('Competency Event Log'!$U$4:$U$803,$B170&amp;"|"&amp;CR$5)=0,"",SUMIF('Competency Event Log'!$U$4:$U$803,$B170&amp;"|"&amp;CR$5,'Competency Event Log'!$D$4:$D$803)))</f>
        <v/>
      </c>
      <c r="CS170" s="8" t="str">
        <f>IF($B170="","",IF(COUNTIF('Competency Event Log'!$U$4:$U$803,$B170&amp;"|"&amp;CS$5)=0,"",SUMIF('Competency Event Log'!$U$4:$U$803,$B170&amp;"|"&amp;CS$5,'Competency Event Log'!$D$4:$D$803)))</f>
        <v/>
      </c>
      <c r="CT170" s="8" t="str">
        <f>IF($B170="","",IF(COUNTIF('Competency Event Log'!$U$4:$U$803,$B170&amp;"|"&amp;CT$5)=0,"",SUMIF('Competency Event Log'!$U$4:$U$803,$B170&amp;"|"&amp;CT$5,'Competency Event Log'!$D$4:$D$803)))</f>
        <v/>
      </c>
      <c r="CU170" s="8" t="str">
        <f>IF($B170="","",IF(COUNTIF('Competency Event Log'!$U$4:$U$803,$B170&amp;"|"&amp;CU$5)=0,"",SUMIF('Competency Event Log'!$U$4:$U$803,$B170&amp;"|"&amp;CU$5,'Competency Event Log'!$D$4:$D$803)))</f>
        <v/>
      </c>
      <c r="CV170" s="8" t="str">
        <f>IF($B170="","",IF(COUNTIF('Competency Event Log'!$U$4:$U$803,$B170&amp;"|"&amp;CV$5)=0,"",SUMIF('Competency Event Log'!$U$4:$U$803,$B170&amp;"|"&amp;CV$5,'Competency Event Log'!$D$4:$D$803)))</f>
        <v/>
      </c>
      <c r="CW170" s="8" t="str">
        <f>IF($B170="","",IF(COUNTIF('Competency Event Log'!$U$4:$U$803,$B170&amp;"|"&amp;CW$5)=0,"",SUMIF('Competency Event Log'!$U$4:$U$803,$B170&amp;"|"&amp;CW$5,'Competency Event Log'!$D$4:$D$803)))</f>
        <v/>
      </c>
      <c r="CX170" s="8" t="str">
        <f>IF($B170="","",IF(COUNTIF('Competency Event Log'!$U$4:$U$803,$B170&amp;"|"&amp;CX$5)=0,"",SUMIF('Competency Event Log'!$U$4:$U$803,$B170&amp;"|"&amp;CX$5,'Competency Event Log'!$D$4:$D$803)))</f>
        <v/>
      </c>
      <c r="CY170" s="8" t="str">
        <f>IF($B170="","",IF(COUNTIF('Competency Event Log'!$U$4:$U$803,$B170&amp;"|"&amp;CY$5)=0,"",SUMIF('Competency Event Log'!$U$4:$U$803,$B170&amp;"|"&amp;CY$5,'Competency Event Log'!$D$4:$D$803)))</f>
        <v/>
      </c>
      <c r="CZ170" s="8" t="str">
        <f>IF($B170="","",IF(COUNTIF('Competency Event Log'!$U$4:$U$803,$B170&amp;"|"&amp;CZ$5)=0,"",SUMIF('Competency Event Log'!$U$4:$U$803,$B170&amp;"|"&amp;CZ$5,'Competency Event Log'!$D$4:$D$803)))</f>
        <v/>
      </c>
      <c r="DA170" s="8" t="str">
        <f>IF($B170="","",IF(COUNTIF('Competency Event Log'!$U$4:$U$803,$B170&amp;"|"&amp;DA$5)=0,"",SUMIF('Competency Event Log'!$U$4:$U$803,$B170&amp;"|"&amp;DA$5,'Competency Event Log'!$D$4:$D$803)))</f>
        <v/>
      </c>
      <c r="DB170" s="8" t="str">
        <f>IF($B170="","",IF(COUNTIF('Competency Event Log'!$U$4:$U$803,$B170&amp;"|"&amp;DB$5)=0,"",SUMIF('Competency Event Log'!$U$4:$U$803,$B170&amp;"|"&amp;DB$5,'Competency Event Log'!$D$4:$D$803)))</f>
        <v/>
      </c>
      <c r="DC170" s="8" t="str">
        <f>IF($B170="","",IF(COUNTIF('Competency Event Log'!$U$4:$U$803,$B170&amp;"|"&amp;DC$5)=0,"",SUMIF('Competency Event Log'!$U$4:$U$803,$B170&amp;"|"&amp;DC$5,'Competency Event Log'!$D$4:$D$803)))</f>
        <v/>
      </c>
      <c r="DD170" s="8" t="str">
        <f>IF($B170="","",IF(COUNTIF('Competency Event Log'!$U$4:$U$803,$B170&amp;"|"&amp;DD$5)=0,"",SUMIF('Competency Event Log'!$U$4:$U$803,$B170&amp;"|"&amp;DD$5,'Competency Event Log'!$D$4:$D$803)))</f>
        <v/>
      </c>
      <c r="DE170" s="8" t="str">
        <f>IF($B170="","",IF(COUNTIF('Competency Event Log'!$U$4:$U$803,$B170&amp;"|"&amp;DE$5)=0,"",SUMIF('Competency Event Log'!$U$4:$U$803,$B170&amp;"|"&amp;DE$5,'Competency Event Log'!$D$4:$D$803)))</f>
        <v/>
      </c>
      <c r="DF170" s="8" t="str">
        <f t="shared" si="20"/>
        <v/>
      </c>
      <c r="DG170" s="8" t="str">
        <f t="shared" si="21"/>
        <v/>
      </c>
      <c r="DH170" s="8" t="str">
        <f t="shared" si="22"/>
        <v/>
      </c>
      <c r="DI170" s="11" t="str">
        <f t="shared" si="23"/>
        <v/>
      </c>
    </row>
    <row r="171" spans="1:113">
      <c r="A171" s="7"/>
      <c r="B171" s="7"/>
      <c r="C171" s="8"/>
      <c r="D171" s="9"/>
      <c r="E171" s="10"/>
      <c r="F171" s="8"/>
      <c r="G171" s="8" t="str">
        <f>IF($B171="","",IF(COUNTIF('Competency Event Log'!$U$4:$U$803,$B171&amp;"|"&amp;G$5)=0,"",SUMIF('Competency Event Log'!$U$4:$U$803,$B171&amp;"|"&amp;G$5,'Competency Event Log'!$D$4:$D$803)))</f>
        <v/>
      </c>
      <c r="H171" s="8" t="str">
        <f>IF($B171="","",IF(COUNTIF('Competency Event Log'!$U$4:$U$803,$B171&amp;"|"&amp;H$5)=0,"",SUMIF('Competency Event Log'!$U$4:$U$803,$B171&amp;"|"&amp;H$5,'Competency Event Log'!$D$4:$D$803)))</f>
        <v/>
      </c>
      <c r="I171" s="8" t="str">
        <f>IF($B171="","",IF(COUNTIF('Competency Event Log'!$U$4:$U$803,$B171&amp;"|"&amp;I$5)=0,"",SUMIF('Competency Event Log'!$U$4:$U$803,$B171&amp;"|"&amp;I$5,'Competency Event Log'!$D$4:$D$803)))</f>
        <v/>
      </c>
      <c r="J171" s="8" t="str">
        <f>IF($B171="","",IF(COUNTIF('Competency Event Log'!$U$4:$U$803,$B171&amp;"|"&amp;J$5)=0,"",SUMIF('Competency Event Log'!$U$4:$U$803,$B171&amp;"|"&amp;J$5,'Competency Event Log'!$D$4:$D$803)))</f>
        <v/>
      </c>
      <c r="K171" s="8" t="str">
        <f>IF($B171="","",IF(COUNTIF('Competency Event Log'!$U$4:$U$803,$B171&amp;"|"&amp;K$5)=0,"",SUMIF('Competency Event Log'!$U$4:$U$803,$B171&amp;"|"&amp;K$5,'Competency Event Log'!$D$4:$D$803)))</f>
        <v/>
      </c>
      <c r="L171" s="8" t="str">
        <f>IF($B171="","",IF(COUNTIF('Competency Event Log'!$U$4:$U$803,$B171&amp;"|"&amp;L$5)=0,"",SUMIF('Competency Event Log'!$U$4:$U$803,$B171&amp;"|"&amp;L$5,'Competency Event Log'!$D$4:$D$803)))</f>
        <v/>
      </c>
      <c r="M171" s="8" t="str">
        <f>IF($B171="","",IF(COUNTIF('Competency Event Log'!$U$4:$U$803,$B171&amp;"|"&amp;M$5)=0,"",SUMIF('Competency Event Log'!$U$4:$U$803,$B171&amp;"|"&amp;M$5,'Competency Event Log'!$D$4:$D$803)))</f>
        <v/>
      </c>
      <c r="N171" s="8" t="str">
        <f>IF($B171="","",IF(COUNTIF('Competency Event Log'!$U$4:$U$803,$B171&amp;"|"&amp;N$5)=0,"",SUMIF('Competency Event Log'!$U$4:$U$803,$B171&amp;"|"&amp;N$5,'Competency Event Log'!$D$4:$D$803)))</f>
        <v/>
      </c>
      <c r="O171" s="8" t="str">
        <f>IF($B171="","",IF(COUNTIF('Competency Event Log'!$U$4:$U$803,$B171&amp;"|"&amp;O$5)=0,"",SUMIF('Competency Event Log'!$U$4:$U$803,$B171&amp;"|"&amp;O$5,'Competency Event Log'!$D$4:$D$803)))</f>
        <v/>
      </c>
      <c r="P171" s="8" t="str">
        <f>IF($B171="","",IF(COUNTIF('Competency Event Log'!$U$4:$U$803,$B171&amp;"|"&amp;P$5)=0,"",SUMIF('Competency Event Log'!$U$4:$U$803,$B171&amp;"|"&amp;P$5,'Competency Event Log'!$D$4:$D$803)))</f>
        <v/>
      </c>
      <c r="Q171" s="8" t="str">
        <f>IF($B171="","",IF(COUNTIF('Competency Event Log'!$U$4:$U$803,$B171&amp;"|"&amp;Q$5)=0,"",SUMIF('Competency Event Log'!$U$4:$U$803,$B171&amp;"|"&amp;Q$5,'Competency Event Log'!$D$4:$D$803)))</f>
        <v/>
      </c>
      <c r="R171" s="8" t="str">
        <f>IF($B171="","",IF(COUNTIF('Competency Event Log'!$U$4:$U$803,$B171&amp;"|"&amp;R$5)=0,"",SUMIF('Competency Event Log'!$U$4:$U$803,$B171&amp;"|"&amp;R$5,'Competency Event Log'!$D$4:$D$803)))</f>
        <v/>
      </c>
      <c r="S171" s="8" t="str">
        <f>IF($B171="","",IF(COUNTIF('Competency Event Log'!$U$4:$U$803,$B171&amp;"|"&amp;S$5)=0,"",SUMIF('Competency Event Log'!$U$4:$U$803,$B171&amp;"|"&amp;S$5,'Competency Event Log'!$D$4:$D$803)))</f>
        <v/>
      </c>
      <c r="T171" s="8" t="str">
        <f>IF($B171="","",IF(COUNTIF('Competency Event Log'!$U$4:$U$803,$B171&amp;"|"&amp;T$5)=0,"",SUMIF('Competency Event Log'!$U$4:$U$803,$B171&amp;"|"&amp;T$5,'Competency Event Log'!$D$4:$D$803)))</f>
        <v/>
      </c>
      <c r="U171" s="8" t="str">
        <f>IF($B171="","",IF(COUNTIF('Competency Event Log'!$U$4:$U$803,$B171&amp;"|"&amp;U$5)=0,"",SUMIF('Competency Event Log'!$U$4:$U$803,$B171&amp;"|"&amp;U$5,'Competency Event Log'!$D$4:$D$803)))</f>
        <v/>
      </c>
      <c r="V171" s="8" t="str">
        <f>IF($B171="","",IF(COUNTIF('Competency Event Log'!$U$4:$U$803,$B171&amp;"|"&amp;V$5)=0,"",SUMIF('Competency Event Log'!$U$4:$U$803,$B171&amp;"|"&amp;V$5,'Competency Event Log'!$D$4:$D$803)))</f>
        <v/>
      </c>
      <c r="W171" s="8" t="str">
        <f>IF($B171="","",IF(COUNTIF('Competency Event Log'!$U$4:$U$803,$B171&amp;"|"&amp;W$5)=0,"",SUMIF('Competency Event Log'!$U$4:$U$803,$B171&amp;"|"&amp;W$5,'Competency Event Log'!$D$4:$D$803)))</f>
        <v/>
      </c>
      <c r="X171" s="8" t="str">
        <f>IF($B171="","",IF(COUNTIF('Competency Event Log'!$U$4:$U$803,$B171&amp;"|"&amp;X$5)=0,"",SUMIF('Competency Event Log'!$U$4:$U$803,$B171&amp;"|"&amp;X$5,'Competency Event Log'!$D$4:$D$803)))</f>
        <v/>
      </c>
      <c r="Y171" s="8" t="str">
        <f>IF($B171="","",IF(COUNTIF('Competency Event Log'!$U$4:$U$803,$B171&amp;"|"&amp;Y$5)=0,"",SUMIF('Competency Event Log'!$U$4:$U$803,$B171&amp;"|"&amp;Y$5,'Competency Event Log'!$D$4:$D$803)))</f>
        <v/>
      </c>
      <c r="Z171" s="8" t="str">
        <f>IF($B171="","",IF(COUNTIF('Competency Event Log'!$U$4:$U$803,$B171&amp;"|"&amp;Z$5)=0,"",SUMIF('Competency Event Log'!$U$4:$U$803,$B171&amp;"|"&amp;Z$5,'Competency Event Log'!$D$4:$D$803)))</f>
        <v/>
      </c>
      <c r="AA171" s="8" t="str">
        <f>IF($B171="","",IF(COUNTIF('Competency Event Log'!$U$4:$U$803,$B171&amp;"|"&amp;AA$5)=0,"",SUMIF('Competency Event Log'!$U$4:$U$803,$B171&amp;"|"&amp;AA$5,'Competency Event Log'!$D$4:$D$803)))</f>
        <v/>
      </c>
      <c r="AB171" s="8" t="str">
        <f>IF($B171="","",IF(COUNTIF('Competency Event Log'!$U$4:$U$803,$B171&amp;"|"&amp;AB$5)=0,"",SUMIF('Competency Event Log'!$U$4:$U$803,$B171&amp;"|"&amp;AB$5,'Competency Event Log'!$D$4:$D$803)))</f>
        <v/>
      </c>
      <c r="AC171" s="8" t="str">
        <f>IF($B171="","",IF(COUNTIF('Competency Event Log'!$U$4:$U$803,$B171&amp;"|"&amp;AC$5)=0,"",SUMIF('Competency Event Log'!$U$4:$U$803,$B171&amp;"|"&amp;AC$5,'Competency Event Log'!$D$4:$D$803)))</f>
        <v/>
      </c>
      <c r="AD171" s="8" t="str">
        <f>IF($B171="","",IF(COUNTIF('Competency Event Log'!$U$4:$U$803,$B171&amp;"|"&amp;AD$5)=0,"",SUMIF('Competency Event Log'!$U$4:$U$803,$B171&amp;"|"&amp;AD$5,'Competency Event Log'!$D$4:$D$803)))</f>
        <v/>
      </c>
      <c r="AE171" s="8" t="str">
        <f>IF($B171="","",IF(COUNTIF('Competency Event Log'!$U$4:$U$803,$B171&amp;"|"&amp;AE$5)=0,"",SUMIF('Competency Event Log'!$U$4:$U$803,$B171&amp;"|"&amp;AE$5,'Competency Event Log'!$D$4:$D$803)))</f>
        <v/>
      </c>
      <c r="AF171" s="8" t="str">
        <f>IF($B171="","",IF(COUNTIF('Competency Event Log'!$U$4:$U$803,$B171&amp;"|"&amp;AF$5)=0,"",SUMIF('Competency Event Log'!$U$4:$U$803,$B171&amp;"|"&amp;AF$5,'Competency Event Log'!$D$4:$D$803)))</f>
        <v/>
      </c>
      <c r="AG171" s="8" t="str">
        <f>IF($B171="","",IF(COUNTIF('Competency Event Log'!$U$4:$U$803,$B171&amp;"|"&amp;AG$5)=0,"",SUMIF('Competency Event Log'!$U$4:$U$803,$B171&amp;"|"&amp;AG$5,'Competency Event Log'!$D$4:$D$803)))</f>
        <v/>
      </c>
      <c r="AH171" s="8" t="str">
        <f>IF($B171="","",IF(COUNTIF('Competency Event Log'!$U$4:$U$803,$B171&amp;"|"&amp;AH$5)=0,"",SUMIF('Competency Event Log'!$U$4:$U$803,$B171&amp;"|"&amp;AH$5,'Competency Event Log'!$D$4:$D$803)))</f>
        <v/>
      </c>
      <c r="AI171" s="8" t="str">
        <f>IF($B171="","",IF(COUNTIF('Competency Event Log'!$U$4:$U$803,$B171&amp;"|"&amp;AI$5)=0,"",SUMIF('Competency Event Log'!$U$4:$U$803,$B171&amp;"|"&amp;AI$5,'Competency Event Log'!$D$4:$D$803)))</f>
        <v/>
      </c>
      <c r="AJ171" s="8" t="str">
        <f>IF($B171="","",IF(COUNTIF('Competency Event Log'!$U$4:$U$803,$B171&amp;"|"&amp;AJ$5)=0,"",SUMIF('Competency Event Log'!$U$4:$U$803,$B171&amp;"|"&amp;AJ$5,'Competency Event Log'!$D$4:$D$803)))</f>
        <v/>
      </c>
      <c r="AK171" s="8" t="str">
        <f>IF($B171="","",IF(COUNTIF('Competency Event Log'!$U$4:$U$803,$B171&amp;"|"&amp;AK$5)=0,"",SUMIF('Competency Event Log'!$U$4:$U$803,$B171&amp;"|"&amp;AK$5,'Competency Event Log'!$D$4:$D$803)))</f>
        <v/>
      </c>
      <c r="AL171" s="8" t="str">
        <f>IF($B171="","",IF(COUNTIF('Competency Event Log'!$U$4:$U$803,$B171&amp;"|"&amp;AL$5)=0,"",SUMIF('Competency Event Log'!$U$4:$U$803,$B171&amp;"|"&amp;AL$5,'Competency Event Log'!$D$4:$D$803)))</f>
        <v/>
      </c>
      <c r="AM171" s="8" t="str">
        <f>IF($B171="","",IF(COUNTIF('Competency Event Log'!$U$4:$U$803,$B171&amp;"|"&amp;AM$5)=0,"",SUMIF('Competency Event Log'!$U$4:$U$803,$B171&amp;"|"&amp;AM$5,'Competency Event Log'!$D$4:$D$803)))</f>
        <v/>
      </c>
      <c r="AN171" s="8" t="str">
        <f>IF($B171="","",IF(COUNTIF('Competency Event Log'!$U$4:$U$803,$B171&amp;"|"&amp;AN$5)=0,"",SUMIF('Competency Event Log'!$U$4:$U$803,$B171&amp;"|"&amp;AN$5,'Competency Event Log'!$D$4:$D$803)))</f>
        <v/>
      </c>
      <c r="AO171" s="8" t="str">
        <f>IF($B171="","",IF(COUNTIF('Competency Event Log'!$U$4:$U$803,$B171&amp;"|"&amp;AO$5)=0,"",SUMIF('Competency Event Log'!$U$4:$U$803,$B171&amp;"|"&amp;AO$5,'Competency Event Log'!$D$4:$D$803)))</f>
        <v/>
      </c>
      <c r="AP171" s="8" t="str">
        <f>IF($B171="","",IF(COUNTIF('Competency Event Log'!$U$4:$U$803,$B171&amp;"|"&amp;AP$5)=0,"",SUMIF('Competency Event Log'!$U$4:$U$803,$B171&amp;"|"&amp;AP$5,'Competency Event Log'!$D$4:$D$803)))</f>
        <v/>
      </c>
      <c r="AQ171" s="8" t="str">
        <f>IF($B171="","",IF(COUNTIF('Competency Event Log'!$U$4:$U$803,$B171&amp;"|"&amp;AQ$5)=0,"",SUMIF('Competency Event Log'!$U$4:$U$803,$B171&amp;"|"&amp;AQ$5,'Competency Event Log'!$D$4:$D$803)))</f>
        <v/>
      </c>
      <c r="AR171" s="8" t="str">
        <f>IF($B171="","",IF(COUNTIF('Competency Event Log'!$U$4:$U$803,$B171&amp;"|"&amp;AR$5)=0,"",SUMIF('Competency Event Log'!$U$4:$U$803,$B171&amp;"|"&amp;AR$5,'Competency Event Log'!$D$4:$D$803)))</f>
        <v/>
      </c>
      <c r="AS171" s="8" t="str">
        <f>IF($B171="","",IF(COUNTIF('Competency Event Log'!$U$4:$U$803,$B171&amp;"|"&amp;AS$5)=0,"",SUMIF('Competency Event Log'!$U$4:$U$803,$B171&amp;"|"&amp;AS$5,'Competency Event Log'!$D$4:$D$803)))</f>
        <v/>
      </c>
      <c r="AT171" s="8" t="str">
        <f>IF($B171="","",IF(COUNTIF('Competency Event Log'!$U$4:$U$803,$B171&amp;"|"&amp;AT$5)=0,"",SUMIF('Competency Event Log'!$U$4:$U$803,$B171&amp;"|"&amp;AT$5,'Competency Event Log'!$D$4:$D$803)))</f>
        <v/>
      </c>
      <c r="AU171" s="8" t="str">
        <f>IF($B171="","",IF(COUNTIF('Competency Event Log'!$U$4:$U$803,$B171&amp;"|"&amp;AU$5)=0,"",SUMIF('Competency Event Log'!$U$4:$U$803,$B171&amp;"|"&amp;AU$5,'Competency Event Log'!$D$4:$D$803)))</f>
        <v/>
      </c>
      <c r="AV171" s="8" t="str">
        <f>IF($B171="","",IF(COUNTIF('Competency Event Log'!$U$4:$U$803,$B171&amp;"|"&amp;AV$5)=0,"",SUMIF('Competency Event Log'!$U$4:$U$803,$B171&amp;"|"&amp;AV$5,'Competency Event Log'!$D$4:$D$803)))</f>
        <v/>
      </c>
      <c r="AW171" s="8" t="str">
        <f>IF($B171="","",IF(COUNTIF('Competency Event Log'!$U$4:$U$803,$B171&amp;"|"&amp;AW$5)=0,"",SUMIF('Competency Event Log'!$U$4:$U$803,$B171&amp;"|"&amp;AW$5,'Competency Event Log'!$D$4:$D$803)))</f>
        <v/>
      </c>
      <c r="AX171" s="8" t="str">
        <f>IF($B171="","",IF(COUNTIF('Competency Event Log'!$U$4:$U$803,$B171&amp;"|"&amp;AX$5)=0,"",SUMIF('Competency Event Log'!$U$4:$U$803,$B171&amp;"|"&amp;AX$5,'Competency Event Log'!$D$4:$D$803)))</f>
        <v/>
      </c>
      <c r="AY171" s="8" t="str">
        <f>IF($B171="","",IF(COUNTIF('Competency Event Log'!$U$4:$U$803,$B171&amp;"|"&amp;AY$5)=0,"",SUMIF('Competency Event Log'!$U$4:$U$803,$B171&amp;"|"&amp;AY$5,'Competency Event Log'!$D$4:$D$803)))</f>
        <v/>
      </c>
      <c r="AZ171" s="8" t="str">
        <f>IF($B171="","",IF(COUNTIF('Competency Event Log'!$U$4:$U$803,$B171&amp;"|"&amp;AZ$5)=0,"",SUMIF('Competency Event Log'!$U$4:$U$803,$B171&amp;"|"&amp;AZ$5,'Competency Event Log'!$D$4:$D$803)))</f>
        <v/>
      </c>
      <c r="BA171" s="8" t="str">
        <f>IF($B171="","",IF(COUNTIF('Competency Event Log'!$U$4:$U$803,$B171&amp;"|"&amp;BA$5)=0,"",SUMIF('Competency Event Log'!$U$4:$U$803,$B171&amp;"|"&amp;BA$5,'Competency Event Log'!$D$4:$D$803)))</f>
        <v/>
      </c>
      <c r="BB171" s="8" t="str">
        <f>IF($B171="","",IF(COUNTIF('Competency Event Log'!$U$4:$U$803,$B171&amp;"|"&amp;BB$5)=0,"",SUMIF('Competency Event Log'!$U$4:$U$803,$B171&amp;"|"&amp;BB$5,'Competency Event Log'!$D$4:$D$803)))</f>
        <v/>
      </c>
      <c r="BC171" s="8" t="str">
        <f>IF($B171="","",IF(COUNTIF('Competency Event Log'!$U$4:$U$803,$B171&amp;"|"&amp;BC$5)=0,"",SUMIF('Competency Event Log'!$U$4:$U$803,$B171&amp;"|"&amp;BC$5,'Competency Event Log'!$D$4:$D$803)))</f>
        <v/>
      </c>
      <c r="BD171" s="8" t="str">
        <f>IF($B171="","",IF(COUNTIF('Competency Event Log'!$U$4:$U$803,$B171&amp;"|"&amp;BD$5)=0,"",SUMIF('Competency Event Log'!$U$4:$U$803,$B171&amp;"|"&amp;BD$5,'Competency Event Log'!$D$4:$D$803)))</f>
        <v/>
      </c>
      <c r="BE171" s="8" t="str">
        <f>IF($B171="","",IF(COUNTIF('Competency Event Log'!$U$4:$U$803,$B171&amp;"|"&amp;BE$5)=0,"",SUMIF('Competency Event Log'!$U$4:$U$803,$B171&amp;"|"&amp;BE$5,'Competency Event Log'!$D$4:$D$803)))</f>
        <v/>
      </c>
      <c r="BF171" s="8" t="str">
        <f>IF($B171="","",IF(COUNTIF('Competency Event Log'!$U$4:$U$803,$B171&amp;"|"&amp;BF$5)=0,"",SUMIF('Competency Event Log'!$U$4:$U$803,$B171&amp;"|"&amp;BF$5,'Competency Event Log'!$D$4:$D$803)))</f>
        <v/>
      </c>
      <c r="BG171" s="8" t="str">
        <f>IF($B171="","",IF(COUNTIF('Competency Event Log'!$U$4:$U$803,$B171&amp;"|"&amp;BG$5)=0,"",SUMIF('Competency Event Log'!$U$4:$U$803,$B171&amp;"|"&amp;BG$5,'Competency Event Log'!$D$4:$D$803)))</f>
        <v/>
      </c>
      <c r="BH171" s="8" t="str">
        <f>IF($B171="","",IF(COUNTIF('Competency Event Log'!$U$4:$U$803,$B171&amp;"|"&amp;BH$5)=0,"",SUMIF('Competency Event Log'!$U$4:$U$803,$B171&amp;"|"&amp;BH$5,'Competency Event Log'!$D$4:$D$803)))</f>
        <v/>
      </c>
      <c r="BI171" s="8" t="str">
        <f>IF($B171="","",IF(COUNTIF('Competency Event Log'!$U$4:$U$803,$B171&amp;"|"&amp;BI$5)=0,"",SUMIF('Competency Event Log'!$U$4:$U$803,$B171&amp;"|"&amp;BI$5,'Competency Event Log'!$D$4:$D$803)))</f>
        <v/>
      </c>
      <c r="BJ171" s="8" t="str">
        <f>IF($B171="","",IF(COUNTIF('Competency Event Log'!$U$4:$U$803,$B171&amp;"|"&amp;BJ$5)=0,"",SUMIF('Competency Event Log'!$U$4:$U$803,$B171&amp;"|"&amp;BJ$5,'Competency Event Log'!$D$4:$D$803)))</f>
        <v/>
      </c>
      <c r="BK171" s="8" t="str">
        <f>IF($B171="","",IF(COUNTIF('Competency Event Log'!$U$4:$U$803,$B171&amp;"|"&amp;BK$5)=0,"",SUMIF('Competency Event Log'!$U$4:$U$803,$B171&amp;"|"&amp;BK$5,'Competency Event Log'!$D$4:$D$803)))</f>
        <v/>
      </c>
      <c r="BL171" s="8" t="str">
        <f>IF($B171="","",IF(COUNTIF('Competency Event Log'!$U$4:$U$803,$B171&amp;"|"&amp;BL$5)=0,"",SUMIF('Competency Event Log'!$U$4:$U$803,$B171&amp;"|"&amp;BL$5,'Competency Event Log'!$D$4:$D$803)))</f>
        <v/>
      </c>
      <c r="BM171" s="8" t="str">
        <f>IF($B171="","",IF(COUNTIF('Competency Event Log'!$U$4:$U$803,$B171&amp;"|"&amp;BM$5)=0,"",SUMIF('Competency Event Log'!$U$4:$U$803,$B171&amp;"|"&amp;BM$5,'Competency Event Log'!$D$4:$D$803)))</f>
        <v/>
      </c>
      <c r="BN171" s="8" t="str">
        <f>IF($B171="","",IF(COUNTIF('Competency Event Log'!$U$4:$U$803,$B171&amp;"|"&amp;BN$5)=0,"",SUMIF('Competency Event Log'!$U$4:$U$803,$B171&amp;"|"&amp;BN$5,'Competency Event Log'!$D$4:$D$803)))</f>
        <v/>
      </c>
      <c r="BO171" s="8" t="str">
        <f>IF($B171="","",IF(COUNTIF('Competency Event Log'!$U$4:$U$803,$B171&amp;"|"&amp;BO$5)=0,"",SUMIF('Competency Event Log'!$U$4:$U$803,$B171&amp;"|"&amp;BO$5,'Competency Event Log'!$D$4:$D$803)))</f>
        <v/>
      </c>
      <c r="BP171" s="8" t="str">
        <f>IF($B171="","",IF(COUNTIF('Competency Event Log'!$U$4:$U$803,$B171&amp;"|"&amp;BP$5)=0,"",SUMIF('Competency Event Log'!$U$4:$U$803,$B171&amp;"|"&amp;BP$5,'Competency Event Log'!$D$4:$D$803)))</f>
        <v/>
      </c>
      <c r="BQ171" s="8" t="str">
        <f>IF($B171="","",IF(COUNTIF('Competency Event Log'!$U$4:$U$803,$B171&amp;"|"&amp;BQ$5)=0,"",SUMIF('Competency Event Log'!$U$4:$U$803,$B171&amp;"|"&amp;BQ$5,'Competency Event Log'!$D$4:$D$803)))</f>
        <v/>
      </c>
      <c r="BR171" s="8" t="str">
        <f>IF($B171="","",IF(COUNTIF('Competency Event Log'!$U$4:$U$803,$B171&amp;"|"&amp;BR$5)=0,"",SUMIF('Competency Event Log'!$U$4:$U$803,$B171&amp;"|"&amp;BR$5,'Competency Event Log'!$D$4:$D$803)))</f>
        <v/>
      </c>
      <c r="BS171" s="8" t="str">
        <f>IF($B171="","",IF(COUNTIF('Competency Event Log'!$U$4:$U$803,$B171&amp;"|"&amp;BS$5)=0,"",SUMIF('Competency Event Log'!$U$4:$U$803,$B171&amp;"|"&amp;BS$5,'Competency Event Log'!$D$4:$D$803)))</f>
        <v/>
      </c>
      <c r="BT171" s="8" t="str">
        <f>IF($B171="","",IF(COUNTIF('Competency Event Log'!$U$4:$U$803,$B171&amp;"|"&amp;BT$5)=0,"",SUMIF('Competency Event Log'!$U$4:$U$803,$B171&amp;"|"&amp;BT$5,'Competency Event Log'!$D$4:$D$803)))</f>
        <v/>
      </c>
      <c r="BU171" s="8" t="str">
        <f>IF($B171="","",IF(COUNTIF('Competency Event Log'!$U$4:$U$803,$B171&amp;"|"&amp;BU$5)=0,"",SUMIF('Competency Event Log'!$U$4:$U$803,$B171&amp;"|"&amp;BU$5,'Competency Event Log'!$D$4:$D$803)))</f>
        <v/>
      </c>
      <c r="BV171" s="8" t="str">
        <f>IF($B171="","",IF(COUNTIF('Competency Event Log'!$U$4:$U$803,$B171&amp;"|"&amp;BV$5)=0,"",SUMIF('Competency Event Log'!$U$4:$U$803,$B171&amp;"|"&amp;BV$5,'Competency Event Log'!$D$4:$D$803)))</f>
        <v/>
      </c>
      <c r="BW171" s="8" t="str">
        <f>IF($B171="","",IF(COUNTIF('Competency Event Log'!$U$4:$U$803,$B171&amp;"|"&amp;BW$5)=0,"",SUMIF('Competency Event Log'!$U$4:$U$803,$B171&amp;"|"&amp;BW$5,'Competency Event Log'!$D$4:$D$803)))</f>
        <v/>
      </c>
      <c r="BX171" s="8" t="str">
        <f>IF($B171="","",IF(COUNTIF('Competency Event Log'!$U$4:$U$803,$B171&amp;"|"&amp;BX$5)=0,"",SUMIF('Competency Event Log'!$U$4:$U$803,$B171&amp;"|"&amp;BX$5,'Competency Event Log'!$D$4:$D$803)))</f>
        <v/>
      </c>
      <c r="BY171" s="8" t="str">
        <f>IF($B171="","",IF(COUNTIF('Competency Event Log'!$U$4:$U$803,$B171&amp;"|"&amp;BY$5)=0,"",SUMIF('Competency Event Log'!$U$4:$U$803,$B171&amp;"|"&amp;BY$5,'Competency Event Log'!$D$4:$D$803)))</f>
        <v/>
      </c>
      <c r="BZ171" s="8" t="str">
        <f>IF($B171="","",IF(COUNTIF('Competency Event Log'!$U$4:$U$803,$B171&amp;"|"&amp;BZ$5)=0,"",SUMIF('Competency Event Log'!$U$4:$U$803,$B171&amp;"|"&amp;BZ$5,'Competency Event Log'!$D$4:$D$803)))</f>
        <v/>
      </c>
      <c r="CA171" s="8" t="str">
        <f>IF($B171="","",IF(COUNTIF('Competency Event Log'!$U$4:$U$803,$B171&amp;"|"&amp;CA$5)=0,"",SUMIF('Competency Event Log'!$U$4:$U$803,$B171&amp;"|"&amp;CA$5,'Competency Event Log'!$D$4:$D$803)))</f>
        <v/>
      </c>
      <c r="CB171" s="8" t="str">
        <f>IF($B171="","",IF(COUNTIF('Competency Event Log'!$U$4:$U$803,$B171&amp;"|"&amp;CB$5)=0,"",SUMIF('Competency Event Log'!$U$4:$U$803,$B171&amp;"|"&amp;CB$5,'Competency Event Log'!$D$4:$D$803)))</f>
        <v/>
      </c>
      <c r="CC171" s="8" t="str">
        <f>IF($B171="","",IF(COUNTIF('Competency Event Log'!$U$4:$U$803,$B171&amp;"|"&amp;CC$5)=0,"",SUMIF('Competency Event Log'!$U$4:$U$803,$B171&amp;"|"&amp;CC$5,'Competency Event Log'!$D$4:$D$803)))</f>
        <v/>
      </c>
      <c r="CD171" s="8" t="str">
        <f>IF($B171="","",IF(COUNTIF('Competency Event Log'!$U$4:$U$803,$B171&amp;"|"&amp;CD$5)=0,"",SUMIF('Competency Event Log'!$U$4:$U$803,$B171&amp;"|"&amp;CD$5,'Competency Event Log'!$D$4:$D$803)))</f>
        <v/>
      </c>
      <c r="CE171" s="8" t="str">
        <f>IF($B171="","",IF(COUNTIF('Competency Event Log'!$U$4:$U$803,$B171&amp;"|"&amp;CE$5)=0,"",SUMIF('Competency Event Log'!$U$4:$U$803,$B171&amp;"|"&amp;CE$5,'Competency Event Log'!$D$4:$D$803)))</f>
        <v/>
      </c>
      <c r="CF171" s="8" t="str">
        <f>IF($B171="","",IF(COUNTIF('Competency Event Log'!$U$4:$U$803,$B171&amp;"|"&amp;CF$5)=0,"",SUMIF('Competency Event Log'!$U$4:$U$803,$B171&amp;"|"&amp;CF$5,'Competency Event Log'!$D$4:$D$803)))</f>
        <v/>
      </c>
      <c r="CG171" s="8" t="str">
        <f>IF($B171="","",IF(COUNTIF('Competency Event Log'!$U$4:$U$803,$B171&amp;"|"&amp;CG$5)=0,"",SUMIF('Competency Event Log'!$U$4:$U$803,$B171&amp;"|"&amp;CG$5,'Competency Event Log'!$D$4:$D$803)))</f>
        <v/>
      </c>
      <c r="CH171" s="8" t="str">
        <f>IF($B171="","",IF(COUNTIF('Competency Event Log'!$U$4:$U$803,$B171&amp;"|"&amp;CH$5)=0,"",SUMIF('Competency Event Log'!$U$4:$U$803,$B171&amp;"|"&amp;CH$5,'Competency Event Log'!$D$4:$D$803)))</f>
        <v/>
      </c>
      <c r="CI171" s="8" t="str">
        <f>IF($B171="","",IF(COUNTIF('Competency Event Log'!$U$4:$U$803,$B171&amp;"|"&amp;CI$5)=0,"",SUMIF('Competency Event Log'!$U$4:$U$803,$B171&amp;"|"&amp;CI$5,'Competency Event Log'!$D$4:$D$803)))</f>
        <v/>
      </c>
      <c r="CJ171" s="8" t="str">
        <f>IF($B171="","",IF(COUNTIF('Competency Event Log'!$U$4:$U$803,$B171&amp;"|"&amp;CJ$5)=0,"",SUMIF('Competency Event Log'!$U$4:$U$803,$B171&amp;"|"&amp;CJ$5,'Competency Event Log'!$D$4:$D$803)))</f>
        <v/>
      </c>
      <c r="CK171" s="8" t="str">
        <f>IF($B171="","",IF(COUNTIF('Competency Event Log'!$U$4:$U$803,$B171&amp;"|"&amp;CK$5)=0,"",SUMIF('Competency Event Log'!$U$4:$U$803,$B171&amp;"|"&amp;CK$5,'Competency Event Log'!$D$4:$D$803)))</f>
        <v/>
      </c>
      <c r="CL171" s="8" t="str">
        <f>IF($B171="","",IF(COUNTIF('Competency Event Log'!$U$4:$U$803,$B171&amp;"|"&amp;CL$5)=0,"",SUMIF('Competency Event Log'!$U$4:$U$803,$B171&amp;"|"&amp;CL$5,'Competency Event Log'!$D$4:$D$803)))</f>
        <v/>
      </c>
      <c r="CM171" s="8" t="str">
        <f>IF($B171="","",IF(COUNTIF('Competency Event Log'!$U$4:$U$803,$B171&amp;"|"&amp;CM$5)=0,"",SUMIF('Competency Event Log'!$U$4:$U$803,$B171&amp;"|"&amp;CM$5,'Competency Event Log'!$D$4:$D$803)))</f>
        <v/>
      </c>
      <c r="CN171" s="8" t="str">
        <f>IF($B171="","",IF(COUNTIF('Competency Event Log'!$U$4:$U$803,$B171&amp;"|"&amp;CN$5)=0,"",SUMIF('Competency Event Log'!$U$4:$U$803,$B171&amp;"|"&amp;CN$5,'Competency Event Log'!$D$4:$D$803)))</f>
        <v/>
      </c>
      <c r="CO171" s="8" t="str">
        <f>IF($B171="","",IF(COUNTIF('Competency Event Log'!$U$4:$U$803,$B171&amp;"|"&amp;CO$5)=0,"",SUMIF('Competency Event Log'!$U$4:$U$803,$B171&amp;"|"&amp;CO$5,'Competency Event Log'!$D$4:$D$803)))</f>
        <v/>
      </c>
      <c r="CP171" s="8" t="str">
        <f>IF($B171="","",IF(COUNTIF('Competency Event Log'!$U$4:$U$803,$B171&amp;"|"&amp;CP$5)=0,"",SUMIF('Competency Event Log'!$U$4:$U$803,$B171&amp;"|"&amp;CP$5,'Competency Event Log'!$D$4:$D$803)))</f>
        <v/>
      </c>
      <c r="CQ171" s="8" t="str">
        <f>IF($B171="","",IF(COUNTIF('Competency Event Log'!$U$4:$U$803,$B171&amp;"|"&amp;CQ$5)=0,"",SUMIF('Competency Event Log'!$U$4:$U$803,$B171&amp;"|"&amp;CQ$5,'Competency Event Log'!$D$4:$D$803)))</f>
        <v/>
      </c>
      <c r="CR171" s="8" t="str">
        <f>IF($B171="","",IF(COUNTIF('Competency Event Log'!$U$4:$U$803,$B171&amp;"|"&amp;CR$5)=0,"",SUMIF('Competency Event Log'!$U$4:$U$803,$B171&amp;"|"&amp;CR$5,'Competency Event Log'!$D$4:$D$803)))</f>
        <v/>
      </c>
      <c r="CS171" s="8" t="str">
        <f>IF($B171="","",IF(COUNTIF('Competency Event Log'!$U$4:$U$803,$B171&amp;"|"&amp;CS$5)=0,"",SUMIF('Competency Event Log'!$U$4:$U$803,$B171&amp;"|"&amp;CS$5,'Competency Event Log'!$D$4:$D$803)))</f>
        <v/>
      </c>
      <c r="CT171" s="8" t="str">
        <f>IF($B171="","",IF(COUNTIF('Competency Event Log'!$U$4:$U$803,$B171&amp;"|"&amp;CT$5)=0,"",SUMIF('Competency Event Log'!$U$4:$U$803,$B171&amp;"|"&amp;CT$5,'Competency Event Log'!$D$4:$D$803)))</f>
        <v/>
      </c>
      <c r="CU171" s="8" t="str">
        <f>IF($B171="","",IF(COUNTIF('Competency Event Log'!$U$4:$U$803,$B171&amp;"|"&amp;CU$5)=0,"",SUMIF('Competency Event Log'!$U$4:$U$803,$B171&amp;"|"&amp;CU$5,'Competency Event Log'!$D$4:$D$803)))</f>
        <v/>
      </c>
      <c r="CV171" s="8" t="str">
        <f>IF($B171="","",IF(COUNTIF('Competency Event Log'!$U$4:$U$803,$B171&amp;"|"&amp;CV$5)=0,"",SUMIF('Competency Event Log'!$U$4:$U$803,$B171&amp;"|"&amp;CV$5,'Competency Event Log'!$D$4:$D$803)))</f>
        <v/>
      </c>
      <c r="CW171" s="8" t="str">
        <f>IF($B171="","",IF(COUNTIF('Competency Event Log'!$U$4:$U$803,$B171&amp;"|"&amp;CW$5)=0,"",SUMIF('Competency Event Log'!$U$4:$U$803,$B171&amp;"|"&amp;CW$5,'Competency Event Log'!$D$4:$D$803)))</f>
        <v/>
      </c>
      <c r="CX171" s="8" t="str">
        <f>IF($B171="","",IF(COUNTIF('Competency Event Log'!$U$4:$U$803,$B171&amp;"|"&amp;CX$5)=0,"",SUMIF('Competency Event Log'!$U$4:$U$803,$B171&amp;"|"&amp;CX$5,'Competency Event Log'!$D$4:$D$803)))</f>
        <v/>
      </c>
      <c r="CY171" s="8" t="str">
        <f>IF($B171="","",IF(COUNTIF('Competency Event Log'!$U$4:$U$803,$B171&amp;"|"&amp;CY$5)=0,"",SUMIF('Competency Event Log'!$U$4:$U$803,$B171&amp;"|"&amp;CY$5,'Competency Event Log'!$D$4:$D$803)))</f>
        <v/>
      </c>
      <c r="CZ171" s="8" t="str">
        <f>IF($B171="","",IF(COUNTIF('Competency Event Log'!$U$4:$U$803,$B171&amp;"|"&amp;CZ$5)=0,"",SUMIF('Competency Event Log'!$U$4:$U$803,$B171&amp;"|"&amp;CZ$5,'Competency Event Log'!$D$4:$D$803)))</f>
        <v/>
      </c>
      <c r="DA171" s="8" t="str">
        <f>IF($B171="","",IF(COUNTIF('Competency Event Log'!$U$4:$U$803,$B171&amp;"|"&amp;DA$5)=0,"",SUMIF('Competency Event Log'!$U$4:$U$803,$B171&amp;"|"&amp;DA$5,'Competency Event Log'!$D$4:$D$803)))</f>
        <v/>
      </c>
      <c r="DB171" s="8" t="str">
        <f>IF($B171="","",IF(COUNTIF('Competency Event Log'!$U$4:$U$803,$B171&amp;"|"&amp;DB$5)=0,"",SUMIF('Competency Event Log'!$U$4:$U$803,$B171&amp;"|"&amp;DB$5,'Competency Event Log'!$D$4:$D$803)))</f>
        <v/>
      </c>
      <c r="DC171" s="8" t="str">
        <f>IF($B171="","",IF(COUNTIF('Competency Event Log'!$U$4:$U$803,$B171&amp;"|"&amp;DC$5)=0,"",SUMIF('Competency Event Log'!$U$4:$U$803,$B171&amp;"|"&amp;DC$5,'Competency Event Log'!$D$4:$D$803)))</f>
        <v/>
      </c>
      <c r="DD171" s="8" t="str">
        <f>IF($B171="","",IF(COUNTIF('Competency Event Log'!$U$4:$U$803,$B171&amp;"|"&amp;DD$5)=0,"",SUMIF('Competency Event Log'!$U$4:$U$803,$B171&amp;"|"&amp;DD$5,'Competency Event Log'!$D$4:$D$803)))</f>
        <v/>
      </c>
      <c r="DE171" s="8" t="str">
        <f>IF($B171="","",IF(COUNTIF('Competency Event Log'!$U$4:$U$803,$B171&amp;"|"&amp;DE$5)=0,"",SUMIF('Competency Event Log'!$U$4:$U$803,$B171&amp;"|"&amp;DE$5,'Competency Event Log'!$D$4:$D$803)))</f>
        <v/>
      </c>
      <c r="DF171" s="8" t="str">
        <f t="shared" si="20"/>
        <v/>
      </c>
      <c r="DG171" s="8" t="str">
        <f t="shared" si="21"/>
        <v/>
      </c>
      <c r="DH171" s="8" t="str">
        <f t="shared" si="22"/>
        <v/>
      </c>
      <c r="DI171" s="11" t="str">
        <f t="shared" si="23"/>
        <v/>
      </c>
    </row>
    <row r="172" spans="1:113">
      <c r="A172" s="7"/>
      <c r="B172" s="7"/>
      <c r="C172" s="8"/>
      <c r="D172" s="9"/>
      <c r="E172" s="10"/>
      <c r="F172" s="8"/>
      <c r="G172" s="8" t="str">
        <f>IF($B172="","",IF(COUNTIF('Competency Event Log'!$U$4:$U$803,$B172&amp;"|"&amp;G$5)=0,"",SUMIF('Competency Event Log'!$U$4:$U$803,$B172&amp;"|"&amp;G$5,'Competency Event Log'!$D$4:$D$803)))</f>
        <v/>
      </c>
      <c r="H172" s="8" t="str">
        <f>IF($B172="","",IF(COUNTIF('Competency Event Log'!$U$4:$U$803,$B172&amp;"|"&amp;H$5)=0,"",SUMIF('Competency Event Log'!$U$4:$U$803,$B172&amp;"|"&amp;H$5,'Competency Event Log'!$D$4:$D$803)))</f>
        <v/>
      </c>
      <c r="I172" s="8" t="str">
        <f>IF($B172="","",IF(COUNTIF('Competency Event Log'!$U$4:$U$803,$B172&amp;"|"&amp;I$5)=0,"",SUMIF('Competency Event Log'!$U$4:$U$803,$B172&amp;"|"&amp;I$5,'Competency Event Log'!$D$4:$D$803)))</f>
        <v/>
      </c>
      <c r="J172" s="8" t="str">
        <f>IF($B172="","",IF(COUNTIF('Competency Event Log'!$U$4:$U$803,$B172&amp;"|"&amp;J$5)=0,"",SUMIF('Competency Event Log'!$U$4:$U$803,$B172&amp;"|"&amp;J$5,'Competency Event Log'!$D$4:$D$803)))</f>
        <v/>
      </c>
      <c r="K172" s="8" t="str">
        <f>IF($B172="","",IF(COUNTIF('Competency Event Log'!$U$4:$U$803,$B172&amp;"|"&amp;K$5)=0,"",SUMIF('Competency Event Log'!$U$4:$U$803,$B172&amp;"|"&amp;K$5,'Competency Event Log'!$D$4:$D$803)))</f>
        <v/>
      </c>
      <c r="L172" s="8" t="str">
        <f>IF($B172="","",IF(COUNTIF('Competency Event Log'!$U$4:$U$803,$B172&amp;"|"&amp;L$5)=0,"",SUMIF('Competency Event Log'!$U$4:$U$803,$B172&amp;"|"&amp;L$5,'Competency Event Log'!$D$4:$D$803)))</f>
        <v/>
      </c>
      <c r="M172" s="8" t="str">
        <f>IF($B172="","",IF(COUNTIF('Competency Event Log'!$U$4:$U$803,$B172&amp;"|"&amp;M$5)=0,"",SUMIF('Competency Event Log'!$U$4:$U$803,$B172&amp;"|"&amp;M$5,'Competency Event Log'!$D$4:$D$803)))</f>
        <v/>
      </c>
      <c r="N172" s="8" t="str">
        <f>IF($B172="","",IF(COUNTIF('Competency Event Log'!$U$4:$U$803,$B172&amp;"|"&amp;N$5)=0,"",SUMIF('Competency Event Log'!$U$4:$U$803,$B172&amp;"|"&amp;N$5,'Competency Event Log'!$D$4:$D$803)))</f>
        <v/>
      </c>
      <c r="O172" s="8" t="str">
        <f>IF($B172="","",IF(COUNTIF('Competency Event Log'!$U$4:$U$803,$B172&amp;"|"&amp;O$5)=0,"",SUMIF('Competency Event Log'!$U$4:$U$803,$B172&amp;"|"&amp;O$5,'Competency Event Log'!$D$4:$D$803)))</f>
        <v/>
      </c>
      <c r="P172" s="8" t="str">
        <f>IF($B172="","",IF(COUNTIF('Competency Event Log'!$U$4:$U$803,$B172&amp;"|"&amp;P$5)=0,"",SUMIF('Competency Event Log'!$U$4:$U$803,$B172&amp;"|"&amp;P$5,'Competency Event Log'!$D$4:$D$803)))</f>
        <v/>
      </c>
      <c r="Q172" s="8" t="str">
        <f>IF($B172="","",IF(COUNTIF('Competency Event Log'!$U$4:$U$803,$B172&amp;"|"&amp;Q$5)=0,"",SUMIF('Competency Event Log'!$U$4:$U$803,$B172&amp;"|"&amp;Q$5,'Competency Event Log'!$D$4:$D$803)))</f>
        <v/>
      </c>
      <c r="R172" s="8" t="str">
        <f>IF($B172="","",IF(COUNTIF('Competency Event Log'!$U$4:$U$803,$B172&amp;"|"&amp;R$5)=0,"",SUMIF('Competency Event Log'!$U$4:$U$803,$B172&amp;"|"&amp;R$5,'Competency Event Log'!$D$4:$D$803)))</f>
        <v/>
      </c>
      <c r="S172" s="8" t="str">
        <f>IF($B172="","",IF(COUNTIF('Competency Event Log'!$U$4:$U$803,$B172&amp;"|"&amp;S$5)=0,"",SUMIF('Competency Event Log'!$U$4:$U$803,$B172&amp;"|"&amp;S$5,'Competency Event Log'!$D$4:$D$803)))</f>
        <v/>
      </c>
      <c r="T172" s="8" t="str">
        <f>IF($B172="","",IF(COUNTIF('Competency Event Log'!$U$4:$U$803,$B172&amp;"|"&amp;T$5)=0,"",SUMIF('Competency Event Log'!$U$4:$U$803,$B172&amp;"|"&amp;T$5,'Competency Event Log'!$D$4:$D$803)))</f>
        <v/>
      </c>
      <c r="U172" s="8" t="str">
        <f>IF($B172="","",IF(COUNTIF('Competency Event Log'!$U$4:$U$803,$B172&amp;"|"&amp;U$5)=0,"",SUMIF('Competency Event Log'!$U$4:$U$803,$B172&amp;"|"&amp;U$5,'Competency Event Log'!$D$4:$D$803)))</f>
        <v/>
      </c>
      <c r="V172" s="8" t="str">
        <f>IF($B172="","",IF(COUNTIF('Competency Event Log'!$U$4:$U$803,$B172&amp;"|"&amp;V$5)=0,"",SUMIF('Competency Event Log'!$U$4:$U$803,$B172&amp;"|"&amp;V$5,'Competency Event Log'!$D$4:$D$803)))</f>
        <v/>
      </c>
      <c r="W172" s="8" t="str">
        <f>IF($B172="","",IF(COUNTIF('Competency Event Log'!$U$4:$U$803,$B172&amp;"|"&amp;W$5)=0,"",SUMIF('Competency Event Log'!$U$4:$U$803,$B172&amp;"|"&amp;W$5,'Competency Event Log'!$D$4:$D$803)))</f>
        <v/>
      </c>
      <c r="X172" s="8" t="str">
        <f>IF($B172="","",IF(COUNTIF('Competency Event Log'!$U$4:$U$803,$B172&amp;"|"&amp;X$5)=0,"",SUMIF('Competency Event Log'!$U$4:$U$803,$B172&amp;"|"&amp;X$5,'Competency Event Log'!$D$4:$D$803)))</f>
        <v/>
      </c>
      <c r="Y172" s="8" t="str">
        <f>IF($B172="","",IF(COUNTIF('Competency Event Log'!$U$4:$U$803,$B172&amp;"|"&amp;Y$5)=0,"",SUMIF('Competency Event Log'!$U$4:$U$803,$B172&amp;"|"&amp;Y$5,'Competency Event Log'!$D$4:$D$803)))</f>
        <v/>
      </c>
      <c r="Z172" s="8" t="str">
        <f>IF($B172="","",IF(COUNTIF('Competency Event Log'!$U$4:$U$803,$B172&amp;"|"&amp;Z$5)=0,"",SUMIF('Competency Event Log'!$U$4:$U$803,$B172&amp;"|"&amp;Z$5,'Competency Event Log'!$D$4:$D$803)))</f>
        <v/>
      </c>
      <c r="AA172" s="8" t="str">
        <f>IF($B172="","",IF(COUNTIF('Competency Event Log'!$U$4:$U$803,$B172&amp;"|"&amp;AA$5)=0,"",SUMIF('Competency Event Log'!$U$4:$U$803,$B172&amp;"|"&amp;AA$5,'Competency Event Log'!$D$4:$D$803)))</f>
        <v/>
      </c>
      <c r="AB172" s="8" t="str">
        <f>IF($B172="","",IF(COUNTIF('Competency Event Log'!$U$4:$U$803,$B172&amp;"|"&amp;AB$5)=0,"",SUMIF('Competency Event Log'!$U$4:$U$803,$B172&amp;"|"&amp;AB$5,'Competency Event Log'!$D$4:$D$803)))</f>
        <v/>
      </c>
      <c r="AC172" s="8" t="str">
        <f>IF($B172="","",IF(COUNTIF('Competency Event Log'!$U$4:$U$803,$B172&amp;"|"&amp;AC$5)=0,"",SUMIF('Competency Event Log'!$U$4:$U$803,$B172&amp;"|"&amp;AC$5,'Competency Event Log'!$D$4:$D$803)))</f>
        <v/>
      </c>
      <c r="AD172" s="8" t="str">
        <f>IF($B172="","",IF(COUNTIF('Competency Event Log'!$U$4:$U$803,$B172&amp;"|"&amp;AD$5)=0,"",SUMIF('Competency Event Log'!$U$4:$U$803,$B172&amp;"|"&amp;AD$5,'Competency Event Log'!$D$4:$D$803)))</f>
        <v/>
      </c>
      <c r="AE172" s="8" t="str">
        <f>IF($B172="","",IF(COUNTIF('Competency Event Log'!$U$4:$U$803,$B172&amp;"|"&amp;AE$5)=0,"",SUMIF('Competency Event Log'!$U$4:$U$803,$B172&amp;"|"&amp;AE$5,'Competency Event Log'!$D$4:$D$803)))</f>
        <v/>
      </c>
      <c r="AF172" s="8" t="str">
        <f>IF($B172="","",IF(COUNTIF('Competency Event Log'!$U$4:$U$803,$B172&amp;"|"&amp;AF$5)=0,"",SUMIF('Competency Event Log'!$U$4:$U$803,$B172&amp;"|"&amp;AF$5,'Competency Event Log'!$D$4:$D$803)))</f>
        <v/>
      </c>
      <c r="AG172" s="8" t="str">
        <f>IF($B172="","",IF(COUNTIF('Competency Event Log'!$U$4:$U$803,$B172&amp;"|"&amp;AG$5)=0,"",SUMIF('Competency Event Log'!$U$4:$U$803,$B172&amp;"|"&amp;AG$5,'Competency Event Log'!$D$4:$D$803)))</f>
        <v/>
      </c>
      <c r="AH172" s="8" t="str">
        <f>IF($B172="","",IF(COUNTIF('Competency Event Log'!$U$4:$U$803,$B172&amp;"|"&amp;AH$5)=0,"",SUMIF('Competency Event Log'!$U$4:$U$803,$B172&amp;"|"&amp;AH$5,'Competency Event Log'!$D$4:$D$803)))</f>
        <v/>
      </c>
      <c r="AI172" s="8" t="str">
        <f>IF($B172="","",IF(COUNTIF('Competency Event Log'!$U$4:$U$803,$B172&amp;"|"&amp;AI$5)=0,"",SUMIF('Competency Event Log'!$U$4:$U$803,$B172&amp;"|"&amp;AI$5,'Competency Event Log'!$D$4:$D$803)))</f>
        <v/>
      </c>
      <c r="AJ172" s="8" t="str">
        <f>IF($B172="","",IF(COUNTIF('Competency Event Log'!$U$4:$U$803,$B172&amp;"|"&amp;AJ$5)=0,"",SUMIF('Competency Event Log'!$U$4:$U$803,$B172&amp;"|"&amp;AJ$5,'Competency Event Log'!$D$4:$D$803)))</f>
        <v/>
      </c>
      <c r="AK172" s="8" t="str">
        <f>IF($B172="","",IF(COUNTIF('Competency Event Log'!$U$4:$U$803,$B172&amp;"|"&amp;AK$5)=0,"",SUMIF('Competency Event Log'!$U$4:$U$803,$B172&amp;"|"&amp;AK$5,'Competency Event Log'!$D$4:$D$803)))</f>
        <v/>
      </c>
      <c r="AL172" s="8" t="str">
        <f>IF($B172="","",IF(COUNTIF('Competency Event Log'!$U$4:$U$803,$B172&amp;"|"&amp;AL$5)=0,"",SUMIF('Competency Event Log'!$U$4:$U$803,$B172&amp;"|"&amp;AL$5,'Competency Event Log'!$D$4:$D$803)))</f>
        <v/>
      </c>
      <c r="AM172" s="8" t="str">
        <f>IF($B172="","",IF(COUNTIF('Competency Event Log'!$U$4:$U$803,$B172&amp;"|"&amp;AM$5)=0,"",SUMIF('Competency Event Log'!$U$4:$U$803,$B172&amp;"|"&amp;AM$5,'Competency Event Log'!$D$4:$D$803)))</f>
        <v/>
      </c>
      <c r="AN172" s="8" t="str">
        <f>IF($B172="","",IF(COUNTIF('Competency Event Log'!$U$4:$U$803,$B172&amp;"|"&amp;AN$5)=0,"",SUMIF('Competency Event Log'!$U$4:$U$803,$B172&amp;"|"&amp;AN$5,'Competency Event Log'!$D$4:$D$803)))</f>
        <v/>
      </c>
      <c r="AO172" s="8" t="str">
        <f>IF($B172="","",IF(COUNTIF('Competency Event Log'!$U$4:$U$803,$B172&amp;"|"&amp;AO$5)=0,"",SUMIF('Competency Event Log'!$U$4:$U$803,$B172&amp;"|"&amp;AO$5,'Competency Event Log'!$D$4:$D$803)))</f>
        <v/>
      </c>
      <c r="AP172" s="8" t="str">
        <f>IF($B172="","",IF(COUNTIF('Competency Event Log'!$U$4:$U$803,$B172&amp;"|"&amp;AP$5)=0,"",SUMIF('Competency Event Log'!$U$4:$U$803,$B172&amp;"|"&amp;AP$5,'Competency Event Log'!$D$4:$D$803)))</f>
        <v/>
      </c>
      <c r="AQ172" s="8" t="str">
        <f>IF($B172="","",IF(COUNTIF('Competency Event Log'!$U$4:$U$803,$B172&amp;"|"&amp;AQ$5)=0,"",SUMIF('Competency Event Log'!$U$4:$U$803,$B172&amp;"|"&amp;AQ$5,'Competency Event Log'!$D$4:$D$803)))</f>
        <v/>
      </c>
      <c r="AR172" s="8" t="str">
        <f>IF($B172="","",IF(COUNTIF('Competency Event Log'!$U$4:$U$803,$B172&amp;"|"&amp;AR$5)=0,"",SUMIF('Competency Event Log'!$U$4:$U$803,$B172&amp;"|"&amp;AR$5,'Competency Event Log'!$D$4:$D$803)))</f>
        <v/>
      </c>
      <c r="AS172" s="8" t="str">
        <f>IF($B172="","",IF(COUNTIF('Competency Event Log'!$U$4:$U$803,$B172&amp;"|"&amp;AS$5)=0,"",SUMIF('Competency Event Log'!$U$4:$U$803,$B172&amp;"|"&amp;AS$5,'Competency Event Log'!$D$4:$D$803)))</f>
        <v/>
      </c>
      <c r="AT172" s="8" t="str">
        <f>IF($B172="","",IF(COUNTIF('Competency Event Log'!$U$4:$U$803,$B172&amp;"|"&amp;AT$5)=0,"",SUMIF('Competency Event Log'!$U$4:$U$803,$B172&amp;"|"&amp;AT$5,'Competency Event Log'!$D$4:$D$803)))</f>
        <v/>
      </c>
      <c r="AU172" s="8" t="str">
        <f>IF($B172="","",IF(COUNTIF('Competency Event Log'!$U$4:$U$803,$B172&amp;"|"&amp;AU$5)=0,"",SUMIF('Competency Event Log'!$U$4:$U$803,$B172&amp;"|"&amp;AU$5,'Competency Event Log'!$D$4:$D$803)))</f>
        <v/>
      </c>
      <c r="AV172" s="8" t="str">
        <f>IF($B172="","",IF(COUNTIF('Competency Event Log'!$U$4:$U$803,$B172&amp;"|"&amp;AV$5)=0,"",SUMIF('Competency Event Log'!$U$4:$U$803,$B172&amp;"|"&amp;AV$5,'Competency Event Log'!$D$4:$D$803)))</f>
        <v/>
      </c>
      <c r="AW172" s="8" t="str">
        <f>IF($B172="","",IF(COUNTIF('Competency Event Log'!$U$4:$U$803,$B172&amp;"|"&amp;AW$5)=0,"",SUMIF('Competency Event Log'!$U$4:$U$803,$B172&amp;"|"&amp;AW$5,'Competency Event Log'!$D$4:$D$803)))</f>
        <v/>
      </c>
      <c r="AX172" s="8" t="str">
        <f>IF($B172="","",IF(COUNTIF('Competency Event Log'!$U$4:$U$803,$B172&amp;"|"&amp;AX$5)=0,"",SUMIF('Competency Event Log'!$U$4:$U$803,$B172&amp;"|"&amp;AX$5,'Competency Event Log'!$D$4:$D$803)))</f>
        <v/>
      </c>
      <c r="AY172" s="8" t="str">
        <f>IF($B172="","",IF(COUNTIF('Competency Event Log'!$U$4:$U$803,$B172&amp;"|"&amp;AY$5)=0,"",SUMIF('Competency Event Log'!$U$4:$U$803,$B172&amp;"|"&amp;AY$5,'Competency Event Log'!$D$4:$D$803)))</f>
        <v/>
      </c>
      <c r="AZ172" s="8" t="str">
        <f>IF($B172="","",IF(COUNTIF('Competency Event Log'!$U$4:$U$803,$B172&amp;"|"&amp;AZ$5)=0,"",SUMIF('Competency Event Log'!$U$4:$U$803,$B172&amp;"|"&amp;AZ$5,'Competency Event Log'!$D$4:$D$803)))</f>
        <v/>
      </c>
      <c r="BA172" s="8" t="str">
        <f>IF($B172="","",IF(COUNTIF('Competency Event Log'!$U$4:$U$803,$B172&amp;"|"&amp;BA$5)=0,"",SUMIF('Competency Event Log'!$U$4:$U$803,$B172&amp;"|"&amp;BA$5,'Competency Event Log'!$D$4:$D$803)))</f>
        <v/>
      </c>
      <c r="BB172" s="8" t="str">
        <f>IF($B172="","",IF(COUNTIF('Competency Event Log'!$U$4:$U$803,$B172&amp;"|"&amp;BB$5)=0,"",SUMIF('Competency Event Log'!$U$4:$U$803,$B172&amp;"|"&amp;BB$5,'Competency Event Log'!$D$4:$D$803)))</f>
        <v/>
      </c>
      <c r="BC172" s="8" t="str">
        <f>IF($B172="","",IF(COUNTIF('Competency Event Log'!$U$4:$U$803,$B172&amp;"|"&amp;BC$5)=0,"",SUMIF('Competency Event Log'!$U$4:$U$803,$B172&amp;"|"&amp;BC$5,'Competency Event Log'!$D$4:$D$803)))</f>
        <v/>
      </c>
      <c r="BD172" s="8" t="str">
        <f>IF($B172="","",IF(COUNTIF('Competency Event Log'!$U$4:$U$803,$B172&amp;"|"&amp;BD$5)=0,"",SUMIF('Competency Event Log'!$U$4:$U$803,$B172&amp;"|"&amp;BD$5,'Competency Event Log'!$D$4:$D$803)))</f>
        <v/>
      </c>
      <c r="BE172" s="8" t="str">
        <f>IF($B172="","",IF(COUNTIF('Competency Event Log'!$U$4:$U$803,$B172&amp;"|"&amp;BE$5)=0,"",SUMIF('Competency Event Log'!$U$4:$U$803,$B172&amp;"|"&amp;BE$5,'Competency Event Log'!$D$4:$D$803)))</f>
        <v/>
      </c>
      <c r="BF172" s="8" t="str">
        <f>IF($B172="","",IF(COUNTIF('Competency Event Log'!$U$4:$U$803,$B172&amp;"|"&amp;BF$5)=0,"",SUMIF('Competency Event Log'!$U$4:$U$803,$B172&amp;"|"&amp;BF$5,'Competency Event Log'!$D$4:$D$803)))</f>
        <v/>
      </c>
      <c r="BG172" s="8" t="str">
        <f>IF($B172="","",IF(COUNTIF('Competency Event Log'!$U$4:$U$803,$B172&amp;"|"&amp;BG$5)=0,"",SUMIF('Competency Event Log'!$U$4:$U$803,$B172&amp;"|"&amp;BG$5,'Competency Event Log'!$D$4:$D$803)))</f>
        <v/>
      </c>
      <c r="BH172" s="8" t="str">
        <f>IF($B172="","",IF(COUNTIF('Competency Event Log'!$U$4:$U$803,$B172&amp;"|"&amp;BH$5)=0,"",SUMIF('Competency Event Log'!$U$4:$U$803,$B172&amp;"|"&amp;BH$5,'Competency Event Log'!$D$4:$D$803)))</f>
        <v/>
      </c>
      <c r="BI172" s="8" t="str">
        <f>IF($B172="","",IF(COUNTIF('Competency Event Log'!$U$4:$U$803,$B172&amp;"|"&amp;BI$5)=0,"",SUMIF('Competency Event Log'!$U$4:$U$803,$B172&amp;"|"&amp;BI$5,'Competency Event Log'!$D$4:$D$803)))</f>
        <v/>
      </c>
      <c r="BJ172" s="8" t="str">
        <f>IF($B172="","",IF(COUNTIF('Competency Event Log'!$U$4:$U$803,$B172&amp;"|"&amp;BJ$5)=0,"",SUMIF('Competency Event Log'!$U$4:$U$803,$B172&amp;"|"&amp;BJ$5,'Competency Event Log'!$D$4:$D$803)))</f>
        <v/>
      </c>
      <c r="BK172" s="8" t="str">
        <f>IF($B172="","",IF(COUNTIF('Competency Event Log'!$U$4:$U$803,$B172&amp;"|"&amp;BK$5)=0,"",SUMIF('Competency Event Log'!$U$4:$U$803,$B172&amp;"|"&amp;BK$5,'Competency Event Log'!$D$4:$D$803)))</f>
        <v/>
      </c>
      <c r="BL172" s="8" t="str">
        <f>IF($B172="","",IF(COUNTIF('Competency Event Log'!$U$4:$U$803,$B172&amp;"|"&amp;BL$5)=0,"",SUMIF('Competency Event Log'!$U$4:$U$803,$B172&amp;"|"&amp;BL$5,'Competency Event Log'!$D$4:$D$803)))</f>
        <v/>
      </c>
      <c r="BM172" s="8" t="str">
        <f>IF($B172="","",IF(COUNTIF('Competency Event Log'!$U$4:$U$803,$B172&amp;"|"&amp;BM$5)=0,"",SUMIF('Competency Event Log'!$U$4:$U$803,$B172&amp;"|"&amp;BM$5,'Competency Event Log'!$D$4:$D$803)))</f>
        <v/>
      </c>
      <c r="BN172" s="8" t="str">
        <f>IF($B172="","",IF(COUNTIF('Competency Event Log'!$U$4:$U$803,$B172&amp;"|"&amp;BN$5)=0,"",SUMIF('Competency Event Log'!$U$4:$U$803,$B172&amp;"|"&amp;BN$5,'Competency Event Log'!$D$4:$D$803)))</f>
        <v/>
      </c>
      <c r="BO172" s="8" t="str">
        <f>IF($B172="","",IF(COUNTIF('Competency Event Log'!$U$4:$U$803,$B172&amp;"|"&amp;BO$5)=0,"",SUMIF('Competency Event Log'!$U$4:$U$803,$B172&amp;"|"&amp;BO$5,'Competency Event Log'!$D$4:$D$803)))</f>
        <v/>
      </c>
      <c r="BP172" s="8" t="str">
        <f>IF($B172="","",IF(COUNTIF('Competency Event Log'!$U$4:$U$803,$B172&amp;"|"&amp;BP$5)=0,"",SUMIF('Competency Event Log'!$U$4:$U$803,$B172&amp;"|"&amp;BP$5,'Competency Event Log'!$D$4:$D$803)))</f>
        <v/>
      </c>
      <c r="BQ172" s="8" t="str">
        <f>IF($B172="","",IF(COUNTIF('Competency Event Log'!$U$4:$U$803,$B172&amp;"|"&amp;BQ$5)=0,"",SUMIF('Competency Event Log'!$U$4:$U$803,$B172&amp;"|"&amp;BQ$5,'Competency Event Log'!$D$4:$D$803)))</f>
        <v/>
      </c>
      <c r="BR172" s="8" t="str">
        <f>IF($B172="","",IF(COUNTIF('Competency Event Log'!$U$4:$U$803,$B172&amp;"|"&amp;BR$5)=0,"",SUMIF('Competency Event Log'!$U$4:$U$803,$B172&amp;"|"&amp;BR$5,'Competency Event Log'!$D$4:$D$803)))</f>
        <v/>
      </c>
      <c r="BS172" s="8" t="str">
        <f>IF($B172="","",IF(COUNTIF('Competency Event Log'!$U$4:$U$803,$B172&amp;"|"&amp;BS$5)=0,"",SUMIF('Competency Event Log'!$U$4:$U$803,$B172&amp;"|"&amp;BS$5,'Competency Event Log'!$D$4:$D$803)))</f>
        <v/>
      </c>
      <c r="BT172" s="8" t="str">
        <f>IF($B172="","",IF(COUNTIF('Competency Event Log'!$U$4:$U$803,$B172&amp;"|"&amp;BT$5)=0,"",SUMIF('Competency Event Log'!$U$4:$U$803,$B172&amp;"|"&amp;BT$5,'Competency Event Log'!$D$4:$D$803)))</f>
        <v/>
      </c>
      <c r="BU172" s="8" t="str">
        <f>IF($B172="","",IF(COUNTIF('Competency Event Log'!$U$4:$U$803,$B172&amp;"|"&amp;BU$5)=0,"",SUMIF('Competency Event Log'!$U$4:$U$803,$B172&amp;"|"&amp;BU$5,'Competency Event Log'!$D$4:$D$803)))</f>
        <v/>
      </c>
      <c r="BV172" s="8" t="str">
        <f>IF($B172="","",IF(COUNTIF('Competency Event Log'!$U$4:$U$803,$B172&amp;"|"&amp;BV$5)=0,"",SUMIF('Competency Event Log'!$U$4:$U$803,$B172&amp;"|"&amp;BV$5,'Competency Event Log'!$D$4:$D$803)))</f>
        <v/>
      </c>
      <c r="BW172" s="8" t="str">
        <f>IF($B172="","",IF(COUNTIF('Competency Event Log'!$U$4:$U$803,$B172&amp;"|"&amp;BW$5)=0,"",SUMIF('Competency Event Log'!$U$4:$U$803,$B172&amp;"|"&amp;BW$5,'Competency Event Log'!$D$4:$D$803)))</f>
        <v/>
      </c>
      <c r="BX172" s="8" t="str">
        <f>IF($B172="","",IF(COUNTIF('Competency Event Log'!$U$4:$U$803,$B172&amp;"|"&amp;BX$5)=0,"",SUMIF('Competency Event Log'!$U$4:$U$803,$B172&amp;"|"&amp;BX$5,'Competency Event Log'!$D$4:$D$803)))</f>
        <v/>
      </c>
      <c r="BY172" s="8" t="str">
        <f>IF($B172="","",IF(COUNTIF('Competency Event Log'!$U$4:$U$803,$B172&amp;"|"&amp;BY$5)=0,"",SUMIF('Competency Event Log'!$U$4:$U$803,$B172&amp;"|"&amp;BY$5,'Competency Event Log'!$D$4:$D$803)))</f>
        <v/>
      </c>
      <c r="BZ172" s="8" t="str">
        <f>IF($B172="","",IF(COUNTIF('Competency Event Log'!$U$4:$U$803,$B172&amp;"|"&amp;BZ$5)=0,"",SUMIF('Competency Event Log'!$U$4:$U$803,$B172&amp;"|"&amp;BZ$5,'Competency Event Log'!$D$4:$D$803)))</f>
        <v/>
      </c>
      <c r="CA172" s="8" t="str">
        <f>IF($B172="","",IF(COUNTIF('Competency Event Log'!$U$4:$U$803,$B172&amp;"|"&amp;CA$5)=0,"",SUMIF('Competency Event Log'!$U$4:$U$803,$B172&amp;"|"&amp;CA$5,'Competency Event Log'!$D$4:$D$803)))</f>
        <v/>
      </c>
      <c r="CB172" s="8" t="str">
        <f>IF($B172="","",IF(COUNTIF('Competency Event Log'!$U$4:$U$803,$B172&amp;"|"&amp;CB$5)=0,"",SUMIF('Competency Event Log'!$U$4:$U$803,$B172&amp;"|"&amp;CB$5,'Competency Event Log'!$D$4:$D$803)))</f>
        <v/>
      </c>
      <c r="CC172" s="8" t="str">
        <f>IF($B172="","",IF(COUNTIF('Competency Event Log'!$U$4:$U$803,$B172&amp;"|"&amp;CC$5)=0,"",SUMIF('Competency Event Log'!$U$4:$U$803,$B172&amp;"|"&amp;CC$5,'Competency Event Log'!$D$4:$D$803)))</f>
        <v/>
      </c>
      <c r="CD172" s="8" t="str">
        <f>IF($B172="","",IF(COUNTIF('Competency Event Log'!$U$4:$U$803,$B172&amp;"|"&amp;CD$5)=0,"",SUMIF('Competency Event Log'!$U$4:$U$803,$B172&amp;"|"&amp;CD$5,'Competency Event Log'!$D$4:$D$803)))</f>
        <v/>
      </c>
      <c r="CE172" s="8" t="str">
        <f>IF($B172="","",IF(COUNTIF('Competency Event Log'!$U$4:$U$803,$B172&amp;"|"&amp;CE$5)=0,"",SUMIF('Competency Event Log'!$U$4:$U$803,$B172&amp;"|"&amp;CE$5,'Competency Event Log'!$D$4:$D$803)))</f>
        <v/>
      </c>
      <c r="CF172" s="8" t="str">
        <f>IF($B172="","",IF(COUNTIF('Competency Event Log'!$U$4:$U$803,$B172&amp;"|"&amp;CF$5)=0,"",SUMIF('Competency Event Log'!$U$4:$U$803,$B172&amp;"|"&amp;CF$5,'Competency Event Log'!$D$4:$D$803)))</f>
        <v/>
      </c>
      <c r="CG172" s="8" t="str">
        <f>IF($B172="","",IF(COUNTIF('Competency Event Log'!$U$4:$U$803,$B172&amp;"|"&amp;CG$5)=0,"",SUMIF('Competency Event Log'!$U$4:$U$803,$B172&amp;"|"&amp;CG$5,'Competency Event Log'!$D$4:$D$803)))</f>
        <v/>
      </c>
      <c r="CH172" s="8" t="str">
        <f>IF($B172="","",IF(COUNTIF('Competency Event Log'!$U$4:$U$803,$B172&amp;"|"&amp;CH$5)=0,"",SUMIF('Competency Event Log'!$U$4:$U$803,$B172&amp;"|"&amp;CH$5,'Competency Event Log'!$D$4:$D$803)))</f>
        <v/>
      </c>
      <c r="CI172" s="8" t="str">
        <f>IF($B172="","",IF(COUNTIF('Competency Event Log'!$U$4:$U$803,$B172&amp;"|"&amp;CI$5)=0,"",SUMIF('Competency Event Log'!$U$4:$U$803,$B172&amp;"|"&amp;CI$5,'Competency Event Log'!$D$4:$D$803)))</f>
        <v/>
      </c>
      <c r="CJ172" s="8" t="str">
        <f>IF($B172="","",IF(COUNTIF('Competency Event Log'!$U$4:$U$803,$B172&amp;"|"&amp;CJ$5)=0,"",SUMIF('Competency Event Log'!$U$4:$U$803,$B172&amp;"|"&amp;CJ$5,'Competency Event Log'!$D$4:$D$803)))</f>
        <v/>
      </c>
      <c r="CK172" s="8" t="str">
        <f>IF($B172="","",IF(COUNTIF('Competency Event Log'!$U$4:$U$803,$B172&amp;"|"&amp;CK$5)=0,"",SUMIF('Competency Event Log'!$U$4:$U$803,$B172&amp;"|"&amp;CK$5,'Competency Event Log'!$D$4:$D$803)))</f>
        <v/>
      </c>
      <c r="CL172" s="8" t="str">
        <f>IF($B172="","",IF(COUNTIF('Competency Event Log'!$U$4:$U$803,$B172&amp;"|"&amp;CL$5)=0,"",SUMIF('Competency Event Log'!$U$4:$U$803,$B172&amp;"|"&amp;CL$5,'Competency Event Log'!$D$4:$D$803)))</f>
        <v/>
      </c>
      <c r="CM172" s="8" t="str">
        <f>IF($B172="","",IF(COUNTIF('Competency Event Log'!$U$4:$U$803,$B172&amp;"|"&amp;CM$5)=0,"",SUMIF('Competency Event Log'!$U$4:$U$803,$B172&amp;"|"&amp;CM$5,'Competency Event Log'!$D$4:$D$803)))</f>
        <v/>
      </c>
      <c r="CN172" s="8" t="str">
        <f>IF($B172="","",IF(COUNTIF('Competency Event Log'!$U$4:$U$803,$B172&amp;"|"&amp;CN$5)=0,"",SUMIF('Competency Event Log'!$U$4:$U$803,$B172&amp;"|"&amp;CN$5,'Competency Event Log'!$D$4:$D$803)))</f>
        <v/>
      </c>
      <c r="CO172" s="8" t="str">
        <f>IF($B172="","",IF(COUNTIF('Competency Event Log'!$U$4:$U$803,$B172&amp;"|"&amp;CO$5)=0,"",SUMIF('Competency Event Log'!$U$4:$U$803,$B172&amp;"|"&amp;CO$5,'Competency Event Log'!$D$4:$D$803)))</f>
        <v/>
      </c>
      <c r="CP172" s="8" t="str">
        <f>IF($B172="","",IF(COUNTIF('Competency Event Log'!$U$4:$U$803,$B172&amp;"|"&amp;CP$5)=0,"",SUMIF('Competency Event Log'!$U$4:$U$803,$B172&amp;"|"&amp;CP$5,'Competency Event Log'!$D$4:$D$803)))</f>
        <v/>
      </c>
      <c r="CQ172" s="8" t="str">
        <f>IF($B172="","",IF(COUNTIF('Competency Event Log'!$U$4:$U$803,$B172&amp;"|"&amp;CQ$5)=0,"",SUMIF('Competency Event Log'!$U$4:$U$803,$B172&amp;"|"&amp;CQ$5,'Competency Event Log'!$D$4:$D$803)))</f>
        <v/>
      </c>
      <c r="CR172" s="8" t="str">
        <f>IF($B172="","",IF(COUNTIF('Competency Event Log'!$U$4:$U$803,$B172&amp;"|"&amp;CR$5)=0,"",SUMIF('Competency Event Log'!$U$4:$U$803,$B172&amp;"|"&amp;CR$5,'Competency Event Log'!$D$4:$D$803)))</f>
        <v/>
      </c>
      <c r="CS172" s="8" t="str">
        <f>IF($B172="","",IF(COUNTIF('Competency Event Log'!$U$4:$U$803,$B172&amp;"|"&amp;CS$5)=0,"",SUMIF('Competency Event Log'!$U$4:$U$803,$B172&amp;"|"&amp;CS$5,'Competency Event Log'!$D$4:$D$803)))</f>
        <v/>
      </c>
      <c r="CT172" s="8" t="str">
        <f>IF($B172="","",IF(COUNTIF('Competency Event Log'!$U$4:$U$803,$B172&amp;"|"&amp;CT$5)=0,"",SUMIF('Competency Event Log'!$U$4:$U$803,$B172&amp;"|"&amp;CT$5,'Competency Event Log'!$D$4:$D$803)))</f>
        <v/>
      </c>
      <c r="CU172" s="8" t="str">
        <f>IF($B172="","",IF(COUNTIF('Competency Event Log'!$U$4:$U$803,$B172&amp;"|"&amp;CU$5)=0,"",SUMIF('Competency Event Log'!$U$4:$U$803,$B172&amp;"|"&amp;CU$5,'Competency Event Log'!$D$4:$D$803)))</f>
        <v/>
      </c>
      <c r="CV172" s="8" t="str">
        <f>IF($B172="","",IF(COUNTIF('Competency Event Log'!$U$4:$U$803,$B172&amp;"|"&amp;CV$5)=0,"",SUMIF('Competency Event Log'!$U$4:$U$803,$B172&amp;"|"&amp;CV$5,'Competency Event Log'!$D$4:$D$803)))</f>
        <v/>
      </c>
      <c r="CW172" s="8" t="str">
        <f>IF($B172="","",IF(COUNTIF('Competency Event Log'!$U$4:$U$803,$B172&amp;"|"&amp;CW$5)=0,"",SUMIF('Competency Event Log'!$U$4:$U$803,$B172&amp;"|"&amp;CW$5,'Competency Event Log'!$D$4:$D$803)))</f>
        <v/>
      </c>
      <c r="CX172" s="8" t="str">
        <f>IF($B172="","",IF(COUNTIF('Competency Event Log'!$U$4:$U$803,$B172&amp;"|"&amp;CX$5)=0,"",SUMIF('Competency Event Log'!$U$4:$U$803,$B172&amp;"|"&amp;CX$5,'Competency Event Log'!$D$4:$D$803)))</f>
        <v/>
      </c>
      <c r="CY172" s="8" t="str">
        <f>IF($B172="","",IF(COUNTIF('Competency Event Log'!$U$4:$U$803,$B172&amp;"|"&amp;CY$5)=0,"",SUMIF('Competency Event Log'!$U$4:$U$803,$B172&amp;"|"&amp;CY$5,'Competency Event Log'!$D$4:$D$803)))</f>
        <v/>
      </c>
      <c r="CZ172" s="8" t="str">
        <f>IF($B172="","",IF(COUNTIF('Competency Event Log'!$U$4:$U$803,$B172&amp;"|"&amp;CZ$5)=0,"",SUMIF('Competency Event Log'!$U$4:$U$803,$B172&amp;"|"&amp;CZ$5,'Competency Event Log'!$D$4:$D$803)))</f>
        <v/>
      </c>
      <c r="DA172" s="8" t="str">
        <f>IF($B172="","",IF(COUNTIF('Competency Event Log'!$U$4:$U$803,$B172&amp;"|"&amp;DA$5)=0,"",SUMIF('Competency Event Log'!$U$4:$U$803,$B172&amp;"|"&amp;DA$5,'Competency Event Log'!$D$4:$D$803)))</f>
        <v/>
      </c>
      <c r="DB172" s="8" t="str">
        <f>IF($B172="","",IF(COUNTIF('Competency Event Log'!$U$4:$U$803,$B172&amp;"|"&amp;DB$5)=0,"",SUMIF('Competency Event Log'!$U$4:$U$803,$B172&amp;"|"&amp;DB$5,'Competency Event Log'!$D$4:$D$803)))</f>
        <v/>
      </c>
      <c r="DC172" s="8" t="str">
        <f>IF($B172="","",IF(COUNTIF('Competency Event Log'!$U$4:$U$803,$B172&amp;"|"&amp;DC$5)=0,"",SUMIF('Competency Event Log'!$U$4:$U$803,$B172&amp;"|"&amp;DC$5,'Competency Event Log'!$D$4:$D$803)))</f>
        <v/>
      </c>
      <c r="DD172" s="8" t="str">
        <f>IF($B172="","",IF(COUNTIF('Competency Event Log'!$U$4:$U$803,$B172&amp;"|"&amp;DD$5)=0,"",SUMIF('Competency Event Log'!$U$4:$U$803,$B172&amp;"|"&amp;DD$5,'Competency Event Log'!$D$4:$D$803)))</f>
        <v/>
      </c>
      <c r="DE172" s="8" t="str">
        <f>IF($B172="","",IF(COUNTIF('Competency Event Log'!$U$4:$U$803,$B172&amp;"|"&amp;DE$5)=0,"",SUMIF('Competency Event Log'!$U$4:$U$803,$B172&amp;"|"&amp;DE$5,'Competency Event Log'!$D$4:$D$803)))</f>
        <v/>
      </c>
      <c r="DF172" s="8" t="str">
        <f t="shared" si="20"/>
        <v/>
      </c>
      <c r="DG172" s="8" t="str">
        <f t="shared" si="21"/>
        <v/>
      </c>
      <c r="DH172" s="8" t="str">
        <f t="shared" si="22"/>
        <v/>
      </c>
      <c r="DI172" s="11" t="str">
        <f t="shared" si="23"/>
        <v/>
      </c>
    </row>
    <row r="173" spans="1:113">
      <c r="A173" s="7"/>
      <c r="B173" s="7"/>
      <c r="C173" s="8"/>
      <c r="D173" s="9"/>
      <c r="E173" s="10"/>
      <c r="F173" s="8"/>
      <c r="G173" s="8" t="str">
        <f>IF($B173="","",IF(COUNTIF('Competency Event Log'!$U$4:$U$803,$B173&amp;"|"&amp;G$5)=0,"",SUMIF('Competency Event Log'!$U$4:$U$803,$B173&amp;"|"&amp;G$5,'Competency Event Log'!$D$4:$D$803)))</f>
        <v/>
      </c>
      <c r="H173" s="8" t="str">
        <f>IF($B173="","",IF(COUNTIF('Competency Event Log'!$U$4:$U$803,$B173&amp;"|"&amp;H$5)=0,"",SUMIF('Competency Event Log'!$U$4:$U$803,$B173&amp;"|"&amp;H$5,'Competency Event Log'!$D$4:$D$803)))</f>
        <v/>
      </c>
      <c r="I173" s="8" t="str">
        <f>IF($B173="","",IF(COUNTIF('Competency Event Log'!$U$4:$U$803,$B173&amp;"|"&amp;I$5)=0,"",SUMIF('Competency Event Log'!$U$4:$U$803,$B173&amp;"|"&amp;I$5,'Competency Event Log'!$D$4:$D$803)))</f>
        <v/>
      </c>
      <c r="J173" s="8" t="str">
        <f>IF($B173="","",IF(COUNTIF('Competency Event Log'!$U$4:$U$803,$B173&amp;"|"&amp;J$5)=0,"",SUMIF('Competency Event Log'!$U$4:$U$803,$B173&amp;"|"&amp;J$5,'Competency Event Log'!$D$4:$D$803)))</f>
        <v/>
      </c>
      <c r="K173" s="8" t="str">
        <f>IF($B173="","",IF(COUNTIF('Competency Event Log'!$U$4:$U$803,$B173&amp;"|"&amp;K$5)=0,"",SUMIF('Competency Event Log'!$U$4:$U$803,$B173&amp;"|"&amp;K$5,'Competency Event Log'!$D$4:$D$803)))</f>
        <v/>
      </c>
      <c r="L173" s="8" t="str">
        <f>IF($B173="","",IF(COUNTIF('Competency Event Log'!$U$4:$U$803,$B173&amp;"|"&amp;L$5)=0,"",SUMIF('Competency Event Log'!$U$4:$U$803,$B173&amp;"|"&amp;L$5,'Competency Event Log'!$D$4:$D$803)))</f>
        <v/>
      </c>
      <c r="M173" s="8" t="str">
        <f>IF($B173="","",IF(COUNTIF('Competency Event Log'!$U$4:$U$803,$B173&amp;"|"&amp;M$5)=0,"",SUMIF('Competency Event Log'!$U$4:$U$803,$B173&amp;"|"&amp;M$5,'Competency Event Log'!$D$4:$D$803)))</f>
        <v/>
      </c>
      <c r="N173" s="8" t="str">
        <f>IF($B173="","",IF(COUNTIF('Competency Event Log'!$U$4:$U$803,$B173&amp;"|"&amp;N$5)=0,"",SUMIF('Competency Event Log'!$U$4:$U$803,$B173&amp;"|"&amp;N$5,'Competency Event Log'!$D$4:$D$803)))</f>
        <v/>
      </c>
      <c r="O173" s="8" t="str">
        <f>IF($B173="","",IF(COUNTIF('Competency Event Log'!$U$4:$U$803,$B173&amp;"|"&amp;O$5)=0,"",SUMIF('Competency Event Log'!$U$4:$U$803,$B173&amp;"|"&amp;O$5,'Competency Event Log'!$D$4:$D$803)))</f>
        <v/>
      </c>
      <c r="P173" s="8" t="str">
        <f>IF($B173="","",IF(COUNTIF('Competency Event Log'!$U$4:$U$803,$B173&amp;"|"&amp;P$5)=0,"",SUMIF('Competency Event Log'!$U$4:$U$803,$B173&amp;"|"&amp;P$5,'Competency Event Log'!$D$4:$D$803)))</f>
        <v/>
      </c>
      <c r="Q173" s="8" t="str">
        <f>IF($B173="","",IF(COUNTIF('Competency Event Log'!$U$4:$U$803,$B173&amp;"|"&amp;Q$5)=0,"",SUMIF('Competency Event Log'!$U$4:$U$803,$B173&amp;"|"&amp;Q$5,'Competency Event Log'!$D$4:$D$803)))</f>
        <v/>
      </c>
      <c r="R173" s="8" t="str">
        <f>IF($B173="","",IF(COUNTIF('Competency Event Log'!$U$4:$U$803,$B173&amp;"|"&amp;R$5)=0,"",SUMIF('Competency Event Log'!$U$4:$U$803,$B173&amp;"|"&amp;R$5,'Competency Event Log'!$D$4:$D$803)))</f>
        <v/>
      </c>
      <c r="S173" s="8" t="str">
        <f>IF($B173="","",IF(COUNTIF('Competency Event Log'!$U$4:$U$803,$B173&amp;"|"&amp;S$5)=0,"",SUMIF('Competency Event Log'!$U$4:$U$803,$B173&amp;"|"&amp;S$5,'Competency Event Log'!$D$4:$D$803)))</f>
        <v/>
      </c>
      <c r="T173" s="8" t="str">
        <f>IF($B173="","",IF(COUNTIF('Competency Event Log'!$U$4:$U$803,$B173&amp;"|"&amp;T$5)=0,"",SUMIF('Competency Event Log'!$U$4:$U$803,$B173&amp;"|"&amp;T$5,'Competency Event Log'!$D$4:$D$803)))</f>
        <v/>
      </c>
      <c r="U173" s="8" t="str">
        <f>IF($B173="","",IF(COUNTIF('Competency Event Log'!$U$4:$U$803,$B173&amp;"|"&amp;U$5)=0,"",SUMIF('Competency Event Log'!$U$4:$U$803,$B173&amp;"|"&amp;U$5,'Competency Event Log'!$D$4:$D$803)))</f>
        <v/>
      </c>
      <c r="V173" s="8" t="str">
        <f>IF($B173="","",IF(COUNTIF('Competency Event Log'!$U$4:$U$803,$B173&amp;"|"&amp;V$5)=0,"",SUMIF('Competency Event Log'!$U$4:$U$803,$B173&amp;"|"&amp;V$5,'Competency Event Log'!$D$4:$D$803)))</f>
        <v/>
      </c>
      <c r="W173" s="8" t="str">
        <f>IF($B173="","",IF(COUNTIF('Competency Event Log'!$U$4:$U$803,$B173&amp;"|"&amp;W$5)=0,"",SUMIF('Competency Event Log'!$U$4:$U$803,$B173&amp;"|"&amp;W$5,'Competency Event Log'!$D$4:$D$803)))</f>
        <v/>
      </c>
      <c r="X173" s="8" t="str">
        <f>IF($B173="","",IF(COUNTIF('Competency Event Log'!$U$4:$U$803,$B173&amp;"|"&amp;X$5)=0,"",SUMIF('Competency Event Log'!$U$4:$U$803,$B173&amp;"|"&amp;X$5,'Competency Event Log'!$D$4:$D$803)))</f>
        <v/>
      </c>
      <c r="Y173" s="8" t="str">
        <f>IF($B173="","",IF(COUNTIF('Competency Event Log'!$U$4:$U$803,$B173&amp;"|"&amp;Y$5)=0,"",SUMIF('Competency Event Log'!$U$4:$U$803,$B173&amp;"|"&amp;Y$5,'Competency Event Log'!$D$4:$D$803)))</f>
        <v/>
      </c>
      <c r="Z173" s="8" t="str">
        <f>IF($B173="","",IF(COUNTIF('Competency Event Log'!$U$4:$U$803,$B173&amp;"|"&amp;Z$5)=0,"",SUMIF('Competency Event Log'!$U$4:$U$803,$B173&amp;"|"&amp;Z$5,'Competency Event Log'!$D$4:$D$803)))</f>
        <v/>
      </c>
      <c r="AA173" s="8" t="str">
        <f>IF($B173="","",IF(COUNTIF('Competency Event Log'!$U$4:$U$803,$B173&amp;"|"&amp;AA$5)=0,"",SUMIF('Competency Event Log'!$U$4:$U$803,$B173&amp;"|"&amp;AA$5,'Competency Event Log'!$D$4:$D$803)))</f>
        <v/>
      </c>
      <c r="AB173" s="8" t="str">
        <f>IF($B173="","",IF(COUNTIF('Competency Event Log'!$U$4:$U$803,$B173&amp;"|"&amp;AB$5)=0,"",SUMIF('Competency Event Log'!$U$4:$U$803,$B173&amp;"|"&amp;AB$5,'Competency Event Log'!$D$4:$D$803)))</f>
        <v/>
      </c>
      <c r="AC173" s="8" t="str">
        <f>IF($B173="","",IF(COUNTIF('Competency Event Log'!$U$4:$U$803,$B173&amp;"|"&amp;AC$5)=0,"",SUMIF('Competency Event Log'!$U$4:$U$803,$B173&amp;"|"&amp;AC$5,'Competency Event Log'!$D$4:$D$803)))</f>
        <v/>
      </c>
      <c r="AD173" s="8" t="str">
        <f>IF($B173="","",IF(COUNTIF('Competency Event Log'!$U$4:$U$803,$B173&amp;"|"&amp;AD$5)=0,"",SUMIF('Competency Event Log'!$U$4:$U$803,$B173&amp;"|"&amp;AD$5,'Competency Event Log'!$D$4:$D$803)))</f>
        <v/>
      </c>
      <c r="AE173" s="8" t="str">
        <f>IF($B173="","",IF(COUNTIF('Competency Event Log'!$U$4:$U$803,$B173&amp;"|"&amp;AE$5)=0,"",SUMIF('Competency Event Log'!$U$4:$U$803,$B173&amp;"|"&amp;AE$5,'Competency Event Log'!$D$4:$D$803)))</f>
        <v/>
      </c>
      <c r="AF173" s="8" t="str">
        <f>IF($B173="","",IF(COUNTIF('Competency Event Log'!$U$4:$U$803,$B173&amp;"|"&amp;AF$5)=0,"",SUMIF('Competency Event Log'!$U$4:$U$803,$B173&amp;"|"&amp;AF$5,'Competency Event Log'!$D$4:$D$803)))</f>
        <v/>
      </c>
      <c r="AG173" s="8" t="str">
        <f>IF($B173="","",IF(COUNTIF('Competency Event Log'!$U$4:$U$803,$B173&amp;"|"&amp;AG$5)=0,"",SUMIF('Competency Event Log'!$U$4:$U$803,$B173&amp;"|"&amp;AG$5,'Competency Event Log'!$D$4:$D$803)))</f>
        <v/>
      </c>
      <c r="AH173" s="8" t="str">
        <f>IF($B173="","",IF(COUNTIF('Competency Event Log'!$U$4:$U$803,$B173&amp;"|"&amp;AH$5)=0,"",SUMIF('Competency Event Log'!$U$4:$U$803,$B173&amp;"|"&amp;AH$5,'Competency Event Log'!$D$4:$D$803)))</f>
        <v/>
      </c>
      <c r="AI173" s="8" t="str">
        <f>IF($B173="","",IF(COUNTIF('Competency Event Log'!$U$4:$U$803,$B173&amp;"|"&amp;AI$5)=0,"",SUMIF('Competency Event Log'!$U$4:$U$803,$B173&amp;"|"&amp;AI$5,'Competency Event Log'!$D$4:$D$803)))</f>
        <v/>
      </c>
      <c r="AJ173" s="8" t="str">
        <f>IF($B173="","",IF(COUNTIF('Competency Event Log'!$U$4:$U$803,$B173&amp;"|"&amp;AJ$5)=0,"",SUMIF('Competency Event Log'!$U$4:$U$803,$B173&amp;"|"&amp;AJ$5,'Competency Event Log'!$D$4:$D$803)))</f>
        <v/>
      </c>
      <c r="AK173" s="8" t="str">
        <f>IF($B173="","",IF(COUNTIF('Competency Event Log'!$U$4:$U$803,$B173&amp;"|"&amp;AK$5)=0,"",SUMIF('Competency Event Log'!$U$4:$U$803,$B173&amp;"|"&amp;AK$5,'Competency Event Log'!$D$4:$D$803)))</f>
        <v/>
      </c>
      <c r="AL173" s="8" t="str">
        <f>IF($B173="","",IF(COUNTIF('Competency Event Log'!$U$4:$U$803,$B173&amp;"|"&amp;AL$5)=0,"",SUMIF('Competency Event Log'!$U$4:$U$803,$B173&amp;"|"&amp;AL$5,'Competency Event Log'!$D$4:$D$803)))</f>
        <v/>
      </c>
      <c r="AM173" s="8" t="str">
        <f>IF($B173="","",IF(COUNTIF('Competency Event Log'!$U$4:$U$803,$B173&amp;"|"&amp;AM$5)=0,"",SUMIF('Competency Event Log'!$U$4:$U$803,$B173&amp;"|"&amp;AM$5,'Competency Event Log'!$D$4:$D$803)))</f>
        <v/>
      </c>
      <c r="AN173" s="8" t="str">
        <f>IF($B173="","",IF(COUNTIF('Competency Event Log'!$U$4:$U$803,$B173&amp;"|"&amp;AN$5)=0,"",SUMIF('Competency Event Log'!$U$4:$U$803,$B173&amp;"|"&amp;AN$5,'Competency Event Log'!$D$4:$D$803)))</f>
        <v/>
      </c>
      <c r="AO173" s="8" t="str">
        <f>IF($B173="","",IF(COUNTIF('Competency Event Log'!$U$4:$U$803,$B173&amp;"|"&amp;AO$5)=0,"",SUMIF('Competency Event Log'!$U$4:$U$803,$B173&amp;"|"&amp;AO$5,'Competency Event Log'!$D$4:$D$803)))</f>
        <v/>
      </c>
      <c r="AP173" s="8" t="str">
        <f>IF($B173="","",IF(COUNTIF('Competency Event Log'!$U$4:$U$803,$B173&amp;"|"&amp;AP$5)=0,"",SUMIF('Competency Event Log'!$U$4:$U$803,$B173&amp;"|"&amp;AP$5,'Competency Event Log'!$D$4:$D$803)))</f>
        <v/>
      </c>
      <c r="AQ173" s="8" t="str">
        <f>IF($B173="","",IF(COUNTIF('Competency Event Log'!$U$4:$U$803,$B173&amp;"|"&amp;AQ$5)=0,"",SUMIF('Competency Event Log'!$U$4:$U$803,$B173&amp;"|"&amp;AQ$5,'Competency Event Log'!$D$4:$D$803)))</f>
        <v/>
      </c>
      <c r="AR173" s="8" t="str">
        <f>IF($B173="","",IF(COUNTIF('Competency Event Log'!$U$4:$U$803,$B173&amp;"|"&amp;AR$5)=0,"",SUMIF('Competency Event Log'!$U$4:$U$803,$B173&amp;"|"&amp;AR$5,'Competency Event Log'!$D$4:$D$803)))</f>
        <v/>
      </c>
      <c r="AS173" s="8" t="str">
        <f>IF($B173="","",IF(COUNTIF('Competency Event Log'!$U$4:$U$803,$B173&amp;"|"&amp;AS$5)=0,"",SUMIF('Competency Event Log'!$U$4:$U$803,$B173&amp;"|"&amp;AS$5,'Competency Event Log'!$D$4:$D$803)))</f>
        <v/>
      </c>
      <c r="AT173" s="8" t="str">
        <f>IF($B173="","",IF(COUNTIF('Competency Event Log'!$U$4:$U$803,$B173&amp;"|"&amp;AT$5)=0,"",SUMIF('Competency Event Log'!$U$4:$U$803,$B173&amp;"|"&amp;AT$5,'Competency Event Log'!$D$4:$D$803)))</f>
        <v/>
      </c>
      <c r="AU173" s="8" t="str">
        <f>IF($B173="","",IF(COUNTIF('Competency Event Log'!$U$4:$U$803,$B173&amp;"|"&amp;AU$5)=0,"",SUMIF('Competency Event Log'!$U$4:$U$803,$B173&amp;"|"&amp;AU$5,'Competency Event Log'!$D$4:$D$803)))</f>
        <v/>
      </c>
      <c r="AV173" s="8" t="str">
        <f>IF($B173="","",IF(COUNTIF('Competency Event Log'!$U$4:$U$803,$B173&amp;"|"&amp;AV$5)=0,"",SUMIF('Competency Event Log'!$U$4:$U$803,$B173&amp;"|"&amp;AV$5,'Competency Event Log'!$D$4:$D$803)))</f>
        <v/>
      </c>
      <c r="AW173" s="8" t="str">
        <f>IF($B173="","",IF(COUNTIF('Competency Event Log'!$U$4:$U$803,$B173&amp;"|"&amp;AW$5)=0,"",SUMIF('Competency Event Log'!$U$4:$U$803,$B173&amp;"|"&amp;AW$5,'Competency Event Log'!$D$4:$D$803)))</f>
        <v/>
      </c>
      <c r="AX173" s="8" t="str">
        <f>IF($B173="","",IF(COUNTIF('Competency Event Log'!$U$4:$U$803,$B173&amp;"|"&amp;AX$5)=0,"",SUMIF('Competency Event Log'!$U$4:$U$803,$B173&amp;"|"&amp;AX$5,'Competency Event Log'!$D$4:$D$803)))</f>
        <v/>
      </c>
      <c r="AY173" s="8" t="str">
        <f>IF($B173="","",IF(COUNTIF('Competency Event Log'!$U$4:$U$803,$B173&amp;"|"&amp;AY$5)=0,"",SUMIF('Competency Event Log'!$U$4:$U$803,$B173&amp;"|"&amp;AY$5,'Competency Event Log'!$D$4:$D$803)))</f>
        <v/>
      </c>
      <c r="AZ173" s="8" t="str">
        <f>IF($B173="","",IF(COUNTIF('Competency Event Log'!$U$4:$U$803,$B173&amp;"|"&amp;AZ$5)=0,"",SUMIF('Competency Event Log'!$U$4:$U$803,$B173&amp;"|"&amp;AZ$5,'Competency Event Log'!$D$4:$D$803)))</f>
        <v/>
      </c>
      <c r="BA173" s="8" t="str">
        <f>IF($B173="","",IF(COUNTIF('Competency Event Log'!$U$4:$U$803,$B173&amp;"|"&amp;BA$5)=0,"",SUMIF('Competency Event Log'!$U$4:$U$803,$B173&amp;"|"&amp;BA$5,'Competency Event Log'!$D$4:$D$803)))</f>
        <v/>
      </c>
      <c r="BB173" s="8" t="str">
        <f>IF($B173="","",IF(COUNTIF('Competency Event Log'!$U$4:$U$803,$B173&amp;"|"&amp;BB$5)=0,"",SUMIF('Competency Event Log'!$U$4:$U$803,$B173&amp;"|"&amp;BB$5,'Competency Event Log'!$D$4:$D$803)))</f>
        <v/>
      </c>
      <c r="BC173" s="8" t="str">
        <f>IF($B173="","",IF(COUNTIF('Competency Event Log'!$U$4:$U$803,$B173&amp;"|"&amp;BC$5)=0,"",SUMIF('Competency Event Log'!$U$4:$U$803,$B173&amp;"|"&amp;BC$5,'Competency Event Log'!$D$4:$D$803)))</f>
        <v/>
      </c>
      <c r="BD173" s="8" t="str">
        <f>IF($B173="","",IF(COUNTIF('Competency Event Log'!$U$4:$U$803,$B173&amp;"|"&amp;BD$5)=0,"",SUMIF('Competency Event Log'!$U$4:$U$803,$B173&amp;"|"&amp;BD$5,'Competency Event Log'!$D$4:$D$803)))</f>
        <v/>
      </c>
      <c r="BE173" s="8" t="str">
        <f>IF($B173="","",IF(COUNTIF('Competency Event Log'!$U$4:$U$803,$B173&amp;"|"&amp;BE$5)=0,"",SUMIF('Competency Event Log'!$U$4:$U$803,$B173&amp;"|"&amp;BE$5,'Competency Event Log'!$D$4:$D$803)))</f>
        <v/>
      </c>
      <c r="BF173" s="8" t="str">
        <f>IF($B173="","",IF(COUNTIF('Competency Event Log'!$U$4:$U$803,$B173&amp;"|"&amp;BF$5)=0,"",SUMIF('Competency Event Log'!$U$4:$U$803,$B173&amp;"|"&amp;BF$5,'Competency Event Log'!$D$4:$D$803)))</f>
        <v/>
      </c>
      <c r="BG173" s="8" t="str">
        <f>IF($B173="","",IF(COUNTIF('Competency Event Log'!$U$4:$U$803,$B173&amp;"|"&amp;BG$5)=0,"",SUMIF('Competency Event Log'!$U$4:$U$803,$B173&amp;"|"&amp;BG$5,'Competency Event Log'!$D$4:$D$803)))</f>
        <v/>
      </c>
      <c r="BH173" s="8" t="str">
        <f>IF($B173="","",IF(COUNTIF('Competency Event Log'!$U$4:$U$803,$B173&amp;"|"&amp;BH$5)=0,"",SUMIF('Competency Event Log'!$U$4:$U$803,$B173&amp;"|"&amp;BH$5,'Competency Event Log'!$D$4:$D$803)))</f>
        <v/>
      </c>
      <c r="BI173" s="8" t="str">
        <f>IF($B173="","",IF(COUNTIF('Competency Event Log'!$U$4:$U$803,$B173&amp;"|"&amp;BI$5)=0,"",SUMIF('Competency Event Log'!$U$4:$U$803,$B173&amp;"|"&amp;BI$5,'Competency Event Log'!$D$4:$D$803)))</f>
        <v/>
      </c>
      <c r="BJ173" s="8" t="str">
        <f>IF($B173="","",IF(COUNTIF('Competency Event Log'!$U$4:$U$803,$B173&amp;"|"&amp;BJ$5)=0,"",SUMIF('Competency Event Log'!$U$4:$U$803,$B173&amp;"|"&amp;BJ$5,'Competency Event Log'!$D$4:$D$803)))</f>
        <v/>
      </c>
      <c r="BK173" s="8" t="str">
        <f>IF($B173="","",IF(COUNTIF('Competency Event Log'!$U$4:$U$803,$B173&amp;"|"&amp;BK$5)=0,"",SUMIF('Competency Event Log'!$U$4:$U$803,$B173&amp;"|"&amp;BK$5,'Competency Event Log'!$D$4:$D$803)))</f>
        <v/>
      </c>
      <c r="BL173" s="8" t="str">
        <f>IF($B173="","",IF(COUNTIF('Competency Event Log'!$U$4:$U$803,$B173&amp;"|"&amp;BL$5)=0,"",SUMIF('Competency Event Log'!$U$4:$U$803,$B173&amp;"|"&amp;BL$5,'Competency Event Log'!$D$4:$D$803)))</f>
        <v/>
      </c>
      <c r="BM173" s="8" t="str">
        <f>IF($B173="","",IF(COUNTIF('Competency Event Log'!$U$4:$U$803,$B173&amp;"|"&amp;BM$5)=0,"",SUMIF('Competency Event Log'!$U$4:$U$803,$B173&amp;"|"&amp;BM$5,'Competency Event Log'!$D$4:$D$803)))</f>
        <v/>
      </c>
      <c r="BN173" s="8" t="str">
        <f>IF($B173="","",IF(COUNTIF('Competency Event Log'!$U$4:$U$803,$B173&amp;"|"&amp;BN$5)=0,"",SUMIF('Competency Event Log'!$U$4:$U$803,$B173&amp;"|"&amp;BN$5,'Competency Event Log'!$D$4:$D$803)))</f>
        <v/>
      </c>
      <c r="BO173" s="8" t="str">
        <f>IF($B173="","",IF(COUNTIF('Competency Event Log'!$U$4:$U$803,$B173&amp;"|"&amp;BO$5)=0,"",SUMIF('Competency Event Log'!$U$4:$U$803,$B173&amp;"|"&amp;BO$5,'Competency Event Log'!$D$4:$D$803)))</f>
        <v/>
      </c>
      <c r="BP173" s="8" t="str">
        <f>IF($B173="","",IF(COUNTIF('Competency Event Log'!$U$4:$U$803,$B173&amp;"|"&amp;BP$5)=0,"",SUMIF('Competency Event Log'!$U$4:$U$803,$B173&amp;"|"&amp;BP$5,'Competency Event Log'!$D$4:$D$803)))</f>
        <v/>
      </c>
      <c r="BQ173" s="8" t="str">
        <f>IF($B173="","",IF(COUNTIF('Competency Event Log'!$U$4:$U$803,$B173&amp;"|"&amp;BQ$5)=0,"",SUMIF('Competency Event Log'!$U$4:$U$803,$B173&amp;"|"&amp;BQ$5,'Competency Event Log'!$D$4:$D$803)))</f>
        <v/>
      </c>
      <c r="BR173" s="8" t="str">
        <f>IF($B173="","",IF(COUNTIF('Competency Event Log'!$U$4:$U$803,$B173&amp;"|"&amp;BR$5)=0,"",SUMIF('Competency Event Log'!$U$4:$U$803,$B173&amp;"|"&amp;BR$5,'Competency Event Log'!$D$4:$D$803)))</f>
        <v/>
      </c>
      <c r="BS173" s="8" t="str">
        <f>IF($B173="","",IF(COUNTIF('Competency Event Log'!$U$4:$U$803,$B173&amp;"|"&amp;BS$5)=0,"",SUMIF('Competency Event Log'!$U$4:$U$803,$B173&amp;"|"&amp;BS$5,'Competency Event Log'!$D$4:$D$803)))</f>
        <v/>
      </c>
      <c r="BT173" s="8" t="str">
        <f>IF($B173="","",IF(COUNTIF('Competency Event Log'!$U$4:$U$803,$B173&amp;"|"&amp;BT$5)=0,"",SUMIF('Competency Event Log'!$U$4:$U$803,$B173&amp;"|"&amp;BT$5,'Competency Event Log'!$D$4:$D$803)))</f>
        <v/>
      </c>
      <c r="BU173" s="8" t="str">
        <f>IF($B173="","",IF(COUNTIF('Competency Event Log'!$U$4:$U$803,$B173&amp;"|"&amp;BU$5)=0,"",SUMIF('Competency Event Log'!$U$4:$U$803,$B173&amp;"|"&amp;BU$5,'Competency Event Log'!$D$4:$D$803)))</f>
        <v/>
      </c>
      <c r="BV173" s="8" t="str">
        <f>IF($B173="","",IF(COUNTIF('Competency Event Log'!$U$4:$U$803,$B173&amp;"|"&amp;BV$5)=0,"",SUMIF('Competency Event Log'!$U$4:$U$803,$B173&amp;"|"&amp;BV$5,'Competency Event Log'!$D$4:$D$803)))</f>
        <v/>
      </c>
      <c r="BW173" s="8" t="str">
        <f>IF($B173="","",IF(COUNTIF('Competency Event Log'!$U$4:$U$803,$B173&amp;"|"&amp;BW$5)=0,"",SUMIF('Competency Event Log'!$U$4:$U$803,$B173&amp;"|"&amp;BW$5,'Competency Event Log'!$D$4:$D$803)))</f>
        <v/>
      </c>
      <c r="BX173" s="8" t="str">
        <f>IF($B173="","",IF(COUNTIF('Competency Event Log'!$U$4:$U$803,$B173&amp;"|"&amp;BX$5)=0,"",SUMIF('Competency Event Log'!$U$4:$U$803,$B173&amp;"|"&amp;BX$5,'Competency Event Log'!$D$4:$D$803)))</f>
        <v/>
      </c>
      <c r="BY173" s="8" t="str">
        <f>IF($B173="","",IF(COUNTIF('Competency Event Log'!$U$4:$U$803,$B173&amp;"|"&amp;BY$5)=0,"",SUMIF('Competency Event Log'!$U$4:$U$803,$B173&amp;"|"&amp;BY$5,'Competency Event Log'!$D$4:$D$803)))</f>
        <v/>
      </c>
      <c r="BZ173" s="8" t="str">
        <f>IF($B173="","",IF(COUNTIF('Competency Event Log'!$U$4:$U$803,$B173&amp;"|"&amp;BZ$5)=0,"",SUMIF('Competency Event Log'!$U$4:$U$803,$B173&amp;"|"&amp;BZ$5,'Competency Event Log'!$D$4:$D$803)))</f>
        <v/>
      </c>
      <c r="CA173" s="8" t="str">
        <f>IF($B173="","",IF(COUNTIF('Competency Event Log'!$U$4:$U$803,$B173&amp;"|"&amp;CA$5)=0,"",SUMIF('Competency Event Log'!$U$4:$U$803,$B173&amp;"|"&amp;CA$5,'Competency Event Log'!$D$4:$D$803)))</f>
        <v/>
      </c>
      <c r="CB173" s="8" t="str">
        <f>IF($B173="","",IF(COUNTIF('Competency Event Log'!$U$4:$U$803,$B173&amp;"|"&amp;CB$5)=0,"",SUMIF('Competency Event Log'!$U$4:$U$803,$B173&amp;"|"&amp;CB$5,'Competency Event Log'!$D$4:$D$803)))</f>
        <v/>
      </c>
      <c r="CC173" s="8" t="str">
        <f>IF($B173="","",IF(COUNTIF('Competency Event Log'!$U$4:$U$803,$B173&amp;"|"&amp;CC$5)=0,"",SUMIF('Competency Event Log'!$U$4:$U$803,$B173&amp;"|"&amp;CC$5,'Competency Event Log'!$D$4:$D$803)))</f>
        <v/>
      </c>
      <c r="CD173" s="8" t="str">
        <f>IF($B173="","",IF(COUNTIF('Competency Event Log'!$U$4:$U$803,$B173&amp;"|"&amp;CD$5)=0,"",SUMIF('Competency Event Log'!$U$4:$U$803,$B173&amp;"|"&amp;CD$5,'Competency Event Log'!$D$4:$D$803)))</f>
        <v/>
      </c>
      <c r="CE173" s="8" t="str">
        <f>IF($B173="","",IF(COUNTIF('Competency Event Log'!$U$4:$U$803,$B173&amp;"|"&amp;CE$5)=0,"",SUMIF('Competency Event Log'!$U$4:$U$803,$B173&amp;"|"&amp;CE$5,'Competency Event Log'!$D$4:$D$803)))</f>
        <v/>
      </c>
      <c r="CF173" s="8" t="str">
        <f>IF($B173="","",IF(COUNTIF('Competency Event Log'!$U$4:$U$803,$B173&amp;"|"&amp;CF$5)=0,"",SUMIF('Competency Event Log'!$U$4:$U$803,$B173&amp;"|"&amp;CF$5,'Competency Event Log'!$D$4:$D$803)))</f>
        <v/>
      </c>
      <c r="CG173" s="8" t="str">
        <f>IF($B173="","",IF(COUNTIF('Competency Event Log'!$U$4:$U$803,$B173&amp;"|"&amp;CG$5)=0,"",SUMIF('Competency Event Log'!$U$4:$U$803,$B173&amp;"|"&amp;CG$5,'Competency Event Log'!$D$4:$D$803)))</f>
        <v/>
      </c>
      <c r="CH173" s="8" t="str">
        <f>IF($B173="","",IF(COUNTIF('Competency Event Log'!$U$4:$U$803,$B173&amp;"|"&amp;CH$5)=0,"",SUMIF('Competency Event Log'!$U$4:$U$803,$B173&amp;"|"&amp;CH$5,'Competency Event Log'!$D$4:$D$803)))</f>
        <v/>
      </c>
      <c r="CI173" s="8" t="str">
        <f>IF($B173="","",IF(COUNTIF('Competency Event Log'!$U$4:$U$803,$B173&amp;"|"&amp;CI$5)=0,"",SUMIF('Competency Event Log'!$U$4:$U$803,$B173&amp;"|"&amp;CI$5,'Competency Event Log'!$D$4:$D$803)))</f>
        <v/>
      </c>
      <c r="CJ173" s="8" t="str">
        <f>IF($B173="","",IF(COUNTIF('Competency Event Log'!$U$4:$U$803,$B173&amp;"|"&amp;CJ$5)=0,"",SUMIF('Competency Event Log'!$U$4:$U$803,$B173&amp;"|"&amp;CJ$5,'Competency Event Log'!$D$4:$D$803)))</f>
        <v/>
      </c>
      <c r="CK173" s="8" t="str">
        <f>IF($B173="","",IF(COUNTIF('Competency Event Log'!$U$4:$U$803,$B173&amp;"|"&amp;CK$5)=0,"",SUMIF('Competency Event Log'!$U$4:$U$803,$B173&amp;"|"&amp;CK$5,'Competency Event Log'!$D$4:$D$803)))</f>
        <v/>
      </c>
      <c r="CL173" s="8" t="str">
        <f>IF($B173="","",IF(COUNTIF('Competency Event Log'!$U$4:$U$803,$B173&amp;"|"&amp;CL$5)=0,"",SUMIF('Competency Event Log'!$U$4:$U$803,$B173&amp;"|"&amp;CL$5,'Competency Event Log'!$D$4:$D$803)))</f>
        <v/>
      </c>
      <c r="CM173" s="8" t="str">
        <f>IF($B173="","",IF(COUNTIF('Competency Event Log'!$U$4:$U$803,$B173&amp;"|"&amp;CM$5)=0,"",SUMIF('Competency Event Log'!$U$4:$U$803,$B173&amp;"|"&amp;CM$5,'Competency Event Log'!$D$4:$D$803)))</f>
        <v/>
      </c>
      <c r="CN173" s="8" t="str">
        <f>IF($B173="","",IF(COUNTIF('Competency Event Log'!$U$4:$U$803,$B173&amp;"|"&amp;CN$5)=0,"",SUMIF('Competency Event Log'!$U$4:$U$803,$B173&amp;"|"&amp;CN$5,'Competency Event Log'!$D$4:$D$803)))</f>
        <v/>
      </c>
      <c r="CO173" s="8" t="str">
        <f>IF($B173="","",IF(COUNTIF('Competency Event Log'!$U$4:$U$803,$B173&amp;"|"&amp;CO$5)=0,"",SUMIF('Competency Event Log'!$U$4:$U$803,$B173&amp;"|"&amp;CO$5,'Competency Event Log'!$D$4:$D$803)))</f>
        <v/>
      </c>
      <c r="CP173" s="8" t="str">
        <f>IF($B173="","",IF(COUNTIF('Competency Event Log'!$U$4:$U$803,$B173&amp;"|"&amp;CP$5)=0,"",SUMIF('Competency Event Log'!$U$4:$U$803,$B173&amp;"|"&amp;CP$5,'Competency Event Log'!$D$4:$D$803)))</f>
        <v/>
      </c>
      <c r="CQ173" s="8" t="str">
        <f>IF($B173="","",IF(COUNTIF('Competency Event Log'!$U$4:$U$803,$B173&amp;"|"&amp;CQ$5)=0,"",SUMIF('Competency Event Log'!$U$4:$U$803,$B173&amp;"|"&amp;CQ$5,'Competency Event Log'!$D$4:$D$803)))</f>
        <v/>
      </c>
      <c r="CR173" s="8" t="str">
        <f>IF($B173="","",IF(COUNTIF('Competency Event Log'!$U$4:$U$803,$B173&amp;"|"&amp;CR$5)=0,"",SUMIF('Competency Event Log'!$U$4:$U$803,$B173&amp;"|"&amp;CR$5,'Competency Event Log'!$D$4:$D$803)))</f>
        <v/>
      </c>
      <c r="CS173" s="8" t="str">
        <f>IF($B173="","",IF(COUNTIF('Competency Event Log'!$U$4:$U$803,$B173&amp;"|"&amp;CS$5)=0,"",SUMIF('Competency Event Log'!$U$4:$U$803,$B173&amp;"|"&amp;CS$5,'Competency Event Log'!$D$4:$D$803)))</f>
        <v/>
      </c>
      <c r="CT173" s="8" t="str">
        <f>IF($B173="","",IF(COUNTIF('Competency Event Log'!$U$4:$U$803,$B173&amp;"|"&amp;CT$5)=0,"",SUMIF('Competency Event Log'!$U$4:$U$803,$B173&amp;"|"&amp;CT$5,'Competency Event Log'!$D$4:$D$803)))</f>
        <v/>
      </c>
      <c r="CU173" s="8" t="str">
        <f>IF($B173="","",IF(COUNTIF('Competency Event Log'!$U$4:$U$803,$B173&amp;"|"&amp;CU$5)=0,"",SUMIF('Competency Event Log'!$U$4:$U$803,$B173&amp;"|"&amp;CU$5,'Competency Event Log'!$D$4:$D$803)))</f>
        <v/>
      </c>
      <c r="CV173" s="8" t="str">
        <f>IF($B173="","",IF(COUNTIF('Competency Event Log'!$U$4:$U$803,$B173&amp;"|"&amp;CV$5)=0,"",SUMIF('Competency Event Log'!$U$4:$U$803,$B173&amp;"|"&amp;CV$5,'Competency Event Log'!$D$4:$D$803)))</f>
        <v/>
      </c>
      <c r="CW173" s="8" t="str">
        <f>IF($B173="","",IF(COUNTIF('Competency Event Log'!$U$4:$U$803,$B173&amp;"|"&amp;CW$5)=0,"",SUMIF('Competency Event Log'!$U$4:$U$803,$B173&amp;"|"&amp;CW$5,'Competency Event Log'!$D$4:$D$803)))</f>
        <v/>
      </c>
      <c r="CX173" s="8" t="str">
        <f>IF($B173="","",IF(COUNTIF('Competency Event Log'!$U$4:$U$803,$B173&amp;"|"&amp;CX$5)=0,"",SUMIF('Competency Event Log'!$U$4:$U$803,$B173&amp;"|"&amp;CX$5,'Competency Event Log'!$D$4:$D$803)))</f>
        <v/>
      </c>
      <c r="CY173" s="8" t="str">
        <f>IF($B173="","",IF(COUNTIF('Competency Event Log'!$U$4:$U$803,$B173&amp;"|"&amp;CY$5)=0,"",SUMIF('Competency Event Log'!$U$4:$U$803,$B173&amp;"|"&amp;CY$5,'Competency Event Log'!$D$4:$D$803)))</f>
        <v/>
      </c>
      <c r="CZ173" s="8" t="str">
        <f>IF($B173="","",IF(COUNTIF('Competency Event Log'!$U$4:$U$803,$B173&amp;"|"&amp;CZ$5)=0,"",SUMIF('Competency Event Log'!$U$4:$U$803,$B173&amp;"|"&amp;CZ$5,'Competency Event Log'!$D$4:$D$803)))</f>
        <v/>
      </c>
      <c r="DA173" s="8" t="str">
        <f>IF($B173="","",IF(COUNTIF('Competency Event Log'!$U$4:$U$803,$B173&amp;"|"&amp;DA$5)=0,"",SUMIF('Competency Event Log'!$U$4:$U$803,$B173&amp;"|"&amp;DA$5,'Competency Event Log'!$D$4:$D$803)))</f>
        <v/>
      </c>
      <c r="DB173" s="8" t="str">
        <f>IF($B173="","",IF(COUNTIF('Competency Event Log'!$U$4:$U$803,$B173&amp;"|"&amp;DB$5)=0,"",SUMIF('Competency Event Log'!$U$4:$U$803,$B173&amp;"|"&amp;DB$5,'Competency Event Log'!$D$4:$D$803)))</f>
        <v/>
      </c>
      <c r="DC173" s="8" t="str">
        <f>IF($B173="","",IF(COUNTIF('Competency Event Log'!$U$4:$U$803,$B173&amp;"|"&amp;DC$5)=0,"",SUMIF('Competency Event Log'!$U$4:$U$803,$B173&amp;"|"&amp;DC$5,'Competency Event Log'!$D$4:$D$803)))</f>
        <v/>
      </c>
      <c r="DD173" s="8" t="str">
        <f>IF($B173="","",IF(COUNTIF('Competency Event Log'!$U$4:$U$803,$B173&amp;"|"&amp;DD$5)=0,"",SUMIF('Competency Event Log'!$U$4:$U$803,$B173&amp;"|"&amp;DD$5,'Competency Event Log'!$D$4:$D$803)))</f>
        <v/>
      </c>
      <c r="DE173" s="8" t="str">
        <f>IF($B173="","",IF(COUNTIF('Competency Event Log'!$U$4:$U$803,$B173&amp;"|"&amp;DE$5)=0,"",SUMIF('Competency Event Log'!$U$4:$U$803,$B173&amp;"|"&amp;DE$5,'Competency Event Log'!$D$4:$D$803)))</f>
        <v/>
      </c>
      <c r="DF173" s="8" t="str">
        <f t="shared" si="20"/>
        <v/>
      </c>
      <c r="DG173" s="8" t="str">
        <f t="shared" si="21"/>
        <v/>
      </c>
      <c r="DH173" s="8" t="str">
        <f t="shared" si="22"/>
        <v/>
      </c>
      <c r="DI173" s="11" t="str">
        <f t="shared" si="23"/>
        <v/>
      </c>
    </row>
    <row r="174" spans="1:113">
      <c r="A174" s="7"/>
      <c r="B174" s="7"/>
      <c r="C174" s="8"/>
      <c r="D174" s="9"/>
      <c r="E174" s="10"/>
      <c r="F174" s="8"/>
      <c r="G174" s="8" t="str">
        <f>IF($B174="","",IF(COUNTIF('Competency Event Log'!$U$4:$U$803,$B174&amp;"|"&amp;G$5)=0,"",SUMIF('Competency Event Log'!$U$4:$U$803,$B174&amp;"|"&amp;G$5,'Competency Event Log'!$D$4:$D$803)))</f>
        <v/>
      </c>
      <c r="H174" s="8" t="str">
        <f>IF($B174="","",IF(COUNTIF('Competency Event Log'!$U$4:$U$803,$B174&amp;"|"&amp;H$5)=0,"",SUMIF('Competency Event Log'!$U$4:$U$803,$B174&amp;"|"&amp;H$5,'Competency Event Log'!$D$4:$D$803)))</f>
        <v/>
      </c>
      <c r="I174" s="8" t="str">
        <f>IF($B174="","",IF(COUNTIF('Competency Event Log'!$U$4:$U$803,$B174&amp;"|"&amp;I$5)=0,"",SUMIF('Competency Event Log'!$U$4:$U$803,$B174&amp;"|"&amp;I$5,'Competency Event Log'!$D$4:$D$803)))</f>
        <v/>
      </c>
      <c r="J174" s="8" t="str">
        <f>IF($B174="","",IF(COUNTIF('Competency Event Log'!$U$4:$U$803,$B174&amp;"|"&amp;J$5)=0,"",SUMIF('Competency Event Log'!$U$4:$U$803,$B174&amp;"|"&amp;J$5,'Competency Event Log'!$D$4:$D$803)))</f>
        <v/>
      </c>
      <c r="K174" s="8" t="str">
        <f>IF($B174="","",IF(COUNTIF('Competency Event Log'!$U$4:$U$803,$B174&amp;"|"&amp;K$5)=0,"",SUMIF('Competency Event Log'!$U$4:$U$803,$B174&amp;"|"&amp;K$5,'Competency Event Log'!$D$4:$D$803)))</f>
        <v/>
      </c>
      <c r="L174" s="8" t="str">
        <f>IF($B174="","",IF(COUNTIF('Competency Event Log'!$U$4:$U$803,$B174&amp;"|"&amp;L$5)=0,"",SUMIF('Competency Event Log'!$U$4:$U$803,$B174&amp;"|"&amp;L$5,'Competency Event Log'!$D$4:$D$803)))</f>
        <v/>
      </c>
      <c r="M174" s="8" t="str">
        <f>IF($B174="","",IF(COUNTIF('Competency Event Log'!$U$4:$U$803,$B174&amp;"|"&amp;M$5)=0,"",SUMIF('Competency Event Log'!$U$4:$U$803,$B174&amp;"|"&amp;M$5,'Competency Event Log'!$D$4:$D$803)))</f>
        <v/>
      </c>
      <c r="N174" s="8" t="str">
        <f>IF($B174="","",IF(COUNTIF('Competency Event Log'!$U$4:$U$803,$B174&amp;"|"&amp;N$5)=0,"",SUMIF('Competency Event Log'!$U$4:$U$803,$B174&amp;"|"&amp;N$5,'Competency Event Log'!$D$4:$D$803)))</f>
        <v/>
      </c>
      <c r="O174" s="8" t="str">
        <f>IF($B174="","",IF(COUNTIF('Competency Event Log'!$U$4:$U$803,$B174&amp;"|"&amp;O$5)=0,"",SUMIF('Competency Event Log'!$U$4:$U$803,$B174&amp;"|"&amp;O$5,'Competency Event Log'!$D$4:$D$803)))</f>
        <v/>
      </c>
      <c r="P174" s="8" t="str">
        <f>IF($B174="","",IF(COUNTIF('Competency Event Log'!$U$4:$U$803,$B174&amp;"|"&amp;P$5)=0,"",SUMIF('Competency Event Log'!$U$4:$U$803,$B174&amp;"|"&amp;P$5,'Competency Event Log'!$D$4:$D$803)))</f>
        <v/>
      </c>
      <c r="Q174" s="8" t="str">
        <f>IF($B174="","",IF(COUNTIF('Competency Event Log'!$U$4:$U$803,$B174&amp;"|"&amp;Q$5)=0,"",SUMIF('Competency Event Log'!$U$4:$U$803,$B174&amp;"|"&amp;Q$5,'Competency Event Log'!$D$4:$D$803)))</f>
        <v/>
      </c>
      <c r="R174" s="8" t="str">
        <f>IF($B174="","",IF(COUNTIF('Competency Event Log'!$U$4:$U$803,$B174&amp;"|"&amp;R$5)=0,"",SUMIF('Competency Event Log'!$U$4:$U$803,$B174&amp;"|"&amp;R$5,'Competency Event Log'!$D$4:$D$803)))</f>
        <v/>
      </c>
      <c r="S174" s="8" t="str">
        <f>IF($B174="","",IF(COUNTIF('Competency Event Log'!$U$4:$U$803,$B174&amp;"|"&amp;S$5)=0,"",SUMIF('Competency Event Log'!$U$4:$U$803,$B174&amp;"|"&amp;S$5,'Competency Event Log'!$D$4:$D$803)))</f>
        <v/>
      </c>
      <c r="T174" s="8" t="str">
        <f>IF($B174="","",IF(COUNTIF('Competency Event Log'!$U$4:$U$803,$B174&amp;"|"&amp;T$5)=0,"",SUMIF('Competency Event Log'!$U$4:$U$803,$B174&amp;"|"&amp;T$5,'Competency Event Log'!$D$4:$D$803)))</f>
        <v/>
      </c>
      <c r="U174" s="8" t="str">
        <f>IF($B174="","",IF(COUNTIF('Competency Event Log'!$U$4:$U$803,$B174&amp;"|"&amp;U$5)=0,"",SUMIF('Competency Event Log'!$U$4:$U$803,$B174&amp;"|"&amp;U$5,'Competency Event Log'!$D$4:$D$803)))</f>
        <v/>
      </c>
      <c r="V174" s="8" t="str">
        <f>IF($B174="","",IF(COUNTIF('Competency Event Log'!$U$4:$U$803,$B174&amp;"|"&amp;V$5)=0,"",SUMIF('Competency Event Log'!$U$4:$U$803,$B174&amp;"|"&amp;V$5,'Competency Event Log'!$D$4:$D$803)))</f>
        <v/>
      </c>
      <c r="W174" s="8" t="str">
        <f>IF($B174="","",IF(COUNTIF('Competency Event Log'!$U$4:$U$803,$B174&amp;"|"&amp;W$5)=0,"",SUMIF('Competency Event Log'!$U$4:$U$803,$B174&amp;"|"&amp;W$5,'Competency Event Log'!$D$4:$D$803)))</f>
        <v/>
      </c>
      <c r="X174" s="8" t="str">
        <f>IF($B174="","",IF(COUNTIF('Competency Event Log'!$U$4:$U$803,$B174&amp;"|"&amp;X$5)=0,"",SUMIF('Competency Event Log'!$U$4:$U$803,$B174&amp;"|"&amp;X$5,'Competency Event Log'!$D$4:$D$803)))</f>
        <v/>
      </c>
      <c r="Y174" s="8" t="str">
        <f>IF($B174="","",IF(COUNTIF('Competency Event Log'!$U$4:$U$803,$B174&amp;"|"&amp;Y$5)=0,"",SUMIF('Competency Event Log'!$U$4:$U$803,$B174&amp;"|"&amp;Y$5,'Competency Event Log'!$D$4:$D$803)))</f>
        <v/>
      </c>
      <c r="Z174" s="8" t="str">
        <f>IF($B174="","",IF(COUNTIF('Competency Event Log'!$U$4:$U$803,$B174&amp;"|"&amp;Z$5)=0,"",SUMIF('Competency Event Log'!$U$4:$U$803,$B174&amp;"|"&amp;Z$5,'Competency Event Log'!$D$4:$D$803)))</f>
        <v/>
      </c>
      <c r="AA174" s="8" t="str">
        <f>IF($B174="","",IF(COUNTIF('Competency Event Log'!$U$4:$U$803,$B174&amp;"|"&amp;AA$5)=0,"",SUMIF('Competency Event Log'!$U$4:$U$803,$B174&amp;"|"&amp;AA$5,'Competency Event Log'!$D$4:$D$803)))</f>
        <v/>
      </c>
      <c r="AB174" s="8" t="str">
        <f>IF($B174="","",IF(COUNTIF('Competency Event Log'!$U$4:$U$803,$B174&amp;"|"&amp;AB$5)=0,"",SUMIF('Competency Event Log'!$U$4:$U$803,$B174&amp;"|"&amp;AB$5,'Competency Event Log'!$D$4:$D$803)))</f>
        <v/>
      </c>
      <c r="AC174" s="8" t="str">
        <f>IF($B174="","",IF(COUNTIF('Competency Event Log'!$U$4:$U$803,$B174&amp;"|"&amp;AC$5)=0,"",SUMIF('Competency Event Log'!$U$4:$U$803,$B174&amp;"|"&amp;AC$5,'Competency Event Log'!$D$4:$D$803)))</f>
        <v/>
      </c>
      <c r="AD174" s="8" t="str">
        <f>IF($B174="","",IF(COUNTIF('Competency Event Log'!$U$4:$U$803,$B174&amp;"|"&amp;AD$5)=0,"",SUMIF('Competency Event Log'!$U$4:$U$803,$B174&amp;"|"&amp;AD$5,'Competency Event Log'!$D$4:$D$803)))</f>
        <v/>
      </c>
      <c r="AE174" s="8" t="str">
        <f>IF($B174="","",IF(COUNTIF('Competency Event Log'!$U$4:$U$803,$B174&amp;"|"&amp;AE$5)=0,"",SUMIF('Competency Event Log'!$U$4:$U$803,$B174&amp;"|"&amp;AE$5,'Competency Event Log'!$D$4:$D$803)))</f>
        <v/>
      </c>
      <c r="AF174" s="8" t="str">
        <f>IF($B174="","",IF(COUNTIF('Competency Event Log'!$U$4:$U$803,$B174&amp;"|"&amp;AF$5)=0,"",SUMIF('Competency Event Log'!$U$4:$U$803,$B174&amp;"|"&amp;AF$5,'Competency Event Log'!$D$4:$D$803)))</f>
        <v/>
      </c>
      <c r="AG174" s="8" t="str">
        <f>IF($B174="","",IF(COUNTIF('Competency Event Log'!$U$4:$U$803,$B174&amp;"|"&amp;AG$5)=0,"",SUMIF('Competency Event Log'!$U$4:$U$803,$B174&amp;"|"&amp;AG$5,'Competency Event Log'!$D$4:$D$803)))</f>
        <v/>
      </c>
      <c r="AH174" s="8" t="str">
        <f>IF($B174="","",IF(COUNTIF('Competency Event Log'!$U$4:$U$803,$B174&amp;"|"&amp;AH$5)=0,"",SUMIF('Competency Event Log'!$U$4:$U$803,$B174&amp;"|"&amp;AH$5,'Competency Event Log'!$D$4:$D$803)))</f>
        <v/>
      </c>
      <c r="AI174" s="8" t="str">
        <f>IF($B174="","",IF(COUNTIF('Competency Event Log'!$U$4:$U$803,$B174&amp;"|"&amp;AI$5)=0,"",SUMIF('Competency Event Log'!$U$4:$U$803,$B174&amp;"|"&amp;AI$5,'Competency Event Log'!$D$4:$D$803)))</f>
        <v/>
      </c>
      <c r="AJ174" s="8" t="str">
        <f>IF($B174="","",IF(COUNTIF('Competency Event Log'!$U$4:$U$803,$B174&amp;"|"&amp;AJ$5)=0,"",SUMIF('Competency Event Log'!$U$4:$U$803,$B174&amp;"|"&amp;AJ$5,'Competency Event Log'!$D$4:$D$803)))</f>
        <v/>
      </c>
      <c r="AK174" s="8" t="str">
        <f>IF($B174="","",IF(COUNTIF('Competency Event Log'!$U$4:$U$803,$B174&amp;"|"&amp;AK$5)=0,"",SUMIF('Competency Event Log'!$U$4:$U$803,$B174&amp;"|"&amp;AK$5,'Competency Event Log'!$D$4:$D$803)))</f>
        <v/>
      </c>
      <c r="AL174" s="8" t="str">
        <f>IF($B174="","",IF(COUNTIF('Competency Event Log'!$U$4:$U$803,$B174&amp;"|"&amp;AL$5)=0,"",SUMIF('Competency Event Log'!$U$4:$U$803,$B174&amp;"|"&amp;AL$5,'Competency Event Log'!$D$4:$D$803)))</f>
        <v/>
      </c>
      <c r="AM174" s="8" t="str">
        <f>IF($B174="","",IF(COUNTIF('Competency Event Log'!$U$4:$U$803,$B174&amp;"|"&amp;AM$5)=0,"",SUMIF('Competency Event Log'!$U$4:$U$803,$B174&amp;"|"&amp;AM$5,'Competency Event Log'!$D$4:$D$803)))</f>
        <v/>
      </c>
      <c r="AN174" s="8" t="str">
        <f>IF($B174="","",IF(COUNTIF('Competency Event Log'!$U$4:$U$803,$B174&amp;"|"&amp;AN$5)=0,"",SUMIF('Competency Event Log'!$U$4:$U$803,$B174&amp;"|"&amp;AN$5,'Competency Event Log'!$D$4:$D$803)))</f>
        <v/>
      </c>
      <c r="AO174" s="8" t="str">
        <f>IF($B174="","",IF(COUNTIF('Competency Event Log'!$U$4:$U$803,$B174&amp;"|"&amp;AO$5)=0,"",SUMIF('Competency Event Log'!$U$4:$U$803,$B174&amp;"|"&amp;AO$5,'Competency Event Log'!$D$4:$D$803)))</f>
        <v/>
      </c>
      <c r="AP174" s="8" t="str">
        <f>IF($B174="","",IF(COUNTIF('Competency Event Log'!$U$4:$U$803,$B174&amp;"|"&amp;AP$5)=0,"",SUMIF('Competency Event Log'!$U$4:$U$803,$B174&amp;"|"&amp;AP$5,'Competency Event Log'!$D$4:$D$803)))</f>
        <v/>
      </c>
      <c r="AQ174" s="8" t="str">
        <f>IF($B174="","",IF(COUNTIF('Competency Event Log'!$U$4:$U$803,$B174&amp;"|"&amp;AQ$5)=0,"",SUMIF('Competency Event Log'!$U$4:$U$803,$B174&amp;"|"&amp;AQ$5,'Competency Event Log'!$D$4:$D$803)))</f>
        <v/>
      </c>
      <c r="AR174" s="8" t="str">
        <f>IF($B174="","",IF(COUNTIF('Competency Event Log'!$U$4:$U$803,$B174&amp;"|"&amp;AR$5)=0,"",SUMIF('Competency Event Log'!$U$4:$U$803,$B174&amp;"|"&amp;AR$5,'Competency Event Log'!$D$4:$D$803)))</f>
        <v/>
      </c>
      <c r="AS174" s="8" t="str">
        <f>IF($B174="","",IF(COUNTIF('Competency Event Log'!$U$4:$U$803,$B174&amp;"|"&amp;AS$5)=0,"",SUMIF('Competency Event Log'!$U$4:$U$803,$B174&amp;"|"&amp;AS$5,'Competency Event Log'!$D$4:$D$803)))</f>
        <v/>
      </c>
      <c r="AT174" s="8" t="str">
        <f>IF($B174="","",IF(COUNTIF('Competency Event Log'!$U$4:$U$803,$B174&amp;"|"&amp;AT$5)=0,"",SUMIF('Competency Event Log'!$U$4:$U$803,$B174&amp;"|"&amp;AT$5,'Competency Event Log'!$D$4:$D$803)))</f>
        <v/>
      </c>
      <c r="AU174" s="8" t="str">
        <f>IF($B174="","",IF(COUNTIF('Competency Event Log'!$U$4:$U$803,$B174&amp;"|"&amp;AU$5)=0,"",SUMIF('Competency Event Log'!$U$4:$U$803,$B174&amp;"|"&amp;AU$5,'Competency Event Log'!$D$4:$D$803)))</f>
        <v/>
      </c>
      <c r="AV174" s="8" t="str">
        <f>IF($B174="","",IF(COUNTIF('Competency Event Log'!$U$4:$U$803,$B174&amp;"|"&amp;AV$5)=0,"",SUMIF('Competency Event Log'!$U$4:$U$803,$B174&amp;"|"&amp;AV$5,'Competency Event Log'!$D$4:$D$803)))</f>
        <v/>
      </c>
      <c r="AW174" s="8" t="str">
        <f>IF($B174="","",IF(COUNTIF('Competency Event Log'!$U$4:$U$803,$B174&amp;"|"&amp;AW$5)=0,"",SUMIF('Competency Event Log'!$U$4:$U$803,$B174&amp;"|"&amp;AW$5,'Competency Event Log'!$D$4:$D$803)))</f>
        <v/>
      </c>
      <c r="AX174" s="8" t="str">
        <f>IF($B174="","",IF(COUNTIF('Competency Event Log'!$U$4:$U$803,$B174&amp;"|"&amp;AX$5)=0,"",SUMIF('Competency Event Log'!$U$4:$U$803,$B174&amp;"|"&amp;AX$5,'Competency Event Log'!$D$4:$D$803)))</f>
        <v/>
      </c>
      <c r="AY174" s="8" t="str">
        <f>IF($B174="","",IF(COUNTIF('Competency Event Log'!$U$4:$U$803,$B174&amp;"|"&amp;AY$5)=0,"",SUMIF('Competency Event Log'!$U$4:$U$803,$B174&amp;"|"&amp;AY$5,'Competency Event Log'!$D$4:$D$803)))</f>
        <v/>
      </c>
      <c r="AZ174" s="8" t="str">
        <f>IF($B174="","",IF(COUNTIF('Competency Event Log'!$U$4:$U$803,$B174&amp;"|"&amp;AZ$5)=0,"",SUMIF('Competency Event Log'!$U$4:$U$803,$B174&amp;"|"&amp;AZ$5,'Competency Event Log'!$D$4:$D$803)))</f>
        <v/>
      </c>
      <c r="BA174" s="8" t="str">
        <f>IF($B174="","",IF(COUNTIF('Competency Event Log'!$U$4:$U$803,$B174&amp;"|"&amp;BA$5)=0,"",SUMIF('Competency Event Log'!$U$4:$U$803,$B174&amp;"|"&amp;BA$5,'Competency Event Log'!$D$4:$D$803)))</f>
        <v/>
      </c>
      <c r="BB174" s="8" t="str">
        <f>IF($B174="","",IF(COUNTIF('Competency Event Log'!$U$4:$U$803,$B174&amp;"|"&amp;BB$5)=0,"",SUMIF('Competency Event Log'!$U$4:$U$803,$B174&amp;"|"&amp;BB$5,'Competency Event Log'!$D$4:$D$803)))</f>
        <v/>
      </c>
      <c r="BC174" s="8" t="str">
        <f>IF($B174="","",IF(COUNTIF('Competency Event Log'!$U$4:$U$803,$B174&amp;"|"&amp;BC$5)=0,"",SUMIF('Competency Event Log'!$U$4:$U$803,$B174&amp;"|"&amp;BC$5,'Competency Event Log'!$D$4:$D$803)))</f>
        <v/>
      </c>
      <c r="BD174" s="8" t="str">
        <f>IF($B174="","",IF(COUNTIF('Competency Event Log'!$U$4:$U$803,$B174&amp;"|"&amp;BD$5)=0,"",SUMIF('Competency Event Log'!$U$4:$U$803,$B174&amp;"|"&amp;BD$5,'Competency Event Log'!$D$4:$D$803)))</f>
        <v/>
      </c>
      <c r="BE174" s="8" t="str">
        <f>IF($B174="","",IF(COUNTIF('Competency Event Log'!$U$4:$U$803,$B174&amp;"|"&amp;BE$5)=0,"",SUMIF('Competency Event Log'!$U$4:$U$803,$B174&amp;"|"&amp;BE$5,'Competency Event Log'!$D$4:$D$803)))</f>
        <v/>
      </c>
      <c r="BF174" s="8" t="str">
        <f>IF($B174="","",IF(COUNTIF('Competency Event Log'!$U$4:$U$803,$B174&amp;"|"&amp;BF$5)=0,"",SUMIF('Competency Event Log'!$U$4:$U$803,$B174&amp;"|"&amp;BF$5,'Competency Event Log'!$D$4:$D$803)))</f>
        <v/>
      </c>
      <c r="BG174" s="8" t="str">
        <f>IF($B174="","",IF(COUNTIF('Competency Event Log'!$U$4:$U$803,$B174&amp;"|"&amp;BG$5)=0,"",SUMIF('Competency Event Log'!$U$4:$U$803,$B174&amp;"|"&amp;BG$5,'Competency Event Log'!$D$4:$D$803)))</f>
        <v/>
      </c>
      <c r="BH174" s="8" t="str">
        <f>IF($B174="","",IF(COUNTIF('Competency Event Log'!$U$4:$U$803,$B174&amp;"|"&amp;BH$5)=0,"",SUMIF('Competency Event Log'!$U$4:$U$803,$B174&amp;"|"&amp;BH$5,'Competency Event Log'!$D$4:$D$803)))</f>
        <v/>
      </c>
      <c r="BI174" s="8" t="str">
        <f>IF($B174="","",IF(COUNTIF('Competency Event Log'!$U$4:$U$803,$B174&amp;"|"&amp;BI$5)=0,"",SUMIF('Competency Event Log'!$U$4:$U$803,$B174&amp;"|"&amp;BI$5,'Competency Event Log'!$D$4:$D$803)))</f>
        <v/>
      </c>
      <c r="BJ174" s="8" t="str">
        <f>IF($B174="","",IF(COUNTIF('Competency Event Log'!$U$4:$U$803,$B174&amp;"|"&amp;BJ$5)=0,"",SUMIF('Competency Event Log'!$U$4:$U$803,$B174&amp;"|"&amp;BJ$5,'Competency Event Log'!$D$4:$D$803)))</f>
        <v/>
      </c>
      <c r="BK174" s="8" t="str">
        <f>IF($B174="","",IF(COUNTIF('Competency Event Log'!$U$4:$U$803,$B174&amp;"|"&amp;BK$5)=0,"",SUMIF('Competency Event Log'!$U$4:$U$803,$B174&amp;"|"&amp;BK$5,'Competency Event Log'!$D$4:$D$803)))</f>
        <v/>
      </c>
      <c r="BL174" s="8" t="str">
        <f>IF($B174="","",IF(COUNTIF('Competency Event Log'!$U$4:$U$803,$B174&amp;"|"&amp;BL$5)=0,"",SUMIF('Competency Event Log'!$U$4:$U$803,$B174&amp;"|"&amp;BL$5,'Competency Event Log'!$D$4:$D$803)))</f>
        <v/>
      </c>
      <c r="BM174" s="8" t="str">
        <f>IF($B174="","",IF(COUNTIF('Competency Event Log'!$U$4:$U$803,$B174&amp;"|"&amp;BM$5)=0,"",SUMIF('Competency Event Log'!$U$4:$U$803,$B174&amp;"|"&amp;BM$5,'Competency Event Log'!$D$4:$D$803)))</f>
        <v/>
      </c>
      <c r="BN174" s="8" t="str">
        <f>IF($B174="","",IF(COUNTIF('Competency Event Log'!$U$4:$U$803,$B174&amp;"|"&amp;BN$5)=0,"",SUMIF('Competency Event Log'!$U$4:$U$803,$B174&amp;"|"&amp;BN$5,'Competency Event Log'!$D$4:$D$803)))</f>
        <v/>
      </c>
      <c r="BO174" s="8" t="str">
        <f>IF($B174="","",IF(COUNTIF('Competency Event Log'!$U$4:$U$803,$B174&amp;"|"&amp;BO$5)=0,"",SUMIF('Competency Event Log'!$U$4:$U$803,$B174&amp;"|"&amp;BO$5,'Competency Event Log'!$D$4:$D$803)))</f>
        <v/>
      </c>
      <c r="BP174" s="8" t="str">
        <f>IF($B174="","",IF(COUNTIF('Competency Event Log'!$U$4:$U$803,$B174&amp;"|"&amp;BP$5)=0,"",SUMIF('Competency Event Log'!$U$4:$U$803,$B174&amp;"|"&amp;BP$5,'Competency Event Log'!$D$4:$D$803)))</f>
        <v/>
      </c>
      <c r="BQ174" s="8" t="str">
        <f>IF($B174="","",IF(COUNTIF('Competency Event Log'!$U$4:$U$803,$B174&amp;"|"&amp;BQ$5)=0,"",SUMIF('Competency Event Log'!$U$4:$U$803,$B174&amp;"|"&amp;BQ$5,'Competency Event Log'!$D$4:$D$803)))</f>
        <v/>
      </c>
      <c r="BR174" s="8" t="str">
        <f>IF($B174="","",IF(COUNTIF('Competency Event Log'!$U$4:$U$803,$B174&amp;"|"&amp;BR$5)=0,"",SUMIF('Competency Event Log'!$U$4:$U$803,$B174&amp;"|"&amp;BR$5,'Competency Event Log'!$D$4:$D$803)))</f>
        <v/>
      </c>
      <c r="BS174" s="8" t="str">
        <f>IF($B174="","",IF(COUNTIF('Competency Event Log'!$U$4:$U$803,$B174&amp;"|"&amp;BS$5)=0,"",SUMIF('Competency Event Log'!$U$4:$U$803,$B174&amp;"|"&amp;BS$5,'Competency Event Log'!$D$4:$D$803)))</f>
        <v/>
      </c>
      <c r="BT174" s="8" t="str">
        <f>IF($B174="","",IF(COUNTIF('Competency Event Log'!$U$4:$U$803,$B174&amp;"|"&amp;BT$5)=0,"",SUMIF('Competency Event Log'!$U$4:$U$803,$B174&amp;"|"&amp;BT$5,'Competency Event Log'!$D$4:$D$803)))</f>
        <v/>
      </c>
      <c r="BU174" s="8" t="str">
        <f>IF($B174="","",IF(COUNTIF('Competency Event Log'!$U$4:$U$803,$B174&amp;"|"&amp;BU$5)=0,"",SUMIF('Competency Event Log'!$U$4:$U$803,$B174&amp;"|"&amp;BU$5,'Competency Event Log'!$D$4:$D$803)))</f>
        <v/>
      </c>
      <c r="BV174" s="8" t="str">
        <f>IF($B174="","",IF(COUNTIF('Competency Event Log'!$U$4:$U$803,$B174&amp;"|"&amp;BV$5)=0,"",SUMIF('Competency Event Log'!$U$4:$U$803,$B174&amp;"|"&amp;BV$5,'Competency Event Log'!$D$4:$D$803)))</f>
        <v/>
      </c>
      <c r="BW174" s="8" t="str">
        <f>IF($B174="","",IF(COUNTIF('Competency Event Log'!$U$4:$U$803,$B174&amp;"|"&amp;BW$5)=0,"",SUMIF('Competency Event Log'!$U$4:$U$803,$B174&amp;"|"&amp;BW$5,'Competency Event Log'!$D$4:$D$803)))</f>
        <v/>
      </c>
      <c r="BX174" s="8" t="str">
        <f>IF($B174="","",IF(COUNTIF('Competency Event Log'!$U$4:$U$803,$B174&amp;"|"&amp;BX$5)=0,"",SUMIF('Competency Event Log'!$U$4:$U$803,$B174&amp;"|"&amp;BX$5,'Competency Event Log'!$D$4:$D$803)))</f>
        <v/>
      </c>
      <c r="BY174" s="8" t="str">
        <f>IF($B174="","",IF(COUNTIF('Competency Event Log'!$U$4:$U$803,$B174&amp;"|"&amp;BY$5)=0,"",SUMIF('Competency Event Log'!$U$4:$U$803,$B174&amp;"|"&amp;BY$5,'Competency Event Log'!$D$4:$D$803)))</f>
        <v/>
      </c>
      <c r="BZ174" s="8" t="str">
        <f>IF($B174="","",IF(COUNTIF('Competency Event Log'!$U$4:$U$803,$B174&amp;"|"&amp;BZ$5)=0,"",SUMIF('Competency Event Log'!$U$4:$U$803,$B174&amp;"|"&amp;BZ$5,'Competency Event Log'!$D$4:$D$803)))</f>
        <v/>
      </c>
      <c r="CA174" s="8" t="str">
        <f>IF($B174="","",IF(COUNTIF('Competency Event Log'!$U$4:$U$803,$B174&amp;"|"&amp;CA$5)=0,"",SUMIF('Competency Event Log'!$U$4:$U$803,$B174&amp;"|"&amp;CA$5,'Competency Event Log'!$D$4:$D$803)))</f>
        <v/>
      </c>
      <c r="CB174" s="8" t="str">
        <f>IF($B174="","",IF(COUNTIF('Competency Event Log'!$U$4:$U$803,$B174&amp;"|"&amp;CB$5)=0,"",SUMIF('Competency Event Log'!$U$4:$U$803,$B174&amp;"|"&amp;CB$5,'Competency Event Log'!$D$4:$D$803)))</f>
        <v/>
      </c>
      <c r="CC174" s="8" t="str">
        <f>IF($B174="","",IF(COUNTIF('Competency Event Log'!$U$4:$U$803,$B174&amp;"|"&amp;CC$5)=0,"",SUMIF('Competency Event Log'!$U$4:$U$803,$B174&amp;"|"&amp;CC$5,'Competency Event Log'!$D$4:$D$803)))</f>
        <v/>
      </c>
      <c r="CD174" s="8" t="str">
        <f>IF($B174="","",IF(COUNTIF('Competency Event Log'!$U$4:$U$803,$B174&amp;"|"&amp;CD$5)=0,"",SUMIF('Competency Event Log'!$U$4:$U$803,$B174&amp;"|"&amp;CD$5,'Competency Event Log'!$D$4:$D$803)))</f>
        <v/>
      </c>
      <c r="CE174" s="8" t="str">
        <f>IF($B174="","",IF(COUNTIF('Competency Event Log'!$U$4:$U$803,$B174&amp;"|"&amp;CE$5)=0,"",SUMIF('Competency Event Log'!$U$4:$U$803,$B174&amp;"|"&amp;CE$5,'Competency Event Log'!$D$4:$D$803)))</f>
        <v/>
      </c>
      <c r="CF174" s="8" t="str">
        <f>IF($B174="","",IF(COUNTIF('Competency Event Log'!$U$4:$U$803,$B174&amp;"|"&amp;CF$5)=0,"",SUMIF('Competency Event Log'!$U$4:$U$803,$B174&amp;"|"&amp;CF$5,'Competency Event Log'!$D$4:$D$803)))</f>
        <v/>
      </c>
      <c r="CG174" s="8" t="str">
        <f>IF($B174="","",IF(COUNTIF('Competency Event Log'!$U$4:$U$803,$B174&amp;"|"&amp;CG$5)=0,"",SUMIF('Competency Event Log'!$U$4:$U$803,$B174&amp;"|"&amp;CG$5,'Competency Event Log'!$D$4:$D$803)))</f>
        <v/>
      </c>
      <c r="CH174" s="8" t="str">
        <f>IF($B174="","",IF(COUNTIF('Competency Event Log'!$U$4:$U$803,$B174&amp;"|"&amp;CH$5)=0,"",SUMIF('Competency Event Log'!$U$4:$U$803,$B174&amp;"|"&amp;CH$5,'Competency Event Log'!$D$4:$D$803)))</f>
        <v/>
      </c>
      <c r="CI174" s="8" t="str">
        <f>IF($B174="","",IF(COUNTIF('Competency Event Log'!$U$4:$U$803,$B174&amp;"|"&amp;CI$5)=0,"",SUMIF('Competency Event Log'!$U$4:$U$803,$B174&amp;"|"&amp;CI$5,'Competency Event Log'!$D$4:$D$803)))</f>
        <v/>
      </c>
      <c r="CJ174" s="8" t="str">
        <f>IF($B174="","",IF(COUNTIF('Competency Event Log'!$U$4:$U$803,$B174&amp;"|"&amp;CJ$5)=0,"",SUMIF('Competency Event Log'!$U$4:$U$803,$B174&amp;"|"&amp;CJ$5,'Competency Event Log'!$D$4:$D$803)))</f>
        <v/>
      </c>
      <c r="CK174" s="8" t="str">
        <f>IF($B174="","",IF(COUNTIF('Competency Event Log'!$U$4:$U$803,$B174&amp;"|"&amp;CK$5)=0,"",SUMIF('Competency Event Log'!$U$4:$U$803,$B174&amp;"|"&amp;CK$5,'Competency Event Log'!$D$4:$D$803)))</f>
        <v/>
      </c>
      <c r="CL174" s="8" t="str">
        <f>IF($B174="","",IF(COUNTIF('Competency Event Log'!$U$4:$U$803,$B174&amp;"|"&amp;CL$5)=0,"",SUMIF('Competency Event Log'!$U$4:$U$803,$B174&amp;"|"&amp;CL$5,'Competency Event Log'!$D$4:$D$803)))</f>
        <v/>
      </c>
      <c r="CM174" s="8" t="str">
        <f>IF($B174="","",IF(COUNTIF('Competency Event Log'!$U$4:$U$803,$B174&amp;"|"&amp;CM$5)=0,"",SUMIF('Competency Event Log'!$U$4:$U$803,$B174&amp;"|"&amp;CM$5,'Competency Event Log'!$D$4:$D$803)))</f>
        <v/>
      </c>
      <c r="CN174" s="8" t="str">
        <f>IF($B174="","",IF(COUNTIF('Competency Event Log'!$U$4:$U$803,$B174&amp;"|"&amp;CN$5)=0,"",SUMIF('Competency Event Log'!$U$4:$U$803,$B174&amp;"|"&amp;CN$5,'Competency Event Log'!$D$4:$D$803)))</f>
        <v/>
      </c>
      <c r="CO174" s="8" t="str">
        <f>IF($B174="","",IF(COUNTIF('Competency Event Log'!$U$4:$U$803,$B174&amp;"|"&amp;CO$5)=0,"",SUMIF('Competency Event Log'!$U$4:$U$803,$B174&amp;"|"&amp;CO$5,'Competency Event Log'!$D$4:$D$803)))</f>
        <v/>
      </c>
      <c r="CP174" s="8" t="str">
        <f>IF($B174="","",IF(COUNTIF('Competency Event Log'!$U$4:$U$803,$B174&amp;"|"&amp;CP$5)=0,"",SUMIF('Competency Event Log'!$U$4:$U$803,$B174&amp;"|"&amp;CP$5,'Competency Event Log'!$D$4:$D$803)))</f>
        <v/>
      </c>
      <c r="CQ174" s="8" t="str">
        <f>IF($B174="","",IF(COUNTIF('Competency Event Log'!$U$4:$U$803,$B174&amp;"|"&amp;CQ$5)=0,"",SUMIF('Competency Event Log'!$U$4:$U$803,$B174&amp;"|"&amp;CQ$5,'Competency Event Log'!$D$4:$D$803)))</f>
        <v/>
      </c>
      <c r="CR174" s="8" t="str">
        <f>IF($B174="","",IF(COUNTIF('Competency Event Log'!$U$4:$U$803,$B174&amp;"|"&amp;CR$5)=0,"",SUMIF('Competency Event Log'!$U$4:$U$803,$B174&amp;"|"&amp;CR$5,'Competency Event Log'!$D$4:$D$803)))</f>
        <v/>
      </c>
      <c r="CS174" s="8" t="str">
        <f>IF($B174="","",IF(COUNTIF('Competency Event Log'!$U$4:$U$803,$B174&amp;"|"&amp;CS$5)=0,"",SUMIF('Competency Event Log'!$U$4:$U$803,$B174&amp;"|"&amp;CS$5,'Competency Event Log'!$D$4:$D$803)))</f>
        <v/>
      </c>
      <c r="CT174" s="8" t="str">
        <f>IF($B174="","",IF(COUNTIF('Competency Event Log'!$U$4:$U$803,$B174&amp;"|"&amp;CT$5)=0,"",SUMIF('Competency Event Log'!$U$4:$U$803,$B174&amp;"|"&amp;CT$5,'Competency Event Log'!$D$4:$D$803)))</f>
        <v/>
      </c>
      <c r="CU174" s="8" t="str">
        <f>IF($B174="","",IF(COUNTIF('Competency Event Log'!$U$4:$U$803,$B174&amp;"|"&amp;CU$5)=0,"",SUMIF('Competency Event Log'!$U$4:$U$803,$B174&amp;"|"&amp;CU$5,'Competency Event Log'!$D$4:$D$803)))</f>
        <v/>
      </c>
      <c r="CV174" s="8" t="str">
        <f>IF($B174="","",IF(COUNTIF('Competency Event Log'!$U$4:$U$803,$B174&amp;"|"&amp;CV$5)=0,"",SUMIF('Competency Event Log'!$U$4:$U$803,$B174&amp;"|"&amp;CV$5,'Competency Event Log'!$D$4:$D$803)))</f>
        <v/>
      </c>
      <c r="CW174" s="8" t="str">
        <f>IF($B174="","",IF(COUNTIF('Competency Event Log'!$U$4:$U$803,$B174&amp;"|"&amp;CW$5)=0,"",SUMIF('Competency Event Log'!$U$4:$U$803,$B174&amp;"|"&amp;CW$5,'Competency Event Log'!$D$4:$D$803)))</f>
        <v/>
      </c>
      <c r="CX174" s="8" t="str">
        <f>IF($B174="","",IF(COUNTIF('Competency Event Log'!$U$4:$U$803,$B174&amp;"|"&amp;CX$5)=0,"",SUMIF('Competency Event Log'!$U$4:$U$803,$B174&amp;"|"&amp;CX$5,'Competency Event Log'!$D$4:$D$803)))</f>
        <v/>
      </c>
      <c r="CY174" s="8" t="str">
        <f>IF($B174="","",IF(COUNTIF('Competency Event Log'!$U$4:$U$803,$B174&amp;"|"&amp;CY$5)=0,"",SUMIF('Competency Event Log'!$U$4:$U$803,$B174&amp;"|"&amp;CY$5,'Competency Event Log'!$D$4:$D$803)))</f>
        <v/>
      </c>
      <c r="CZ174" s="8" t="str">
        <f>IF($B174="","",IF(COUNTIF('Competency Event Log'!$U$4:$U$803,$B174&amp;"|"&amp;CZ$5)=0,"",SUMIF('Competency Event Log'!$U$4:$U$803,$B174&amp;"|"&amp;CZ$5,'Competency Event Log'!$D$4:$D$803)))</f>
        <v/>
      </c>
      <c r="DA174" s="8" t="str">
        <f>IF($B174="","",IF(COUNTIF('Competency Event Log'!$U$4:$U$803,$B174&amp;"|"&amp;DA$5)=0,"",SUMIF('Competency Event Log'!$U$4:$U$803,$B174&amp;"|"&amp;DA$5,'Competency Event Log'!$D$4:$D$803)))</f>
        <v/>
      </c>
      <c r="DB174" s="8" t="str">
        <f>IF($B174="","",IF(COUNTIF('Competency Event Log'!$U$4:$U$803,$B174&amp;"|"&amp;DB$5)=0,"",SUMIF('Competency Event Log'!$U$4:$U$803,$B174&amp;"|"&amp;DB$5,'Competency Event Log'!$D$4:$D$803)))</f>
        <v/>
      </c>
      <c r="DC174" s="8" t="str">
        <f>IF($B174="","",IF(COUNTIF('Competency Event Log'!$U$4:$U$803,$B174&amp;"|"&amp;DC$5)=0,"",SUMIF('Competency Event Log'!$U$4:$U$803,$B174&amp;"|"&amp;DC$5,'Competency Event Log'!$D$4:$D$803)))</f>
        <v/>
      </c>
      <c r="DD174" s="8" t="str">
        <f>IF($B174="","",IF(COUNTIF('Competency Event Log'!$U$4:$U$803,$B174&amp;"|"&amp;DD$5)=0,"",SUMIF('Competency Event Log'!$U$4:$U$803,$B174&amp;"|"&amp;DD$5,'Competency Event Log'!$D$4:$D$803)))</f>
        <v/>
      </c>
      <c r="DE174" s="8" t="str">
        <f>IF($B174="","",IF(COUNTIF('Competency Event Log'!$U$4:$U$803,$B174&amp;"|"&amp;DE$5)=0,"",SUMIF('Competency Event Log'!$U$4:$U$803,$B174&amp;"|"&amp;DE$5,'Competency Event Log'!$D$4:$D$803)))</f>
        <v/>
      </c>
      <c r="DF174" s="8" t="str">
        <f t="shared" si="20"/>
        <v/>
      </c>
      <c r="DG174" s="8" t="str">
        <f t="shared" si="21"/>
        <v/>
      </c>
      <c r="DH174" s="8" t="str">
        <f t="shared" si="22"/>
        <v/>
      </c>
      <c r="DI174" s="11" t="str">
        <f t="shared" si="23"/>
        <v/>
      </c>
    </row>
    <row r="175" spans="1:113">
      <c r="A175" s="7"/>
      <c r="B175" s="7"/>
      <c r="C175" s="8"/>
      <c r="D175" s="9"/>
      <c r="E175" s="10"/>
      <c r="F175" s="8"/>
      <c r="G175" s="8" t="str">
        <f>IF($B175="","",IF(COUNTIF('Competency Event Log'!$U$4:$U$803,$B175&amp;"|"&amp;G$5)=0,"",SUMIF('Competency Event Log'!$U$4:$U$803,$B175&amp;"|"&amp;G$5,'Competency Event Log'!$D$4:$D$803)))</f>
        <v/>
      </c>
      <c r="H175" s="8" t="str">
        <f>IF($B175="","",IF(COUNTIF('Competency Event Log'!$U$4:$U$803,$B175&amp;"|"&amp;H$5)=0,"",SUMIF('Competency Event Log'!$U$4:$U$803,$B175&amp;"|"&amp;H$5,'Competency Event Log'!$D$4:$D$803)))</f>
        <v/>
      </c>
      <c r="I175" s="8" t="str">
        <f>IF($B175="","",IF(COUNTIF('Competency Event Log'!$U$4:$U$803,$B175&amp;"|"&amp;I$5)=0,"",SUMIF('Competency Event Log'!$U$4:$U$803,$B175&amp;"|"&amp;I$5,'Competency Event Log'!$D$4:$D$803)))</f>
        <v/>
      </c>
      <c r="J175" s="8" t="str">
        <f>IF($B175="","",IF(COUNTIF('Competency Event Log'!$U$4:$U$803,$B175&amp;"|"&amp;J$5)=0,"",SUMIF('Competency Event Log'!$U$4:$U$803,$B175&amp;"|"&amp;J$5,'Competency Event Log'!$D$4:$D$803)))</f>
        <v/>
      </c>
      <c r="K175" s="8" t="str">
        <f>IF($B175="","",IF(COUNTIF('Competency Event Log'!$U$4:$U$803,$B175&amp;"|"&amp;K$5)=0,"",SUMIF('Competency Event Log'!$U$4:$U$803,$B175&amp;"|"&amp;K$5,'Competency Event Log'!$D$4:$D$803)))</f>
        <v/>
      </c>
      <c r="L175" s="8" t="str">
        <f>IF($B175="","",IF(COUNTIF('Competency Event Log'!$U$4:$U$803,$B175&amp;"|"&amp;L$5)=0,"",SUMIF('Competency Event Log'!$U$4:$U$803,$B175&amp;"|"&amp;L$5,'Competency Event Log'!$D$4:$D$803)))</f>
        <v/>
      </c>
      <c r="M175" s="8" t="str">
        <f>IF($B175="","",IF(COUNTIF('Competency Event Log'!$U$4:$U$803,$B175&amp;"|"&amp;M$5)=0,"",SUMIF('Competency Event Log'!$U$4:$U$803,$B175&amp;"|"&amp;M$5,'Competency Event Log'!$D$4:$D$803)))</f>
        <v/>
      </c>
      <c r="N175" s="8" t="str">
        <f>IF($B175="","",IF(COUNTIF('Competency Event Log'!$U$4:$U$803,$B175&amp;"|"&amp;N$5)=0,"",SUMIF('Competency Event Log'!$U$4:$U$803,$B175&amp;"|"&amp;N$5,'Competency Event Log'!$D$4:$D$803)))</f>
        <v/>
      </c>
      <c r="O175" s="8" t="str">
        <f>IF($B175="","",IF(COUNTIF('Competency Event Log'!$U$4:$U$803,$B175&amp;"|"&amp;O$5)=0,"",SUMIF('Competency Event Log'!$U$4:$U$803,$B175&amp;"|"&amp;O$5,'Competency Event Log'!$D$4:$D$803)))</f>
        <v/>
      </c>
      <c r="P175" s="8" t="str">
        <f>IF($B175="","",IF(COUNTIF('Competency Event Log'!$U$4:$U$803,$B175&amp;"|"&amp;P$5)=0,"",SUMIF('Competency Event Log'!$U$4:$U$803,$B175&amp;"|"&amp;P$5,'Competency Event Log'!$D$4:$D$803)))</f>
        <v/>
      </c>
      <c r="Q175" s="8" t="str">
        <f>IF($B175="","",IF(COUNTIF('Competency Event Log'!$U$4:$U$803,$B175&amp;"|"&amp;Q$5)=0,"",SUMIF('Competency Event Log'!$U$4:$U$803,$B175&amp;"|"&amp;Q$5,'Competency Event Log'!$D$4:$D$803)))</f>
        <v/>
      </c>
      <c r="R175" s="8" t="str">
        <f>IF($B175="","",IF(COUNTIF('Competency Event Log'!$U$4:$U$803,$B175&amp;"|"&amp;R$5)=0,"",SUMIF('Competency Event Log'!$U$4:$U$803,$B175&amp;"|"&amp;R$5,'Competency Event Log'!$D$4:$D$803)))</f>
        <v/>
      </c>
      <c r="S175" s="8" t="str">
        <f>IF($B175="","",IF(COUNTIF('Competency Event Log'!$U$4:$U$803,$B175&amp;"|"&amp;S$5)=0,"",SUMIF('Competency Event Log'!$U$4:$U$803,$B175&amp;"|"&amp;S$5,'Competency Event Log'!$D$4:$D$803)))</f>
        <v/>
      </c>
      <c r="T175" s="8" t="str">
        <f>IF($B175="","",IF(COUNTIF('Competency Event Log'!$U$4:$U$803,$B175&amp;"|"&amp;T$5)=0,"",SUMIF('Competency Event Log'!$U$4:$U$803,$B175&amp;"|"&amp;T$5,'Competency Event Log'!$D$4:$D$803)))</f>
        <v/>
      </c>
      <c r="U175" s="8" t="str">
        <f>IF($B175="","",IF(COUNTIF('Competency Event Log'!$U$4:$U$803,$B175&amp;"|"&amp;U$5)=0,"",SUMIF('Competency Event Log'!$U$4:$U$803,$B175&amp;"|"&amp;U$5,'Competency Event Log'!$D$4:$D$803)))</f>
        <v/>
      </c>
      <c r="V175" s="8" t="str">
        <f>IF($B175="","",IF(COUNTIF('Competency Event Log'!$U$4:$U$803,$B175&amp;"|"&amp;V$5)=0,"",SUMIF('Competency Event Log'!$U$4:$U$803,$B175&amp;"|"&amp;V$5,'Competency Event Log'!$D$4:$D$803)))</f>
        <v/>
      </c>
      <c r="W175" s="8" t="str">
        <f>IF($B175="","",IF(COUNTIF('Competency Event Log'!$U$4:$U$803,$B175&amp;"|"&amp;W$5)=0,"",SUMIF('Competency Event Log'!$U$4:$U$803,$B175&amp;"|"&amp;W$5,'Competency Event Log'!$D$4:$D$803)))</f>
        <v/>
      </c>
      <c r="X175" s="8" t="str">
        <f>IF($B175="","",IF(COUNTIF('Competency Event Log'!$U$4:$U$803,$B175&amp;"|"&amp;X$5)=0,"",SUMIF('Competency Event Log'!$U$4:$U$803,$B175&amp;"|"&amp;X$5,'Competency Event Log'!$D$4:$D$803)))</f>
        <v/>
      </c>
      <c r="Y175" s="8" t="str">
        <f>IF($B175="","",IF(COUNTIF('Competency Event Log'!$U$4:$U$803,$B175&amp;"|"&amp;Y$5)=0,"",SUMIF('Competency Event Log'!$U$4:$U$803,$B175&amp;"|"&amp;Y$5,'Competency Event Log'!$D$4:$D$803)))</f>
        <v/>
      </c>
      <c r="Z175" s="8" t="str">
        <f>IF($B175="","",IF(COUNTIF('Competency Event Log'!$U$4:$U$803,$B175&amp;"|"&amp;Z$5)=0,"",SUMIF('Competency Event Log'!$U$4:$U$803,$B175&amp;"|"&amp;Z$5,'Competency Event Log'!$D$4:$D$803)))</f>
        <v/>
      </c>
      <c r="AA175" s="8" t="str">
        <f>IF($B175="","",IF(COUNTIF('Competency Event Log'!$U$4:$U$803,$B175&amp;"|"&amp;AA$5)=0,"",SUMIF('Competency Event Log'!$U$4:$U$803,$B175&amp;"|"&amp;AA$5,'Competency Event Log'!$D$4:$D$803)))</f>
        <v/>
      </c>
      <c r="AB175" s="8" t="str">
        <f>IF($B175="","",IF(COUNTIF('Competency Event Log'!$U$4:$U$803,$B175&amp;"|"&amp;AB$5)=0,"",SUMIF('Competency Event Log'!$U$4:$U$803,$B175&amp;"|"&amp;AB$5,'Competency Event Log'!$D$4:$D$803)))</f>
        <v/>
      </c>
      <c r="AC175" s="8" t="str">
        <f>IF($B175="","",IF(COUNTIF('Competency Event Log'!$U$4:$U$803,$B175&amp;"|"&amp;AC$5)=0,"",SUMIF('Competency Event Log'!$U$4:$U$803,$B175&amp;"|"&amp;AC$5,'Competency Event Log'!$D$4:$D$803)))</f>
        <v/>
      </c>
      <c r="AD175" s="8" t="str">
        <f>IF($B175="","",IF(COUNTIF('Competency Event Log'!$U$4:$U$803,$B175&amp;"|"&amp;AD$5)=0,"",SUMIF('Competency Event Log'!$U$4:$U$803,$B175&amp;"|"&amp;AD$5,'Competency Event Log'!$D$4:$D$803)))</f>
        <v/>
      </c>
      <c r="AE175" s="8" t="str">
        <f>IF($B175="","",IF(COUNTIF('Competency Event Log'!$U$4:$U$803,$B175&amp;"|"&amp;AE$5)=0,"",SUMIF('Competency Event Log'!$U$4:$U$803,$B175&amp;"|"&amp;AE$5,'Competency Event Log'!$D$4:$D$803)))</f>
        <v/>
      </c>
      <c r="AF175" s="8" t="str">
        <f>IF($B175="","",IF(COUNTIF('Competency Event Log'!$U$4:$U$803,$B175&amp;"|"&amp;AF$5)=0,"",SUMIF('Competency Event Log'!$U$4:$U$803,$B175&amp;"|"&amp;AF$5,'Competency Event Log'!$D$4:$D$803)))</f>
        <v/>
      </c>
      <c r="AG175" s="8" t="str">
        <f>IF($B175="","",IF(COUNTIF('Competency Event Log'!$U$4:$U$803,$B175&amp;"|"&amp;AG$5)=0,"",SUMIF('Competency Event Log'!$U$4:$U$803,$B175&amp;"|"&amp;AG$5,'Competency Event Log'!$D$4:$D$803)))</f>
        <v/>
      </c>
      <c r="AH175" s="8" t="str">
        <f>IF($B175="","",IF(COUNTIF('Competency Event Log'!$U$4:$U$803,$B175&amp;"|"&amp;AH$5)=0,"",SUMIF('Competency Event Log'!$U$4:$U$803,$B175&amp;"|"&amp;AH$5,'Competency Event Log'!$D$4:$D$803)))</f>
        <v/>
      </c>
      <c r="AI175" s="8" t="str">
        <f>IF($B175="","",IF(COUNTIF('Competency Event Log'!$U$4:$U$803,$B175&amp;"|"&amp;AI$5)=0,"",SUMIF('Competency Event Log'!$U$4:$U$803,$B175&amp;"|"&amp;AI$5,'Competency Event Log'!$D$4:$D$803)))</f>
        <v/>
      </c>
      <c r="AJ175" s="8" t="str">
        <f>IF($B175="","",IF(COUNTIF('Competency Event Log'!$U$4:$U$803,$B175&amp;"|"&amp;AJ$5)=0,"",SUMIF('Competency Event Log'!$U$4:$U$803,$B175&amp;"|"&amp;AJ$5,'Competency Event Log'!$D$4:$D$803)))</f>
        <v/>
      </c>
      <c r="AK175" s="8" t="str">
        <f>IF($B175="","",IF(COUNTIF('Competency Event Log'!$U$4:$U$803,$B175&amp;"|"&amp;AK$5)=0,"",SUMIF('Competency Event Log'!$U$4:$U$803,$B175&amp;"|"&amp;AK$5,'Competency Event Log'!$D$4:$D$803)))</f>
        <v/>
      </c>
      <c r="AL175" s="8" t="str">
        <f>IF($B175="","",IF(COUNTIF('Competency Event Log'!$U$4:$U$803,$B175&amp;"|"&amp;AL$5)=0,"",SUMIF('Competency Event Log'!$U$4:$U$803,$B175&amp;"|"&amp;AL$5,'Competency Event Log'!$D$4:$D$803)))</f>
        <v/>
      </c>
      <c r="AM175" s="8" t="str">
        <f>IF($B175="","",IF(COUNTIF('Competency Event Log'!$U$4:$U$803,$B175&amp;"|"&amp;AM$5)=0,"",SUMIF('Competency Event Log'!$U$4:$U$803,$B175&amp;"|"&amp;AM$5,'Competency Event Log'!$D$4:$D$803)))</f>
        <v/>
      </c>
      <c r="AN175" s="8" t="str">
        <f>IF($B175="","",IF(COUNTIF('Competency Event Log'!$U$4:$U$803,$B175&amp;"|"&amp;AN$5)=0,"",SUMIF('Competency Event Log'!$U$4:$U$803,$B175&amp;"|"&amp;AN$5,'Competency Event Log'!$D$4:$D$803)))</f>
        <v/>
      </c>
      <c r="AO175" s="8" t="str">
        <f>IF($B175="","",IF(COUNTIF('Competency Event Log'!$U$4:$U$803,$B175&amp;"|"&amp;AO$5)=0,"",SUMIF('Competency Event Log'!$U$4:$U$803,$B175&amp;"|"&amp;AO$5,'Competency Event Log'!$D$4:$D$803)))</f>
        <v/>
      </c>
      <c r="AP175" s="8" t="str">
        <f>IF($B175="","",IF(COUNTIF('Competency Event Log'!$U$4:$U$803,$B175&amp;"|"&amp;AP$5)=0,"",SUMIF('Competency Event Log'!$U$4:$U$803,$B175&amp;"|"&amp;AP$5,'Competency Event Log'!$D$4:$D$803)))</f>
        <v/>
      </c>
      <c r="AQ175" s="8" t="str">
        <f>IF($B175="","",IF(COUNTIF('Competency Event Log'!$U$4:$U$803,$B175&amp;"|"&amp;AQ$5)=0,"",SUMIF('Competency Event Log'!$U$4:$U$803,$B175&amp;"|"&amp;AQ$5,'Competency Event Log'!$D$4:$D$803)))</f>
        <v/>
      </c>
      <c r="AR175" s="8" t="str">
        <f>IF($B175="","",IF(COUNTIF('Competency Event Log'!$U$4:$U$803,$B175&amp;"|"&amp;AR$5)=0,"",SUMIF('Competency Event Log'!$U$4:$U$803,$B175&amp;"|"&amp;AR$5,'Competency Event Log'!$D$4:$D$803)))</f>
        <v/>
      </c>
      <c r="AS175" s="8" t="str">
        <f>IF($B175="","",IF(COUNTIF('Competency Event Log'!$U$4:$U$803,$B175&amp;"|"&amp;AS$5)=0,"",SUMIF('Competency Event Log'!$U$4:$U$803,$B175&amp;"|"&amp;AS$5,'Competency Event Log'!$D$4:$D$803)))</f>
        <v/>
      </c>
      <c r="AT175" s="8" t="str">
        <f>IF($B175="","",IF(COUNTIF('Competency Event Log'!$U$4:$U$803,$B175&amp;"|"&amp;AT$5)=0,"",SUMIF('Competency Event Log'!$U$4:$U$803,$B175&amp;"|"&amp;AT$5,'Competency Event Log'!$D$4:$D$803)))</f>
        <v/>
      </c>
      <c r="AU175" s="8" t="str">
        <f>IF($B175="","",IF(COUNTIF('Competency Event Log'!$U$4:$U$803,$B175&amp;"|"&amp;AU$5)=0,"",SUMIF('Competency Event Log'!$U$4:$U$803,$B175&amp;"|"&amp;AU$5,'Competency Event Log'!$D$4:$D$803)))</f>
        <v/>
      </c>
      <c r="AV175" s="8" t="str">
        <f>IF($B175="","",IF(COUNTIF('Competency Event Log'!$U$4:$U$803,$B175&amp;"|"&amp;AV$5)=0,"",SUMIF('Competency Event Log'!$U$4:$U$803,$B175&amp;"|"&amp;AV$5,'Competency Event Log'!$D$4:$D$803)))</f>
        <v/>
      </c>
      <c r="AW175" s="8" t="str">
        <f>IF($B175="","",IF(COUNTIF('Competency Event Log'!$U$4:$U$803,$B175&amp;"|"&amp;AW$5)=0,"",SUMIF('Competency Event Log'!$U$4:$U$803,$B175&amp;"|"&amp;AW$5,'Competency Event Log'!$D$4:$D$803)))</f>
        <v/>
      </c>
      <c r="AX175" s="8" t="str">
        <f>IF($B175="","",IF(COUNTIF('Competency Event Log'!$U$4:$U$803,$B175&amp;"|"&amp;AX$5)=0,"",SUMIF('Competency Event Log'!$U$4:$U$803,$B175&amp;"|"&amp;AX$5,'Competency Event Log'!$D$4:$D$803)))</f>
        <v/>
      </c>
      <c r="AY175" s="8" t="str">
        <f>IF($B175="","",IF(COUNTIF('Competency Event Log'!$U$4:$U$803,$B175&amp;"|"&amp;AY$5)=0,"",SUMIF('Competency Event Log'!$U$4:$U$803,$B175&amp;"|"&amp;AY$5,'Competency Event Log'!$D$4:$D$803)))</f>
        <v/>
      </c>
      <c r="AZ175" s="8" t="str">
        <f>IF($B175="","",IF(COUNTIF('Competency Event Log'!$U$4:$U$803,$B175&amp;"|"&amp;AZ$5)=0,"",SUMIF('Competency Event Log'!$U$4:$U$803,$B175&amp;"|"&amp;AZ$5,'Competency Event Log'!$D$4:$D$803)))</f>
        <v/>
      </c>
      <c r="BA175" s="8" t="str">
        <f>IF($B175="","",IF(COUNTIF('Competency Event Log'!$U$4:$U$803,$B175&amp;"|"&amp;BA$5)=0,"",SUMIF('Competency Event Log'!$U$4:$U$803,$B175&amp;"|"&amp;BA$5,'Competency Event Log'!$D$4:$D$803)))</f>
        <v/>
      </c>
      <c r="BB175" s="8" t="str">
        <f>IF($B175="","",IF(COUNTIF('Competency Event Log'!$U$4:$U$803,$B175&amp;"|"&amp;BB$5)=0,"",SUMIF('Competency Event Log'!$U$4:$U$803,$B175&amp;"|"&amp;BB$5,'Competency Event Log'!$D$4:$D$803)))</f>
        <v/>
      </c>
      <c r="BC175" s="8" t="str">
        <f>IF($B175="","",IF(COUNTIF('Competency Event Log'!$U$4:$U$803,$B175&amp;"|"&amp;BC$5)=0,"",SUMIF('Competency Event Log'!$U$4:$U$803,$B175&amp;"|"&amp;BC$5,'Competency Event Log'!$D$4:$D$803)))</f>
        <v/>
      </c>
      <c r="BD175" s="8" t="str">
        <f>IF($B175="","",IF(COUNTIF('Competency Event Log'!$U$4:$U$803,$B175&amp;"|"&amp;BD$5)=0,"",SUMIF('Competency Event Log'!$U$4:$U$803,$B175&amp;"|"&amp;BD$5,'Competency Event Log'!$D$4:$D$803)))</f>
        <v/>
      </c>
      <c r="BE175" s="8" t="str">
        <f>IF($B175="","",IF(COUNTIF('Competency Event Log'!$U$4:$U$803,$B175&amp;"|"&amp;BE$5)=0,"",SUMIF('Competency Event Log'!$U$4:$U$803,$B175&amp;"|"&amp;BE$5,'Competency Event Log'!$D$4:$D$803)))</f>
        <v/>
      </c>
      <c r="BF175" s="8" t="str">
        <f>IF($B175="","",IF(COUNTIF('Competency Event Log'!$U$4:$U$803,$B175&amp;"|"&amp;BF$5)=0,"",SUMIF('Competency Event Log'!$U$4:$U$803,$B175&amp;"|"&amp;BF$5,'Competency Event Log'!$D$4:$D$803)))</f>
        <v/>
      </c>
      <c r="BG175" s="8" t="str">
        <f>IF($B175="","",IF(COUNTIF('Competency Event Log'!$U$4:$U$803,$B175&amp;"|"&amp;BG$5)=0,"",SUMIF('Competency Event Log'!$U$4:$U$803,$B175&amp;"|"&amp;BG$5,'Competency Event Log'!$D$4:$D$803)))</f>
        <v/>
      </c>
      <c r="BH175" s="8" t="str">
        <f>IF($B175="","",IF(COUNTIF('Competency Event Log'!$U$4:$U$803,$B175&amp;"|"&amp;BH$5)=0,"",SUMIF('Competency Event Log'!$U$4:$U$803,$B175&amp;"|"&amp;BH$5,'Competency Event Log'!$D$4:$D$803)))</f>
        <v/>
      </c>
      <c r="BI175" s="8" t="str">
        <f>IF($B175="","",IF(COUNTIF('Competency Event Log'!$U$4:$U$803,$B175&amp;"|"&amp;BI$5)=0,"",SUMIF('Competency Event Log'!$U$4:$U$803,$B175&amp;"|"&amp;BI$5,'Competency Event Log'!$D$4:$D$803)))</f>
        <v/>
      </c>
      <c r="BJ175" s="8" t="str">
        <f>IF($B175="","",IF(COUNTIF('Competency Event Log'!$U$4:$U$803,$B175&amp;"|"&amp;BJ$5)=0,"",SUMIF('Competency Event Log'!$U$4:$U$803,$B175&amp;"|"&amp;BJ$5,'Competency Event Log'!$D$4:$D$803)))</f>
        <v/>
      </c>
      <c r="BK175" s="8" t="str">
        <f>IF($B175="","",IF(COUNTIF('Competency Event Log'!$U$4:$U$803,$B175&amp;"|"&amp;BK$5)=0,"",SUMIF('Competency Event Log'!$U$4:$U$803,$B175&amp;"|"&amp;BK$5,'Competency Event Log'!$D$4:$D$803)))</f>
        <v/>
      </c>
      <c r="BL175" s="8" t="str">
        <f>IF($B175="","",IF(COUNTIF('Competency Event Log'!$U$4:$U$803,$B175&amp;"|"&amp;BL$5)=0,"",SUMIF('Competency Event Log'!$U$4:$U$803,$B175&amp;"|"&amp;BL$5,'Competency Event Log'!$D$4:$D$803)))</f>
        <v/>
      </c>
      <c r="BM175" s="8" t="str">
        <f>IF($B175="","",IF(COUNTIF('Competency Event Log'!$U$4:$U$803,$B175&amp;"|"&amp;BM$5)=0,"",SUMIF('Competency Event Log'!$U$4:$U$803,$B175&amp;"|"&amp;BM$5,'Competency Event Log'!$D$4:$D$803)))</f>
        <v/>
      </c>
      <c r="BN175" s="8" t="str">
        <f>IF($B175="","",IF(COUNTIF('Competency Event Log'!$U$4:$U$803,$B175&amp;"|"&amp;BN$5)=0,"",SUMIF('Competency Event Log'!$U$4:$U$803,$B175&amp;"|"&amp;BN$5,'Competency Event Log'!$D$4:$D$803)))</f>
        <v/>
      </c>
      <c r="BO175" s="8" t="str">
        <f>IF($B175="","",IF(COUNTIF('Competency Event Log'!$U$4:$U$803,$B175&amp;"|"&amp;BO$5)=0,"",SUMIF('Competency Event Log'!$U$4:$U$803,$B175&amp;"|"&amp;BO$5,'Competency Event Log'!$D$4:$D$803)))</f>
        <v/>
      </c>
      <c r="BP175" s="8" t="str">
        <f>IF($B175="","",IF(COUNTIF('Competency Event Log'!$U$4:$U$803,$B175&amp;"|"&amp;BP$5)=0,"",SUMIF('Competency Event Log'!$U$4:$U$803,$B175&amp;"|"&amp;BP$5,'Competency Event Log'!$D$4:$D$803)))</f>
        <v/>
      </c>
      <c r="BQ175" s="8" t="str">
        <f>IF($B175="","",IF(COUNTIF('Competency Event Log'!$U$4:$U$803,$B175&amp;"|"&amp;BQ$5)=0,"",SUMIF('Competency Event Log'!$U$4:$U$803,$B175&amp;"|"&amp;BQ$5,'Competency Event Log'!$D$4:$D$803)))</f>
        <v/>
      </c>
      <c r="BR175" s="8" t="str">
        <f>IF($B175="","",IF(COUNTIF('Competency Event Log'!$U$4:$U$803,$B175&amp;"|"&amp;BR$5)=0,"",SUMIF('Competency Event Log'!$U$4:$U$803,$B175&amp;"|"&amp;BR$5,'Competency Event Log'!$D$4:$D$803)))</f>
        <v/>
      </c>
      <c r="BS175" s="8" t="str">
        <f>IF($B175="","",IF(COUNTIF('Competency Event Log'!$U$4:$U$803,$B175&amp;"|"&amp;BS$5)=0,"",SUMIF('Competency Event Log'!$U$4:$U$803,$B175&amp;"|"&amp;BS$5,'Competency Event Log'!$D$4:$D$803)))</f>
        <v/>
      </c>
      <c r="BT175" s="8" t="str">
        <f>IF($B175="","",IF(COUNTIF('Competency Event Log'!$U$4:$U$803,$B175&amp;"|"&amp;BT$5)=0,"",SUMIF('Competency Event Log'!$U$4:$U$803,$B175&amp;"|"&amp;BT$5,'Competency Event Log'!$D$4:$D$803)))</f>
        <v/>
      </c>
      <c r="BU175" s="8" t="str">
        <f>IF($B175="","",IF(COUNTIF('Competency Event Log'!$U$4:$U$803,$B175&amp;"|"&amp;BU$5)=0,"",SUMIF('Competency Event Log'!$U$4:$U$803,$B175&amp;"|"&amp;BU$5,'Competency Event Log'!$D$4:$D$803)))</f>
        <v/>
      </c>
      <c r="BV175" s="8" t="str">
        <f>IF($B175="","",IF(COUNTIF('Competency Event Log'!$U$4:$U$803,$B175&amp;"|"&amp;BV$5)=0,"",SUMIF('Competency Event Log'!$U$4:$U$803,$B175&amp;"|"&amp;BV$5,'Competency Event Log'!$D$4:$D$803)))</f>
        <v/>
      </c>
      <c r="BW175" s="8" t="str">
        <f>IF($B175="","",IF(COUNTIF('Competency Event Log'!$U$4:$U$803,$B175&amp;"|"&amp;BW$5)=0,"",SUMIF('Competency Event Log'!$U$4:$U$803,$B175&amp;"|"&amp;BW$5,'Competency Event Log'!$D$4:$D$803)))</f>
        <v/>
      </c>
      <c r="BX175" s="8" t="str">
        <f>IF($B175="","",IF(COUNTIF('Competency Event Log'!$U$4:$U$803,$B175&amp;"|"&amp;BX$5)=0,"",SUMIF('Competency Event Log'!$U$4:$U$803,$B175&amp;"|"&amp;BX$5,'Competency Event Log'!$D$4:$D$803)))</f>
        <v/>
      </c>
      <c r="BY175" s="8" t="str">
        <f>IF($B175="","",IF(COUNTIF('Competency Event Log'!$U$4:$U$803,$B175&amp;"|"&amp;BY$5)=0,"",SUMIF('Competency Event Log'!$U$4:$U$803,$B175&amp;"|"&amp;BY$5,'Competency Event Log'!$D$4:$D$803)))</f>
        <v/>
      </c>
      <c r="BZ175" s="8" t="str">
        <f>IF($B175="","",IF(COUNTIF('Competency Event Log'!$U$4:$U$803,$B175&amp;"|"&amp;BZ$5)=0,"",SUMIF('Competency Event Log'!$U$4:$U$803,$B175&amp;"|"&amp;BZ$5,'Competency Event Log'!$D$4:$D$803)))</f>
        <v/>
      </c>
      <c r="CA175" s="8" t="str">
        <f>IF($B175="","",IF(COUNTIF('Competency Event Log'!$U$4:$U$803,$B175&amp;"|"&amp;CA$5)=0,"",SUMIF('Competency Event Log'!$U$4:$U$803,$B175&amp;"|"&amp;CA$5,'Competency Event Log'!$D$4:$D$803)))</f>
        <v/>
      </c>
      <c r="CB175" s="8" t="str">
        <f>IF($B175="","",IF(COUNTIF('Competency Event Log'!$U$4:$U$803,$B175&amp;"|"&amp;CB$5)=0,"",SUMIF('Competency Event Log'!$U$4:$U$803,$B175&amp;"|"&amp;CB$5,'Competency Event Log'!$D$4:$D$803)))</f>
        <v/>
      </c>
      <c r="CC175" s="8" t="str">
        <f>IF($B175="","",IF(COUNTIF('Competency Event Log'!$U$4:$U$803,$B175&amp;"|"&amp;CC$5)=0,"",SUMIF('Competency Event Log'!$U$4:$U$803,$B175&amp;"|"&amp;CC$5,'Competency Event Log'!$D$4:$D$803)))</f>
        <v/>
      </c>
      <c r="CD175" s="8" t="str">
        <f>IF($B175="","",IF(COUNTIF('Competency Event Log'!$U$4:$U$803,$B175&amp;"|"&amp;CD$5)=0,"",SUMIF('Competency Event Log'!$U$4:$U$803,$B175&amp;"|"&amp;CD$5,'Competency Event Log'!$D$4:$D$803)))</f>
        <v/>
      </c>
      <c r="CE175" s="8" t="str">
        <f>IF($B175="","",IF(COUNTIF('Competency Event Log'!$U$4:$U$803,$B175&amp;"|"&amp;CE$5)=0,"",SUMIF('Competency Event Log'!$U$4:$U$803,$B175&amp;"|"&amp;CE$5,'Competency Event Log'!$D$4:$D$803)))</f>
        <v/>
      </c>
      <c r="CF175" s="8" t="str">
        <f>IF($B175="","",IF(COUNTIF('Competency Event Log'!$U$4:$U$803,$B175&amp;"|"&amp;CF$5)=0,"",SUMIF('Competency Event Log'!$U$4:$U$803,$B175&amp;"|"&amp;CF$5,'Competency Event Log'!$D$4:$D$803)))</f>
        <v/>
      </c>
      <c r="CG175" s="8" t="str">
        <f>IF($B175="","",IF(COUNTIF('Competency Event Log'!$U$4:$U$803,$B175&amp;"|"&amp;CG$5)=0,"",SUMIF('Competency Event Log'!$U$4:$U$803,$B175&amp;"|"&amp;CG$5,'Competency Event Log'!$D$4:$D$803)))</f>
        <v/>
      </c>
      <c r="CH175" s="8" t="str">
        <f>IF($B175="","",IF(COUNTIF('Competency Event Log'!$U$4:$U$803,$B175&amp;"|"&amp;CH$5)=0,"",SUMIF('Competency Event Log'!$U$4:$U$803,$B175&amp;"|"&amp;CH$5,'Competency Event Log'!$D$4:$D$803)))</f>
        <v/>
      </c>
      <c r="CI175" s="8" t="str">
        <f>IF($B175="","",IF(COUNTIF('Competency Event Log'!$U$4:$U$803,$B175&amp;"|"&amp;CI$5)=0,"",SUMIF('Competency Event Log'!$U$4:$U$803,$B175&amp;"|"&amp;CI$5,'Competency Event Log'!$D$4:$D$803)))</f>
        <v/>
      </c>
      <c r="CJ175" s="8" t="str">
        <f>IF($B175="","",IF(COUNTIF('Competency Event Log'!$U$4:$U$803,$B175&amp;"|"&amp;CJ$5)=0,"",SUMIF('Competency Event Log'!$U$4:$U$803,$B175&amp;"|"&amp;CJ$5,'Competency Event Log'!$D$4:$D$803)))</f>
        <v/>
      </c>
      <c r="CK175" s="8" t="str">
        <f>IF($B175="","",IF(COUNTIF('Competency Event Log'!$U$4:$U$803,$B175&amp;"|"&amp;CK$5)=0,"",SUMIF('Competency Event Log'!$U$4:$U$803,$B175&amp;"|"&amp;CK$5,'Competency Event Log'!$D$4:$D$803)))</f>
        <v/>
      </c>
      <c r="CL175" s="8" t="str">
        <f>IF($B175="","",IF(COUNTIF('Competency Event Log'!$U$4:$U$803,$B175&amp;"|"&amp;CL$5)=0,"",SUMIF('Competency Event Log'!$U$4:$U$803,$B175&amp;"|"&amp;CL$5,'Competency Event Log'!$D$4:$D$803)))</f>
        <v/>
      </c>
      <c r="CM175" s="8" t="str">
        <f>IF($B175="","",IF(COUNTIF('Competency Event Log'!$U$4:$U$803,$B175&amp;"|"&amp;CM$5)=0,"",SUMIF('Competency Event Log'!$U$4:$U$803,$B175&amp;"|"&amp;CM$5,'Competency Event Log'!$D$4:$D$803)))</f>
        <v/>
      </c>
      <c r="CN175" s="8" t="str">
        <f>IF($B175="","",IF(COUNTIF('Competency Event Log'!$U$4:$U$803,$B175&amp;"|"&amp;CN$5)=0,"",SUMIF('Competency Event Log'!$U$4:$U$803,$B175&amp;"|"&amp;CN$5,'Competency Event Log'!$D$4:$D$803)))</f>
        <v/>
      </c>
      <c r="CO175" s="8" t="str">
        <f>IF($B175="","",IF(COUNTIF('Competency Event Log'!$U$4:$U$803,$B175&amp;"|"&amp;CO$5)=0,"",SUMIF('Competency Event Log'!$U$4:$U$803,$B175&amp;"|"&amp;CO$5,'Competency Event Log'!$D$4:$D$803)))</f>
        <v/>
      </c>
      <c r="CP175" s="8" t="str">
        <f>IF($B175="","",IF(COUNTIF('Competency Event Log'!$U$4:$U$803,$B175&amp;"|"&amp;CP$5)=0,"",SUMIF('Competency Event Log'!$U$4:$U$803,$B175&amp;"|"&amp;CP$5,'Competency Event Log'!$D$4:$D$803)))</f>
        <v/>
      </c>
      <c r="CQ175" s="8" t="str">
        <f>IF($B175="","",IF(COUNTIF('Competency Event Log'!$U$4:$U$803,$B175&amp;"|"&amp;CQ$5)=0,"",SUMIF('Competency Event Log'!$U$4:$U$803,$B175&amp;"|"&amp;CQ$5,'Competency Event Log'!$D$4:$D$803)))</f>
        <v/>
      </c>
      <c r="CR175" s="8" t="str">
        <f>IF($B175="","",IF(COUNTIF('Competency Event Log'!$U$4:$U$803,$B175&amp;"|"&amp;CR$5)=0,"",SUMIF('Competency Event Log'!$U$4:$U$803,$B175&amp;"|"&amp;CR$5,'Competency Event Log'!$D$4:$D$803)))</f>
        <v/>
      </c>
      <c r="CS175" s="8" t="str">
        <f>IF($B175="","",IF(COUNTIF('Competency Event Log'!$U$4:$U$803,$B175&amp;"|"&amp;CS$5)=0,"",SUMIF('Competency Event Log'!$U$4:$U$803,$B175&amp;"|"&amp;CS$5,'Competency Event Log'!$D$4:$D$803)))</f>
        <v/>
      </c>
      <c r="CT175" s="8" t="str">
        <f>IF($B175="","",IF(COUNTIF('Competency Event Log'!$U$4:$U$803,$B175&amp;"|"&amp;CT$5)=0,"",SUMIF('Competency Event Log'!$U$4:$U$803,$B175&amp;"|"&amp;CT$5,'Competency Event Log'!$D$4:$D$803)))</f>
        <v/>
      </c>
      <c r="CU175" s="8" t="str">
        <f>IF($B175="","",IF(COUNTIF('Competency Event Log'!$U$4:$U$803,$B175&amp;"|"&amp;CU$5)=0,"",SUMIF('Competency Event Log'!$U$4:$U$803,$B175&amp;"|"&amp;CU$5,'Competency Event Log'!$D$4:$D$803)))</f>
        <v/>
      </c>
      <c r="CV175" s="8" t="str">
        <f>IF($B175="","",IF(COUNTIF('Competency Event Log'!$U$4:$U$803,$B175&amp;"|"&amp;CV$5)=0,"",SUMIF('Competency Event Log'!$U$4:$U$803,$B175&amp;"|"&amp;CV$5,'Competency Event Log'!$D$4:$D$803)))</f>
        <v/>
      </c>
      <c r="CW175" s="8" t="str">
        <f>IF($B175="","",IF(COUNTIF('Competency Event Log'!$U$4:$U$803,$B175&amp;"|"&amp;CW$5)=0,"",SUMIF('Competency Event Log'!$U$4:$U$803,$B175&amp;"|"&amp;CW$5,'Competency Event Log'!$D$4:$D$803)))</f>
        <v/>
      </c>
      <c r="CX175" s="8" t="str">
        <f>IF($B175="","",IF(COUNTIF('Competency Event Log'!$U$4:$U$803,$B175&amp;"|"&amp;CX$5)=0,"",SUMIF('Competency Event Log'!$U$4:$U$803,$B175&amp;"|"&amp;CX$5,'Competency Event Log'!$D$4:$D$803)))</f>
        <v/>
      </c>
      <c r="CY175" s="8" t="str">
        <f>IF($B175="","",IF(COUNTIF('Competency Event Log'!$U$4:$U$803,$B175&amp;"|"&amp;CY$5)=0,"",SUMIF('Competency Event Log'!$U$4:$U$803,$B175&amp;"|"&amp;CY$5,'Competency Event Log'!$D$4:$D$803)))</f>
        <v/>
      </c>
      <c r="CZ175" s="8" t="str">
        <f>IF($B175="","",IF(COUNTIF('Competency Event Log'!$U$4:$U$803,$B175&amp;"|"&amp;CZ$5)=0,"",SUMIF('Competency Event Log'!$U$4:$U$803,$B175&amp;"|"&amp;CZ$5,'Competency Event Log'!$D$4:$D$803)))</f>
        <v/>
      </c>
      <c r="DA175" s="8" t="str">
        <f>IF($B175="","",IF(COUNTIF('Competency Event Log'!$U$4:$U$803,$B175&amp;"|"&amp;DA$5)=0,"",SUMIF('Competency Event Log'!$U$4:$U$803,$B175&amp;"|"&amp;DA$5,'Competency Event Log'!$D$4:$D$803)))</f>
        <v/>
      </c>
      <c r="DB175" s="8" t="str">
        <f>IF($B175="","",IF(COUNTIF('Competency Event Log'!$U$4:$U$803,$B175&amp;"|"&amp;DB$5)=0,"",SUMIF('Competency Event Log'!$U$4:$U$803,$B175&amp;"|"&amp;DB$5,'Competency Event Log'!$D$4:$D$803)))</f>
        <v/>
      </c>
      <c r="DC175" s="8" t="str">
        <f>IF($B175="","",IF(COUNTIF('Competency Event Log'!$U$4:$U$803,$B175&amp;"|"&amp;DC$5)=0,"",SUMIF('Competency Event Log'!$U$4:$U$803,$B175&amp;"|"&amp;DC$5,'Competency Event Log'!$D$4:$D$803)))</f>
        <v/>
      </c>
      <c r="DD175" s="8" t="str">
        <f>IF($B175="","",IF(COUNTIF('Competency Event Log'!$U$4:$U$803,$B175&amp;"|"&amp;DD$5)=0,"",SUMIF('Competency Event Log'!$U$4:$U$803,$B175&amp;"|"&amp;DD$5,'Competency Event Log'!$D$4:$D$803)))</f>
        <v/>
      </c>
      <c r="DE175" s="8" t="str">
        <f>IF($B175="","",IF(COUNTIF('Competency Event Log'!$U$4:$U$803,$B175&amp;"|"&amp;DE$5)=0,"",SUMIF('Competency Event Log'!$U$4:$U$803,$B175&amp;"|"&amp;DE$5,'Competency Event Log'!$D$4:$D$803)))</f>
        <v/>
      </c>
      <c r="DF175" s="8" t="str">
        <f t="shared" si="20"/>
        <v/>
      </c>
      <c r="DG175" s="8" t="str">
        <f t="shared" si="21"/>
        <v/>
      </c>
      <c r="DH175" s="8" t="str">
        <f t="shared" si="22"/>
        <v/>
      </c>
      <c r="DI175" s="11" t="str">
        <f t="shared" si="23"/>
        <v/>
      </c>
    </row>
    <row r="176" spans="1:113">
      <c r="A176" s="7"/>
      <c r="B176" s="7"/>
      <c r="C176" s="8"/>
      <c r="D176" s="9"/>
      <c r="E176" s="10"/>
      <c r="F176" s="8"/>
      <c r="G176" s="8" t="str">
        <f>IF($B176="","",IF(COUNTIF('Competency Event Log'!$U$4:$U$803,$B176&amp;"|"&amp;G$5)=0,"",SUMIF('Competency Event Log'!$U$4:$U$803,$B176&amp;"|"&amp;G$5,'Competency Event Log'!$D$4:$D$803)))</f>
        <v/>
      </c>
      <c r="H176" s="8" t="str">
        <f>IF($B176="","",IF(COUNTIF('Competency Event Log'!$U$4:$U$803,$B176&amp;"|"&amp;H$5)=0,"",SUMIF('Competency Event Log'!$U$4:$U$803,$B176&amp;"|"&amp;H$5,'Competency Event Log'!$D$4:$D$803)))</f>
        <v/>
      </c>
      <c r="I176" s="8" t="str">
        <f>IF($B176="","",IF(COUNTIF('Competency Event Log'!$U$4:$U$803,$B176&amp;"|"&amp;I$5)=0,"",SUMIF('Competency Event Log'!$U$4:$U$803,$B176&amp;"|"&amp;I$5,'Competency Event Log'!$D$4:$D$803)))</f>
        <v/>
      </c>
      <c r="J176" s="8" t="str">
        <f>IF($B176="","",IF(COUNTIF('Competency Event Log'!$U$4:$U$803,$B176&amp;"|"&amp;J$5)=0,"",SUMIF('Competency Event Log'!$U$4:$U$803,$B176&amp;"|"&amp;J$5,'Competency Event Log'!$D$4:$D$803)))</f>
        <v/>
      </c>
      <c r="K176" s="8" t="str">
        <f>IF($B176="","",IF(COUNTIF('Competency Event Log'!$U$4:$U$803,$B176&amp;"|"&amp;K$5)=0,"",SUMIF('Competency Event Log'!$U$4:$U$803,$B176&amp;"|"&amp;K$5,'Competency Event Log'!$D$4:$D$803)))</f>
        <v/>
      </c>
      <c r="L176" s="8" t="str">
        <f>IF($B176="","",IF(COUNTIF('Competency Event Log'!$U$4:$U$803,$B176&amp;"|"&amp;L$5)=0,"",SUMIF('Competency Event Log'!$U$4:$U$803,$B176&amp;"|"&amp;L$5,'Competency Event Log'!$D$4:$D$803)))</f>
        <v/>
      </c>
      <c r="M176" s="8" t="str">
        <f>IF($B176="","",IF(COUNTIF('Competency Event Log'!$U$4:$U$803,$B176&amp;"|"&amp;M$5)=0,"",SUMIF('Competency Event Log'!$U$4:$U$803,$B176&amp;"|"&amp;M$5,'Competency Event Log'!$D$4:$D$803)))</f>
        <v/>
      </c>
      <c r="N176" s="8" t="str">
        <f>IF($B176="","",IF(COUNTIF('Competency Event Log'!$U$4:$U$803,$B176&amp;"|"&amp;N$5)=0,"",SUMIF('Competency Event Log'!$U$4:$U$803,$B176&amp;"|"&amp;N$5,'Competency Event Log'!$D$4:$D$803)))</f>
        <v/>
      </c>
      <c r="O176" s="8" t="str">
        <f>IF($B176="","",IF(COUNTIF('Competency Event Log'!$U$4:$U$803,$B176&amp;"|"&amp;O$5)=0,"",SUMIF('Competency Event Log'!$U$4:$U$803,$B176&amp;"|"&amp;O$5,'Competency Event Log'!$D$4:$D$803)))</f>
        <v/>
      </c>
      <c r="P176" s="8" t="str">
        <f>IF($B176="","",IF(COUNTIF('Competency Event Log'!$U$4:$U$803,$B176&amp;"|"&amp;P$5)=0,"",SUMIF('Competency Event Log'!$U$4:$U$803,$B176&amp;"|"&amp;P$5,'Competency Event Log'!$D$4:$D$803)))</f>
        <v/>
      </c>
      <c r="Q176" s="8" t="str">
        <f>IF($B176="","",IF(COUNTIF('Competency Event Log'!$U$4:$U$803,$B176&amp;"|"&amp;Q$5)=0,"",SUMIF('Competency Event Log'!$U$4:$U$803,$B176&amp;"|"&amp;Q$5,'Competency Event Log'!$D$4:$D$803)))</f>
        <v/>
      </c>
      <c r="R176" s="8" t="str">
        <f>IF($B176="","",IF(COUNTIF('Competency Event Log'!$U$4:$U$803,$B176&amp;"|"&amp;R$5)=0,"",SUMIF('Competency Event Log'!$U$4:$U$803,$B176&amp;"|"&amp;R$5,'Competency Event Log'!$D$4:$D$803)))</f>
        <v/>
      </c>
      <c r="S176" s="8" t="str">
        <f>IF($B176="","",IF(COUNTIF('Competency Event Log'!$U$4:$U$803,$B176&amp;"|"&amp;S$5)=0,"",SUMIF('Competency Event Log'!$U$4:$U$803,$B176&amp;"|"&amp;S$5,'Competency Event Log'!$D$4:$D$803)))</f>
        <v/>
      </c>
      <c r="T176" s="8" t="str">
        <f>IF($B176="","",IF(COUNTIF('Competency Event Log'!$U$4:$U$803,$B176&amp;"|"&amp;T$5)=0,"",SUMIF('Competency Event Log'!$U$4:$U$803,$B176&amp;"|"&amp;T$5,'Competency Event Log'!$D$4:$D$803)))</f>
        <v/>
      </c>
      <c r="U176" s="8" t="str">
        <f>IF($B176="","",IF(COUNTIF('Competency Event Log'!$U$4:$U$803,$B176&amp;"|"&amp;U$5)=0,"",SUMIF('Competency Event Log'!$U$4:$U$803,$B176&amp;"|"&amp;U$5,'Competency Event Log'!$D$4:$D$803)))</f>
        <v/>
      </c>
      <c r="V176" s="8" t="str">
        <f>IF($B176="","",IF(COUNTIF('Competency Event Log'!$U$4:$U$803,$B176&amp;"|"&amp;V$5)=0,"",SUMIF('Competency Event Log'!$U$4:$U$803,$B176&amp;"|"&amp;V$5,'Competency Event Log'!$D$4:$D$803)))</f>
        <v/>
      </c>
      <c r="W176" s="8" t="str">
        <f>IF($B176="","",IF(COUNTIF('Competency Event Log'!$U$4:$U$803,$B176&amp;"|"&amp;W$5)=0,"",SUMIF('Competency Event Log'!$U$4:$U$803,$B176&amp;"|"&amp;W$5,'Competency Event Log'!$D$4:$D$803)))</f>
        <v/>
      </c>
      <c r="X176" s="8" t="str">
        <f>IF($B176="","",IF(COUNTIF('Competency Event Log'!$U$4:$U$803,$B176&amp;"|"&amp;X$5)=0,"",SUMIF('Competency Event Log'!$U$4:$U$803,$B176&amp;"|"&amp;X$5,'Competency Event Log'!$D$4:$D$803)))</f>
        <v/>
      </c>
      <c r="Y176" s="8" t="str">
        <f>IF($B176="","",IF(COUNTIF('Competency Event Log'!$U$4:$U$803,$B176&amp;"|"&amp;Y$5)=0,"",SUMIF('Competency Event Log'!$U$4:$U$803,$B176&amp;"|"&amp;Y$5,'Competency Event Log'!$D$4:$D$803)))</f>
        <v/>
      </c>
      <c r="Z176" s="8" t="str">
        <f>IF($B176="","",IF(COUNTIF('Competency Event Log'!$U$4:$U$803,$B176&amp;"|"&amp;Z$5)=0,"",SUMIF('Competency Event Log'!$U$4:$U$803,$B176&amp;"|"&amp;Z$5,'Competency Event Log'!$D$4:$D$803)))</f>
        <v/>
      </c>
      <c r="AA176" s="8" t="str">
        <f>IF($B176="","",IF(COUNTIF('Competency Event Log'!$U$4:$U$803,$B176&amp;"|"&amp;AA$5)=0,"",SUMIF('Competency Event Log'!$U$4:$U$803,$B176&amp;"|"&amp;AA$5,'Competency Event Log'!$D$4:$D$803)))</f>
        <v/>
      </c>
      <c r="AB176" s="8" t="str">
        <f>IF($B176="","",IF(COUNTIF('Competency Event Log'!$U$4:$U$803,$B176&amp;"|"&amp;AB$5)=0,"",SUMIF('Competency Event Log'!$U$4:$U$803,$B176&amp;"|"&amp;AB$5,'Competency Event Log'!$D$4:$D$803)))</f>
        <v/>
      </c>
      <c r="AC176" s="8" t="str">
        <f>IF($B176="","",IF(COUNTIF('Competency Event Log'!$U$4:$U$803,$B176&amp;"|"&amp;AC$5)=0,"",SUMIF('Competency Event Log'!$U$4:$U$803,$B176&amp;"|"&amp;AC$5,'Competency Event Log'!$D$4:$D$803)))</f>
        <v/>
      </c>
      <c r="AD176" s="8" t="str">
        <f>IF($B176="","",IF(COUNTIF('Competency Event Log'!$U$4:$U$803,$B176&amp;"|"&amp;AD$5)=0,"",SUMIF('Competency Event Log'!$U$4:$U$803,$B176&amp;"|"&amp;AD$5,'Competency Event Log'!$D$4:$D$803)))</f>
        <v/>
      </c>
      <c r="AE176" s="8" t="str">
        <f>IF($B176="","",IF(COUNTIF('Competency Event Log'!$U$4:$U$803,$B176&amp;"|"&amp;AE$5)=0,"",SUMIF('Competency Event Log'!$U$4:$U$803,$B176&amp;"|"&amp;AE$5,'Competency Event Log'!$D$4:$D$803)))</f>
        <v/>
      </c>
      <c r="AF176" s="8" t="str">
        <f>IF($B176="","",IF(COUNTIF('Competency Event Log'!$U$4:$U$803,$B176&amp;"|"&amp;AF$5)=0,"",SUMIF('Competency Event Log'!$U$4:$U$803,$B176&amp;"|"&amp;AF$5,'Competency Event Log'!$D$4:$D$803)))</f>
        <v/>
      </c>
      <c r="AG176" s="8" t="str">
        <f>IF($B176="","",IF(COUNTIF('Competency Event Log'!$U$4:$U$803,$B176&amp;"|"&amp;AG$5)=0,"",SUMIF('Competency Event Log'!$U$4:$U$803,$B176&amp;"|"&amp;AG$5,'Competency Event Log'!$D$4:$D$803)))</f>
        <v/>
      </c>
      <c r="AH176" s="8" t="str">
        <f>IF($B176="","",IF(COUNTIF('Competency Event Log'!$U$4:$U$803,$B176&amp;"|"&amp;AH$5)=0,"",SUMIF('Competency Event Log'!$U$4:$U$803,$B176&amp;"|"&amp;AH$5,'Competency Event Log'!$D$4:$D$803)))</f>
        <v/>
      </c>
      <c r="AI176" s="8" t="str">
        <f>IF($B176="","",IF(COUNTIF('Competency Event Log'!$U$4:$U$803,$B176&amp;"|"&amp;AI$5)=0,"",SUMIF('Competency Event Log'!$U$4:$U$803,$B176&amp;"|"&amp;AI$5,'Competency Event Log'!$D$4:$D$803)))</f>
        <v/>
      </c>
      <c r="AJ176" s="8" t="str">
        <f>IF($B176="","",IF(COUNTIF('Competency Event Log'!$U$4:$U$803,$B176&amp;"|"&amp;AJ$5)=0,"",SUMIF('Competency Event Log'!$U$4:$U$803,$B176&amp;"|"&amp;AJ$5,'Competency Event Log'!$D$4:$D$803)))</f>
        <v/>
      </c>
      <c r="AK176" s="8" t="str">
        <f>IF($B176="","",IF(COUNTIF('Competency Event Log'!$U$4:$U$803,$B176&amp;"|"&amp;AK$5)=0,"",SUMIF('Competency Event Log'!$U$4:$U$803,$B176&amp;"|"&amp;AK$5,'Competency Event Log'!$D$4:$D$803)))</f>
        <v/>
      </c>
      <c r="AL176" s="8" t="str">
        <f>IF($B176="","",IF(COUNTIF('Competency Event Log'!$U$4:$U$803,$B176&amp;"|"&amp;AL$5)=0,"",SUMIF('Competency Event Log'!$U$4:$U$803,$B176&amp;"|"&amp;AL$5,'Competency Event Log'!$D$4:$D$803)))</f>
        <v/>
      </c>
      <c r="AM176" s="8" t="str">
        <f>IF($B176="","",IF(COUNTIF('Competency Event Log'!$U$4:$U$803,$B176&amp;"|"&amp;AM$5)=0,"",SUMIF('Competency Event Log'!$U$4:$U$803,$B176&amp;"|"&amp;AM$5,'Competency Event Log'!$D$4:$D$803)))</f>
        <v/>
      </c>
      <c r="AN176" s="8" t="str">
        <f>IF($B176="","",IF(COUNTIF('Competency Event Log'!$U$4:$U$803,$B176&amp;"|"&amp;AN$5)=0,"",SUMIF('Competency Event Log'!$U$4:$U$803,$B176&amp;"|"&amp;AN$5,'Competency Event Log'!$D$4:$D$803)))</f>
        <v/>
      </c>
      <c r="AO176" s="8" t="str">
        <f>IF($B176="","",IF(COUNTIF('Competency Event Log'!$U$4:$U$803,$B176&amp;"|"&amp;AO$5)=0,"",SUMIF('Competency Event Log'!$U$4:$U$803,$B176&amp;"|"&amp;AO$5,'Competency Event Log'!$D$4:$D$803)))</f>
        <v/>
      </c>
      <c r="AP176" s="8" t="str">
        <f>IF($B176="","",IF(COUNTIF('Competency Event Log'!$U$4:$U$803,$B176&amp;"|"&amp;AP$5)=0,"",SUMIF('Competency Event Log'!$U$4:$U$803,$B176&amp;"|"&amp;AP$5,'Competency Event Log'!$D$4:$D$803)))</f>
        <v/>
      </c>
      <c r="AQ176" s="8" t="str">
        <f>IF($B176="","",IF(COUNTIF('Competency Event Log'!$U$4:$U$803,$B176&amp;"|"&amp;AQ$5)=0,"",SUMIF('Competency Event Log'!$U$4:$U$803,$B176&amp;"|"&amp;AQ$5,'Competency Event Log'!$D$4:$D$803)))</f>
        <v/>
      </c>
      <c r="AR176" s="8" t="str">
        <f>IF($B176="","",IF(COUNTIF('Competency Event Log'!$U$4:$U$803,$B176&amp;"|"&amp;AR$5)=0,"",SUMIF('Competency Event Log'!$U$4:$U$803,$B176&amp;"|"&amp;AR$5,'Competency Event Log'!$D$4:$D$803)))</f>
        <v/>
      </c>
      <c r="AS176" s="8" t="str">
        <f>IF($B176="","",IF(COUNTIF('Competency Event Log'!$U$4:$U$803,$B176&amp;"|"&amp;AS$5)=0,"",SUMIF('Competency Event Log'!$U$4:$U$803,$B176&amp;"|"&amp;AS$5,'Competency Event Log'!$D$4:$D$803)))</f>
        <v/>
      </c>
      <c r="AT176" s="8" t="str">
        <f>IF($B176="","",IF(COUNTIF('Competency Event Log'!$U$4:$U$803,$B176&amp;"|"&amp;AT$5)=0,"",SUMIF('Competency Event Log'!$U$4:$U$803,$B176&amp;"|"&amp;AT$5,'Competency Event Log'!$D$4:$D$803)))</f>
        <v/>
      </c>
      <c r="AU176" s="8" t="str">
        <f>IF($B176="","",IF(COUNTIF('Competency Event Log'!$U$4:$U$803,$B176&amp;"|"&amp;AU$5)=0,"",SUMIF('Competency Event Log'!$U$4:$U$803,$B176&amp;"|"&amp;AU$5,'Competency Event Log'!$D$4:$D$803)))</f>
        <v/>
      </c>
      <c r="AV176" s="8" t="str">
        <f>IF($B176="","",IF(COUNTIF('Competency Event Log'!$U$4:$U$803,$B176&amp;"|"&amp;AV$5)=0,"",SUMIF('Competency Event Log'!$U$4:$U$803,$B176&amp;"|"&amp;AV$5,'Competency Event Log'!$D$4:$D$803)))</f>
        <v/>
      </c>
      <c r="AW176" s="8" t="str">
        <f>IF($B176="","",IF(COUNTIF('Competency Event Log'!$U$4:$U$803,$B176&amp;"|"&amp;AW$5)=0,"",SUMIF('Competency Event Log'!$U$4:$U$803,$B176&amp;"|"&amp;AW$5,'Competency Event Log'!$D$4:$D$803)))</f>
        <v/>
      </c>
      <c r="AX176" s="8" t="str">
        <f>IF($B176="","",IF(COUNTIF('Competency Event Log'!$U$4:$U$803,$B176&amp;"|"&amp;AX$5)=0,"",SUMIF('Competency Event Log'!$U$4:$U$803,$B176&amp;"|"&amp;AX$5,'Competency Event Log'!$D$4:$D$803)))</f>
        <v/>
      </c>
      <c r="AY176" s="8" t="str">
        <f>IF($B176="","",IF(COUNTIF('Competency Event Log'!$U$4:$U$803,$B176&amp;"|"&amp;AY$5)=0,"",SUMIF('Competency Event Log'!$U$4:$U$803,$B176&amp;"|"&amp;AY$5,'Competency Event Log'!$D$4:$D$803)))</f>
        <v/>
      </c>
      <c r="AZ176" s="8" t="str">
        <f>IF($B176="","",IF(COUNTIF('Competency Event Log'!$U$4:$U$803,$B176&amp;"|"&amp;AZ$5)=0,"",SUMIF('Competency Event Log'!$U$4:$U$803,$B176&amp;"|"&amp;AZ$5,'Competency Event Log'!$D$4:$D$803)))</f>
        <v/>
      </c>
      <c r="BA176" s="8" t="str">
        <f>IF($B176="","",IF(COUNTIF('Competency Event Log'!$U$4:$U$803,$B176&amp;"|"&amp;BA$5)=0,"",SUMIF('Competency Event Log'!$U$4:$U$803,$B176&amp;"|"&amp;BA$5,'Competency Event Log'!$D$4:$D$803)))</f>
        <v/>
      </c>
      <c r="BB176" s="8" t="str">
        <f>IF($B176="","",IF(COUNTIF('Competency Event Log'!$U$4:$U$803,$B176&amp;"|"&amp;BB$5)=0,"",SUMIF('Competency Event Log'!$U$4:$U$803,$B176&amp;"|"&amp;BB$5,'Competency Event Log'!$D$4:$D$803)))</f>
        <v/>
      </c>
      <c r="BC176" s="8" t="str">
        <f>IF($B176="","",IF(COUNTIF('Competency Event Log'!$U$4:$U$803,$B176&amp;"|"&amp;BC$5)=0,"",SUMIF('Competency Event Log'!$U$4:$U$803,$B176&amp;"|"&amp;BC$5,'Competency Event Log'!$D$4:$D$803)))</f>
        <v/>
      </c>
      <c r="BD176" s="8" t="str">
        <f>IF($B176="","",IF(COUNTIF('Competency Event Log'!$U$4:$U$803,$B176&amp;"|"&amp;BD$5)=0,"",SUMIF('Competency Event Log'!$U$4:$U$803,$B176&amp;"|"&amp;BD$5,'Competency Event Log'!$D$4:$D$803)))</f>
        <v/>
      </c>
      <c r="BE176" s="8" t="str">
        <f>IF($B176="","",IF(COUNTIF('Competency Event Log'!$U$4:$U$803,$B176&amp;"|"&amp;BE$5)=0,"",SUMIF('Competency Event Log'!$U$4:$U$803,$B176&amp;"|"&amp;BE$5,'Competency Event Log'!$D$4:$D$803)))</f>
        <v/>
      </c>
      <c r="BF176" s="8" t="str">
        <f>IF($B176="","",IF(COUNTIF('Competency Event Log'!$U$4:$U$803,$B176&amp;"|"&amp;BF$5)=0,"",SUMIF('Competency Event Log'!$U$4:$U$803,$B176&amp;"|"&amp;BF$5,'Competency Event Log'!$D$4:$D$803)))</f>
        <v/>
      </c>
      <c r="BG176" s="8" t="str">
        <f>IF($B176="","",IF(COUNTIF('Competency Event Log'!$U$4:$U$803,$B176&amp;"|"&amp;BG$5)=0,"",SUMIF('Competency Event Log'!$U$4:$U$803,$B176&amp;"|"&amp;BG$5,'Competency Event Log'!$D$4:$D$803)))</f>
        <v/>
      </c>
      <c r="BH176" s="8" t="str">
        <f>IF($B176="","",IF(COUNTIF('Competency Event Log'!$U$4:$U$803,$B176&amp;"|"&amp;BH$5)=0,"",SUMIF('Competency Event Log'!$U$4:$U$803,$B176&amp;"|"&amp;BH$5,'Competency Event Log'!$D$4:$D$803)))</f>
        <v/>
      </c>
      <c r="BI176" s="8" t="str">
        <f>IF($B176="","",IF(COUNTIF('Competency Event Log'!$U$4:$U$803,$B176&amp;"|"&amp;BI$5)=0,"",SUMIF('Competency Event Log'!$U$4:$U$803,$B176&amp;"|"&amp;BI$5,'Competency Event Log'!$D$4:$D$803)))</f>
        <v/>
      </c>
      <c r="BJ176" s="8" t="str">
        <f>IF($B176="","",IF(COUNTIF('Competency Event Log'!$U$4:$U$803,$B176&amp;"|"&amp;BJ$5)=0,"",SUMIF('Competency Event Log'!$U$4:$U$803,$B176&amp;"|"&amp;BJ$5,'Competency Event Log'!$D$4:$D$803)))</f>
        <v/>
      </c>
      <c r="BK176" s="8" t="str">
        <f>IF($B176="","",IF(COUNTIF('Competency Event Log'!$U$4:$U$803,$B176&amp;"|"&amp;BK$5)=0,"",SUMIF('Competency Event Log'!$U$4:$U$803,$B176&amp;"|"&amp;BK$5,'Competency Event Log'!$D$4:$D$803)))</f>
        <v/>
      </c>
      <c r="BL176" s="8" t="str">
        <f>IF($B176="","",IF(COUNTIF('Competency Event Log'!$U$4:$U$803,$B176&amp;"|"&amp;BL$5)=0,"",SUMIF('Competency Event Log'!$U$4:$U$803,$B176&amp;"|"&amp;BL$5,'Competency Event Log'!$D$4:$D$803)))</f>
        <v/>
      </c>
      <c r="BM176" s="8" t="str">
        <f>IF($B176="","",IF(COUNTIF('Competency Event Log'!$U$4:$U$803,$B176&amp;"|"&amp;BM$5)=0,"",SUMIF('Competency Event Log'!$U$4:$U$803,$B176&amp;"|"&amp;BM$5,'Competency Event Log'!$D$4:$D$803)))</f>
        <v/>
      </c>
      <c r="BN176" s="8" t="str">
        <f>IF($B176="","",IF(COUNTIF('Competency Event Log'!$U$4:$U$803,$B176&amp;"|"&amp;BN$5)=0,"",SUMIF('Competency Event Log'!$U$4:$U$803,$B176&amp;"|"&amp;BN$5,'Competency Event Log'!$D$4:$D$803)))</f>
        <v/>
      </c>
      <c r="BO176" s="8" t="str">
        <f>IF($B176="","",IF(COUNTIF('Competency Event Log'!$U$4:$U$803,$B176&amp;"|"&amp;BO$5)=0,"",SUMIF('Competency Event Log'!$U$4:$U$803,$B176&amp;"|"&amp;BO$5,'Competency Event Log'!$D$4:$D$803)))</f>
        <v/>
      </c>
      <c r="BP176" s="8" t="str">
        <f>IF($B176="","",IF(COUNTIF('Competency Event Log'!$U$4:$U$803,$B176&amp;"|"&amp;BP$5)=0,"",SUMIF('Competency Event Log'!$U$4:$U$803,$B176&amp;"|"&amp;BP$5,'Competency Event Log'!$D$4:$D$803)))</f>
        <v/>
      </c>
      <c r="BQ176" s="8" t="str">
        <f>IF($B176="","",IF(COUNTIF('Competency Event Log'!$U$4:$U$803,$B176&amp;"|"&amp;BQ$5)=0,"",SUMIF('Competency Event Log'!$U$4:$U$803,$B176&amp;"|"&amp;BQ$5,'Competency Event Log'!$D$4:$D$803)))</f>
        <v/>
      </c>
      <c r="BR176" s="8" t="str">
        <f>IF($B176="","",IF(COUNTIF('Competency Event Log'!$U$4:$U$803,$B176&amp;"|"&amp;BR$5)=0,"",SUMIF('Competency Event Log'!$U$4:$U$803,$B176&amp;"|"&amp;BR$5,'Competency Event Log'!$D$4:$D$803)))</f>
        <v/>
      </c>
      <c r="BS176" s="8" t="str">
        <f>IF($B176="","",IF(COUNTIF('Competency Event Log'!$U$4:$U$803,$B176&amp;"|"&amp;BS$5)=0,"",SUMIF('Competency Event Log'!$U$4:$U$803,$B176&amp;"|"&amp;BS$5,'Competency Event Log'!$D$4:$D$803)))</f>
        <v/>
      </c>
      <c r="BT176" s="8" t="str">
        <f>IF($B176="","",IF(COUNTIF('Competency Event Log'!$U$4:$U$803,$B176&amp;"|"&amp;BT$5)=0,"",SUMIF('Competency Event Log'!$U$4:$U$803,$B176&amp;"|"&amp;BT$5,'Competency Event Log'!$D$4:$D$803)))</f>
        <v/>
      </c>
      <c r="BU176" s="8" t="str">
        <f>IF($B176="","",IF(COUNTIF('Competency Event Log'!$U$4:$U$803,$B176&amp;"|"&amp;BU$5)=0,"",SUMIF('Competency Event Log'!$U$4:$U$803,$B176&amp;"|"&amp;BU$5,'Competency Event Log'!$D$4:$D$803)))</f>
        <v/>
      </c>
      <c r="BV176" s="8" t="str">
        <f>IF($B176="","",IF(COUNTIF('Competency Event Log'!$U$4:$U$803,$B176&amp;"|"&amp;BV$5)=0,"",SUMIF('Competency Event Log'!$U$4:$U$803,$B176&amp;"|"&amp;BV$5,'Competency Event Log'!$D$4:$D$803)))</f>
        <v/>
      </c>
      <c r="BW176" s="8" t="str">
        <f>IF($B176="","",IF(COUNTIF('Competency Event Log'!$U$4:$U$803,$B176&amp;"|"&amp;BW$5)=0,"",SUMIF('Competency Event Log'!$U$4:$U$803,$B176&amp;"|"&amp;BW$5,'Competency Event Log'!$D$4:$D$803)))</f>
        <v/>
      </c>
      <c r="BX176" s="8" t="str">
        <f>IF($B176="","",IF(COUNTIF('Competency Event Log'!$U$4:$U$803,$B176&amp;"|"&amp;BX$5)=0,"",SUMIF('Competency Event Log'!$U$4:$U$803,$B176&amp;"|"&amp;BX$5,'Competency Event Log'!$D$4:$D$803)))</f>
        <v/>
      </c>
      <c r="BY176" s="8" t="str">
        <f>IF($B176="","",IF(COUNTIF('Competency Event Log'!$U$4:$U$803,$B176&amp;"|"&amp;BY$5)=0,"",SUMIF('Competency Event Log'!$U$4:$U$803,$B176&amp;"|"&amp;BY$5,'Competency Event Log'!$D$4:$D$803)))</f>
        <v/>
      </c>
      <c r="BZ176" s="8" t="str">
        <f>IF($B176="","",IF(COUNTIF('Competency Event Log'!$U$4:$U$803,$B176&amp;"|"&amp;BZ$5)=0,"",SUMIF('Competency Event Log'!$U$4:$U$803,$B176&amp;"|"&amp;BZ$5,'Competency Event Log'!$D$4:$D$803)))</f>
        <v/>
      </c>
      <c r="CA176" s="8" t="str">
        <f>IF($B176="","",IF(COUNTIF('Competency Event Log'!$U$4:$U$803,$B176&amp;"|"&amp;CA$5)=0,"",SUMIF('Competency Event Log'!$U$4:$U$803,$B176&amp;"|"&amp;CA$5,'Competency Event Log'!$D$4:$D$803)))</f>
        <v/>
      </c>
      <c r="CB176" s="8" t="str">
        <f>IF($B176="","",IF(COUNTIF('Competency Event Log'!$U$4:$U$803,$B176&amp;"|"&amp;CB$5)=0,"",SUMIF('Competency Event Log'!$U$4:$U$803,$B176&amp;"|"&amp;CB$5,'Competency Event Log'!$D$4:$D$803)))</f>
        <v/>
      </c>
      <c r="CC176" s="8" t="str">
        <f>IF($B176="","",IF(COUNTIF('Competency Event Log'!$U$4:$U$803,$B176&amp;"|"&amp;CC$5)=0,"",SUMIF('Competency Event Log'!$U$4:$U$803,$B176&amp;"|"&amp;CC$5,'Competency Event Log'!$D$4:$D$803)))</f>
        <v/>
      </c>
      <c r="CD176" s="8" t="str">
        <f>IF($B176="","",IF(COUNTIF('Competency Event Log'!$U$4:$U$803,$B176&amp;"|"&amp;CD$5)=0,"",SUMIF('Competency Event Log'!$U$4:$U$803,$B176&amp;"|"&amp;CD$5,'Competency Event Log'!$D$4:$D$803)))</f>
        <v/>
      </c>
      <c r="CE176" s="8" t="str">
        <f>IF($B176="","",IF(COUNTIF('Competency Event Log'!$U$4:$U$803,$B176&amp;"|"&amp;CE$5)=0,"",SUMIF('Competency Event Log'!$U$4:$U$803,$B176&amp;"|"&amp;CE$5,'Competency Event Log'!$D$4:$D$803)))</f>
        <v/>
      </c>
      <c r="CF176" s="8" t="str">
        <f>IF($B176="","",IF(COUNTIF('Competency Event Log'!$U$4:$U$803,$B176&amp;"|"&amp;CF$5)=0,"",SUMIF('Competency Event Log'!$U$4:$U$803,$B176&amp;"|"&amp;CF$5,'Competency Event Log'!$D$4:$D$803)))</f>
        <v/>
      </c>
      <c r="CG176" s="8" t="str">
        <f>IF($B176="","",IF(COUNTIF('Competency Event Log'!$U$4:$U$803,$B176&amp;"|"&amp;CG$5)=0,"",SUMIF('Competency Event Log'!$U$4:$U$803,$B176&amp;"|"&amp;CG$5,'Competency Event Log'!$D$4:$D$803)))</f>
        <v/>
      </c>
      <c r="CH176" s="8" t="str">
        <f>IF($B176="","",IF(COUNTIF('Competency Event Log'!$U$4:$U$803,$B176&amp;"|"&amp;CH$5)=0,"",SUMIF('Competency Event Log'!$U$4:$U$803,$B176&amp;"|"&amp;CH$5,'Competency Event Log'!$D$4:$D$803)))</f>
        <v/>
      </c>
      <c r="CI176" s="8" t="str">
        <f>IF($B176="","",IF(COUNTIF('Competency Event Log'!$U$4:$U$803,$B176&amp;"|"&amp;CI$5)=0,"",SUMIF('Competency Event Log'!$U$4:$U$803,$B176&amp;"|"&amp;CI$5,'Competency Event Log'!$D$4:$D$803)))</f>
        <v/>
      </c>
      <c r="CJ176" s="8" t="str">
        <f>IF($B176="","",IF(COUNTIF('Competency Event Log'!$U$4:$U$803,$B176&amp;"|"&amp;CJ$5)=0,"",SUMIF('Competency Event Log'!$U$4:$U$803,$B176&amp;"|"&amp;CJ$5,'Competency Event Log'!$D$4:$D$803)))</f>
        <v/>
      </c>
      <c r="CK176" s="8" t="str">
        <f>IF($B176="","",IF(COUNTIF('Competency Event Log'!$U$4:$U$803,$B176&amp;"|"&amp;CK$5)=0,"",SUMIF('Competency Event Log'!$U$4:$U$803,$B176&amp;"|"&amp;CK$5,'Competency Event Log'!$D$4:$D$803)))</f>
        <v/>
      </c>
      <c r="CL176" s="8" t="str">
        <f>IF($B176="","",IF(COUNTIF('Competency Event Log'!$U$4:$U$803,$B176&amp;"|"&amp;CL$5)=0,"",SUMIF('Competency Event Log'!$U$4:$U$803,$B176&amp;"|"&amp;CL$5,'Competency Event Log'!$D$4:$D$803)))</f>
        <v/>
      </c>
      <c r="CM176" s="8" t="str">
        <f>IF($B176="","",IF(COUNTIF('Competency Event Log'!$U$4:$U$803,$B176&amp;"|"&amp;CM$5)=0,"",SUMIF('Competency Event Log'!$U$4:$U$803,$B176&amp;"|"&amp;CM$5,'Competency Event Log'!$D$4:$D$803)))</f>
        <v/>
      </c>
      <c r="CN176" s="8" t="str">
        <f>IF($B176="","",IF(COUNTIF('Competency Event Log'!$U$4:$U$803,$B176&amp;"|"&amp;CN$5)=0,"",SUMIF('Competency Event Log'!$U$4:$U$803,$B176&amp;"|"&amp;CN$5,'Competency Event Log'!$D$4:$D$803)))</f>
        <v/>
      </c>
      <c r="CO176" s="8" t="str">
        <f>IF($B176="","",IF(COUNTIF('Competency Event Log'!$U$4:$U$803,$B176&amp;"|"&amp;CO$5)=0,"",SUMIF('Competency Event Log'!$U$4:$U$803,$B176&amp;"|"&amp;CO$5,'Competency Event Log'!$D$4:$D$803)))</f>
        <v/>
      </c>
      <c r="CP176" s="8" t="str">
        <f>IF($B176="","",IF(COUNTIF('Competency Event Log'!$U$4:$U$803,$B176&amp;"|"&amp;CP$5)=0,"",SUMIF('Competency Event Log'!$U$4:$U$803,$B176&amp;"|"&amp;CP$5,'Competency Event Log'!$D$4:$D$803)))</f>
        <v/>
      </c>
      <c r="CQ176" s="8" t="str">
        <f>IF($B176="","",IF(COUNTIF('Competency Event Log'!$U$4:$U$803,$B176&amp;"|"&amp;CQ$5)=0,"",SUMIF('Competency Event Log'!$U$4:$U$803,$B176&amp;"|"&amp;CQ$5,'Competency Event Log'!$D$4:$D$803)))</f>
        <v/>
      </c>
      <c r="CR176" s="8" t="str">
        <f>IF($B176="","",IF(COUNTIF('Competency Event Log'!$U$4:$U$803,$B176&amp;"|"&amp;CR$5)=0,"",SUMIF('Competency Event Log'!$U$4:$U$803,$B176&amp;"|"&amp;CR$5,'Competency Event Log'!$D$4:$D$803)))</f>
        <v/>
      </c>
      <c r="CS176" s="8" t="str">
        <f>IF($B176="","",IF(COUNTIF('Competency Event Log'!$U$4:$U$803,$B176&amp;"|"&amp;CS$5)=0,"",SUMIF('Competency Event Log'!$U$4:$U$803,$B176&amp;"|"&amp;CS$5,'Competency Event Log'!$D$4:$D$803)))</f>
        <v/>
      </c>
      <c r="CT176" s="8" t="str">
        <f>IF($B176="","",IF(COUNTIF('Competency Event Log'!$U$4:$U$803,$B176&amp;"|"&amp;CT$5)=0,"",SUMIF('Competency Event Log'!$U$4:$U$803,$B176&amp;"|"&amp;CT$5,'Competency Event Log'!$D$4:$D$803)))</f>
        <v/>
      </c>
      <c r="CU176" s="8" t="str">
        <f>IF($B176="","",IF(COUNTIF('Competency Event Log'!$U$4:$U$803,$B176&amp;"|"&amp;CU$5)=0,"",SUMIF('Competency Event Log'!$U$4:$U$803,$B176&amp;"|"&amp;CU$5,'Competency Event Log'!$D$4:$D$803)))</f>
        <v/>
      </c>
      <c r="CV176" s="8" t="str">
        <f>IF($B176="","",IF(COUNTIF('Competency Event Log'!$U$4:$U$803,$B176&amp;"|"&amp;CV$5)=0,"",SUMIF('Competency Event Log'!$U$4:$U$803,$B176&amp;"|"&amp;CV$5,'Competency Event Log'!$D$4:$D$803)))</f>
        <v/>
      </c>
      <c r="CW176" s="8" t="str">
        <f>IF($B176="","",IF(COUNTIF('Competency Event Log'!$U$4:$U$803,$B176&amp;"|"&amp;CW$5)=0,"",SUMIF('Competency Event Log'!$U$4:$U$803,$B176&amp;"|"&amp;CW$5,'Competency Event Log'!$D$4:$D$803)))</f>
        <v/>
      </c>
      <c r="CX176" s="8" t="str">
        <f>IF($B176="","",IF(COUNTIF('Competency Event Log'!$U$4:$U$803,$B176&amp;"|"&amp;CX$5)=0,"",SUMIF('Competency Event Log'!$U$4:$U$803,$B176&amp;"|"&amp;CX$5,'Competency Event Log'!$D$4:$D$803)))</f>
        <v/>
      </c>
      <c r="CY176" s="8" t="str">
        <f>IF($B176="","",IF(COUNTIF('Competency Event Log'!$U$4:$U$803,$B176&amp;"|"&amp;CY$5)=0,"",SUMIF('Competency Event Log'!$U$4:$U$803,$B176&amp;"|"&amp;CY$5,'Competency Event Log'!$D$4:$D$803)))</f>
        <v/>
      </c>
      <c r="CZ176" s="8" t="str">
        <f>IF($B176="","",IF(COUNTIF('Competency Event Log'!$U$4:$U$803,$B176&amp;"|"&amp;CZ$5)=0,"",SUMIF('Competency Event Log'!$U$4:$U$803,$B176&amp;"|"&amp;CZ$5,'Competency Event Log'!$D$4:$D$803)))</f>
        <v/>
      </c>
      <c r="DA176" s="8" t="str">
        <f>IF($B176="","",IF(COUNTIF('Competency Event Log'!$U$4:$U$803,$B176&amp;"|"&amp;DA$5)=0,"",SUMIF('Competency Event Log'!$U$4:$U$803,$B176&amp;"|"&amp;DA$5,'Competency Event Log'!$D$4:$D$803)))</f>
        <v/>
      </c>
      <c r="DB176" s="8" t="str">
        <f>IF($B176="","",IF(COUNTIF('Competency Event Log'!$U$4:$U$803,$B176&amp;"|"&amp;DB$5)=0,"",SUMIF('Competency Event Log'!$U$4:$U$803,$B176&amp;"|"&amp;DB$5,'Competency Event Log'!$D$4:$D$803)))</f>
        <v/>
      </c>
      <c r="DC176" s="8" t="str">
        <f>IF($B176="","",IF(COUNTIF('Competency Event Log'!$U$4:$U$803,$B176&amp;"|"&amp;DC$5)=0,"",SUMIF('Competency Event Log'!$U$4:$U$803,$B176&amp;"|"&amp;DC$5,'Competency Event Log'!$D$4:$D$803)))</f>
        <v/>
      </c>
      <c r="DD176" s="8" t="str">
        <f>IF($B176="","",IF(COUNTIF('Competency Event Log'!$U$4:$U$803,$B176&amp;"|"&amp;DD$5)=0,"",SUMIF('Competency Event Log'!$U$4:$U$803,$B176&amp;"|"&amp;DD$5,'Competency Event Log'!$D$4:$D$803)))</f>
        <v/>
      </c>
      <c r="DE176" s="8" t="str">
        <f>IF($B176="","",IF(COUNTIF('Competency Event Log'!$U$4:$U$803,$B176&amp;"|"&amp;DE$5)=0,"",SUMIF('Competency Event Log'!$U$4:$U$803,$B176&amp;"|"&amp;DE$5,'Competency Event Log'!$D$4:$D$803)))</f>
        <v/>
      </c>
      <c r="DF176" s="8" t="str">
        <f t="shared" si="20"/>
        <v/>
      </c>
      <c r="DG176" s="8" t="str">
        <f t="shared" si="21"/>
        <v/>
      </c>
      <c r="DH176" s="8" t="str">
        <f t="shared" si="22"/>
        <v/>
      </c>
      <c r="DI176" s="11" t="str">
        <f t="shared" si="23"/>
        <v/>
      </c>
    </row>
    <row r="177" spans="1:113">
      <c r="A177" s="7"/>
      <c r="B177" s="7"/>
      <c r="C177" s="8"/>
      <c r="D177" s="9"/>
      <c r="E177" s="10"/>
      <c r="F177" s="8"/>
      <c r="G177" s="8" t="str">
        <f>IF($B177="","",IF(COUNTIF('Competency Event Log'!$U$4:$U$803,$B177&amp;"|"&amp;G$5)=0,"",SUMIF('Competency Event Log'!$U$4:$U$803,$B177&amp;"|"&amp;G$5,'Competency Event Log'!$D$4:$D$803)))</f>
        <v/>
      </c>
      <c r="H177" s="8" t="str">
        <f>IF($B177="","",IF(COUNTIF('Competency Event Log'!$U$4:$U$803,$B177&amp;"|"&amp;H$5)=0,"",SUMIF('Competency Event Log'!$U$4:$U$803,$B177&amp;"|"&amp;H$5,'Competency Event Log'!$D$4:$D$803)))</f>
        <v/>
      </c>
      <c r="I177" s="8" t="str">
        <f>IF($B177="","",IF(COUNTIF('Competency Event Log'!$U$4:$U$803,$B177&amp;"|"&amp;I$5)=0,"",SUMIF('Competency Event Log'!$U$4:$U$803,$B177&amp;"|"&amp;I$5,'Competency Event Log'!$D$4:$D$803)))</f>
        <v/>
      </c>
      <c r="J177" s="8" t="str">
        <f>IF($B177="","",IF(COUNTIF('Competency Event Log'!$U$4:$U$803,$B177&amp;"|"&amp;J$5)=0,"",SUMIF('Competency Event Log'!$U$4:$U$803,$B177&amp;"|"&amp;J$5,'Competency Event Log'!$D$4:$D$803)))</f>
        <v/>
      </c>
      <c r="K177" s="8" t="str">
        <f>IF($B177="","",IF(COUNTIF('Competency Event Log'!$U$4:$U$803,$B177&amp;"|"&amp;K$5)=0,"",SUMIF('Competency Event Log'!$U$4:$U$803,$B177&amp;"|"&amp;K$5,'Competency Event Log'!$D$4:$D$803)))</f>
        <v/>
      </c>
      <c r="L177" s="8" t="str">
        <f>IF($B177="","",IF(COUNTIF('Competency Event Log'!$U$4:$U$803,$B177&amp;"|"&amp;L$5)=0,"",SUMIF('Competency Event Log'!$U$4:$U$803,$B177&amp;"|"&amp;L$5,'Competency Event Log'!$D$4:$D$803)))</f>
        <v/>
      </c>
      <c r="M177" s="8" t="str">
        <f>IF($B177="","",IF(COUNTIF('Competency Event Log'!$U$4:$U$803,$B177&amp;"|"&amp;M$5)=0,"",SUMIF('Competency Event Log'!$U$4:$U$803,$B177&amp;"|"&amp;M$5,'Competency Event Log'!$D$4:$D$803)))</f>
        <v/>
      </c>
      <c r="N177" s="8" t="str">
        <f>IF($B177="","",IF(COUNTIF('Competency Event Log'!$U$4:$U$803,$B177&amp;"|"&amp;N$5)=0,"",SUMIF('Competency Event Log'!$U$4:$U$803,$B177&amp;"|"&amp;N$5,'Competency Event Log'!$D$4:$D$803)))</f>
        <v/>
      </c>
      <c r="O177" s="8" t="str">
        <f>IF($B177="","",IF(COUNTIF('Competency Event Log'!$U$4:$U$803,$B177&amp;"|"&amp;O$5)=0,"",SUMIF('Competency Event Log'!$U$4:$U$803,$B177&amp;"|"&amp;O$5,'Competency Event Log'!$D$4:$D$803)))</f>
        <v/>
      </c>
      <c r="P177" s="8" t="str">
        <f>IF($B177="","",IF(COUNTIF('Competency Event Log'!$U$4:$U$803,$B177&amp;"|"&amp;P$5)=0,"",SUMIF('Competency Event Log'!$U$4:$U$803,$B177&amp;"|"&amp;P$5,'Competency Event Log'!$D$4:$D$803)))</f>
        <v/>
      </c>
      <c r="Q177" s="8" t="str">
        <f>IF($B177="","",IF(COUNTIF('Competency Event Log'!$U$4:$U$803,$B177&amp;"|"&amp;Q$5)=0,"",SUMIF('Competency Event Log'!$U$4:$U$803,$B177&amp;"|"&amp;Q$5,'Competency Event Log'!$D$4:$D$803)))</f>
        <v/>
      </c>
      <c r="R177" s="8" t="str">
        <f>IF($B177="","",IF(COUNTIF('Competency Event Log'!$U$4:$U$803,$B177&amp;"|"&amp;R$5)=0,"",SUMIF('Competency Event Log'!$U$4:$U$803,$B177&amp;"|"&amp;R$5,'Competency Event Log'!$D$4:$D$803)))</f>
        <v/>
      </c>
      <c r="S177" s="8" t="str">
        <f>IF($B177="","",IF(COUNTIF('Competency Event Log'!$U$4:$U$803,$B177&amp;"|"&amp;S$5)=0,"",SUMIF('Competency Event Log'!$U$4:$U$803,$B177&amp;"|"&amp;S$5,'Competency Event Log'!$D$4:$D$803)))</f>
        <v/>
      </c>
      <c r="T177" s="8" t="str">
        <f>IF($B177="","",IF(COUNTIF('Competency Event Log'!$U$4:$U$803,$B177&amp;"|"&amp;T$5)=0,"",SUMIF('Competency Event Log'!$U$4:$U$803,$B177&amp;"|"&amp;T$5,'Competency Event Log'!$D$4:$D$803)))</f>
        <v/>
      </c>
      <c r="U177" s="8" t="str">
        <f>IF($B177="","",IF(COUNTIF('Competency Event Log'!$U$4:$U$803,$B177&amp;"|"&amp;U$5)=0,"",SUMIF('Competency Event Log'!$U$4:$U$803,$B177&amp;"|"&amp;U$5,'Competency Event Log'!$D$4:$D$803)))</f>
        <v/>
      </c>
      <c r="V177" s="8" t="str">
        <f>IF($B177="","",IF(COUNTIF('Competency Event Log'!$U$4:$U$803,$B177&amp;"|"&amp;V$5)=0,"",SUMIF('Competency Event Log'!$U$4:$U$803,$B177&amp;"|"&amp;V$5,'Competency Event Log'!$D$4:$D$803)))</f>
        <v/>
      </c>
      <c r="W177" s="8" t="str">
        <f>IF($B177="","",IF(COUNTIF('Competency Event Log'!$U$4:$U$803,$B177&amp;"|"&amp;W$5)=0,"",SUMIF('Competency Event Log'!$U$4:$U$803,$B177&amp;"|"&amp;W$5,'Competency Event Log'!$D$4:$D$803)))</f>
        <v/>
      </c>
      <c r="X177" s="8" t="str">
        <f>IF($B177="","",IF(COUNTIF('Competency Event Log'!$U$4:$U$803,$B177&amp;"|"&amp;X$5)=0,"",SUMIF('Competency Event Log'!$U$4:$U$803,$B177&amp;"|"&amp;X$5,'Competency Event Log'!$D$4:$D$803)))</f>
        <v/>
      </c>
      <c r="Y177" s="8" t="str">
        <f>IF($B177="","",IF(COUNTIF('Competency Event Log'!$U$4:$U$803,$B177&amp;"|"&amp;Y$5)=0,"",SUMIF('Competency Event Log'!$U$4:$U$803,$B177&amp;"|"&amp;Y$5,'Competency Event Log'!$D$4:$D$803)))</f>
        <v/>
      </c>
      <c r="Z177" s="8" t="str">
        <f>IF($B177="","",IF(COUNTIF('Competency Event Log'!$U$4:$U$803,$B177&amp;"|"&amp;Z$5)=0,"",SUMIF('Competency Event Log'!$U$4:$U$803,$B177&amp;"|"&amp;Z$5,'Competency Event Log'!$D$4:$D$803)))</f>
        <v/>
      </c>
      <c r="AA177" s="8" t="str">
        <f>IF($B177="","",IF(COUNTIF('Competency Event Log'!$U$4:$U$803,$B177&amp;"|"&amp;AA$5)=0,"",SUMIF('Competency Event Log'!$U$4:$U$803,$B177&amp;"|"&amp;AA$5,'Competency Event Log'!$D$4:$D$803)))</f>
        <v/>
      </c>
      <c r="AB177" s="8" t="str">
        <f>IF($B177="","",IF(COUNTIF('Competency Event Log'!$U$4:$U$803,$B177&amp;"|"&amp;AB$5)=0,"",SUMIF('Competency Event Log'!$U$4:$U$803,$B177&amp;"|"&amp;AB$5,'Competency Event Log'!$D$4:$D$803)))</f>
        <v/>
      </c>
      <c r="AC177" s="8" t="str">
        <f>IF($B177="","",IF(COUNTIF('Competency Event Log'!$U$4:$U$803,$B177&amp;"|"&amp;AC$5)=0,"",SUMIF('Competency Event Log'!$U$4:$U$803,$B177&amp;"|"&amp;AC$5,'Competency Event Log'!$D$4:$D$803)))</f>
        <v/>
      </c>
      <c r="AD177" s="8" t="str">
        <f>IF($B177="","",IF(COUNTIF('Competency Event Log'!$U$4:$U$803,$B177&amp;"|"&amp;AD$5)=0,"",SUMIF('Competency Event Log'!$U$4:$U$803,$B177&amp;"|"&amp;AD$5,'Competency Event Log'!$D$4:$D$803)))</f>
        <v/>
      </c>
      <c r="AE177" s="8" t="str">
        <f>IF($B177="","",IF(COUNTIF('Competency Event Log'!$U$4:$U$803,$B177&amp;"|"&amp;AE$5)=0,"",SUMIF('Competency Event Log'!$U$4:$U$803,$B177&amp;"|"&amp;AE$5,'Competency Event Log'!$D$4:$D$803)))</f>
        <v/>
      </c>
      <c r="AF177" s="8" t="str">
        <f>IF($B177="","",IF(COUNTIF('Competency Event Log'!$U$4:$U$803,$B177&amp;"|"&amp;AF$5)=0,"",SUMIF('Competency Event Log'!$U$4:$U$803,$B177&amp;"|"&amp;AF$5,'Competency Event Log'!$D$4:$D$803)))</f>
        <v/>
      </c>
      <c r="AG177" s="8" t="str">
        <f>IF($B177="","",IF(COUNTIF('Competency Event Log'!$U$4:$U$803,$B177&amp;"|"&amp;AG$5)=0,"",SUMIF('Competency Event Log'!$U$4:$U$803,$B177&amp;"|"&amp;AG$5,'Competency Event Log'!$D$4:$D$803)))</f>
        <v/>
      </c>
      <c r="AH177" s="8" t="str">
        <f>IF($B177="","",IF(COUNTIF('Competency Event Log'!$U$4:$U$803,$B177&amp;"|"&amp;AH$5)=0,"",SUMIF('Competency Event Log'!$U$4:$U$803,$B177&amp;"|"&amp;AH$5,'Competency Event Log'!$D$4:$D$803)))</f>
        <v/>
      </c>
      <c r="AI177" s="8" t="str">
        <f>IF($B177="","",IF(COUNTIF('Competency Event Log'!$U$4:$U$803,$B177&amp;"|"&amp;AI$5)=0,"",SUMIF('Competency Event Log'!$U$4:$U$803,$B177&amp;"|"&amp;AI$5,'Competency Event Log'!$D$4:$D$803)))</f>
        <v/>
      </c>
      <c r="AJ177" s="8" t="str">
        <f>IF($B177="","",IF(COUNTIF('Competency Event Log'!$U$4:$U$803,$B177&amp;"|"&amp;AJ$5)=0,"",SUMIF('Competency Event Log'!$U$4:$U$803,$B177&amp;"|"&amp;AJ$5,'Competency Event Log'!$D$4:$D$803)))</f>
        <v/>
      </c>
      <c r="AK177" s="8" t="str">
        <f>IF($B177="","",IF(COUNTIF('Competency Event Log'!$U$4:$U$803,$B177&amp;"|"&amp;AK$5)=0,"",SUMIF('Competency Event Log'!$U$4:$U$803,$B177&amp;"|"&amp;AK$5,'Competency Event Log'!$D$4:$D$803)))</f>
        <v/>
      </c>
      <c r="AL177" s="8" t="str">
        <f>IF($B177="","",IF(COUNTIF('Competency Event Log'!$U$4:$U$803,$B177&amp;"|"&amp;AL$5)=0,"",SUMIF('Competency Event Log'!$U$4:$U$803,$B177&amp;"|"&amp;AL$5,'Competency Event Log'!$D$4:$D$803)))</f>
        <v/>
      </c>
      <c r="AM177" s="8" t="str">
        <f>IF($B177="","",IF(COUNTIF('Competency Event Log'!$U$4:$U$803,$B177&amp;"|"&amp;AM$5)=0,"",SUMIF('Competency Event Log'!$U$4:$U$803,$B177&amp;"|"&amp;AM$5,'Competency Event Log'!$D$4:$D$803)))</f>
        <v/>
      </c>
      <c r="AN177" s="8" t="str">
        <f>IF($B177="","",IF(COUNTIF('Competency Event Log'!$U$4:$U$803,$B177&amp;"|"&amp;AN$5)=0,"",SUMIF('Competency Event Log'!$U$4:$U$803,$B177&amp;"|"&amp;AN$5,'Competency Event Log'!$D$4:$D$803)))</f>
        <v/>
      </c>
      <c r="AO177" s="8" t="str">
        <f>IF($B177="","",IF(COUNTIF('Competency Event Log'!$U$4:$U$803,$B177&amp;"|"&amp;AO$5)=0,"",SUMIF('Competency Event Log'!$U$4:$U$803,$B177&amp;"|"&amp;AO$5,'Competency Event Log'!$D$4:$D$803)))</f>
        <v/>
      </c>
      <c r="AP177" s="8" t="str">
        <f>IF($B177="","",IF(COUNTIF('Competency Event Log'!$U$4:$U$803,$B177&amp;"|"&amp;AP$5)=0,"",SUMIF('Competency Event Log'!$U$4:$U$803,$B177&amp;"|"&amp;AP$5,'Competency Event Log'!$D$4:$D$803)))</f>
        <v/>
      </c>
      <c r="AQ177" s="8" t="str">
        <f>IF($B177="","",IF(COUNTIF('Competency Event Log'!$U$4:$U$803,$B177&amp;"|"&amp;AQ$5)=0,"",SUMIF('Competency Event Log'!$U$4:$U$803,$B177&amp;"|"&amp;AQ$5,'Competency Event Log'!$D$4:$D$803)))</f>
        <v/>
      </c>
      <c r="AR177" s="8" t="str">
        <f>IF($B177="","",IF(COUNTIF('Competency Event Log'!$U$4:$U$803,$B177&amp;"|"&amp;AR$5)=0,"",SUMIF('Competency Event Log'!$U$4:$U$803,$B177&amp;"|"&amp;AR$5,'Competency Event Log'!$D$4:$D$803)))</f>
        <v/>
      </c>
      <c r="AS177" s="8" t="str">
        <f>IF($B177="","",IF(COUNTIF('Competency Event Log'!$U$4:$U$803,$B177&amp;"|"&amp;AS$5)=0,"",SUMIF('Competency Event Log'!$U$4:$U$803,$B177&amp;"|"&amp;AS$5,'Competency Event Log'!$D$4:$D$803)))</f>
        <v/>
      </c>
      <c r="AT177" s="8" t="str">
        <f>IF($B177="","",IF(COUNTIF('Competency Event Log'!$U$4:$U$803,$B177&amp;"|"&amp;AT$5)=0,"",SUMIF('Competency Event Log'!$U$4:$U$803,$B177&amp;"|"&amp;AT$5,'Competency Event Log'!$D$4:$D$803)))</f>
        <v/>
      </c>
      <c r="AU177" s="8" t="str">
        <f>IF($B177="","",IF(COUNTIF('Competency Event Log'!$U$4:$U$803,$B177&amp;"|"&amp;AU$5)=0,"",SUMIF('Competency Event Log'!$U$4:$U$803,$B177&amp;"|"&amp;AU$5,'Competency Event Log'!$D$4:$D$803)))</f>
        <v/>
      </c>
      <c r="AV177" s="8" t="str">
        <f>IF($B177="","",IF(COUNTIF('Competency Event Log'!$U$4:$U$803,$B177&amp;"|"&amp;AV$5)=0,"",SUMIF('Competency Event Log'!$U$4:$U$803,$B177&amp;"|"&amp;AV$5,'Competency Event Log'!$D$4:$D$803)))</f>
        <v/>
      </c>
      <c r="AW177" s="8" t="str">
        <f>IF($B177="","",IF(COUNTIF('Competency Event Log'!$U$4:$U$803,$B177&amp;"|"&amp;AW$5)=0,"",SUMIF('Competency Event Log'!$U$4:$U$803,$B177&amp;"|"&amp;AW$5,'Competency Event Log'!$D$4:$D$803)))</f>
        <v/>
      </c>
      <c r="AX177" s="8" t="str">
        <f>IF($B177="","",IF(COUNTIF('Competency Event Log'!$U$4:$U$803,$B177&amp;"|"&amp;AX$5)=0,"",SUMIF('Competency Event Log'!$U$4:$U$803,$B177&amp;"|"&amp;AX$5,'Competency Event Log'!$D$4:$D$803)))</f>
        <v/>
      </c>
      <c r="AY177" s="8" t="str">
        <f>IF($B177="","",IF(COUNTIF('Competency Event Log'!$U$4:$U$803,$B177&amp;"|"&amp;AY$5)=0,"",SUMIF('Competency Event Log'!$U$4:$U$803,$B177&amp;"|"&amp;AY$5,'Competency Event Log'!$D$4:$D$803)))</f>
        <v/>
      </c>
      <c r="AZ177" s="8" t="str">
        <f>IF($B177="","",IF(COUNTIF('Competency Event Log'!$U$4:$U$803,$B177&amp;"|"&amp;AZ$5)=0,"",SUMIF('Competency Event Log'!$U$4:$U$803,$B177&amp;"|"&amp;AZ$5,'Competency Event Log'!$D$4:$D$803)))</f>
        <v/>
      </c>
      <c r="BA177" s="8" t="str">
        <f>IF($B177="","",IF(COUNTIF('Competency Event Log'!$U$4:$U$803,$B177&amp;"|"&amp;BA$5)=0,"",SUMIF('Competency Event Log'!$U$4:$U$803,$B177&amp;"|"&amp;BA$5,'Competency Event Log'!$D$4:$D$803)))</f>
        <v/>
      </c>
      <c r="BB177" s="8" t="str">
        <f>IF($B177="","",IF(COUNTIF('Competency Event Log'!$U$4:$U$803,$B177&amp;"|"&amp;BB$5)=0,"",SUMIF('Competency Event Log'!$U$4:$U$803,$B177&amp;"|"&amp;BB$5,'Competency Event Log'!$D$4:$D$803)))</f>
        <v/>
      </c>
      <c r="BC177" s="8" t="str">
        <f>IF($B177="","",IF(COUNTIF('Competency Event Log'!$U$4:$U$803,$B177&amp;"|"&amp;BC$5)=0,"",SUMIF('Competency Event Log'!$U$4:$U$803,$B177&amp;"|"&amp;BC$5,'Competency Event Log'!$D$4:$D$803)))</f>
        <v/>
      </c>
      <c r="BD177" s="8" t="str">
        <f>IF($B177="","",IF(COUNTIF('Competency Event Log'!$U$4:$U$803,$B177&amp;"|"&amp;BD$5)=0,"",SUMIF('Competency Event Log'!$U$4:$U$803,$B177&amp;"|"&amp;BD$5,'Competency Event Log'!$D$4:$D$803)))</f>
        <v/>
      </c>
      <c r="BE177" s="8" t="str">
        <f>IF($B177="","",IF(COUNTIF('Competency Event Log'!$U$4:$U$803,$B177&amp;"|"&amp;BE$5)=0,"",SUMIF('Competency Event Log'!$U$4:$U$803,$B177&amp;"|"&amp;BE$5,'Competency Event Log'!$D$4:$D$803)))</f>
        <v/>
      </c>
      <c r="BF177" s="8" t="str">
        <f>IF($B177="","",IF(COUNTIF('Competency Event Log'!$U$4:$U$803,$B177&amp;"|"&amp;BF$5)=0,"",SUMIF('Competency Event Log'!$U$4:$U$803,$B177&amp;"|"&amp;BF$5,'Competency Event Log'!$D$4:$D$803)))</f>
        <v/>
      </c>
      <c r="BG177" s="8" t="str">
        <f>IF($B177="","",IF(COUNTIF('Competency Event Log'!$U$4:$U$803,$B177&amp;"|"&amp;BG$5)=0,"",SUMIF('Competency Event Log'!$U$4:$U$803,$B177&amp;"|"&amp;BG$5,'Competency Event Log'!$D$4:$D$803)))</f>
        <v/>
      </c>
      <c r="BH177" s="8" t="str">
        <f>IF($B177="","",IF(COUNTIF('Competency Event Log'!$U$4:$U$803,$B177&amp;"|"&amp;BH$5)=0,"",SUMIF('Competency Event Log'!$U$4:$U$803,$B177&amp;"|"&amp;BH$5,'Competency Event Log'!$D$4:$D$803)))</f>
        <v/>
      </c>
      <c r="BI177" s="8" t="str">
        <f>IF($B177="","",IF(COUNTIF('Competency Event Log'!$U$4:$U$803,$B177&amp;"|"&amp;BI$5)=0,"",SUMIF('Competency Event Log'!$U$4:$U$803,$B177&amp;"|"&amp;BI$5,'Competency Event Log'!$D$4:$D$803)))</f>
        <v/>
      </c>
      <c r="BJ177" s="8" t="str">
        <f>IF($B177="","",IF(COUNTIF('Competency Event Log'!$U$4:$U$803,$B177&amp;"|"&amp;BJ$5)=0,"",SUMIF('Competency Event Log'!$U$4:$U$803,$B177&amp;"|"&amp;BJ$5,'Competency Event Log'!$D$4:$D$803)))</f>
        <v/>
      </c>
      <c r="BK177" s="8" t="str">
        <f>IF($B177="","",IF(COUNTIF('Competency Event Log'!$U$4:$U$803,$B177&amp;"|"&amp;BK$5)=0,"",SUMIF('Competency Event Log'!$U$4:$U$803,$B177&amp;"|"&amp;BK$5,'Competency Event Log'!$D$4:$D$803)))</f>
        <v/>
      </c>
      <c r="BL177" s="8" t="str">
        <f>IF($B177="","",IF(COUNTIF('Competency Event Log'!$U$4:$U$803,$B177&amp;"|"&amp;BL$5)=0,"",SUMIF('Competency Event Log'!$U$4:$U$803,$B177&amp;"|"&amp;BL$5,'Competency Event Log'!$D$4:$D$803)))</f>
        <v/>
      </c>
      <c r="BM177" s="8" t="str">
        <f>IF($B177="","",IF(COUNTIF('Competency Event Log'!$U$4:$U$803,$B177&amp;"|"&amp;BM$5)=0,"",SUMIF('Competency Event Log'!$U$4:$U$803,$B177&amp;"|"&amp;BM$5,'Competency Event Log'!$D$4:$D$803)))</f>
        <v/>
      </c>
      <c r="BN177" s="8" t="str">
        <f>IF($B177="","",IF(COUNTIF('Competency Event Log'!$U$4:$U$803,$B177&amp;"|"&amp;BN$5)=0,"",SUMIF('Competency Event Log'!$U$4:$U$803,$B177&amp;"|"&amp;BN$5,'Competency Event Log'!$D$4:$D$803)))</f>
        <v/>
      </c>
      <c r="BO177" s="8" t="str">
        <f>IF($B177="","",IF(COUNTIF('Competency Event Log'!$U$4:$U$803,$B177&amp;"|"&amp;BO$5)=0,"",SUMIF('Competency Event Log'!$U$4:$U$803,$B177&amp;"|"&amp;BO$5,'Competency Event Log'!$D$4:$D$803)))</f>
        <v/>
      </c>
      <c r="BP177" s="8" t="str">
        <f>IF($B177="","",IF(COUNTIF('Competency Event Log'!$U$4:$U$803,$B177&amp;"|"&amp;BP$5)=0,"",SUMIF('Competency Event Log'!$U$4:$U$803,$B177&amp;"|"&amp;BP$5,'Competency Event Log'!$D$4:$D$803)))</f>
        <v/>
      </c>
      <c r="BQ177" s="8" t="str">
        <f>IF($B177="","",IF(COUNTIF('Competency Event Log'!$U$4:$U$803,$B177&amp;"|"&amp;BQ$5)=0,"",SUMIF('Competency Event Log'!$U$4:$U$803,$B177&amp;"|"&amp;BQ$5,'Competency Event Log'!$D$4:$D$803)))</f>
        <v/>
      </c>
      <c r="BR177" s="8" t="str">
        <f>IF($B177="","",IF(COUNTIF('Competency Event Log'!$U$4:$U$803,$B177&amp;"|"&amp;BR$5)=0,"",SUMIF('Competency Event Log'!$U$4:$U$803,$B177&amp;"|"&amp;BR$5,'Competency Event Log'!$D$4:$D$803)))</f>
        <v/>
      </c>
      <c r="BS177" s="8" t="str">
        <f>IF($B177="","",IF(COUNTIF('Competency Event Log'!$U$4:$U$803,$B177&amp;"|"&amp;BS$5)=0,"",SUMIF('Competency Event Log'!$U$4:$U$803,$B177&amp;"|"&amp;BS$5,'Competency Event Log'!$D$4:$D$803)))</f>
        <v/>
      </c>
      <c r="BT177" s="8" t="str">
        <f>IF($B177="","",IF(COUNTIF('Competency Event Log'!$U$4:$U$803,$B177&amp;"|"&amp;BT$5)=0,"",SUMIF('Competency Event Log'!$U$4:$U$803,$B177&amp;"|"&amp;BT$5,'Competency Event Log'!$D$4:$D$803)))</f>
        <v/>
      </c>
      <c r="BU177" s="8" t="str">
        <f>IF($B177="","",IF(COUNTIF('Competency Event Log'!$U$4:$U$803,$B177&amp;"|"&amp;BU$5)=0,"",SUMIF('Competency Event Log'!$U$4:$U$803,$B177&amp;"|"&amp;BU$5,'Competency Event Log'!$D$4:$D$803)))</f>
        <v/>
      </c>
      <c r="BV177" s="8" t="str">
        <f>IF($B177="","",IF(COUNTIF('Competency Event Log'!$U$4:$U$803,$B177&amp;"|"&amp;BV$5)=0,"",SUMIF('Competency Event Log'!$U$4:$U$803,$B177&amp;"|"&amp;BV$5,'Competency Event Log'!$D$4:$D$803)))</f>
        <v/>
      </c>
      <c r="BW177" s="8" t="str">
        <f>IF($B177="","",IF(COUNTIF('Competency Event Log'!$U$4:$U$803,$B177&amp;"|"&amp;BW$5)=0,"",SUMIF('Competency Event Log'!$U$4:$U$803,$B177&amp;"|"&amp;BW$5,'Competency Event Log'!$D$4:$D$803)))</f>
        <v/>
      </c>
      <c r="BX177" s="8" t="str">
        <f>IF($B177="","",IF(COUNTIF('Competency Event Log'!$U$4:$U$803,$B177&amp;"|"&amp;BX$5)=0,"",SUMIF('Competency Event Log'!$U$4:$U$803,$B177&amp;"|"&amp;BX$5,'Competency Event Log'!$D$4:$D$803)))</f>
        <v/>
      </c>
      <c r="BY177" s="8" t="str">
        <f>IF($B177="","",IF(COUNTIF('Competency Event Log'!$U$4:$U$803,$B177&amp;"|"&amp;BY$5)=0,"",SUMIF('Competency Event Log'!$U$4:$U$803,$B177&amp;"|"&amp;BY$5,'Competency Event Log'!$D$4:$D$803)))</f>
        <v/>
      </c>
      <c r="BZ177" s="8" t="str">
        <f>IF($B177="","",IF(COUNTIF('Competency Event Log'!$U$4:$U$803,$B177&amp;"|"&amp;BZ$5)=0,"",SUMIF('Competency Event Log'!$U$4:$U$803,$B177&amp;"|"&amp;BZ$5,'Competency Event Log'!$D$4:$D$803)))</f>
        <v/>
      </c>
      <c r="CA177" s="8" t="str">
        <f>IF($B177="","",IF(COUNTIF('Competency Event Log'!$U$4:$U$803,$B177&amp;"|"&amp;CA$5)=0,"",SUMIF('Competency Event Log'!$U$4:$U$803,$B177&amp;"|"&amp;CA$5,'Competency Event Log'!$D$4:$D$803)))</f>
        <v/>
      </c>
      <c r="CB177" s="8" t="str">
        <f>IF($B177="","",IF(COUNTIF('Competency Event Log'!$U$4:$U$803,$B177&amp;"|"&amp;CB$5)=0,"",SUMIF('Competency Event Log'!$U$4:$U$803,$B177&amp;"|"&amp;CB$5,'Competency Event Log'!$D$4:$D$803)))</f>
        <v/>
      </c>
      <c r="CC177" s="8" t="str">
        <f>IF($B177="","",IF(COUNTIF('Competency Event Log'!$U$4:$U$803,$B177&amp;"|"&amp;CC$5)=0,"",SUMIF('Competency Event Log'!$U$4:$U$803,$B177&amp;"|"&amp;CC$5,'Competency Event Log'!$D$4:$D$803)))</f>
        <v/>
      </c>
      <c r="CD177" s="8" t="str">
        <f>IF($B177="","",IF(COUNTIF('Competency Event Log'!$U$4:$U$803,$B177&amp;"|"&amp;CD$5)=0,"",SUMIF('Competency Event Log'!$U$4:$U$803,$B177&amp;"|"&amp;CD$5,'Competency Event Log'!$D$4:$D$803)))</f>
        <v/>
      </c>
      <c r="CE177" s="8" t="str">
        <f>IF($B177="","",IF(COUNTIF('Competency Event Log'!$U$4:$U$803,$B177&amp;"|"&amp;CE$5)=0,"",SUMIF('Competency Event Log'!$U$4:$U$803,$B177&amp;"|"&amp;CE$5,'Competency Event Log'!$D$4:$D$803)))</f>
        <v/>
      </c>
      <c r="CF177" s="8" t="str">
        <f>IF($B177="","",IF(COUNTIF('Competency Event Log'!$U$4:$U$803,$B177&amp;"|"&amp;CF$5)=0,"",SUMIF('Competency Event Log'!$U$4:$U$803,$B177&amp;"|"&amp;CF$5,'Competency Event Log'!$D$4:$D$803)))</f>
        <v/>
      </c>
      <c r="CG177" s="8" t="str">
        <f>IF($B177="","",IF(COUNTIF('Competency Event Log'!$U$4:$U$803,$B177&amp;"|"&amp;CG$5)=0,"",SUMIF('Competency Event Log'!$U$4:$U$803,$B177&amp;"|"&amp;CG$5,'Competency Event Log'!$D$4:$D$803)))</f>
        <v/>
      </c>
      <c r="CH177" s="8" t="str">
        <f>IF($B177="","",IF(COUNTIF('Competency Event Log'!$U$4:$U$803,$B177&amp;"|"&amp;CH$5)=0,"",SUMIF('Competency Event Log'!$U$4:$U$803,$B177&amp;"|"&amp;CH$5,'Competency Event Log'!$D$4:$D$803)))</f>
        <v/>
      </c>
      <c r="CI177" s="8" t="str">
        <f>IF($B177="","",IF(COUNTIF('Competency Event Log'!$U$4:$U$803,$B177&amp;"|"&amp;CI$5)=0,"",SUMIF('Competency Event Log'!$U$4:$U$803,$B177&amp;"|"&amp;CI$5,'Competency Event Log'!$D$4:$D$803)))</f>
        <v/>
      </c>
      <c r="CJ177" s="8" t="str">
        <f>IF($B177="","",IF(COUNTIF('Competency Event Log'!$U$4:$U$803,$B177&amp;"|"&amp;CJ$5)=0,"",SUMIF('Competency Event Log'!$U$4:$U$803,$B177&amp;"|"&amp;CJ$5,'Competency Event Log'!$D$4:$D$803)))</f>
        <v/>
      </c>
      <c r="CK177" s="8" t="str">
        <f>IF($B177="","",IF(COUNTIF('Competency Event Log'!$U$4:$U$803,$B177&amp;"|"&amp;CK$5)=0,"",SUMIF('Competency Event Log'!$U$4:$U$803,$B177&amp;"|"&amp;CK$5,'Competency Event Log'!$D$4:$D$803)))</f>
        <v/>
      </c>
      <c r="CL177" s="8" t="str">
        <f>IF($B177="","",IF(COUNTIF('Competency Event Log'!$U$4:$U$803,$B177&amp;"|"&amp;CL$5)=0,"",SUMIF('Competency Event Log'!$U$4:$U$803,$B177&amp;"|"&amp;CL$5,'Competency Event Log'!$D$4:$D$803)))</f>
        <v/>
      </c>
      <c r="CM177" s="8" t="str">
        <f>IF($B177="","",IF(COUNTIF('Competency Event Log'!$U$4:$U$803,$B177&amp;"|"&amp;CM$5)=0,"",SUMIF('Competency Event Log'!$U$4:$U$803,$B177&amp;"|"&amp;CM$5,'Competency Event Log'!$D$4:$D$803)))</f>
        <v/>
      </c>
      <c r="CN177" s="8" t="str">
        <f>IF($B177="","",IF(COUNTIF('Competency Event Log'!$U$4:$U$803,$B177&amp;"|"&amp;CN$5)=0,"",SUMIF('Competency Event Log'!$U$4:$U$803,$B177&amp;"|"&amp;CN$5,'Competency Event Log'!$D$4:$D$803)))</f>
        <v/>
      </c>
      <c r="CO177" s="8" t="str">
        <f>IF($B177="","",IF(COUNTIF('Competency Event Log'!$U$4:$U$803,$B177&amp;"|"&amp;CO$5)=0,"",SUMIF('Competency Event Log'!$U$4:$U$803,$B177&amp;"|"&amp;CO$5,'Competency Event Log'!$D$4:$D$803)))</f>
        <v/>
      </c>
      <c r="CP177" s="8" t="str">
        <f>IF($B177="","",IF(COUNTIF('Competency Event Log'!$U$4:$U$803,$B177&amp;"|"&amp;CP$5)=0,"",SUMIF('Competency Event Log'!$U$4:$U$803,$B177&amp;"|"&amp;CP$5,'Competency Event Log'!$D$4:$D$803)))</f>
        <v/>
      </c>
      <c r="CQ177" s="8" t="str">
        <f>IF($B177="","",IF(COUNTIF('Competency Event Log'!$U$4:$U$803,$B177&amp;"|"&amp;CQ$5)=0,"",SUMIF('Competency Event Log'!$U$4:$U$803,$B177&amp;"|"&amp;CQ$5,'Competency Event Log'!$D$4:$D$803)))</f>
        <v/>
      </c>
      <c r="CR177" s="8" t="str">
        <f>IF($B177="","",IF(COUNTIF('Competency Event Log'!$U$4:$U$803,$B177&amp;"|"&amp;CR$5)=0,"",SUMIF('Competency Event Log'!$U$4:$U$803,$B177&amp;"|"&amp;CR$5,'Competency Event Log'!$D$4:$D$803)))</f>
        <v/>
      </c>
      <c r="CS177" s="8" t="str">
        <f>IF($B177="","",IF(COUNTIF('Competency Event Log'!$U$4:$U$803,$B177&amp;"|"&amp;CS$5)=0,"",SUMIF('Competency Event Log'!$U$4:$U$803,$B177&amp;"|"&amp;CS$5,'Competency Event Log'!$D$4:$D$803)))</f>
        <v/>
      </c>
      <c r="CT177" s="8" t="str">
        <f>IF($B177="","",IF(COUNTIF('Competency Event Log'!$U$4:$U$803,$B177&amp;"|"&amp;CT$5)=0,"",SUMIF('Competency Event Log'!$U$4:$U$803,$B177&amp;"|"&amp;CT$5,'Competency Event Log'!$D$4:$D$803)))</f>
        <v/>
      </c>
      <c r="CU177" s="8" t="str">
        <f>IF($B177="","",IF(COUNTIF('Competency Event Log'!$U$4:$U$803,$B177&amp;"|"&amp;CU$5)=0,"",SUMIF('Competency Event Log'!$U$4:$U$803,$B177&amp;"|"&amp;CU$5,'Competency Event Log'!$D$4:$D$803)))</f>
        <v/>
      </c>
      <c r="CV177" s="8" t="str">
        <f>IF($B177="","",IF(COUNTIF('Competency Event Log'!$U$4:$U$803,$B177&amp;"|"&amp;CV$5)=0,"",SUMIF('Competency Event Log'!$U$4:$U$803,$B177&amp;"|"&amp;CV$5,'Competency Event Log'!$D$4:$D$803)))</f>
        <v/>
      </c>
      <c r="CW177" s="8" t="str">
        <f>IF($B177="","",IF(COUNTIF('Competency Event Log'!$U$4:$U$803,$B177&amp;"|"&amp;CW$5)=0,"",SUMIF('Competency Event Log'!$U$4:$U$803,$B177&amp;"|"&amp;CW$5,'Competency Event Log'!$D$4:$D$803)))</f>
        <v/>
      </c>
      <c r="CX177" s="8" t="str">
        <f>IF($B177="","",IF(COUNTIF('Competency Event Log'!$U$4:$U$803,$B177&amp;"|"&amp;CX$5)=0,"",SUMIF('Competency Event Log'!$U$4:$U$803,$B177&amp;"|"&amp;CX$5,'Competency Event Log'!$D$4:$D$803)))</f>
        <v/>
      </c>
      <c r="CY177" s="8" t="str">
        <f>IF($B177="","",IF(COUNTIF('Competency Event Log'!$U$4:$U$803,$B177&amp;"|"&amp;CY$5)=0,"",SUMIF('Competency Event Log'!$U$4:$U$803,$B177&amp;"|"&amp;CY$5,'Competency Event Log'!$D$4:$D$803)))</f>
        <v/>
      </c>
      <c r="CZ177" s="8" t="str">
        <f>IF($B177="","",IF(COUNTIF('Competency Event Log'!$U$4:$U$803,$B177&amp;"|"&amp;CZ$5)=0,"",SUMIF('Competency Event Log'!$U$4:$U$803,$B177&amp;"|"&amp;CZ$5,'Competency Event Log'!$D$4:$D$803)))</f>
        <v/>
      </c>
      <c r="DA177" s="8" t="str">
        <f>IF($B177="","",IF(COUNTIF('Competency Event Log'!$U$4:$U$803,$B177&amp;"|"&amp;DA$5)=0,"",SUMIF('Competency Event Log'!$U$4:$U$803,$B177&amp;"|"&amp;DA$5,'Competency Event Log'!$D$4:$D$803)))</f>
        <v/>
      </c>
      <c r="DB177" s="8" t="str">
        <f>IF($B177="","",IF(COUNTIF('Competency Event Log'!$U$4:$U$803,$B177&amp;"|"&amp;DB$5)=0,"",SUMIF('Competency Event Log'!$U$4:$U$803,$B177&amp;"|"&amp;DB$5,'Competency Event Log'!$D$4:$D$803)))</f>
        <v/>
      </c>
      <c r="DC177" s="8" t="str">
        <f>IF($B177="","",IF(COUNTIF('Competency Event Log'!$U$4:$U$803,$B177&amp;"|"&amp;DC$5)=0,"",SUMIF('Competency Event Log'!$U$4:$U$803,$B177&amp;"|"&amp;DC$5,'Competency Event Log'!$D$4:$D$803)))</f>
        <v/>
      </c>
      <c r="DD177" s="8" t="str">
        <f>IF($B177="","",IF(COUNTIF('Competency Event Log'!$U$4:$U$803,$B177&amp;"|"&amp;DD$5)=0,"",SUMIF('Competency Event Log'!$U$4:$U$803,$B177&amp;"|"&amp;DD$5,'Competency Event Log'!$D$4:$D$803)))</f>
        <v/>
      </c>
      <c r="DE177" s="8" t="str">
        <f>IF($B177="","",IF(COUNTIF('Competency Event Log'!$U$4:$U$803,$B177&amp;"|"&amp;DE$5)=0,"",SUMIF('Competency Event Log'!$U$4:$U$803,$B177&amp;"|"&amp;DE$5,'Competency Event Log'!$D$4:$D$803)))</f>
        <v/>
      </c>
      <c r="DF177" s="8" t="str">
        <f t="shared" si="20"/>
        <v/>
      </c>
      <c r="DG177" s="8" t="str">
        <f t="shared" si="21"/>
        <v/>
      </c>
      <c r="DH177" s="8" t="str">
        <f t="shared" si="22"/>
        <v/>
      </c>
      <c r="DI177" s="11" t="str">
        <f t="shared" si="23"/>
        <v/>
      </c>
    </row>
    <row r="178" spans="1:113">
      <c r="A178" s="7"/>
      <c r="B178" s="7"/>
      <c r="C178" s="8"/>
      <c r="D178" s="9"/>
      <c r="E178" s="10"/>
      <c r="F178" s="8"/>
      <c r="G178" s="8" t="str">
        <f>IF($B178="","",IF(COUNTIF('Competency Event Log'!$U$4:$U$803,$B178&amp;"|"&amp;G$5)=0,"",SUMIF('Competency Event Log'!$U$4:$U$803,$B178&amp;"|"&amp;G$5,'Competency Event Log'!$D$4:$D$803)))</f>
        <v/>
      </c>
      <c r="H178" s="8" t="str">
        <f>IF($B178="","",IF(COUNTIF('Competency Event Log'!$U$4:$U$803,$B178&amp;"|"&amp;H$5)=0,"",SUMIF('Competency Event Log'!$U$4:$U$803,$B178&amp;"|"&amp;H$5,'Competency Event Log'!$D$4:$D$803)))</f>
        <v/>
      </c>
      <c r="I178" s="8" t="str">
        <f>IF($B178="","",IF(COUNTIF('Competency Event Log'!$U$4:$U$803,$B178&amp;"|"&amp;I$5)=0,"",SUMIF('Competency Event Log'!$U$4:$U$803,$B178&amp;"|"&amp;I$5,'Competency Event Log'!$D$4:$D$803)))</f>
        <v/>
      </c>
      <c r="J178" s="8" t="str">
        <f>IF($B178="","",IF(COUNTIF('Competency Event Log'!$U$4:$U$803,$B178&amp;"|"&amp;J$5)=0,"",SUMIF('Competency Event Log'!$U$4:$U$803,$B178&amp;"|"&amp;J$5,'Competency Event Log'!$D$4:$D$803)))</f>
        <v/>
      </c>
      <c r="K178" s="8" t="str">
        <f>IF($B178="","",IF(COUNTIF('Competency Event Log'!$U$4:$U$803,$B178&amp;"|"&amp;K$5)=0,"",SUMIF('Competency Event Log'!$U$4:$U$803,$B178&amp;"|"&amp;K$5,'Competency Event Log'!$D$4:$D$803)))</f>
        <v/>
      </c>
      <c r="L178" s="8" t="str">
        <f>IF($B178="","",IF(COUNTIF('Competency Event Log'!$U$4:$U$803,$B178&amp;"|"&amp;L$5)=0,"",SUMIF('Competency Event Log'!$U$4:$U$803,$B178&amp;"|"&amp;L$5,'Competency Event Log'!$D$4:$D$803)))</f>
        <v/>
      </c>
      <c r="M178" s="8" t="str">
        <f>IF($B178="","",IF(COUNTIF('Competency Event Log'!$U$4:$U$803,$B178&amp;"|"&amp;M$5)=0,"",SUMIF('Competency Event Log'!$U$4:$U$803,$B178&amp;"|"&amp;M$5,'Competency Event Log'!$D$4:$D$803)))</f>
        <v/>
      </c>
      <c r="N178" s="8" t="str">
        <f>IF($B178="","",IF(COUNTIF('Competency Event Log'!$U$4:$U$803,$B178&amp;"|"&amp;N$5)=0,"",SUMIF('Competency Event Log'!$U$4:$U$803,$B178&amp;"|"&amp;N$5,'Competency Event Log'!$D$4:$D$803)))</f>
        <v/>
      </c>
      <c r="O178" s="8" t="str">
        <f>IF($B178="","",IF(COUNTIF('Competency Event Log'!$U$4:$U$803,$B178&amp;"|"&amp;O$5)=0,"",SUMIF('Competency Event Log'!$U$4:$U$803,$B178&amp;"|"&amp;O$5,'Competency Event Log'!$D$4:$D$803)))</f>
        <v/>
      </c>
      <c r="P178" s="8" t="str">
        <f>IF($B178="","",IF(COUNTIF('Competency Event Log'!$U$4:$U$803,$B178&amp;"|"&amp;P$5)=0,"",SUMIF('Competency Event Log'!$U$4:$U$803,$B178&amp;"|"&amp;P$5,'Competency Event Log'!$D$4:$D$803)))</f>
        <v/>
      </c>
      <c r="Q178" s="8" t="str">
        <f>IF($B178="","",IF(COUNTIF('Competency Event Log'!$U$4:$U$803,$B178&amp;"|"&amp;Q$5)=0,"",SUMIF('Competency Event Log'!$U$4:$U$803,$B178&amp;"|"&amp;Q$5,'Competency Event Log'!$D$4:$D$803)))</f>
        <v/>
      </c>
      <c r="R178" s="8" t="str">
        <f>IF($B178="","",IF(COUNTIF('Competency Event Log'!$U$4:$U$803,$B178&amp;"|"&amp;R$5)=0,"",SUMIF('Competency Event Log'!$U$4:$U$803,$B178&amp;"|"&amp;R$5,'Competency Event Log'!$D$4:$D$803)))</f>
        <v/>
      </c>
      <c r="S178" s="8" t="str">
        <f>IF($B178="","",IF(COUNTIF('Competency Event Log'!$U$4:$U$803,$B178&amp;"|"&amp;S$5)=0,"",SUMIF('Competency Event Log'!$U$4:$U$803,$B178&amp;"|"&amp;S$5,'Competency Event Log'!$D$4:$D$803)))</f>
        <v/>
      </c>
      <c r="T178" s="8" t="str">
        <f>IF($B178="","",IF(COUNTIF('Competency Event Log'!$U$4:$U$803,$B178&amp;"|"&amp;T$5)=0,"",SUMIF('Competency Event Log'!$U$4:$U$803,$B178&amp;"|"&amp;T$5,'Competency Event Log'!$D$4:$D$803)))</f>
        <v/>
      </c>
      <c r="U178" s="8" t="str">
        <f>IF($B178="","",IF(COUNTIF('Competency Event Log'!$U$4:$U$803,$B178&amp;"|"&amp;U$5)=0,"",SUMIF('Competency Event Log'!$U$4:$U$803,$B178&amp;"|"&amp;U$5,'Competency Event Log'!$D$4:$D$803)))</f>
        <v/>
      </c>
      <c r="V178" s="8" t="str">
        <f>IF($B178="","",IF(COUNTIF('Competency Event Log'!$U$4:$U$803,$B178&amp;"|"&amp;V$5)=0,"",SUMIF('Competency Event Log'!$U$4:$U$803,$B178&amp;"|"&amp;V$5,'Competency Event Log'!$D$4:$D$803)))</f>
        <v/>
      </c>
      <c r="W178" s="8" t="str">
        <f>IF($B178="","",IF(COUNTIF('Competency Event Log'!$U$4:$U$803,$B178&amp;"|"&amp;W$5)=0,"",SUMIF('Competency Event Log'!$U$4:$U$803,$B178&amp;"|"&amp;W$5,'Competency Event Log'!$D$4:$D$803)))</f>
        <v/>
      </c>
      <c r="X178" s="8" t="str">
        <f>IF($B178="","",IF(COUNTIF('Competency Event Log'!$U$4:$U$803,$B178&amp;"|"&amp;X$5)=0,"",SUMIF('Competency Event Log'!$U$4:$U$803,$B178&amp;"|"&amp;X$5,'Competency Event Log'!$D$4:$D$803)))</f>
        <v/>
      </c>
      <c r="Y178" s="8" t="str">
        <f>IF($B178="","",IF(COUNTIF('Competency Event Log'!$U$4:$U$803,$B178&amp;"|"&amp;Y$5)=0,"",SUMIF('Competency Event Log'!$U$4:$U$803,$B178&amp;"|"&amp;Y$5,'Competency Event Log'!$D$4:$D$803)))</f>
        <v/>
      </c>
      <c r="Z178" s="8" t="str">
        <f>IF($B178="","",IF(COUNTIF('Competency Event Log'!$U$4:$U$803,$B178&amp;"|"&amp;Z$5)=0,"",SUMIF('Competency Event Log'!$U$4:$U$803,$B178&amp;"|"&amp;Z$5,'Competency Event Log'!$D$4:$D$803)))</f>
        <v/>
      </c>
      <c r="AA178" s="8" t="str">
        <f>IF($B178="","",IF(COUNTIF('Competency Event Log'!$U$4:$U$803,$B178&amp;"|"&amp;AA$5)=0,"",SUMIF('Competency Event Log'!$U$4:$U$803,$B178&amp;"|"&amp;AA$5,'Competency Event Log'!$D$4:$D$803)))</f>
        <v/>
      </c>
      <c r="AB178" s="8" t="str">
        <f>IF($B178="","",IF(COUNTIF('Competency Event Log'!$U$4:$U$803,$B178&amp;"|"&amp;AB$5)=0,"",SUMIF('Competency Event Log'!$U$4:$U$803,$B178&amp;"|"&amp;AB$5,'Competency Event Log'!$D$4:$D$803)))</f>
        <v/>
      </c>
      <c r="AC178" s="8" t="str">
        <f>IF($B178="","",IF(COUNTIF('Competency Event Log'!$U$4:$U$803,$B178&amp;"|"&amp;AC$5)=0,"",SUMIF('Competency Event Log'!$U$4:$U$803,$B178&amp;"|"&amp;AC$5,'Competency Event Log'!$D$4:$D$803)))</f>
        <v/>
      </c>
      <c r="AD178" s="8" t="str">
        <f>IF($B178="","",IF(COUNTIF('Competency Event Log'!$U$4:$U$803,$B178&amp;"|"&amp;AD$5)=0,"",SUMIF('Competency Event Log'!$U$4:$U$803,$B178&amp;"|"&amp;AD$5,'Competency Event Log'!$D$4:$D$803)))</f>
        <v/>
      </c>
      <c r="AE178" s="8" t="str">
        <f>IF($B178="","",IF(COUNTIF('Competency Event Log'!$U$4:$U$803,$B178&amp;"|"&amp;AE$5)=0,"",SUMIF('Competency Event Log'!$U$4:$U$803,$B178&amp;"|"&amp;AE$5,'Competency Event Log'!$D$4:$D$803)))</f>
        <v/>
      </c>
      <c r="AF178" s="8" t="str">
        <f>IF($B178="","",IF(COUNTIF('Competency Event Log'!$U$4:$U$803,$B178&amp;"|"&amp;AF$5)=0,"",SUMIF('Competency Event Log'!$U$4:$U$803,$B178&amp;"|"&amp;AF$5,'Competency Event Log'!$D$4:$D$803)))</f>
        <v/>
      </c>
      <c r="AG178" s="8" t="str">
        <f>IF($B178="","",IF(COUNTIF('Competency Event Log'!$U$4:$U$803,$B178&amp;"|"&amp;AG$5)=0,"",SUMIF('Competency Event Log'!$U$4:$U$803,$B178&amp;"|"&amp;AG$5,'Competency Event Log'!$D$4:$D$803)))</f>
        <v/>
      </c>
      <c r="AH178" s="8" t="str">
        <f>IF($B178="","",IF(COUNTIF('Competency Event Log'!$U$4:$U$803,$B178&amp;"|"&amp;AH$5)=0,"",SUMIF('Competency Event Log'!$U$4:$U$803,$B178&amp;"|"&amp;AH$5,'Competency Event Log'!$D$4:$D$803)))</f>
        <v/>
      </c>
      <c r="AI178" s="8" t="str">
        <f>IF($B178="","",IF(COUNTIF('Competency Event Log'!$U$4:$U$803,$B178&amp;"|"&amp;AI$5)=0,"",SUMIF('Competency Event Log'!$U$4:$U$803,$B178&amp;"|"&amp;AI$5,'Competency Event Log'!$D$4:$D$803)))</f>
        <v/>
      </c>
      <c r="AJ178" s="8" t="str">
        <f>IF($B178="","",IF(COUNTIF('Competency Event Log'!$U$4:$U$803,$B178&amp;"|"&amp;AJ$5)=0,"",SUMIF('Competency Event Log'!$U$4:$U$803,$B178&amp;"|"&amp;AJ$5,'Competency Event Log'!$D$4:$D$803)))</f>
        <v/>
      </c>
      <c r="AK178" s="8" t="str">
        <f>IF($B178="","",IF(COUNTIF('Competency Event Log'!$U$4:$U$803,$B178&amp;"|"&amp;AK$5)=0,"",SUMIF('Competency Event Log'!$U$4:$U$803,$B178&amp;"|"&amp;AK$5,'Competency Event Log'!$D$4:$D$803)))</f>
        <v/>
      </c>
      <c r="AL178" s="8" t="str">
        <f>IF($B178="","",IF(COUNTIF('Competency Event Log'!$U$4:$U$803,$B178&amp;"|"&amp;AL$5)=0,"",SUMIF('Competency Event Log'!$U$4:$U$803,$B178&amp;"|"&amp;AL$5,'Competency Event Log'!$D$4:$D$803)))</f>
        <v/>
      </c>
      <c r="AM178" s="8" t="str">
        <f>IF($B178="","",IF(COUNTIF('Competency Event Log'!$U$4:$U$803,$B178&amp;"|"&amp;AM$5)=0,"",SUMIF('Competency Event Log'!$U$4:$U$803,$B178&amp;"|"&amp;AM$5,'Competency Event Log'!$D$4:$D$803)))</f>
        <v/>
      </c>
      <c r="AN178" s="8" t="str">
        <f>IF($B178="","",IF(COUNTIF('Competency Event Log'!$U$4:$U$803,$B178&amp;"|"&amp;AN$5)=0,"",SUMIF('Competency Event Log'!$U$4:$U$803,$B178&amp;"|"&amp;AN$5,'Competency Event Log'!$D$4:$D$803)))</f>
        <v/>
      </c>
      <c r="AO178" s="8" t="str">
        <f>IF($B178="","",IF(COUNTIF('Competency Event Log'!$U$4:$U$803,$B178&amp;"|"&amp;AO$5)=0,"",SUMIF('Competency Event Log'!$U$4:$U$803,$B178&amp;"|"&amp;AO$5,'Competency Event Log'!$D$4:$D$803)))</f>
        <v/>
      </c>
      <c r="AP178" s="8" t="str">
        <f>IF($B178="","",IF(COUNTIF('Competency Event Log'!$U$4:$U$803,$B178&amp;"|"&amp;AP$5)=0,"",SUMIF('Competency Event Log'!$U$4:$U$803,$B178&amp;"|"&amp;AP$5,'Competency Event Log'!$D$4:$D$803)))</f>
        <v/>
      </c>
      <c r="AQ178" s="8" t="str">
        <f>IF($B178="","",IF(COUNTIF('Competency Event Log'!$U$4:$U$803,$B178&amp;"|"&amp;AQ$5)=0,"",SUMIF('Competency Event Log'!$U$4:$U$803,$B178&amp;"|"&amp;AQ$5,'Competency Event Log'!$D$4:$D$803)))</f>
        <v/>
      </c>
      <c r="AR178" s="8" t="str">
        <f>IF($B178="","",IF(COUNTIF('Competency Event Log'!$U$4:$U$803,$B178&amp;"|"&amp;AR$5)=0,"",SUMIF('Competency Event Log'!$U$4:$U$803,$B178&amp;"|"&amp;AR$5,'Competency Event Log'!$D$4:$D$803)))</f>
        <v/>
      </c>
      <c r="AS178" s="8" t="str">
        <f>IF($B178="","",IF(COUNTIF('Competency Event Log'!$U$4:$U$803,$B178&amp;"|"&amp;AS$5)=0,"",SUMIF('Competency Event Log'!$U$4:$U$803,$B178&amp;"|"&amp;AS$5,'Competency Event Log'!$D$4:$D$803)))</f>
        <v/>
      </c>
      <c r="AT178" s="8" t="str">
        <f>IF($B178="","",IF(COUNTIF('Competency Event Log'!$U$4:$U$803,$B178&amp;"|"&amp;AT$5)=0,"",SUMIF('Competency Event Log'!$U$4:$U$803,$B178&amp;"|"&amp;AT$5,'Competency Event Log'!$D$4:$D$803)))</f>
        <v/>
      </c>
      <c r="AU178" s="8" t="str">
        <f>IF($B178="","",IF(COUNTIF('Competency Event Log'!$U$4:$U$803,$B178&amp;"|"&amp;AU$5)=0,"",SUMIF('Competency Event Log'!$U$4:$U$803,$B178&amp;"|"&amp;AU$5,'Competency Event Log'!$D$4:$D$803)))</f>
        <v/>
      </c>
      <c r="AV178" s="8" t="str">
        <f>IF($B178="","",IF(COUNTIF('Competency Event Log'!$U$4:$U$803,$B178&amp;"|"&amp;AV$5)=0,"",SUMIF('Competency Event Log'!$U$4:$U$803,$B178&amp;"|"&amp;AV$5,'Competency Event Log'!$D$4:$D$803)))</f>
        <v/>
      </c>
      <c r="AW178" s="8" t="str">
        <f>IF($B178="","",IF(COUNTIF('Competency Event Log'!$U$4:$U$803,$B178&amp;"|"&amp;AW$5)=0,"",SUMIF('Competency Event Log'!$U$4:$U$803,$B178&amp;"|"&amp;AW$5,'Competency Event Log'!$D$4:$D$803)))</f>
        <v/>
      </c>
      <c r="AX178" s="8" t="str">
        <f>IF($B178="","",IF(COUNTIF('Competency Event Log'!$U$4:$U$803,$B178&amp;"|"&amp;AX$5)=0,"",SUMIF('Competency Event Log'!$U$4:$U$803,$B178&amp;"|"&amp;AX$5,'Competency Event Log'!$D$4:$D$803)))</f>
        <v/>
      </c>
      <c r="AY178" s="8" t="str">
        <f>IF($B178="","",IF(COUNTIF('Competency Event Log'!$U$4:$U$803,$B178&amp;"|"&amp;AY$5)=0,"",SUMIF('Competency Event Log'!$U$4:$U$803,$B178&amp;"|"&amp;AY$5,'Competency Event Log'!$D$4:$D$803)))</f>
        <v/>
      </c>
      <c r="AZ178" s="8" t="str">
        <f>IF($B178="","",IF(COUNTIF('Competency Event Log'!$U$4:$U$803,$B178&amp;"|"&amp;AZ$5)=0,"",SUMIF('Competency Event Log'!$U$4:$U$803,$B178&amp;"|"&amp;AZ$5,'Competency Event Log'!$D$4:$D$803)))</f>
        <v/>
      </c>
      <c r="BA178" s="8" t="str">
        <f>IF($B178="","",IF(COUNTIF('Competency Event Log'!$U$4:$U$803,$B178&amp;"|"&amp;BA$5)=0,"",SUMIF('Competency Event Log'!$U$4:$U$803,$B178&amp;"|"&amp;BA$5,'Competency Event Log'!$D$4:$D$803)))</f>
        <v/>
      </c>
      <c r="BB178" s="8" t="str">
        <f>IF($B178="","",IF(COUNTIF('Competency Event Log'!$U$4:$U$803,$B178&amp;"|"&amp;BB$5)=0,"",SUMIF('Competency Event Log'!$U$4:$U$803,$B178&amp;"|"&amp;BB$5,'Competency Event Log'!$D$4:$D$803)))</f>
        <v/>
      </c>
      <c r="BC178" s="8" t="str">
        <f>IF($B178="","",IF(COUNTIF('Competency Event Log'!$U$4:$U$803,$B178&amp;"|"&amp;BC$5)=0,"",SUMIF('Competency Event Log'!$U$4:$U$803,$B178&amp;"|"&amp;BC$5,'Competency Event Log'!$D$4:$D$803)))</f>
        <v/>
      </c>
      <c r="BD178" s="8" t="str">
        <f>IF($B178="","",IF(COUNTIF('Competency Event Log'!$U$4:$U$803,$B178&amp;"|"&amp;BD$5)=0,"",SUMIF('Competency Event Log'!$U$4:$U$803,$B178&amp;"|"&amp;BD$5,'Competency Event Log'!$D$4:$D$803)))</f>
        <v/>
      </c>
      <c r="BE178" s="8" t="str">
        <f>IF($B178="","",IF(COUNTIF('Competency Event Log'!$U$4:$U$803,$B178&amp;"|"&amp;BE$5)=0,"",SUMIF('Competency Event Log'!$U$4:$U$803,$B178&amp;"|"&amp;BE$5,'Competency Event Log'!$D$4:$D$803)))</f>
        <v/>
      </c>
      <c r="BF178" s="8" t="str">
        <f>IF($B178="","",IF(COUNTIF('Competency Event Log'!$U$4:$U$803,$B178&amp;"|"&amp;BF$5)=0,"",SUMIF('Competency Event Log'!$U$4:$U$803,$B178&amp;"|"&amp;BF$5,'Competency Event Log'!$D$4:$D$803)))</f>
        <v/>
      </c>
      <c r="BG178" s="8" t="str">
        <f>IF($B178="","",IF(COUNTIF('Competency Event Log'!$U$4:$U$803,$B178&amp;"|"&amp;BG$5)=0,"",SUMIF('Competency Event Log'!$U$4:$U$803,$B178&amp;"|"&amp;BG$5,'Competency Event Log'!$D$4:$D$803)))</f>
        <v/>
      </c>
      <c r="BH178" s="8" t="str">
        <f>IF($B178="","",IF(COUNTIF('Competency Event Log'!$U$4:$U$803,$B178&amp;"|"&amp;BH$5)=0,"",SUMIF('Competency Event Log'!$U$4:$U$803,$B178&amp;"|"&amp;BH$5,'Competency Event Log'!$D$4:$D$803)))</f>
        <v/>
      </c>
      <c r="BI178" s="8" t="str">
        <f>IF($B178="","",IF(COUNTIF('Competency Event Log'!$U$4:$U$803,$B178&amp;"|"&amp;BI$5)=0,"",SUMIF('Competency Event Log'!$U$4:$U$803,$B178&amp;"|"&amp;BI$5,'Competency Event Log'!$D$4:$D$803)))</f>
        <v/>
      </c>
      <c r="BJ178" s="8" t="str">
        <f>IF($B178="","",IF(COUNTIF('Competency Event Log'!$U$4:$U$803,$B178&amp;"|"&amp;BJ$5)=0,"",SUMIF('Competency Event Log'!$U$4:$U$803,$B178&amp;"|"&amp;BJ$5,'Competency Event Log'!$D$4:$D$803)))</f>
        <v/>
      </c>
      <c r="BK178" s="8" t="str">
        <f>IF($B178="","",IF(COUNTIF('Competency Event Log'!$U$4:$U$803,$B178&amp;"|"&amp;BK$5)=0,"",SUMIF('Competency Event Log'!$U$4:$U$803,$B178&amp;"|"&amp;BK$5,'Competency Event Log'!$D$4:$D$803)))</f>
        <v/>
      </c>
      <c r="BL178" s="8" t="str">
        <f>IF($B178="","",IF(COUNTIF('Competency Event Log'!$U$4:$U$803,$B178&amp;"|"&amp;BL$5)=0,"",SUMIF('Competency Event Log'!$U$4:$U$803,$B178&amp;"|"&amp;BL$5,'Competency Event Log'!$D$4:$D$803)))</f>
        <v/>
      </c>
      <c r="BM178" s="8" t="str">
        <f>IF($B178="","",IF(COUNTIF('Competency Event Log'!$U$4:$U$803,$B178&amp;"|"&amp;BM$5)=0,"",SUMIF('Competency Event Log'!$U$4:$U$803,$B178&amp;"|"&amp;BM$5,'Competency Event Log'!$D$4:$D$803)))</f>
        <v/>
      </c>
      <c r="BN178" s="8" t="str">
        <f>IF($B178="","",IF(COUNTIF('Competency Event Log'!$U$4:$U$803,$B178&amp;"|"&amp;BN$5)=0,"",SUMIF('Competency Event Log'!$U$4:$U$803,$B178&amp;"|"&amp;BN$5,'Competency Event Log'!$D$4:$D$803)))</f>
        <v/>
      </c>
      <c r="BO178" s="8" t="str">
        <f>IF($B178="","",IF(COUNTIF('Competency Event Log'!$U$4:$U$803,$B178&amp;"|"&amp;BO$5)=0,"",SUMIF('Competency Event Log'!$U$4:$U$803,$B178&amp;"|"&amp;BO$5,'Competency Event Log'!$D$4:$D$803)))</f>
        <v/>
      </c>
      <c r="BP178" s="8" t="str">
        <f>IF($B178="","",IF(COUNTIF('Competency Event Log'!$U$4:$U$803,$B178&amp;"|"&amp;BP$5)=0,"",SUMIF('Competency Event Log'!$U$4:$U$803,$B178&amp;"|"&amp;BP$5,'Competency Event Log'!$D$4:$D$803)))</f>
        <v/>
      </c>
      <c r="BQ178" s="8" t="str">
        <f>IF($B178="","",IF(COUNTIF('Competency Event Log'!$U$4:$U$803,$B178&amp;"|"&amp;BQ$5)=0,"",SUMIF('Competency Event Log'!$U$4:$U$803,$B178&amp;"|"&amp;BQ$5,'Competency Event Log'!$D$4:$D$803)))</f>
        <v/>
      </c>
      <c r="BR178" s="8" t="str">
        <f>IF($B178="","",IF(COUNTIF('Competency Event Log'!$U$4:$U$803,$B178&amp;"|"&amp;BR$5)=0,"",SUMIF('Competency Event Log'!$U$4:$U$803,$B178&amp;"|"&amp;BR$5,'Competency Event Log'!$D$4:$D$803)))</f>
        <v/>
      </c>
      <c r="BS178" s="8" t="str">
        <f>IF($B178="","",IF(COUNTIF('Competency Event Log'!$U$4:$U$803,$B178&amp;"|"&amp;BS$5)=0,"",SUMIF('Competency Event Log'!$U$4:$U$803,$B178&amp;"|"&amp;BS$5,'Competency Event Log'!$D$4:$D$803)))</f>
        <v/>
      </c>
      <c r="BT178" s="8" t="str">
        <f>IF($B178="","",IF(COUNTIF('Competency Event Log'!$U$4:$U$803,$B178&amp;"|"&amp;BT$5)=0,"",SUMIF('Competency Event Log'!$U$4:$U$803,$B178&amp;"|"&amp;BT$5,'Competency Event Log'!$D$4:$D$803)))</f>
        <v/>
      </c>
      <c r="BU178" s="8" t="str">
        <f>IF($B178="","",IF(COUNTIF('Competency Event Log'!$U$4:$U$803,$B178&amp;"|"&amp;BU$5)=0,"",SUMIF('Competency Event Log'!$U$4:$U$803,$B178&amp;"|"&amp;BU$5,'Competency Event Log'!$D$4:$D$803)))</f>
        <v/>
      </c>
      <c r="BV178" s="8" t="str">
        <f>IF($B178="","",IF(COUNTIF('Competency Event Log'!$U$4:$U$803,$B178&amp;"|"&amp;BV$5)=0,"",SUMIF('Competency Event Log'!$U$4:$U$803,$B178&amp;"|"&amp;BV$5,'Competency Event Log'!$D$4:$D$803)))</f>
        <v/>
      </c>
      <c r="BW178" s="8" t="str">
        <f>IF($B178="","",IF(COUNTIF('Competency Event Log'!$U$4:$U$803,$B178&amp;"|"&amp;BW$5)=0,"",SUMIF('Competency Event Log'!$U$4:$U$803,$B178&amp;"|"&amp;BW$5,'Competency Event Log'!$D$4:$D$803)))</f>
        <v/>
      </c>
      <c r="BX178" s="8" t="str">
        <f>IF($B178="","",IF(COUNTIF('Competency Event Log'!$U$4:$U$803,$B178&amp;"|"&amp;BX$5)=0,"",SUMIF('Competency Event Log'!$U$4:$U$803,$B178&amp;"|"&amp;BX$5,'Competency Event Log'!$D$4:$D$803)))</f>
        <v/>
      </c>
      <c r="BY178" s="8" t="str">
        <f>IF($B178="","",IF(COUNTIF('Competency Event Log'!$U$4:$U$803,$B178&amp;"|"&amp;BY$5)=0,"",SUMIF('Competency Event Log'!$U$4:$U$803,$B178&amp;"|"&amp;BY$5,'Competency Event Log'!$D$4:$D$803)))</f>
        <v/>
      </c>
      <c r="BZ178" s="8" t="str">
        <f>IF($B178="","",IF(COUNTIF('Competency Event Log'!$U$4:$U$803,$B178&amp;"|"&amp;BZ$5)=0,"",SUMIF('Competency Event Log'!$U$4:$U$803,$B178&amp;"|"&amp;BZ$5,'Competency Event Log'!$D$4:$D$803)))</f>
        <v/>
      </c>
      <c r="CA178" s="8" t="str">
        <f>IF($B178="","",IF(COUNTIF('Competency Event Log'!$U$4:$U$803,$B178&amp;"|"&amp;CA$5)=0,"",SUMIF('Competency Event Log'!$U$4:$U$803,$B178&amp;"|"&amp;CA$5,'Competency Event Log'!$D$4:$D$803)))</f>
        <v/>
      </c>
      <c r="CB178" s="8" t="str">
        <f>IF($B178="","",IF(COUNTIF('Competency Event Log'!$U$4:$U$803,$B178&amp;"|"&amp;CB$5)=0,"",SUMIF('Competency Event Log'!$U$4:$U$803,$B178&amp;"|"&amp;CB$5,'Competency Event Log'!$D$4:$D$803)))</f>
        <v/>
      </c>
      <c r="CC178" s="8" t="str">
        <f>IF($B178="","",IF(COUNTIF('Competency Event Log'!$U$4:$U$803,$B178&amp;"|"&amp;CC$5)=0,"",SUMIF('Competency Event Log'!$U$4:$U$803,$B178&amp;"|"&amp;CC$5,'Competency Event Log'!$D$4:$D$803)))</f>
        <v/>
      </c>
      <c r="CD178" s="8" t="str">
        <f>IF($B178="","",IF(COUNTIF('Competency Event Log'!$U$4:$U$803,$B178&amp;"|"&amp;CD$5)=0,"",SUMIF('Competency Event Log'!$U$4:$U$803,$B178&amp;"|"&amp;CD$5,'Competency Event Log'!$D$4:$D$803)))</f>
        <v/>
      </c>
      <c r="CE178" s="8" t="str">
        <f>IF($B178="","",IF(COUNTIF('Competency Event Log'!$U$4:$U$803,$B178&amp;"|"&amp;CE$5)=0,"",SUMIF('Competency Event Log'!$U$4:$U$803,$B178&amp;"|"&amp;CE$5,'Competency Event Log'!$D$4:$D$803)))</f>
        <v/>
      </c>
      <c r="CF178" s="8" t="str">
        <f>IF($B178="","",IF(COUNTIF('Competency Event Log'!$U$4:$U$803,$B178&amp;"|"&amp;CF$5)=0,"",SUMIF('Competency Event Log'!$U$4:$U$803,$B178&amp;"|"&amp;CF$5,'Competency Event Log'!$D$4:$D$803)))</f>
        <v/>
      </c>
      <c r="CG178" s="8" t="str">
        <f>IF($B178="","",IF(COUNTIF('Competency Event Log'!$U$4:$U$803,$B178&amp;"|"&amp;CG$5)=0,"",SUMIF('Competency Event Log'!$U$4:$U$803,$B178&amp;"|"&amp;CG$5,'Competency Event Log'!$D$4:$D$803)))</f>
        <v/>
      </c>
      <c r="CH178" s="8" t="str">
        <f>IF($B178="","",IF(COUNTIF('Competency Event Log'!$U$4:$U$803,$B178&amp;"|"&amp;CH$5)=0,"",SUMIF('Competency Event Log'!$U$4:$U$803,$B178&amp;"|"&amp;CH$5,'Competency Event Log'!$D$4:$D$803)))</f>
        <v/>
      </c>
      <c r="CI178" s="8" t="str">
        <f>IF($B178="","",IF(COUNTIF('Competency Event Log'!$U$4:$U$803,$B178&amp;"|"&amp;CI$5)=0,"",SUMIF('Competency Event Log'!$U$4:$U$803,$B178&amp;"|"&amp;CI$5,'Competency Event Log'!$D$4:$D$803)))</f>
        <v/>
      </c>
      <c r="CJ178" s="8" t="str">
        <f>IF($B178="","",IF(COUNTIF('Competency Event Log'!$U$4:$U$803,$B178&amp;"|"&amp;CJ$5)=0,"",SUMIF('Competency Event Log'!$U$4:$U$803,$B178&amp;"|"&amp;CJ$5,'Competency Event Log'!$D$4:$D$803)))</f>
        <v/>
      </c>
      <c r="CK178" s="8" t="str">
        <f>IF($B178="","",IF(COUNTIF('Competency Event Log'!$U$4:$U$803,$B178&amp;"|"&amp;CK$5)=0,"",SUMIF('Competency Event Log'!$U$4:$U$803,$B178&amp;"|"&amp;CK$5,'Competency Event Log'!$D$4:$D$803)))</f>
        <v/>
      </c>
      <c r="CL178" s="8" t="str">
        <f>IF($B178="","",IF(COUNTIF('Competency Event Log'!$U$4:$U$803,$B178&amp;"|"&amp;CL$5)=0,"",SUMIF('Competency Event Log'!$U$4:$U$803,$B178&amp;"|"&amp;CL$5,'Competency Event Log'!$D$4:$D$803)))</f>
        <v/>
      </c>
      <c r="CM178" s="8" t="str">
        <f>IF($B178="","",IF(COUNTIF('Competency Event Log'!$U$4:$U$803,$B178&amp;"|"&amp;CM$5)=0,"",SUMIF('Competency Event Log'!$U$4:$U$803,$B178&amp;"|"&amp;CM$5,'Competency Event Log'!$D$4:$D$803)))</f>
        <v/>
      </c>
      <c r="CN178" s="8" t="str">
        <f>IF($B178="","",IF(COUNTIF('Competency Event Log'!$U$4:$U$803,$B178&amp;"|"&amp;CN$5)=0,"",SUMIF('Competency Event Log'!$U$4:$U$803,$B178&amp;"|"&amp;CN$5,'Competency Event Log'!$D$4:$D$803)))</f>
        <v/>
      </c>
      <c r="CO178" s="8" t="str">
        <f>IF($B178="","",IF(COUNTIF('Competency Event Log'!$U$4:$U$803,$B178&amp;"|"&amp;CO$5)=0,"",SUMIF('Competency Event Log'!$U$4:$U$803,$B178&amp;"|"&amp;CO$5,'Competency Event Log'!$D$4:$D$803)))</f>
        <v/>
      </c>
      <c r="CP178" s="8" t="str">
        <f>IF($B178="","",IF(COUNTIF('Competency Event Log'!$U$4:$U$803,$B178&amp;"|"&amp;CP$5)=0,"",SUMIF('Competency Event Log'!$U$4:$U$803,$B178&amp;"|"&amp;CP$5,'Competency Event Log'!$D$4:$D$803)))</f>
        <v/>
      </c>
      <c r="CQ178" s="8" t="str">
        <f>IF($B178="","",IF(COUNTIF('Competency Event Log'!$U$4:$U$803,$B178&amp;"|"&amp;CQ$5)=0,"",SUMIF('Competency Event Log'!$U$4:$U$803,$B178&amp;"|"&amp;CQ$5,'Competency Event Log'!$D$4:$D$803)))</f>
        <v/>
      </c>
      <c r="CR178" s="8" t="str">
        <f>IF($B178="","",IF(COUNTIF('Competency Event Log'!$U$4:$U$803,$B178&amp;"|"&amp;CR$5)=0,"",SUMIF('Competency Event Log'!$U$4:$U$803,$B178&amp;"|"&amp;CR$5,'Competency Event Log'!$D$4:$D$803)))</f>
        <v/>
      </c>
      <c r="CS178" s="8" t="str">
        <f>IF($B178="","",IF(COUNTIF('Competency Event Log'!$U$4:$U$803,$B178&amp;"|"&amp;CS$5)=0,"",SUMIF('Competency Event Log'!$U$4:$U$803,$B178&amp;"|"&amp;CS$5,'Competency Event Log'!$D$4:$D$803)))</f>
        <v/>
      </c>
      <c r="CT178" s="8" t="str">
        <f>IF($B178="","",IF(COUNTIF('Competency Event Log'!$U$4:$U$803,$B178&amp;"|"&amp;CT$5)=0,"",SUMIF('Competency Event Log'!$U$4:$U$803,$B178&amp;"|"&amp;CT$5,'Competency Event Log'!$D$4:$D$803)))</f>
        <v/>
      </c>
      <c r="CU178" s="8" t="str">
        <f>IF($B178="","",IF(COUNTIF('Competency Event Log'!$U$4:$U$803,$B178&amp;"|"&amp;CU$5)=0,"",SUMIF('Competency Event Log'!$U$4:$U$803,$B178&amp;"|"&amp;CU$5,'Competency Event Log'!$D$4:$D$803)))</f>
        <v/>
      </c>
      <c r="CV178" s="8" t="str">
        <f>IF($B178="","",IF(COUNTIF('Competency Event Log'!$U$4:$U$803,$B178&amp;"|"&amp;CV$5)=0,"",SUMIF('Competency Event Log'!$U$4:$U$803,$B178&amp;"|"&amp;CV$5,'Competency Event Log'!$D$4:$D$803)))</f>
        <v/>
      </c>
      <c r="CW178" s="8" t="str">
        <f>IF($B178="","",IF(COUNTIF('Competency Event Log'!$U$4:$U$803,$B178&amp;"|"&amp;CW$5)=0,"",SUMIF('Competency Event Log'!$U$4:$U$803,$B178&amp;"|"&amp;CW$5,'Competency Event Log'!$D$4:$D$803)))</f>
        <v/>
      </c>
      <c r="CX178" s="8" t="str">
        <f>IF($B178="","",IF(COUNTIF('Competency Event Log'!$U$4:$U$803,$B178&amp;"|"&amp;CX$5)=0,"",SUMIF('Competency Event Log'!$U$4:$U$803,$B178&amp;"|"&amp;CX$5,'Competency Event Log'!$D$4:$D$803)))</f>
        <v/>
      </c>
      <c r="CY178" s="8" t="str">
        <f>IF($B178="","",IF(COUNTIF('Competency Event Log'!$U$4:$U$803,$B178&amp;"|"&amp;CY$5)=0,"",SUMIF('Competency Event Log'!$U$4:$U$803,$B178&amp;"|"&amp;CY$5,'Competency Event Log'!$D$4:$D$803)))</f>
        <v/>
      </c>
      <c r="CZ178" s="8" t="str">
        <f>IF($B178="","",IF(COUNTIF('Competency Event Log'!$U$4:$U$803,$B178&amp;"|"&amp;CZ$5)=0,"",SUMIF('Competency Event Log'!$U$4:$U$803,$B178&amp;"|"&amp;CZ$5,'Competency Event Log'!$D$4:$D$803)))</f>
        <v/>
      </c>
      <c r="DA178" s="8" t="str">
        <f>IF($B178="","",IF(COUNTIF('Competency Event Log'!$U$4:$U$803,$B178&amp;"|"&amp;DA$5)=0,"",SUMIF('Competency Event Log'!$U$4:$U$803,$B178&amp;"|"&amp;DA$5,'Competency Event Log'!$D$4:$D$803)))</f>
        <v/>
      </c>
      <c r="DB178" s="8" t="str">
        <f>IF($B178="","",IF(COUNTIF('Competency Event Log'!$U$4:$U$803,$B178&amp;"|"&amp;DB$5)=0,"",SUMIF('Competency Event Log'!$U$4:$U$803,$B178&amp;"|"&amp;DB$5,'Competency Event Log'!$D$4:$D$803)))</f>
        <v/>
      </c>
      <c r="DC178" s="8" t="str">
        <f>IF($B178="","",IF(COUNTIF('Competency Event Log'!$U$4:$U$803,$B178&amp;"|"&amp;DC$5)=0,"",SUMIF('Competency Event Log'!$U$4:$U$803,$B178&amp;"|"&amp;DC$5,'Competency Event Log'!$D$4:$D$803)))</f>
        <v/>
      </c>
      <c r="DD178" s="8" t="str">
        <f>IF($B178="","",IF(COUNTIF('Competency Event Log'!$U$4:$U$803,$B178&amp;"|"&amp;DD$5)=0,"",SUMIF('Competency Event Log'!$U$4:$U$803,$B178&amp;"|"&amp;DD$5,'Competency Event Log'!$D$4:$D$803)))</f>
        <v/>
      </c>
      <c r="DE178" s="8" t="str">
        <f>IF($B178="","",IF(COUNTIF('Competency Event Log'!$U$4:$U$803,$B178&amp;"|"&amp;DE$5)=0,"",SUMIF('Competency Event Log'!$U$4:$U$803,$B178&amp;"|"&amp;DE$5,'Competency Event Log'!$D$4:$D$803)))</f>
        <v/>
      </c>
      <c r="DF178" s="8" t="str">
        <f t="shared" si="20"/>
        <v/>
      </c>
      <c r="DG178" s="8" t="str">
        <f t="shared" si="21"/>
        <v/>
      </c>
      <c r="DH178" s="8" t="str">
        <f t="shared" si="22"/>
        <v/>
      </c>
      <c r="DI178" s="11" t="str">
        <f t="shared" si="23"/>
        <v/>
      </c>
    </row>
    <row r="179" spans="1:113">
      <c r="A179" s="7"/>
      <c r="B179" s="7"/>
      <c r="C179" s="8"/>
      <c r="D179" s="9"/>
      <c r="E179" s="10"/>
      <c r="F179" s="8"/>
      <c r="G179" s="8" t="str">
        <f>IF($B179="","",IF(COUNTIF('Competency Event Log'!$U$4:$U$803,$B179&amp;"|"&amp;G$5)=0,"",SUMIF('Competency Event Log'!$U$4:$U$803,$B179&amp;"|"&amp;G$5,'Competency Event Log'!$D$4:$D$803)))</f>
        <v/>
      </c>
      <c r="H179" s="8" t="str">
        <f>IF($B179="","",IF(COUNTIF('Competency Event Log'!$U$4:$U$803,$B179&amp;"|"&amp;H$5)=0,"",SUMIF('Competency Event Log'!$U$4:$U$803,$B179&amp;"|"&amp;H$5,'Competency Event Log'!$D$4:$D$803)))</f>
        <v/>
      </c>
      <c r="I179" s="8" t="str">
        <f>IF($B179="","",IF(COUNTIF('Competency Event Log'!$U$4:$U$803,$B179&amp;"|"&amp;I$5)=0,"",SUMIF('Competency Event Log'!$U$4:$U$803,$B179&amp;"|"&amp;I$5,'Competency Event Log'!$D$4:$D$803)))</f>
        <v/>
      </c>
      <c r="J179" s="8" t="str">
        <f>IF($B179="","",IF(COUNTIF('Competency Event Log'!$U$4:$U$803,$B179&amp;"|"&amp;J$5)=0,"",SUMIF('Competency Event Log'!$U$4:$U$803,$B179&amp;"|"&amp;J$5,'Competency Event Log'!$D$4:$D$803)))</f>
        <v/>
      </c>
      <c r="K179" s="8" t="str">
        <f>IF($B179="","",IF(COUNTIF('Competency Event Log'!$U$4:$U$803,$B179&amp;"|"&amp;K$5)=0,"",SUMIF('Competency Event Log'!$U$4:$U$803,$B179&amp;"|"&amp;K$5,'Competency Event Log'!$D$4:$D$803)))</f>
        <v/>
      </c>
      <c r="L179" s="8" t="str">
        <f>IF($B179="","",IF(COUNTIF('Competency Event Log'!$U$4:$U$803,$B179&amp;"|"&amp;L$5)=0,"",SUMIF('Competency Event Log'!$U$4:$U$803,$B179&amp;"|"&amp;L$5,'Competency Event Log'!$D$4:$D$803)))</f>
        <v/>
      </c>
      <c r="M179" s="8" t="str">
        <f>IF($B179="","",IF(COUNTIF('Competency Event Log'!$U$4:$U$803,$B179&amp;"|"&amp;M$5)=0,"",SUMIF('Competency Event Log'!$U$4:$U$803,$B179&amp;"|"&amp;M$5,'Competency Event Log'!$D$4:$D$803)))</f>
        <v/>
      </c>
      <c r="N179" s="8" t="str">
        <f>IF($B179="","",IF(COUNTIF('Competency Event Log'!$U$4:$U$803,$B179&amp;"|"&amp;N$5)=0,"",SUMIF('Competency Event Log'!$U$4:$U$803,$B179&amp;"|"&amp;N$5,'Competency Event Log'!$D$4:$D$803)))</f>
        <v/>
      </c>
      <c r="O179" s="8" t="str">
        <f>IF($B179="","",IF(COUNTIF('Competency Event Log'!$U$4:$U$803,$B179&amp;"|"&amp;O$5)=0,"",SUMIF('Competency Event Log'!$U$4:$U$803,$B179&amp;"|"&amp;O$5,'Competency Event Log'!$D$4:$D$803)))</f>
        <v/>
      </c>
      <c r="P179" s="8" t="str">
        <f>IF($B179="","",IF(COUNTIF('Competency Event Log'!$U$4:$U$803,$B179&amp;"|"&amp;P$5)=0,"",SUMIF('Competency Event Log'!$U$4:$U$803,$B179&amp;"|"&amp;P$5,'Competency Event Log'!$D$4:$D$803)))</f>
        <v/>
      </c>
      <c r="Q179" s="8" t="str">
        <f>IF($B179="","",IF(COUNTIF('Competency Event Log'!$U$4:$U$803,$B179&amp;"|"&amp;Q$5)=0,"",SUMIF('Competency Event Log'!$U$4:$U$803,$B179&amp;"|"&amp;Q$5,'Competency Event Log'!$D$4:$D$803)))</f>
        <v/>
      </c>
      <c r="R179" s="8" t="str">
        <f>IF($B179="","",IF(COUNTIF('Competency Event Log'!$U$4:$U$803,$B179&amp;"|"&amp;R$5)=0,"",SUMIF('Competency Event Log'!$U$4:$U$803,$B179&amp;"|"&amp;R$5,'Competency Event Log'!$D$4:$D$803)))</f>
        <v/>
      </c>
      <c r="S179" s="8" t="str">
        <f>IF($B179="","",IF(COUNTIF('Competency Event Log'!$U$4:$U$803,$B179&amp;"|"&amp;S$5)=0,"",SUMIF('Competency Event Log'!$U$4:$U$803,$B179&amp;"|"&amp;S$5,'Competency Event Log'!$D$4:$D$803)))</f>
        <v/>
      </c>
      <c r="T179" s="8" t="str">
        <f>IF($B179="","",IF(COUNTIF('Competency Event Log'!$U$4:$U$803,$B179&amp;"|"&amp;T$5)=0,"",SUMIF('Competency Event Log'!$U$4:$U$803,$B179&amp;"|"&amp;T$5,'Competency Event Log'!$D$4:$D$803)))</f>
        <v/>
      </c>
      <c r="U179" s="8" t="str">
        <f>IF($B179="","",IF(COUNTIF('Competency Event Log'!$U$4:$U$803,$B179&amp;"|"&amp;U$5)=0,"",SUMIF('Competency Event Log'!$U$4:$U$803,$B179&amp;"|"&amp;U$5,'Competency Event Log'!$D$4:$D$803)))</f>
        <v/>
      </c>
      <c r="V179" s="8" t="str">
        <f>IF($B179="","",IF(COUNTIF('Competency Event Log'!$U$4:$U$803,$B179&amp;"|"&amp;V$5)=0,"",SUMIF('Competency Event Log'!$U$4:$U$803,$B179&amp;"|"&amp;V$5,'Competency Event Log'!$D$4:$D$803)))</f>
        <v/>
      </c>
      <c r="W179" s="8" t="str">
        <f>IF($B179="","",IF(COUNTIF('Competency Event Log'!$U$4:$U$803,$B179&amp;"|"&amp;W$5)=0,"",SUMIF('Competency Event Log'!$U$4:$U$803,$B179&amp;"|"&amp;W$5,'Competency Event Log'!$D$4:$D$803)))</f>
        <v/>
      </c>
      <c r="X179" s="8" t="str">
        <f>IF($B179="","",IF(COUNTIF('Competency Event Log'!$U$4:$U$803,$B179&amp;"|"&amp;X$5)=0,"",SUMIF('Competency Event Log'!$U$4:$U$803,$B179&amp;"|"&amp;X$5,'Competency Event Log'!$D$4:$D$803)))</f>
        <v/>
      </c>
      <c r="Y179" s="8" t="str">
        <f>IF($B179="","",IF(COUNTIF('Competency Event Log'!$U$4:$U$803,$B179&amp;"|"&amp;Y$5)=0,"",SUMIF('Competency Event Log'!$U$4:$U$803,$B179&amp;"|"&amp;Y$5,'Competency Event Log'!$D$4:$D$803)))</f>
        <v/>
      </c>
      <c r="Z179" s="8" t="str">
        <f>IF($B179="","",IF(COUNTIF('Competency Event Log'!$U$4:$U$803,$B179&amp;"|"&amp;Z$5)=0,"",SUMIF('Competency Event Log'!$U$4:$U$803,$B179&amp;"|"&amp;Z$5,'Competency Event Log'!$D$4:$D$803)))</f>
        <v/>
      </c>
      <c r="AA179" s="8" t="str">
        <f>IF($B179="","",IF(COUNTIF('Competency Event Log'!$U$4:$U$803,$B179&amp;"|"&amp;AA$5)=0,"",SUMIF('Competency Event Log'!$U$4:$U$803,$B179&amp;"|"&amp;AA$5,'Competency Event Log'!$D$4:$D$803)))</f>
        <v/>
      </c>
      <c r="AB179" s="8" t="str">
        <f>IF($B179="","",IF(COUNTIF('Competency Event Log'!$U$4:$U$803,$B179&amp;"|"&amp;AB$5)=0,"",SUMIF('Competency Event Log'!$U$4:$U$803,$B179&amp;"|"&amp;AB$5,'Competency Event Log'!$D$4:$D$803)))</f>
        <v/>
      </c>
      <c r="AC179" s="8" t="str">
        <f>IF($B179="","",IF(COUNTIF('Competency Event Log'!$U$4:$U$803,$B179&amp;"|"&amp;AC$5)=0,"",SUMIF('Competency Event Log'!$U$4:$U$803,$B179&amp;"|"&amp;AC$5,'Competency Event Log'!$D$4:$D$803)))</f>
        <v/>
      </c>
      <c r="AD179" s="8" t="str">
        <f>IF($B179="","",IF(COUNTIF('Competency Event Log'!$U$4:$U$803,$B179&amp;"|"&amp;AD$5)=0,"",SUMIF('Competency Event Log'!$U$4:$U$803,$B179&amp;"|"&amp;AD$5,'Competency Event Log'!$D$4:$D$803)))</f>
        <v/>
      </c>
      <c r="AE179" s="8" t="str">
        <f>IF($B179="","",IF(COUNTIF('Competency Event Log'!$U$4:$U$803,$B179&amp;"|"&amp;AE$5)=0,"",SUMIF('Competency Event Log'!$U$4:$U$803,$B179&amp;"|"&amp;AE$5,'Competency Event Log'!$D$4:$D$803)))</f>
        <v/>
      </c>
      <c r="AF179" s="8" t="str">
        <f>IF($B179="","",IF(COUNTIF('Competency Event Log'!$U$4:$U$803,$B179&amp;"|"&amp;AF$5)=0,"",SUMIF('Competency Event Log'!$U$4:$U$803,$B179&amp;"|"&amp;AF$5,'Competency Event Log'!$D$4:$D$803)))</f>
        <v/>
      </c>
      <c r="AG179" s="8" t="str">
        <f>IF($B179="","",IF(COUNTIF('Competency Event Log'!$U$4:$U$803,$B179&amp;"|"&amp;AG$5)=0,"",SUMIF('Competency Event Log'!$U$4:$U$803,$B179&amp;"|"&amp;AG$5,'Competency Event Log'!$D$4:$D$803)))</f>
        <v/>
      </c>
      <c r="AH179" s="8" t="str">
        <f>IF($B179="","",IF(COUNTIF('Competency Event Log'!$U$4:$U$803,$B179&amp;"|"&amp;AH$5)=0,"",SUMIF('Competency Event Log'!$U$4:$U$803,$B179&amp;"|"&amp;AH$5,'Competency Event Log'!$D$4:$D$803)))</f>
        <v/>
      </c>
      <c r="AI179" s="8" t="str">
        <f>IF($B179="","",IF(COUNTIF('Competency Event Log'!$U$4:$U$803,$B179&amp;"|"&amp;AI$5)=0,"",SUMIF('Competency Event Log'!$U$4:$U$803,$B179&amp;"|"&amp;AI$5,'Competency Event Log'!$D$4:$D$803)))</f>
        <v/>
      </c>
      <c r="AJ179" s="8" t="str">
        <f>IF($B179="","",IF(COUNTIF('Competency Event Log'!$U$4:$U$803,$B179&amp;"|"&amp;AJ$5)=0,"",SUMIF('Competency Event Log'!$U$4:$U$803,$B179&amp;"|"&amp;AJ$5,'Competency Event Log'!$D$4:$D$803)))</f>
        <v/>
      </c>
      <c r="AK179" s="8" t="str">
        <f>IF($B179="","",IF(COUNTIF('Competency Event Log'!$U$4:$U$803,$B179&amp;"|"&amp;AK$5)=0,"",SUMIF('Competency Event Log'!$U$4:$U$803,$B179&amp;"|"&amp;AK$5,'Competency Event Log'!$D$4:$D$803)))</f>
        <v/>
      </c>
      <c r="AL179" s="8" t="str">
        <f>IF($B179="","",IF(COUNTIF('Competency Event Log'!$U$4:$U$803,$B179&amp;"|"&amp;AL$5)=0,"",SUMIF('Competency Event Log'!$U$4:$U$803,$B179&amp;"|"&amp;AL$5,'Competency Event Log'!$D$4:$D$803)))</f>
        <v/>
      </c>
      <c r="AM179" s="8" t="str">
        <f>IF($B179="","",IF(COUNTIF('Competency Event Log'!$U$4:$U$803,$B179&amp;"|"&amp;AM$5)=0,"",SUMIF('Competency Event Log'!$U$4:$U$803,$B179&amp;"|"&amp;AM$5,'Competency Event Log'!$D$4:$D$803)))</f>
        <v/>
      </c>
      <c r="AN179" s="8" t="str">
        <f>IF($B179="","",IF(COUNTIF('Competency Event Log'!$U$4:$U$803,$B179&amp;"|"&amp;AN$5)=0,"",SUMIF('Competency Event Log'!$U$4:$U$803,$B179&amp;"|"&amp;AN$5,'Competency Event Log'!$D$4:$D$803)))</f>
        <v/>
      </c>
      <c r="AO179" s="8" t="str">
        <f>IF($B179="","",IF(COUNTIF('Competency Event Log'!$U$4:$U$803,$B179&amp;"|"&amp;AO$5)=0,"",SUMIF('Competency Event Log'!$U$4:$U$803,$B179&amp;"|"&amp;AO$5,'Competency Event Log'!$D$4:$D$803)))</f>
        <v/>
      </c>
      <c r="AP179" s="8" t="str">
        <f>IF($B179="","",IF(COUNTIF('Competency Event Log'!$U$4:$U$803,$B179&amp;"|"&amp;AP$5)=0,"",SUMIF('Competency Event Log'!$U$4:$U$803,$B179&amp;"|"&amp;AP$5,'Competency Event Log'!$D$4:$D$803)))</f>
        <v/>
      </c>
      <c r="AQ179" s="8" t="str">
        <f>IF($B179="","",IF(COUNTIF('Competency Event Log'!$U$4:$U$803,$B179&amp;"|"&amp;AQ$5)=0,"",SUMIF('Competency Event Log'!$U$4:$U$803,$B179&amp;"|"&amp;AQ$5,'Competency Event Log'!$D$4:$D$803)))</f>
        <v/>
      </c>
      <c r="AR179" s="8" t="str">
        <f>IF($B179="","",IF(COUNTIF('Competency Event Log'!$U$4:$U$803,$B179&amp;"|"&amp;AR$5)=0,"",SUMIF('Competency Event Log'!$U$4:$U$803,$B179&amp;"|"&amp;AR$5,'Competency Event Log'!$D$4:$D$803)))</f>
        <v/>
      </c>
      <c r="AS179" s="8" t="str">
        <f>IF($B179="","",IF(COUNTIF('Competency Event Log'!$U$4:$U$803,$B179&amp;"|"&amp;AS$5)=0,"",SUMIF('Competency Event Log'!$U$4:$U$803,$B179&amp;"|"&amp;AS$5,'Competency Event Log'!$D$4:$D$803)))</f>
        <v/>
      </c>
      <c r="AT179" s="8" t="str">
        <f>IF($B179="","",IF(COUNTIF('Competency Event Log'!$U$4:$U$803,$B179&amp;"|"&amp;AT$5)=0,"",SUMIF('Competency Event Log'!$U$4:$U$803,$B179&amp;"|"&amp;AT$5,'Competency Event Log'!$D$4:$D$803)))</f>
        <v/>
      </c>
      <c r="AU179" s="8" t="str">
        <f>IF($B179="","",IF(COUNTIF('Competency Event Log'!$U$4:$U$803,$B179&amp;"|"&amp;AU$5)=0,"",SUMIF('Competency Event Log'!$U$4:$U$803,$B179&amp;"|"&amp;AU$5,'Competency Event Log'!$D$4:$D$803)))</f>
        <v/>
      </c>
      <c r="AV179" s="8" t="str">
        <f>IF($B179="","",IF(COUNTIF('Competency Event Log'!$U$4:$U$803,$B179&amp;"|"&amp;AV$5)=0,"",SUMIF('Competency Event Log'!$U$4:$U$803,$B179&amp;"|"&amp;AV$5,'Competency Event Log'!$D$4:$D$803)))</f>
        <v/>
      </c>
      <c r="AW179" s="8" t="str">
        <f>IF($B179="","",IF(COUNTIF('Competency Event Log'!$U$4:$U$803,$B179&amp;"|"&amp;AW$5)=0,"",SUMIF('Competency Event Log'!$U$4:$U$803,$B179&amp;"|"&amp;AW$5,'Competency Event Log'!$D$4:$D$803)))</f>
        <v/>
      </c>
      <c r="AX179" s="8" t="str">
        <f>IF($B179="","",IF(COUNTIF('Competency Event Log'!$U$4:$U$803,$B179&amp;"|"&amp;AX$5)=0,"",SUMIF('Competency Event Log'!$U$4:$U$803,$B179&amp;"|"&amp;AX$5,'Competency Event Log'!$D$4:$D$803)))</f>
        <v/>
      </c>
      <c r="AY179" s="8" t="str">
        <f>IF($B179="","",IF(COUNTIF('Competency Event Log'!$U$4:$U$803,$B179&amp;"|"&amp;AY$5)=0,"",SUMIF('Competency Event Log'!$U$4:$U$803,$B179&amp;"|"&amp;AY$5,'Competency Event Log'!$D$4:$D$803)))</f>
        <v/>
      </c>
      <c r="AZ179" s="8" t="str">
        <f>IF($B179="","",IF(COUNTIF('Competency Event Log'!$U$4:$U$803,$B179&amp;"|"&amp;AZ$5)=0,"",SUMIF('Competency Event Log'!$U$4:$U$803,$B179&amp;"|"&amp;AZ$5,'Competency Event Log'!$D$4:$D$803)))</f>
        <v/>
      </c>
      <c r="BA179" s="8" t="str">
        <f>IF($B179="","",IF(COUNTIF('Competency Event Log'!$U$4:$U$803,$B179&amp;"|"&amp;BA$5)=0,"",SUMIF('Competency Event Log'!$U$4:$U$803,$B179&amp;"|"&amp;BA$5,'Competency Event Log'!$D$4:$D$803)))</f>
        <v/>
      </c>
      <c r="BB179" s="8" t="str">
        <f>IF($B179="","",IF(COUNTIF('Competency Event Log'!$U$4:$U$803,$B179&amp;"|"&amp;BB$5)=0,"",SUMIF('Competency Event Log'!$U$4:$U$803,$B179&amp;"|"&amp;BB$5,'Competency Event Log'!$D$4:$D$803)))</f>
        <v/>
      </c>
      <c r="BC179" s="8" t="str">
        <f>IF($B179="","",IF(COUNTIF('Competency Event Log'!$U$4:$U$803,$B179&amp;"|"&amp;BC$5)=0,"",SUMIF('Competency Event Log'!$U$4:$U$803,$B179&amp;"|"&amp;BC$5,'Competency Event Log'!$D$4:$D$803)))</f>
        <v/>
      </c>
      <c r="BD179" s="8" t="str">
        <f>IF($B179="","",IF(COUNTIF('Competency Event Log'!$U$4:$U$803,$B179&amp;"|"&amp;BD$5)=0,"",SUMIF('Competency Event Log'!$U$4:$U$803,$B179&amp;"|"&amp;BD$5,'Competency Event Log'!$D$4:$D$803)))</f>
        <v/>
      </c>
      <c r="BE179" s="8" t="str">
        <f>IF($B179="","",IF(COUNTIF('Competency Event Log'!$U$4:$U$803,$B179&amp;"|"&amp;BE$5)=0,"",SUMIF('Competency Event Log'!$U$4:$U$803,$B179&amp;"|"&amp;BE$5,'Competency Event Log'!$D$4:$D$803)))</f>
        <v/>
      </c>
      <c r="BF179" s="8" t="str">
        <f>IF($B179="","",IF(COUNTIF('Competency Event Log'!$U$4:$U$803,$B179&amp;"|"&amp;BF$5)=0,"",SUMIF('Competency Event Log'!$U$4:$U$803,$B179&amp;"|"&amp;BF$5,'Competency Event Log'!$D$4:$D$803)))</f>
        <v/>
      </c>
      <c r="BG179" s="8" t="str">
        <f>IF($B179="","",IF(COUNTIF('Competency Event Log'!$U$4:$U$803,$B179&amp;"|"&amp;BG$5)=0,"",SUMIF('Competency Event Log'!$U$4:$U$803,$B179&amp;"|"&amp;BG$5,'Competency Event Log'!$D$4:$D$803)))</f>
        <v/>
      </c>
      <c r="BH179" s="8" t="str">
        <f>IF($B179="","",IF(COUNTIF('Competency Event Log'!$U$4:$U$803,$B179&amp;"|"&amp;BH$5)=0,"",SUMIF('Competency Event Log'!$U$4:$U$803,$B179&amp;"|"&amp;BH$5,'Competency Event Log'!$D$4:$D$803)))</f>
        <v/>
      </c>
      <c r="BI179" s="8" t="str">
        <f>IF($B179="","",IF(COUNTIF('Competency Event Log'!$U$4:$U$803,$B179&amp;"|"&amp;BI$5)=0,"",SUMIF('Competency Event Log'!$U$4:$U$803,$B179&amp;"|"&amp;BI$5,'Competency Event Log'!$D$4:$D$803)))</f>
        <v/>
      </c>
      <c r="BJ179" s="8" t="str">
        <f>IF($B179="","",IF(COUNTIF('Competency Event Log'!$U$4:$U$803,$B179&amp;"|"&amp;BJ$5)=0,"",SUMIF('Competency Event Log'!$U$4:$U$803,$B179&amp;"|"&amp;BJ$5,'Competency Event Log'!$D$4:$D$803)))</f>
        <v/>
      </c>
      <c r="BK179" s="8" t="str">
        <f>IF($B179="","",IF(COUNTIF('Competency Event Log'!$U$4:$U$803,$B179&amp;"|"&amp;BK$5)=0,"",SUMIF('Competency Event Log'!$U$4:$U$803,$B179&amp;"|"&amp;BK$5,'Competency Event Log'!$D$4:$D$803)))</f>
        <v/>
      </c>
      <c r="BL179" s="8" t="str">
        <f>IF($B179="","",IF(COUNTIF('Competency Event Log'!$U$4:$U$803,$B179&amp;"|"&amp;BL$5)=0,"",SUMIF('Competency Event Log'!$U$4:$U$803,$B179&amp;"|"&amp;BL$5,'Competency Event Log'!$D$4:$D$803)))</f>
        <v/>
      </c>
      <c r="BM179" s="8" t="str">
        <f>IF($B179="","",IF(COUNTIF('Competency Event Log'!$U$4:$U$803,$B179&amp;"|"&amp;BM$5)=0,"",SUMIF('Competency Event Log'!$U$4:$U$803,$B179&amp;"|"&amp;BM$5,'Competency Event Log'!$D$4:$D$803)))</f>
        <v/>
      </c>
      <c r="BN179" s="8" t="str">
        <f>IF($B179="","",IF(COUNTIF('Competency Event Log'!$U$4:$U$803,$B179&amp;"|"&amp;BN$5)=0,"",SUMIF('Competency Event Log'!$U$4:$U$803,$B179&amp;"|"&amp;BN$5,'Competency Event Log'!$D$4:$D$803)))</f>
        <v/>
      </c>
      <c r="BO179" s="8" t="str">
        <f>IF($B179="","",IF(COUNTIF('Competency Event Log'!$U$4:$U$803,$B179&amp;"|"&amp;BO$5)=0,"",SUMIF('Competency Event Log'!$U$4:$U$803,$B179&amp;"|"&amp;BO$5,'Competency Event Log'!$D$4:$D$803)))</f>
        <v/>
      </c>
      <c r="BP179" s="8" t="str">
        <f>IF($B179="","",IF(COUNTIF('Competency Event Log'!$U$4:$U$803,$B179&amp;"|"&amp;BP$5)=0,"",SUMIF('Competency Event Log'!$U$4:$U$803,$B179&amp;"|"&amp;BP$5,'Competency Event Log'!$D$4:$D$803)))</f>
        <v/>
      </c>
      <c r="BQ179" s="8" t="str">
        <f>IF($B179="","",IF(COUNTIF('Competency Event Log'!$U$4:$U$803,$B179&amp;"|"&amp;BQ$5)=0,"",SUMIF('Competency Event Log'!$U$4:$U$803,$B179&amp;"|"&amp;BQ$5,'Competency Event Log'!$D$4:$D$803)))</f>
        <v/>
      </c>
      <c r="BR179" s="8" t="str">
        <f>IF($B179="","",IF(COUNTIF('Competency Event Log'!$U$4:$U$803,$B179&amp;"|"&amp;BR$5)=0,"",SUMIF('Competency Event Log'!$U$4:$U$803,$B179&amp;"|"&amp;BR$5,'Competency Event Log'!$D$4:$D$803)))</f>
        <v/>
      </c>
      <c r="BS179" s="8" t="str">
        <f>IF($B179="","",IF(COUNTIF('Competency Event Log'!$U$4:$U$803,$B179&amp;"|"&amp;BS$5)=0,"",SUMIF('Competency Event Log'!$U$4:$U$803,$B179&amp;"|"&amp;BS$5,'Competency Event Log'!$D$4:$D$803)))</f>
        <v/>
      </c>
      <c r="BT179" s="8" t="str">
        <f>IF($B179="","",IF(COUNTIF('Competency Event Log'!$U$4:$U$803,$B179&amp;"|"&amp;BT$5)=0,"",SUMIF('Competency Event Log'!$U$4:$U$803,$B179&amp;"|"&amp;BT$5,'Competency Event Log'!$D$4:$D$803)))</f>
        <v/>
      </c>
      <c r="BU179" s="8" t="str">
        <f>IF($B179="","",IF(COUNTIF('Competency Event Log'!$U$4:$U$803,$B179&amp;"|"&amp;BU$5)=0,"",SUMIF('Competency Event Log'!$U$4:$U$803,$B179&amp;"|"&amp;BU$5,'Competency Event Log'!$D$4:$D$803)))</f>
        <v/>
      </c>
      <c r="BV179" s="8" t="str">
        <f>IF($B179="","",IF(COUNTIF('Competency Event Log'!$U$4:$U$803,$B179&amp;"|"&amp;BV$5)=0,"",SUMIF('Competency Event Log'!$U$4:$U$803,$B179&amp;"|"&amp;BV$5,'Competency Event Log'!$D$4:$D$803)))</f>
        <v/>
      </c>
      <c r="BW179" s="8" t="str">
        <f>IF($B179="","",IF(COUNTIF('Competency Event Log'!$U$4:$U$803,$B179&amp;"|"&amp;BW$5)=0,"",SUMIF('Competency Event Log'!$U$4:$U$803,$B179&amp;"|"&amp;BW$5,'Competency Event Log'!$D$4:$D$803)))</f>
        <v/>
      </c>
      <c r="BX179" s="8" t="str">
        <f>IF($B179="","",IF(COUNTIF('Competency Event Log'!$U$4:$U$803,$B179&amp;"|"&amp;BX$5)=0,"",SUMIF('Competency Event Log'!$U$4:$U$803,$B179&amp;"|"&amp;BX$5,'Competency Event Log'!$D$4:$D$803)))</f>
        <v/>
      </c>
      <c r="BY179" s="8" t="str">
        <f>IF($B179="","",IF(COUNTIF('Competency Event Log'!$U$4:$U$803,$B179&amp;"|"&amp;BY$5)=0,"",SUMIF('Competency Event Log'!$U$4:$U$803,$B179&amp;"|"&amp;BY$5,'Competency Event Log'!$D$4:$D$803)))</f>
        <v/>
      </c>
      <c r="BZ179" s="8" t="str">
        <f>IF($B179="","",IF(COUNTIF('Competency Event Log'!$U$4:$U$803,$B179&amp;"|"&amp;BZ$5)=0,"",SUMIF('Competency Event Log'!$U$4:$U$803,$B179&amp;"|"&amp;BZ$5,'Competency Event Log'!$D$4:$D$803)))</f>
        <v/>
      </c>
      <c r="CA179" s="8" t="str">
        <f>IF($B179="","",IF(COUNTIF('Competency Event Log'!$U$4:$U$803,$B179&amp;"|"&amp;CA$5)=0,"",SUMIF('Competency Event Log'!$U$4:$U$803,$B179&amp;"|"&amp;CA$5,'Competency Event Log'!$D$4:$D$803)))</f>
        <v/>
      </c>
      <c r="CB179" s="8" t="str">
        <f>IF($B179="","",IF(COUNTIF('Competency Event Log'!$U$4:$U$803,$B179&amp;"|"&amp;CB$5)=0,"",SUMIF('Competency Event Log'!$U$4:$U$803,$B179&amp;"|"&amp;CB$5,'Competency Event Log'!$D$4:$D$803)))</f>
        <v/>
      </c>
      <c r="CC179" s="8" t="str">
        <f>IF($B179="","",IF(COUNTIF('Competency Event Log'!$U$4:$U$803,$B179&amp;"|"&amp;CC$5)=0,"",SUMIF('Competency Event Log'!$U$4:$U$803,$B179&amp;"|"&amp;CC$5,'Competency Event Log'!$D$4:$D$803)))</f>
        <v/>
      </c>
      <c r="CD179" s="8" t="str">
        <f>IF($B179="","",IF(COUNTIF('Competency Event Log'!$U$4:$U$803,$B179&amp;"|"&amp;CD$5)=0,"",SUMIF('Competency Event Log'!$U$4:$U$803,$B179&amp;"|"&amp;CD$5,'Competency Event Log'!$D$4:$D$803)))</f>
        <v/>
      </c>
      <c r="CE179" s="8" t="str">
        <f>IF($B179="","",IF(COUNTIF('Competency Event Log'!$U$4:$U$803,$B179&amp;"|"&amp;CE$5)=0,"",SUMIF('Competency Event Log'!$U$4:$U$803,$B179&amp;"|"&amp;CE$5,'Competency Event Log'!$D$4:$D$803)))</f>
        <v/>
      </c>
      <c r="CF179" s="8" t="str">
        <f>IF($B179="","",IF(COUNTIF('Competency Event Log'!$U$4:$U$803,$B179&amp;"|"&amp;CF$5)=0,"",SUMIF('Competency Event Log'!$U$4:$U$803,$B179&amp;"|"&amp;CF$5,'Competency Event Log'!$D$4:$D$803)))</f>
        <v/>
      </c>
      <c r="CG179" s="8" t="str">
        <f>IF($B179="","",IF(COUNTIF('Competency Event Log'!$U$4:$U$803,$B179&amp;"|"&amp;CG$5)=0,"",SUMIF('Competency Event Log'!$U$4:$U$803,$B179&amp;"|"&amp;CG$5,'Competency Event Log'!$D$4:$D$803)))</f>
        <v/>
      </c>
      <c r="CH179" s="8" t="str">
        <f>IF($B179="","",IF(COUNTIF('Competency Event Log'!$U$4:$U$803,$B179&amp;"|"&amp;CH$5)=0,"",SUMIF('Competency Event Log'!$U$4:$U$803,$B179&amp;"|"&amp;CH$5,'Competency Event Log'!$D$4:$D$803)))</f>
        <v/>
      </c>
      <c r="CI179" s="8" t="str">
        <f>IF($B179="","",IF(COUNTIF('Competency Event Log'!$U$4:$U$803,$B179&amp;"|"&amp;CI$5)=0,"",SUMIF('Competency Event Log'!$U$4:$U$803,$B179&amp;"|"&amp;CI$5,'Competency Event Log'!$D$4:$D$803)))</f>
        <v/>
      </c>
      <c r="CJ179" s="8" t="str">
        <f>IF($B179="","",IF(COUNTIF('Competency Event Log'!$U$4:$U$803,$B179&amp;"|"&amp;CJ$5)=0,"",SUMIF('Competency Event Log'!$U$4:$U$803,$B179&amp;"|"&amp;CJ$5,'Competency Event Log'!$D$4:$D$803)))</f>
        <v/>
      </c>
      <c r="CK179" s="8" t="str">
        <f>IF($B179="","",IF(COUNTIF('Competency Event Log'!$U$4:$U$803,$B179&amp;"|"&amp;CK$5)=0,"",SUMIF('Competency Event Log'!$U$4:$U$803,$B179&amp;"|"&amp;CK$5,'Competency Event Log'!$D$4:$D$803)))</f>
        <v/>
      </c>
      <c r="CL179" s="8" t="str">
        <f>IF($B179="","",IF(COUNTIF('Competency Event Log'!$U$4:$U$803,$B179&amp;"|"&amp;CL$5)=0,"",SUMIF('Competency Event Log'!$U$4:$U$803,$B179&amp;"|"&amp;CL$5,'Competency Event Log'!$D$4:$D$803)))</f>
        <v/>
      </c>
      <c r="CM179" s="8" t="str">
        <f>IF($B179="","",IF(COUNTIF('Competency Event Log'!$U$4:$U$803,$B179&amp;"|"&amp;CM$5)=0,"",SUMIF('Competency Event Log'!$U$4:$U$803,$B179&amp;"|"&amp;CM$5,'Competency Event Log'!$D$4:$D$803)))</f>
        <v/>
      </c>
      <c r="CN179" s="8" t="str">
        <f>IF($B179="","",IF(COUNTIF('Competency Event Log'!$U$4:$U$803,$B179&amp;"|"&amp;CN$5)=0,"",SUMIF('Competency Event Log'!$U$4:$U$803,$B179&amp;"|"&amp;CN$5,'Competency Event Log'!$D$4:$D$803)))</f>
        <v/>
      </c>
      <c r="CO179" s="8" t="str">
        <f>IF($B179="","",IF(COUNTIF('Competency Event Log'!$U$4:$U$803,$B179&amp;"|"&amp;CO$5)=0,"",SUMIF('Competency Event Log'!$U$4:$U$803,$B179&amp;"|"&amp;CO$5,'Competency Event Log'!$D$4:$D$803)))</f>
        <v/>
      </c>
      <c r="CP179" s="8" t="str">
        <f>IF($B179="","",IF(COUNTIF('Competency Event Log'!$U$4:$U$803,$B179&amp;"|"&amp;CP$5)=0,"",SUMIF('Competency Event Log'!$U$4:$U$803,$B179&amp;"|"&amp;CP$5,'Competency Event Log'!$D$4:$D$803)))</f>
        <v/>
      </c>
      <c r="CQ179" s="8" t="str">
        <f>IF($B179="","",IF(COUNTIF('Competency Event Log'!$U$4:$U$803,$B179&amp;"|"&amp;CQ$5)=0,"",SUMIF('Competency Event Log'!$U$4:$U$803,$B179&amp;"|"&amp;CQ$5,'Competency Event Log'!$D$4:$D$803)))</f>
        <v/>
      </c>
      <c r="CR179" s="8" t="str">
        <f>IF($B179="","",IF(COUNTIF('Competency Event Log'!$U$4:$U$803,$B179&amp;"|"&amp;CR$5)=0,"",SUMIF('Competency Event Log'!$U$4:$U$803,$B179&amp;"|"&amp;CR$5,'Competency Event Log'!$D$4:$D$803)))</f>
        <v/>
      </c>
      <c r="CS179" s="8" t="str">
        <f>IF($B179="","",IF(COUNTIF('Competency Event Log'!$U$4:$U$803,$B179&amp;"|"&amp;CS$5)=0,"",SUMIF('Competency Event Log'!$U$4:$U$803,$B179&amp;"|"&amp;CS$5,'Competency Event Log'!$D$4:$D$803)))</f>
        <v/>
      </c>
      <c r="CT179" s="8" t="str">
        <f>IF($B179="","",IF(COUNTIF('Competency Event Log'!$U$4:$U$803,$B179&amp;"|"&amp;CT$5)=0,"",SUMIF('Competency Event Log'!$U$4:$U$803,$B179&amp;"|"&amp;CT$5,'Competency Event Log'!$D$4:$D$803)))</f>
        <v/>
      </c>
      <c r="CU179" s="8" t="str">
        <f>IF($B179="","",IF(COUNTIF('Competency Event Log'!$U$4:$U$803,$B179&amp;"|"&amp;CU$5)=0,"",SUMIF('Competency Event Log'!$U$4:$U$803,$B179&amp;"|"&amp;CU$5,'Competency Event Log'!$D$4:$D$803)))</f>
        <v/>
      </c>
      <c r="CV179" s="8" t="str">
        <f>IF($B179="","",IF(COUNTIF('Competency Event Log'!$U$4:$U$803,$B179&amp;"|"&amp;CV$5)=0,"",SUMIF('Competency Event Log'!$U$4:$U$803,$B179&amp;"|"&amp;CV$5,'Competency Event Log'!$D$4:$D$803)))</f>
        <v/>
      </c>
      <c r="CW179" s="8" t="str">
        <f>IF($B179="","",IF(COUNTIF('Competency Event Log'!$U$4:$U$803,$B179&amp;"|"&amp;CW$5)=0,"",SUMIF('Competency Event Log'!$U$4:$U$803,$B179&amp;"|"&amp;CW$5,'Competency Event Log'!$D$4:$D$803)))</f>
        <v/>
      </c>
      <c r="CX179" s="8" t="str">
        <f>IF($B179="","",IF(COUNTIF('Competency Event Log'!$U$4:$U$803,$B179&amp;"|"&amp;CX$5)=0,"",SUMIF('Competency Event Log'!$U$4:$U$803,$B179&amp;"|"&amp;CX$5,'Competency Event Log'!$D$4:$D$803)))</f>
        <v/>
      </c>
      <c r="CY179" s="8" t="str">
        <f>IF($B179="","",IF(COUNTIF('Competency Event Log'!$U$4:$U$803,$B179&amp;"|"&amp;CY$5)=0,"",SUMIF('Competency Event Log'!$U$4:$U$803,$B179&amp;"|"&amp;CY$5,'Competency Event Log'!$D$4:$D$803)))</f>
        <v/>
      </c>
      <c r="CZ179" s="8" t="str">
        <f>IF($B179="","",IF(COUNTIF('Competency Event Log'!$U$4:$U$803,$B179&amp;"|"&amp;CZ$5)=0,"",SUMIF('Competency Event Log'!$U$4:$U$803,$B179&amp;"|"&amp;CZ$5,'Competency Event Log'!$D$4:$D$803)))</f>
        <v/>
      </c>
      <c r="DA179" s="8" t="str">
        <f>IF($B179="","",IF(COUNTIF('Competency Event Log'!$U$4:$U$803,$B179&amp;"|"&amp;DA$5)=0,"",SUMIF('Competency Event Log'!$U$4:$U$803,$B179&amp;"|"&amp;DA$5,'Competency Event Log'!$D$4:$D$803)))</f>
        <v/>
      </c>
      <c r="DB179" s="8" t="str">
        <f>IF($B179="","",IF(COUNTIF('Competency Event Log'!$U$4:$U$803,$B179&amp;"|"&amp;DB$5)=0,"",SUMIF('Competency Event Log'!$U$4:$U$803,$B179&amp;"|"&amp;DB$5,'Competency Event Log'!$D$4:$D$803)))</f>
        <v/>
      </c>
      <c r="DC179" s="8" t="str">
        <f>IF($B179="","",IF(COUNTIF('Competency Event Log'!$U$4:$U$803,$B179&amp;"|"&amp;DC$5)=0,"",SUMIF('Competency Event Log'!$U$4:$U$803,$B179&amp;"|"&amp;DC$5,'Competency Event Log'!$D$4:$D$803)))</f>
        <v/>
      </c>
      <c r="DD179" s="8" t="str">
        <f>IF($B179="","",IF(COUNTIF('Competency Event Log'!$U$4:$U$803,$B179&amp;"|"&amp;DD$5)=0,"",SUMIF('Competency Event Log'!$U$4:$U$803,$B179&amp;"|"&amp;DD$5,'Competency Event Log'!$D$4:$D$803)))</f>
        <v/>
      </c>
      <c r="DE179" s="8" t="str">
        <f>IF($B179="","",IF(COUNTIF('Competency Event Log'!$U$4:$U$803,$B179&amp;"|"&amp;DE$5)=0,"",SUMIF('Competency Event Log'!$U$4:$U$803,$B179&amp;"|"&amp;DE$5,'Competency Event Log'!$D$4:$D$803)))</f>
        <v/>
      </c>
      <c r="DF179" s="8" t="str">
        <f t="shared" si="20"/>
        <v/>
      </c>
      <c r="DG179" s="8" t="str">
        <f t="shared" si="21"/>
        <v/>
      </c>
      <c r="DH179" s="8" t="str">
        <f t="shared" si="22"/>
        <v/>
      </c>
      <c r="DI179" s="11" t="str">
        <f t="shared" si="23"/>
        <v/>
      </c>
    </row>
    <row r="180" spans="1:113">
      <c r="A180" s="7"/>
      <c r="B180" s="7"/>
      <c r="C180" s="8"/>
      <c r="D180" s="9"/>
      <c r="E180" s="10"/>
      <c r="F180" s="8"/>
      <c r="G180" s="8" t="str">
        <f>IF($B180="","",IF(COUNTIF('Competency Event Log'!$U$4:$U$803,$B180&amp;"|"&amp;G$5)=0,"",SUMIF('Competency Event Log'!$U$4:$U$803,$B180&amp;"|"&amp;G$5,'Competency Event Log'!$D$4:$D$803)))</f>
        <v/>
      </c>
      <c r="H180" s="8" t="str">
        <f>IF($B180="","",IF(COUNTIF('Competency Event Log'!$U$4:$U$803,$B180&amp;"|"&amp;H$5)=0,"",SUMIF('Competency Event Log'!$U$4:$U$803,$B180&amp;"|"&amp;H$5,'Competency Event Log'!$D$4:$D$803)))</f>
        <v/>
      </c>
      <c r="I180" s="8" t="str">
        <f>IF($B180="","",IF(COUNTIF('Competency Event Log'!$U$4:$U$803,$B180&amp;"|"&amp;I$5)=0,"",SUMIF('Competency Event Log'!$U$4:$U$803,$B180&amp;"|"&amp;I$5,'Competency Event Log'!$D$4:$D$803)))</f>
        <v/>
      </c>
      <c r="J180" s="8" t="str">
        <f>IF($B180="","",IF(COUNTIF('Competency Event Log'!$U$4:$U$803,$B180&amp;"|"&amp;J$5)=0,"",SUMIF('Competency Event Log'!$U$4:$U$803,$B180&amp;"|"&amp;J$5,'Competency Event Log'!$D$4:$D$803)))</f>
        <v/>
      </c>
      <c r="K180" s="8" t="str">
        <f>IF($B180="","",IF(COUNTIF('Competency Event Log'!$U$4:$U$803,$B180&amp;"|"&amp;K$5)=0,"",SUMIF('Competency Event Log'!$U$4:$U$803,$B180&amp;"|"&amp;K$5,'Competency Event Log'!$D$4:$D$803)))</f>
        <v/>
      </c>
      <c r="L180" s="8" t="str">
        <f>IF($B180="","",IF(COUNTIF('Competency Event Log'!$U$4:$U$803,$B180&amp;"|"&amp;L$5)=0,"",SUMIF('Competency Event Log'!$U$4:$U$803,$B180&amp;"|"&amp;L$5,'Competency Event Log'!$D$4:$D$803)))</f>
        <v/>
      </c>
      <c r="M180" s="8" t="str">
        <f>IF($B180="","",IF(COUNTIF('Competency Event Log'!$U$4:$U$803,$B180&amp;"|"&amp;M$5)=0,"",SUMIF('Competency Event Log'!$U$4:$U$803,$B180&amp;"|"&amp;M$5,'Competency Event Log'!$D$4:$D$803)))</f>
        <v/>
      </c>
      <c r="N180" s="8" t="str">
        <f>IF($B180="","",IF(COUNTIF('Competency Event Log'!$U$4:$U$803,$B180&amp;"|"&amp;N$5)=0,"",SUMIF('Competency Event Log'!$U$4:$U$803,$B180&amp;"|"&amp;N$5,'Competency Event Log'!$D$4:$D$803)))</f>
        <v/>
      </c>
      <c r="O180" s="8" t="str">
        <f>IF($B180="","",IF(COUNTIF('Competency Event Log'!$U$4:$U$803,$B180&amp;"|"&amp;O$5)=0,"",SUMIF('Competency Event Log'!$U$4:$U$803,$B180&amp;"|"&amp;O$5,'Competency Event Log'!$D$4:$D$803)))</f>
        <v/>
      </c>
      <c r="P180" s="8" t="str">
        <f>IF($B180="","",IF(COUNTIF('Competency Event Log'!$U$4:$U$803,$B180&amp;"|"&amp;P$5)=0,"",SUMIF('Competency Event Log'!$U$4:$U$803,$B180&amp;"|"&amp;P$5,'Competency Event Log'!$D$4:$D$803)))</f>
        <v/>
      </c>
      <c r="Q180" s="8" t="str">
        <f>IF($B180="","",IF(COUNTIF('Competency Event Log'!$U$4:$U$803,$B180&amp;"|"&amp;Q$5)=0,"",SUMIF('Competency Event Log'!$U$4:$U$803,$B180&amp;"|"&amp;Q$5,'Competency Event Log'!$D$4:$D$803)))</f>
        <v/>
      </c>
      <c r="R180" s="8" t="str">
        <f>IF($B180="","",IF(COUNTIF('Competency Event Log'!$U$4:$U$803,$B180&amp;"|"&amp;R$5)=0,"",SUMIF('Competency Event Log'!$U$4:$U$803,$B180&amp;"|"&amp;R$5,'Competency Event Log'!$D$4:$D$803)))</f>
        <v/>
      </c>
      <c r="S180" s="8" t="str">
        <f>IF($B180="","",IF(COUNTIF('Competency Event Log'!$U$4:$U$803,$B180&amp;"|"&amp;S$5)=0,"",SUMIF('Competency Event Log'!$U$4:$U$803,$B180&amp;"|"&amp;S$5,'Competency Event Log'!$D$4:$D$803)))</f>
        <v/>
      </c>
      <c r="T180" s="8" t="str">
        <f>IF($B180="","",IF(COUNTIF('Competency Event Log'!$U$4:$U$803,$B180&amp;"|"&amp;T$5)=0,"",SUMIF('Competency Event Log'!$U$4:$U$803,$B180&amp;"|"&amp;T$5,'Competency Event Log'!$D$4:$D$803)))</f>
        <v/>
      </c>
      <c r="U180" s="8" t="str">
        <f>IF($B180="","",IF(COUNTIF('Competency Event Log'!$U$4:$U$803,$B180&amp;"|"&amp;U$5)=0,"",SUMIF('Competency Event Log'!$U$4:$U$803,$B180&amp;"|"&amp;U$5,'Competency Event Log'!$D$4:$D$803)))</f>
        <v/>
      </c>
      <c r="V180" s="8" t="str">
        <f>IF($B180="","",IF(COUNTIF('Competency Event Log'!$U$4:$U$803,$B180&amp;"|"&amp;V$5)=0,"",SUMIF('Competency Event Log'!$U$4:$U$803,$B180&amp;"|"&amp;V$5,'Competency Event Log'!$D$4:$D$803)))</f>
        <v/>
      </c>
      <c r="W180" s="8" t="str">
        <f>IF($B180="","",IF(COUNTIF('Competency Event Log'!$U$4:$U$803,$B180&amp;"|"&amp;W$5)=0,"",SUMIF('Competency Event Log'!$U$4:$U$803,$B180&amp;"|"&amp;W$5,'Competency Event Log'!$D$4:$D$803)))</f>
        <v/>
      </c>
      <c r="X180" s="8" t="str">
        <f>IF($B180="","",IF(COUNTIF('Competency Event Log'!$U$4:$U$803,$B180&amp;"|"&amp;X$5)=0,"",SUMIF('Competency Event Log'!$U$4:$U$803,$B180&amp;"|"&amp;X$5,'Competency Event Log'!$D$4:$D$803)))</f>
        <v/>
      </c>
      <c r="Y180" s="8" t="str">
        <f>IF($B180="","",IF(COUNTIF('Competency Event Log'!$U$4:$U$803,$B180&amp;"|"&amp;Y$5)=0,"",SUMIF('Competency Event Log'!$U$4:$U$803,$B180&amp;"|"&amp;Y$5,'Competency Event Log'!$D$4:$D$803)))</f>
        <v/>
      </c>
      <c r="Z180" s="8" t="str">
        <f>IF($B180="","",IF(COUNTIF('Competency Event Log'!$U$4:$U$803,$B180&amp;"|"&amp;Z$5)=0,"",SUMIF('Competency Event Log'!$U$4:$U$803,$B180&amp;"|"&amp;Z$5,'Competency Event Log'!$D$4:$D$803)))</f>
        <v/>
      </c>
      <c r="AA180" s="8" t="str">
        <f>IF($B180="","",IF(COUNTIF('Competency Event Log'!$U$4:$U$803,$B180&amp;"|"&amp;AA$5)=0,"",SUMIF('Competency Event Log'!$U$4:$U$803,$B180&amp;"|"&amp;AA$5,'Competency Event Log'!$D$4:$D$803)))</f>
        <v/>
      </c>
      <c r="AB180" s="8" t="str">
        <f>IF($B180="","",IF(COUNTIF('Competency Event Log'!$U$4:$U$803,$B180&amp;"|"&amp;AB$5)=0,"",SUMIF('Competency Event Log'!$U$4:$U$803,$B180&amp;"|"&amp;AB$5,'Competency Event Log'!$D$4:$D$803)))</f>
        <v/>
      </c>
      <c r="AC180" s="8" t="str">
        <f>IF($B180="","",IF(COUNTIF('Competency Event Log'!$U$4:$U$803,$B180&amp;"|"&amp;AC$5)=0,"",SUMIF('Competency Event Log'!$U$4:$U$803,$B180&amp;"|"&amp;AC$5,'Competency Event Log'!$D$4:$D$803)))</f>
        <v/>
      </c>
      <c r="AD180" s="8" t="str">
        <f>IF($B180="","",IF(COUNTIF('Competency Event Log'!$U$4:$U$803,$B180&amp;"|"&amp;AD$5)=0,"",SUMIF('Competency Event Log'!$U$4:$U$803,$B180&amp;"|"&amp;AD$5,'Competency Event Log'!$D$4:$D$803)))</f>
        <v/>
      </c>
      <c r="AE180" s="8" t="str">
        <f>IF($B180="","",IF(COUNTIF('Competency Event Log'!$U$4:$U$803,$B180&amp;"|"&amp;AE$5)=0,"",SUMIF('Competency Event Log'!$U$4:$U$803,$B180&amp;"|"&amp;AE$5,'Competency Event Log'!$D$4:$D$803)))</f>
        <v/>
      </c>
      <c r="AF180" s="8" t="str">
        <f>IF($B180="","",IF(COUNTIF('Competency Event Log'!$U$4:$U$803,$B180&amp;"|"&amp;AF$5)=0,"",SUMIF('Competency Event Log'!$U$4:$U$803,$B180&amp;"|"&amp;AF$5,'Competency Event Log'!$D$4:$D$803)))</f>
        <v/>
      </c>
      <c r="AG180" s="8" t="str">
        <f>IF($B180="","",IF(COUNTIF('Competency Event Log'!$U$4:$U$803,$B180&amp;"|"&amp;AG$5)=0,"",SUMIF('Competency Event Log'!$U$4:$U$803,$B180&amp;"|"&amp;AG$5,'Competency Event Log'!$D$4:$D$803)))</f>
        <v/>
      </c>
      <c r="AH180" s="8" t="str">
        <f>IF($B180="","",IF(COUNTIF('Competency Event Log'!$U$4:$U$803,$B180&amp;"|"&amp;AH$5)=0,"",SUMIF('Competency Event Log'!$U$4:$U$803,$B180&amp;"|"&amp;AH$5,'Competency Event Log'!$D$4:$D$803)))</f>
        <v/>
      </c>
      <c r="AI180" s="8" t="str">
        <f>IF($B180="","",IF(COUNTIF('Competency Event Log'!$U$4:$U$803,$B180&amp;"|"&amp;AI$5)=0,"",SUMIF('Competency Event Log'!$U$4:$U$803,$B180&amp;"|"&amp;AI$5,'Competency Event Log'!$D$4:$D$803)))</f>
        <v/>
      </c>
      <c r="AJ180" s="8" t="str">
        <f>IF($B180="","",IF(COUNTIF('Competency Event Log'!$U$4:$U$803,$B180&amp;"|"&amp;AJ$5)=0,"",SUMIF('Competency Event Log'!$U$4:$U$803,$B180&amp;"|"&amp;AJ$5,'Competency Event Log'!$D$4:$D$803)))</f>
        <v/>
      </c>
      <c r="AK180" s="8" t="str">
        <f>IF($B180="","",IF(COUNTIF('Competency Event Log'!$U$4:$U$803,$B180&amp;"|"&amp;AK$5)=0,"",SUMIF('Competency Event Log'!$U$4:$U$803,$B180&amp;"|"&amp;AK$5,'Competency Event Log'!$D$4:$D$803)))</f>
        <v/>
      </c>
      <c r="AL180" s="8" t="str">
        <f>IF($B180="","",IF(COUNTIF('Competency Event Log'!$U$4:$U$803,$B180&amp;"|"&amp;AL$5)=0,"",SUMIF('Competency Event Log'!$U$4:$U$803,$B180&amp;"|"&amp;AL$5,'Competency Event Log'!$D$4:$D$803)))</f>
        <v/>
      </c>
      <c r="AM180" s="8" t="str">
        <f>IF($B180="","",IF(COUNTIF('Competency Event Log'!$U$4:$U$803,$B180&amp;"|"&amp;AM$5)=0,"",SUMIF('Competency Event Log'!$U$4:$U$803,$B180&amp;"|"&amp;AM$5,'Competency Event Log'!$D$4:$D$803)))</f>
        <v/>
      </c>
      <c r="AN180" s="8" t="str">
        <f>IF($B180="","",IF(COUNTIF('Competency Event Log'!$U$4:$U$803,$B180&amp;"|"&amp;AN$5)=0,"",SUMIF('Competency Event Log'!$U$4:$U$803,$B180&amp;"|"&amp;AN$5,'Competency Event Log'!$D$4:$D$803)))</f>
        <v/>
      </c>
      <c r="AO180" s="8" t="str">
        <f>IF($B180="","",IF(COUNTIF('Competency Event Log'!$U$4:$U$803,$B180&amp;"|"&amp;AO$5)=0,"",SUMIF('Competency Event Log'!$U$4:$U$803,$B180&amp;"|"&amp;AO$5,'Competency Event Log'!$D$4:$D$803)))</f>
        <v/>
      </c>
      <c r="AP180" s="8" t="str">
        <f>IF($B180="","",IF(COUNTIF('Competency Event Log'!$U$4:$U$803,$B180&amp;"|"&amp;AP$5)=0,"",SUMIF('Competency Event Log'!$U$4:$U$803,$B180&amp;"|"&amp;AP$5,'Competency Event Log'!$D$4:$D$803)))</f>
        <v/>
      </c>
      <c r="AQ180" s="8" t="str">
        <f>IF($B180="","",IF(COUNTIF('Competency Event Log'!$U$4:$U$803,$B180&amp;"|"&amp;AQ$5)=0,"",SUMIF('Competency Event Log'!$U$4:$U$803,$B180&amp;"|"&amp;AQ$5,'Competency Event Log'!$D$4:$D$803)))</f>
        <v/>
      </c>
      <c r="AR180" s="8" t="str">
        <f>IF($B180="","",IF(COUNTIF('Competency Event Log'!$U$4:$U$803,$B180&amp;"|"&amp;AR$5)=0,"",SUMIF('Competency Event Log'!$U$4:$U$803,$B180&amp;"|"&amp;AR$5,'Competency Event Log'!$D$4:$D$803)))</f>
        <v/>
      </c>
      <c r="AS180" s="8" t="str">
        <f>IF($B180="","",IF(COUNTIF('Competency Event Log'!$U$4:$U$803,$B180&amp;"|"&amp;AS$5)=0,"",SUMIF('Competency Event Log'!$U$4:$U$803,$B180&amp;"|"&amp;AS$5,'Competency Event Log'!$D$4:$D$803)))</f>
        <v/>
      </c>
      <c r="AT180" s="8" t="str">
        <f>IF($B180="","",IF(COUNTIF('Competency Event Log'!$U$4:$U$803,$B180&amp;"|"&amp;AT$5)=0,"",SUMIF('Competency Event Log'!$U$4:$U$803,$B180&amp;"|"&amp;AT$5,'Competency Event Log'!$D$4:$D$803)))</f>
        <v/>
      </c>
      <c r="AU180" s="8" t="str">
        <f>IF($B180="","",IF(COUNTIF('Competency Event Log'!$U$4:$U$803,$B180&amp;"|"&amp;AU$5)=0,"",SUMIF('Competency Event Log'!$U$4:$U$803,$B180&amp;"|"&amp;AU$5,'Competency Event Log'!$D$4:$D$803)))</f>
        <v/>
      </c>
      <c r="AV180" s="8" t="str">
        <f>IF($B180="","",IF(COUNTIF('Competency Event Log'!$U$4:$U$803,$B180&amp;"|"&amp;AV$5)=0,"",SUMIF('Competency Event Log'!$U$4:$U$803,$B180&amp;"|"&amp;AV$5,'Competency Event Log'!$D$4:$D$803)))</f>
        <v/>
      </c>
      <c r="AW180" s="8" t="str">
        <f>IF($B180="","",IF(COUNTIF('Competency Event Log'!$U$4:$U$803,$B180&amp;"|"&amp;AW$5)=0,"",SUMIF('Competency Event Log'!$U$4:$U$803,$B180&amp;"|"&amp;AW$5,'Competency Event Log'!$D$4:$D$803)))</f>
        <v/>
      </c>
      <c r="AX180" s="8" t="str">
        <f>IF($B180="","",IF(COUNTIF('Competency Event Log'!$U$4:$U$803,$B180&amp;"|"&amp;AX$5)=0,"",SUMIF('Competency Event Log'!$U$4:$U$803,$B180&amp;"|"&amp;AX$5,'Competency Event Log'!$D$4:$D$803)))</f>
        <v/>
      </c>
      <c r="AY180" s="8" t="str">
        <f>IF($B180="","",IF(COUNTIF('Competency Event Log'!$U$4:$U$803,$B180&amp;"|"&amp;AY$5)=0,"",SUMIF('Competency Event Log'!$U$4:$U$803,$B180&amp;"|"&amp;AY$5,'Competency Event Log'!$D$4:$D$803)))</f>
        <v/>
      </c>
      <c r="AZ180" s="8" t="str">
        <f>IF($B180="","",IF(COUNTIF('Competency Event Log'!$U$4:$U$803,$B180&amp;"|"&amp;AZ$5)=0,"",SUMIF('Competency Event Log'!$U$4:$U$803,$B180&amp;"|"&amp;AZ$5,'Competency Event Log'!$D$4:$D$803)))</f>
        <v/>
      </c>
      <c r="BA180" s="8" t="str">
        <f>IF($B180="","",IF(COUNTIF('Competency Event Log'!$U$4:$U$803,$B180&amp;"|"&amp;BA$5)=0,"",SUMIF('Competency Event Log'!$U$4:$U$803,$B180&amp;"|"&amp;BA$5,'Competency Event Log'!$D$4:$D$803)))</f>
        <v/>
      </c>
      <c r="BB180" s="8" t="str">
        <f>IF($B180="","",IF(COUNTIF('Competency Event Log'!$U$4:$U$803,$B180&amp;"|"&amp;BB$5)=0,"",SUMIF('Competency Event Log'!$U$4:$U$803,$B180&amp;"|"&amp;BB$5,'Competency Event Log'!$D$4:$D$803)))</f>
        <v/>
      </c>
      <c r="BC180" s="8" t="str">
        <f>IF($B180="","",IF(COUNTIF('Competency Event Log'!$U$4:$U$803,$B180&amp;"|"&amp;BC$5)=0,"",SUMIF('Competency Event Log'!$U$4:$U$803,$B180&amp;"|"&amp;BC$5,'Competency Event Log'!$D$4:$D$803)))</f>
        <v/>
      </c>
      <c r="BD180" s="8" t="str">
        <f>IF($B180="","",IF(COUNTIF('Competency Event Log'!$U$4:$U$803,$B180&amp;"|"&amp;BD$5)=0,"",SUMIF('Competency Event Log'!$U$4:$U$803,$B180&amp;"|"&amp;BD$5,'Competency Event Log'!$D$4:$D$803)))</f>
        <v/>
      </c>
      <c r="BE180" s="8" t="str">
        <f>IF($B180="","",IF(COUNTIF('Competency Event Log'!$U$4:$U$803,$B180&amp;"|"&amp;BE$5)=0,"",SUMIF('Competency Event Log'!$U$4:$U$803,$B180&amp;"|"&amp;BE$5,'Competency Event Log'!$D$4:$D$803)))</f>
        <v/>
      </c>
      <c r="BF180" s="8" t="str">
        <f>IF($B180="","",IF(COUNTIF('Competency Event Log'!$U$4:$U$803,$B180&amp;"|"&amp;BF$5)=0,"",SUMIF('Competency Event Log'!$U$4:$U$803,$B180&amp;"|"&amp;BF$5,'Competency Event Log'!$D$4:$D$803)))</f>
        <v/>
      </c>
      <c r="BG180" s="8" t="str">
        <f>IF($B180="","",IF(COUNTIF('Competency Event Log'!$U$4:$U$803,$B180&amp;"|"&amp;BG$5)=0,"",SUMIF('Competency Event Log'!$U$4:$U$803,$B180&amp;"|"&amp;BG$5,'Competency Event Log'!$D$4:$D$803)))</f>
        <v/>
      </c>
      <c r="BH180" s="8" t="str">
        <f>IF($B180="","",IF(COUNTIF('Competency Event Log'!$U$4:$U$803,$B180&amp;"|"&amp;BH$5)=0,"",SUMIF('Competency Event Log'!$U$4:$U$803,$B180&amp;"|"&amp;BH$5,'Competency Event Log'!$D$4:$D$803)))</f>
        <v/>
      </c>
      <c r="BI180" s="8" t="str">
        <f>IF($B180="","",IF(COUNTIF('Competency Event Log'!$U$4:$U$803,$B180&amp;"|"&amp;BI$5)=0,"",SUMIF('Competency Event Log'!$U$4:$U$803,$B180&amp;"|"&amp;BI$5,'Competency Event Log'!$D$4:$D$803)))</f>
        <v/>
      </c>
      <c r="BJ180" s="8" t="str">
        <f>IF($B180="","",IF(COUNTIF('Competency Event Log'!$U$4:$U$803,$B180&amp;"|"&amp;BJ$5)=0,"",SUMIF('Competency Event Log'!$U$4:$U$803,$B180&amp;"|"&amp;BJ$5,'Competency Event Log'!$D$4:$D$803)))</f>
        <v/>
      </c>
      <c r="BK180" s="8" t="str">
        <f>IF($B180="","",IF(COUNTIF('Competency Event Log'!$U$4:$U$803,$B180&amp;"|"&amp;BK$5)=0,"",SUMIF('Competency Event Log'!$U$4:$U$803,$B180&amp;"|"&amp;BK$5,'Competency Event Log'!$D$4:$D$803)))</f>
        <v/>
      </c>
      <c r="BL180" s="8" t="str">
        <f>IF($B180="","",IF(COUNTIF('Competency Event Log'!$U$4:$U$803,$B180&amp;"|"&amp;BL$5)=0,"",SUMIF('Competency Event Log'!$U$4:$U$803,$B180&amp;"|"&amp;BL$5,'Competency Event Log'!$D$4:$D$803)))</f>
        <v/>
      </c>
      <c r="BM180" s="8" t="str">
        <f>IF($B180="","",IF(COUNTIF('Competency Event Log'!$U$4:$U$803,$B180&amp;"|"&amp;BM$5)=0,"",SUMIF('Competency Event Log'!$U$4:$U$803,$B180&amp;"|"&amp;BM$5,'Competency Event Log'!$D$4:$D$803)))</f>
        <v/>
      </c>
      <c r="BN180" s="8" t="str">
        <f>IF($B180="","",IF(COUNTIF('Competency Event Log'!$U$4:$U$803,$B180&amp;"|"&amp;BN$5)=0,"",SUMIF('Competency Event Log'!$U$4:$U$803,$B180&amp;"|"&amp;BN$5,'Competency Event Log'!$D$4:$D$803)))</f>
        <v/>
      </c>
      <c r="BO180" s="8" t="str">
        <f>IF($B180="","",IF(COUNTIF('Competency Event Log'!$U$4:$U$803,$B180&amp;"|"&amp;BO$5)=0,"",SUMIF('Competency Event Log'!$U$4:$U$803,$B180&amp;"|"&amp;BO$5,'Competency Event Log'!$D$4:$D$803)))</f>
        <v/>
      </c>
      <c r="BP180" s="8" t="str">
        <f>IF($B180="","",IF(COUNTIF('Competency Event Log'!$U$4:$U$803,$B180&amp;"|"&amp;BP$5)=0,"",SUMIF('Competency Event Log'!$U$4:$U$803,$B180&amp;"|"&amp;BP$5,'Competency Event Log'!$D$4:$D$803)))</f>
        <v/>
      </c>
      <c r="BQ180" s="8" t="str">
        <f>IF($B180="","",IF(COUNTIF('Competency Event Log'!$U$4:$U$803,$B180&amp;"|"&amp;BQ$5)=0,"",SUMIF('Competency Event Log'!$U$4:$U$803,$B180&amp;"|"&amp;BQ$5,'Competency Event Log'!$D$4:$D$803)))</f>
        <v/>
      </c>
      <c r="BR180" s="8" t="str">
        <f>IF($B180="","",IF(COUNTIF('Competency Event Log'!$U$4:$U$803,$B180&amp;"|"&amp;BR$5)=0,"",SUMIF('Competency Event Log'!$U$4:$U$803,$B180&amp;"|"&amp;BR$5,'Competency Event Log'!$D$4:$D$803)))</f>
        <v/>
      </c>
      <c r="BS180" s="8" t="str">
        <f>IF($B180="","",IF(COUNTIF('Competency Event Log'!$U$4:$U$803,$B180&amp;"|"&amp;BS$5)=0,"",SUMIF('Competency Event Log'!$U$4:$U$803,$B180&amp;"|"&amp;BS$5,'Competency Event Log'!$D$4:$D$803)))</f>
        <v/>
      </c>
      <c r="BT180" s="8" t="str">
        <f>IF($B180="","",IF(COUNTIF('Competency Event Log'!$U$4:$U$803,$B180&amp;"|"&amp;BT$5)=0,"",SUMIF('Competency Event Log'!$U$4:$U$803,$B180&amp;"|"&amp;BT$5,'Competency Event Log'!$D$4:$D$803)))</f>
        <v/>
      </c>
      <c r="BU180" s="8" t="str">
        <f>IF($B180="","",IF(COUNTIF('Competency Event Log'!$U$4:$U$803,$B180&amp;"|"&amp;BU$5)=0,"",SUMIF('Competency Event Log'!$U$4:$U$803,$B180&amp;"|"&amp;BU$5,'Competency Event Log'!$D$4:$D$803)))</f>
        <v/>
      </c>
      <c r="BV180" s="8" t="str">
        <f>IF($B180="","",IF(COUNTIF('Competency Event Log'!$U$4:$U$803,$B180&amp;"|"&amp;BV$5)=0,"",SUMIF('Competency Event Log'!$U$4:$U$803,$B180&amp;"|"&amp;BV$5,'Competency Event Log'!$D$4:$D$803)))</f>
        <v/>
      </c>
      <c r="BW180" s="8" t="str">
        <f>IF($B180="","",IF(COUNTIF('Competency Event Log'!$U$4:$U$803,$B180&amp;"|"&amp;BW$5)=0,"",SUMIF('Competency Event Log'!$U$4:$U$803,$B180&amp;"|"&amp;BW$5,'Competency Event Log'!$D$4:$D$803)))</f>
        <v/>
      </c>
      <c r="BX180" s="8" t="str">
        <f>IF($B180="","",IF(COUNTIF('Competency Event Log'!$U$4:$U$803,$B180&amp;"|"&amp;BX$5)=0,"",SUMIF('Competency Event Log'!$U$4:$U$803,$B180&amp;"|"&amp;BX$5,'Competency Event Log'!$D$4:$D$803)))</f>
        <v/>
      </c>
      <c r="BY180" s="8" t="str">
        <f>IF($B180="","",IF(COUNTIF('Competency Event Log'!$U$4:$U$803,$B180&amp;"|"&amp;BY$5)=0,"",SUMIF('Competency Event Log'!$U$4:$U$803,$B180&amp;"|"&amp;BY$5,'Competency Event Log'!$D$4:$D$803)))</f>
        <v/>
      </c>
      <c r="BZ180" s="8" t="str">
        <f>IF($B180="","",IF(COUNTIF('Competency Event Log'!$U$4:$U$803,$B180&amp;"|"&amp;BZ$5)=0,"",SUMIF('Competency Event Log'!$U$4:$U$803,$B180&amp;"|"&amp;BZ$5,'Competency Event Log'!$D$4:$D$803)))</f>
        <v/>
      </c>
      <c r="CA180" s="8" t="str">
        <f>IF($B180="","",IF(COUNTIF('Competency Event Log'!$U$4:$U$803,$B180&amp;"|"&amp;CA$5)=0,"",SUMIF('Competency Event Log'!$U$4:$U$803,$B180&amp;"|"&amp;CA$5,'Competency Event Log'!$D$4:$D$803)))</f>
        <v/>
      </c>
      <c r="CB180" s="8" t="str">
        <f>IF($B180="","",IF(COUNTIF('Competency Event Log'!$U$4:$U$803,$B180&amp;"|"&amp;CB$5)=0,"",SUMIF('Competency Event Log'!$U$4:$U$803,$B180&amp;"|"&amp;CB$5,'Competency Event Log'!$D$4:$D$803)))</f>
        <v/>
      </c>
      <c r="CC180" s="8" t="str">
        <f>IF($B180="","",IF(COUNTIF('Competency Event Log'!$U$4:$U$803,$B180&amp;"|"&amp;CC$5)=0,"",SUMIF('Competency Event Log'!$U$4:$U$803,$B180&amp;"|"&amp;CC$5,'Competency Event Log'!$D$4:$D$803)))</f>
        <v/>
      </c>
      <c r="CD180" s="8" t="str">
        <f>IF($B180="","",IF(COUNTIF('Competency Event Log'!$U$4:$U$803,$B180&amp;"|"&amp;CD$5)=0,"",SUMIF('Competency Event Log'!$U$4:$U$803,$B180&amp;"|"&amp;CD$5,'Competency Event Log'!$D$4:$D$803)))</f>
        <v/>
      </c>
      <c r="CE180" s="8" t="str">
        <f>IF($B180="","",IF(COUNTIF('Competency Event Log'!$U$4:$U$803,$B180&amp;"|"&amp;CE$5)=0,"",SUMIF('Competency Event Log'!$U$4:$U$803,$B180&amp;"|"&amp;CE$5,'Competency Event Log'!$D$4:$D$803)))</f>
        <v/>
      </c>
      <c r="CF180" s="8" t="str">
        <f>IF($B180="","",IF(COUNTIF('Competency Event Log'!$U$4:$U$803,$B180&amp;"|"&amp;CF$5)=0,"",SUMIF('Competency Event Log'!$U$4:$U$803,$B180&amp;"|"&amp;CF$5,'Competency Event Log'!$D$4:$D$803)))</f>
        <v/>
      </c>
      <c r="CG180" s="8" t="str">
        <f>IF($B180="","",IF(COUNTIF('Competency Event Log'!$U$4:$U$803,$B180&amp;"|"&amp;CG$5)=0,"",SUMIF('Competency Event Log'!$U$4:$U$803,$B180&amp;"|"&amp;CG$5,'Competency Event Log'!$D$4:$D$803)))</f>
        <v/>
      </c>
      <c r="CH180" s="8" t="str">
        <f>IF($B180="","",IF(COUNTIF('Competency Event Log'!$U$4:$U$803,$B180&amp;"|"&amp;CH$5)=0,"",SUMIF('Competency Event Log'!$U$4:$U$803,$B180&amp;"|"&amp;CH$5,'Competency Event Log'!$D$4:$D$803)))</f>
        <v/>
      </c>
      <c r="CI180" s="8" t="str">
        <f>IF($B180="","",IF(COUNTIF('Competency Event Log'!$U$4:$U$803,$B180&amp;"|"&amp;CI$5)=0,"",SUMIF('Competency Event Log'!$U$4:$U$803,$B180&amp;"|"&amp;CI$5,'Competency Event Log'!$D$4:$D$803)))</f>
        <v/>
      </c>
      <c r="CJ180" s="8" t="str">
        <f>IF($B180="","",IF(COUNTIF('Competency Event Log'!$U$4:$U$803,$B180&amp;"|"&amp;CJ$5)=0,"",SUMIF('Competency Event Log'!$U$4:$U$803,$B180&amp;"|"&amp;CJ$5,'Competency Event Log'!$D$4:$D$803)))</f>
        <v/>
      </c>
      <c r="CK180" s="8" t="str">
        <f>IF($B180="","",IF(COUNTIF('Competency Event Log'!$U$4:$U$803,$B180&amp;"|"&amp;CK$5)=0,"",SUMIF('Competency Event Log'!$U$4:$U$803,$B180&amp;"|"&amp;CK$5,'Competency Event Log'!$D$4:$D$803)))</f>
        <v/>
      </c>
      <c r="CL180" s="8" t="str">
        <f>IF($B180="","",IF(COUNTIF('Competency Event Log'!$U$4:$U$803,$B180&amp;"|"&amp;CL$5)=0,"",SUMIF('Competency Event Log'!$U$4:$U$803,$B180&amp;"|"&amp;CL$5,'Competency Event Log'!$D$4:$D$803)))</f>
        <v/>
      </c>
      <c r="CM180" s="8" t="str">
        <f>IF($B180="","",IF(COUNTIF('Competency Event Log'!$U$4:$U$803,$B180&amp;"|"&amp;CM$5)=0,"",SUMIF('Competency Event Log'!$U$4:$U$803,$B180&amp;"|"&amp;CM$5,'Competency Event Log'!$D$4:$D$803)))</f>
        <v/>
      </c>
      <c r="CN180" s="8" t="str">
        <f>IF($B180="","",IF(COUNTIF('Competency Event Log'!$U$4:$U$803,$B180&amp;"|"&amp;CN$5)=0,"",SUMIF('Competency Event Log'!$U$4:$U$803,$B180&amp;"|"&amp;CN$5,'Competency Event Log'!$D$4:$D$803)))</f>
        <v/>
      </c>
      <c r="CO180" s="8" t="str">
        <f>IF($B180="","",IF(COUNTIF('Competency Event Log'!$U$4:$U$803,$B180&amp;"|"&amp;CO$5)=0,"",SUMIF('Competency Event Log'!$U$4:$U$803,$B180&amp;"|"&amp;CO$5,'Competency Event Log'!$D$4:$D$803)))</f>
        <v/>
      </c>
      <c r="CP180" s="8" t="str">
        <f>IF($B180="","",IF(COUNTIF('Competency Event Log'!$U$4:$U$803,$B180&amp;"|"&amp;CP$5)=0,"",SUMIF('Competency Event Log'!$U$4:$U$803,$B180&amp;"|"&amp;CP$5,'Competency Event Log'!$D$4:$D$803)))</f>
        <v/>
      </c>
      <c r="CQ180" s="8" t="str">
        <f>IF($B180="","",IF(COUNTIF('Competency Event Log'!$U$4:$U$803,$B180&amp;"|"&amp;CQ$5)=0,"",SUMIF('Competency Event Log'!$U$4:$U$803,$B180&amp;"|"&amp;CQ$5,'Competency Event Log'!$D$4:$D$803)))</f>
        <v/>
      </c>
      <c r="CR180" s="8" t="str">
        <f>IF($B180="","",IF(COUNTIF('Competency Event Log'!$U$4:$U$803,$B180&amp;"|"&amp;CR$5)=0,"",SUMIF('Competency Event Log'!$U$4:$U$803,$B180&amp;"|"&amp;CR$5,'Competency Event Log'!$D$4:$D$803)))</f>
        <v/>
      </c>
      <c r="CS180" s="8" t="str">
        <f>IF($B180="","",IF(COUNTIF('Competency Event Log'!$U$4:$U$803,$B180&amp;"|"&amp;CS$5)=0,"",SUMIF('Competency Event Log'!$U$4:$U$803,$B180&amp;"|"&amp;CS$5,'Competency Event Log'!$D$4:$D$803)))</f>
        <v/>
      </c>
      <c r="CT180" s="8" t="str">
        <f>IF($B180="","",IF(COUNTIF('Competency Event Log'!$U$4:$U$803,$B180&amp;"|"&amp;CT$5)=0,"",SUMIF('Competency Event Log'!$U$4:$U$803,$B180&amp;"|"&amp;CT$5,'Competency Event Log'!$D$4:$D$803)))</f>
        <v/>
      </c>
      <c r="CU180" s="8" t="str">
        <f>IF($B180="","",IF(COUNTIF('Competency Event Log'!$U$4:$U$803,$B180&amp;"|"&amp;CU$5)=0,"",SUMIF('Competency Event Log'!$U$4:$U$803,$B180&amp;"|"&amp;CU$5,'Competency Event Log'!$D$4:$D$803)))</f>
        <v/>
      </c>
      <c r="CV180" s="8" t="str">
        <f>IF($B180="","",IF(COUNTIF('Competency Event Log'!$U$4:$U$803,$B180&amp;"|"&amp;CV$5)=0,"",SUMIF('Competency Event Log'!$U$4:$U$803,$B180&amp;"|"&amp;CV$5,'Competency Event Log'!$D$4:$D$803)))</f>
        <v/>
      </c>
      <c r="CW180" s="8" t="str">
        <f>IF($B180="","",IF(COUNTIF('Competency Event Log'!$U$4:$U$803,$B180&amp;"|"&amp;CW$5)=0,"",SUMIF('Competency Event Log'!$U$4:$U$803,$B180&amp;"|"&amp;CW$5,'Competency Event Log'!$D$4:$D$803)))</f>
        <v/>
      </c>
      <c r="CX180" s="8" t="str">
        <f>IF($B180="","",IF(COUNTIF('Competency Event Log'!$U$4:$U$803,$B180&amp;"|"&amp;CX$5)=0,"",SUMIF('Competency Event Log'!$U$4:$U$803,$B180&amp;"|"&amp;CX$5,'Competency Event Log'!$D$4:$D$803)))</f>
        <v/>
      </c>
      <c r="CY180" s="8" t="str">
        <f>IF($B180="","",IF(COUNTIF('Competency Event Log'!$U$4:$U$803,$B180&amp;"|"&amp;CY$5)=0,"",SUMIF('Competency Event Log'!$U$4:$U$803,$B180&amp;"|"&amp;CY$5,'Competency Event Log'!$D$4:$D$803)))</f>
        <v/>
      </c>
      <c r="CZ180" s="8" t="str">
        <f>IF($B180="","",IF(COUNTIF('Competency Event Log'!$U$4:$U$803,$B180&amp;"|"&amp;CZ$5)=0,"",SUMIF('Competency Event Log'!$U$4:$U$803,$B180&amp;"|"&amp;CZ$5,'Competency Event Log'!$D$4:$D$803)))</f>
        <v/>
      </c>
      <c r="DA180" s="8" t="str">
        <f>IF($B180="","",IF(COUNTIF('Competency Event Log'!$U$4:$U$803,$B180&amp;"|"&amp;DA$5)=0,"",SUMIF('Competency Event Log'!$U$4:$U$803,$B180&amp;"|"&amp;DA$5,'Competency Event Log'!$D$4:$D$803)))</f>
        <v/>
      </c>
      <c r="DB180" s="8" t="str">
        <f>IF($B180="","",IF(COUNTIF('Competency Event Log'!$U$4:$U$803,$B180&amp;"|"&amp;DB$5)=0,"",SUMIF('Competency Event Log'!$U$4:$U$803,$B180&amp;"|"&amp;DB$5,'Competency Event Log'!$D$4:$D$803)))</f>
        <v/>
      </c>
      <c r="DC180" s="8" t="str">
        <f>IF($B180="","",IF(COUNTIF('Competency Event Log'!$U$4:$U$803,$B180&amp;"|"&amp;DC$5)=0,"",SUMIF('Competency Event Log'!$U$4:$U$803,$B180&amp;"|"&amp;DC$5,'Competency Event Log'!$D$4:$D$803)))</f>
        <v/>
      </c>
      <c r="DD180" s="8" t="str">
        <f>IF($B180="","",IF(COUNTIF('Competency Event Log'!$U$4:$U$803,$B180&amp;"|"&amp;DD$5)=0,"",SUMIF('Competency Event Log'!$U$4:$U$803,$B180&amp;"|"&amp;DD$5,'Competency Event Log'!$D$4:$D$803)))</f>
        <v/>
      </c>
      <c r="DE180" s="8" t="str">
        <f>IF($B180="","",IF(COUNTIF('Competency Event Log'!$U$4:$U$803,$B180&amp;"|"&amp;DE$5)=0,"",SUMIF('Competency Event Log'!$U$4:$U$803,$B180&amp;"|"&amp;DE$5,'Competency Event Log'!$D$4:$D$803)))</f>
        <v/>
      </c>
      <c r="DF180" s="8" t="str">
        <f t="shared" si="20"/>
        <v/>
      </c>
      <c r="DG180" s="8" t="str">
        <f t="shared" si="21"/>
        <v/>
      </c>
      <c r="DH180" s="8" t="str">
        <f t="shared" si="22"/>
        <v/>
      </c>
      <c r="DI180" s="11" t="str">
        <f t="shared" si="23"/>
        <v/>
      </c>
    </row>
    <row r="181" spans="1:113">
      <c r="A181" s="7"/>
      <c r="B181" s="7"/>
      <c r="C181" s="8"/>
      <c r="D181" s="9"/>
      <c r="E181" s="10"/>
      <c r="F181" s="8"/>
      <c r="G181" s="8" t="str">
        <f>IF($B181="","",IF(COUNTIF('Competency Event Log'!$U$4:$U$803,$B181&amp;"|"&amp;G$5)=0,"",SUMIF('Competency Event Log'!$U$4:$U$803,$B181&amp;"|"&amp;G$5,'Competency Event Log'!$D$4:$D$803)))</f>
        <v/>
      </c>
      <c r="H181" s="8" t="str">
        <f>IF($B181="","",IF(COUNTIF('Competency Event Log'!$U$4:$U$803,$B181&amp;"|"&amp;H$5)=0,"",SUMIF('Competency Event Log'!$U$4:$U$803,$B181&amp;"|"&amp;H$5,'Competency Event Log'!$D$4:$D$803)))</f>
        <v/>
      </c>
      <c r="I181" s="8" t="str">
        <f>IF($B181="","",IF(COUNTIF('Competency Event Log'!$U$4:$U$803,$B181&amp;"|"&amp;I$5)=0,"",SUMIF('Competency Event Log'!$U$4:$U$803,$B181&amp;"|"&amp;I$5,'Competency Event Log'!$D$4:$D$803)))</f>
        <v/>
      </c>
      <c r="J181" s="8" t="str">
        <f>IF($B181="","",IF(COUNTIF('Competency Event Log'!$U$4:$U$803,$B181&amp;"|"&amp;J$5)=0,"",SUMIF('Competency Event Log'!$U$4:$U$803,$B181&amp;"|"&amp;J$5,'Competency Event Log'!$D$4:$D$803)))</f>
        <v/>
      </c>
      <c r="K181" s="8" t="str">
        <f>IF($B181="","",IF(COUNTIF('Competency Event Log'!$U$4:$U$803,$B181&amp;"|"&amp;K$5)=0,"",SUMIF('Competency Event Log'!$U$4:$U$803,$B181&amp;"|"&amp;K$5,'Competency Event Log'!$D$4:$D$803)))</f>
        <v/>
      </c>
      <c r="L181" s="8" t="str">
        <f>IF($B181="","",IF(COUNTIF('Competency Event Log'!$U$4:$U$803,$B181&amp;"|"&amp;L$5)=0,"",SUMIF('Competency Event Log'!$U$4:$U$803,$B181&amp;"|"&amp;L$5,'Competency Event Log'!$D$4:$D$803)))</f>
        <v/>
      </c>
      <c r="M181" s="8" t="str">
        <f>IF($B181="","",IF(COUNTIF('Competency Event Log'!$U$4:$U$803,$B181&amp;"|"&amp;M$5)=0,"",SUMIF('Competency Event Log'!$U$4:$U$803,$B181&amp;"|"&amp;M$5,'Competency Event Log'!$D$4:$D$803)))</f>
        <v/>
      </c>
      <c r="N181" s="8" t="str">
        <f>IF($B181="","",IF(COUNTIF('Competency Event Log'!$U$4:$U$803,$B181&amp;"|"&amp;N$5)=0,"",SUMIF('Competency Event Log'!$U$4:$U$803,$B181&amp;"|"&amp;N$5,'Competency Event Log'!$D$4:$D$803)))</f>
        <v/>
      </c>
      <c r="O181" s="8" t="str">
        <f>IF($B181="","",IF(COUNTIF('Competency Event Log'!$U$4:$U$803,$B181&amp;"|"&amp;O$5)=0,"",SUMIF('Competency Event Log'!$U$4:$U$803,$B181&amp;"|"&amp;O$5,'Competency Event Log'!$D$4:$D$803)))</f>
        <v/>
      </c>
      <c r="P181" s="8" t="str">
        <f>IF($B181="","",IF(COUNTIF('Competency Event Log'!$U$4:$U$803,$B181&amp;"|"&amp;P$5)=0,"",SUMIF('Competency Event Log'!$U$4:$U$803,$B181&amp;"|"&amp;P$5,'Competency Event Log'!$D$4:$D$803)))</f>
        <v/>
      </c>
      <c r="Q181" s="8" t="str">
        <f>IF($B181="","",IF(COUNTIF('Competency Event Log'!$U$4:$U$803,$B181&amp;"|"&amp;Q$5)=0,"",SUMIF('Competency Event Log'!$U$4:$U$803,$B181&amp;"|"&amp;Q$5,'Competency Event Log'!$D$4:$D$803)))</f>
        <v/>
      </c>
      <c r="R181" s="8" t="str">
        <f>IF($B181="","",IF(COUNTIF('Competency Event Log'!$U$4:$U$803,$B181&amp;"|"&amp;R$5)=0,"",SUMIF('Competency Event Log'!$U$4:$U$803,$B181&amp;"|"&amp;R$5,'Competency Event Log'!$D$4:$D$803)))</f>
        <v/>
      </c>
      <c r="S181" s="8" t="str">
        <f>IF($B181="","",IF(COUNTIF('Competency Event Log'!$U$4:$U$803,$B181&amp;"|"&amp;S$5)=0,"",SUMIF('Competency Event Log'!$U$4:$U$803,$B181&amp;"|"&amp;S$5,'Competency Event Log'!$D$4:$D$803)))</f>
        <v/>
      </c>
      <c r="T181" s="8" t="str">
        <f>IF($B181="","",IF(COUNTIF('Competency Event Log'!$U$4:$U$803,$B181&amp;"|"&amp;T$5)=0,"",SUMIF('Competency Event Log'!$U$4:$U$803,$B181&amp;"|"&amp;T$5,'Competency Event Log'!$D$4:$D$803)))</f>
        <v/>
      </c>
      <c r="U181" s="8" t="str">
        <f>IF($B181="","",IF(COUNTIF('Competency Event Log'!$U$4:$U$803,$B181&amp;"|"&amp;U$5)=0,"",SUMIF('Competency Event Log'!$U$4:$U$803,$B181&amp;"|"&amp;U$5,'Competency Event Log'!$D$4:$D$803)))</f>
        <v/>
      </c>
      <c r="V181" s="8" t="str">
        <f>IF($B181="","",IF(COUNTIF('Competency Event Log'!$U$4:$U$803,$B181&amp;"|"&amp;V$5)=0,"",SUMIF('Competency Event Log'!$U$4:$U$803,$B181&amp;"|"&amp;V$5,'Competency Event Log'!$D$4:$D$803)))</f>
        <v/>
      </c>
      <c r="W181" s="8" t="str">
        <f>IF($B181="","",IF(COUNTIF('Competency Event Log'!$U$4:$U$803,$B181&amp;"|"&amp;W$5)=0,"",SUMIF('Competency Event Log'!$U$4:$U$803,$B181&amp;"|"&amp;W$5,'Competency Event Log'!$D$4:$D$803)))</f>
        <v/>
      </c>
      <c r="X181" s="8" t="str">
        <f>IF($B181="","",IF(COUNTIF('Competency Event Log'!$U$4:$U$803,$B181&amp;"|"&amp;X$5)=0,"",SUMIF('Competency Event Log'!$U$4:$U$803,$B181&amp;"|"&amp;X$5,'Competency Event Log'!$D$4:$D$803)))</f>
        <v/>
      </c>
      <c r="Y181" s="8" t="str">
        <f>IF($B181="","",IF(COUNTIF('Competency Event Log'!$U$4:$U$803,$B181&amp;"|"&amp;Y$5)=0,"",SUMIF('Competency Event Log'!$U$4:$U$803,$B181&amp;"|"&amp;Y$5,'Competency Event Log'!$D$4:$D$803)))</f>
        <v/>
      </c>
      <c r="Z181" s="8" t="str">
        <f>IF($B181="","",IF(COUNTIF('Competency Event Log'!$U$4:$U$803,$B181&amp;"|"&amp;Z$5)=0,"",SUMIF('Competency Event Log'!$U$4:$U$803,$B181&amp;"|"&amp;Z$5,'Competency Event Log'!$D$4:$D$803)))</f>
        <v/>
      </c>
      <c r="AA181" s="8" t="str">
        <f>IF($B181="","",IF(COUNTIF('Competency Event Log'!$U$4:$U$803,$B181&amp;"|"&amp;AA$5)=0,"",SUMIF('Competency Event Log'!$U$4:$U$803,$B181&amp;"|"&amp;AA$5,'Competency Event Log'!$D$4:$D$803)))</f>
        <v/>
      </c>
      <c r="AB181" s="8" t="str">
        <f>IF($B181="","",IF(COUNTIF('Competency Event Log'!$U$4:$U$803,$B181&amp;"|"&amp;AB$5)=0,"",SUMIF('Competency Event Log'!$U$4:$U$803,$B181&amp;"|"&amp;AB$5,'Competency Event Log'!$D$4:$D$803)))</f>
        <v/>
      </c>
      <c r="AC181" s="8" t="str">
        <f>IF($B181="","",IF(COUNTIF('Competency Event Log'!$U$4:$U$803,$B181&amp;"|"&amp;AC$5)=0,"",SUMIF('Competency Event Log'!$U$4:$U$803,$B181&amp;"|"&amp;AC$5,'Competency Event Log'!$D$4:$D$803)))</f>
        <v/>
      </c>
      <c r="AD181" s="8" t="str">
        <f>IF($B181="","",IF(COUNTIF('Competency Event Log'!$U$4:$U$803,$B181&amp;"|"&amp;AD$5)=0,"",SUMIF('Competency Event Log'!$U$4:$U$803,$B181&amp;"|"&amp;AD$5,'Competency Event Log'!$D$4:$D$803)))</f>
        <v/>
      </c>
      <c r="AE181" s="8" t="str">
        <f>IF($B181="","",IF(COUNTIF('Competency Event Log'!$U$4:$U$803,$B181&amp;"|"&amp;AE$5)=0,"",SUMIF('Competency Event Log'!$U$4:$U$803,$B181&amp;"|"&amp;AE$5,'Competency Event Log'!$D$4:$D$803)))</f>
        <v/>
      </c>
      <c r="AF181" s="8" t="str">
        <f>IF($B181="","",IF(COUNTIF('Competency Event Log'!$U$4:$U$803,$B181&amp;"|"&amp;AF$5)=0,"",SUMIF('Competency Event Log'!$U$4:$U$803,$B181&amp;"|"&amp;AF$5,'Competency Event Log'!$D$4:$D$803)))</f>
        <v/>
      </c>
      <c r="AG181" s="8" t="str">
        <f>IF($B181="","",IF(COUNTIF('Competency Event Log'!$U$4:$U$803,$B181&amp;"|"&amp;AG$5)=0,"",SUMIF('Competency Event Log'!$U$4:$U$803,$B181&amp;"|"&amp;AG$5,'Competency Event Log'!$D$4:$D$803)))</f>
        <v/>
      </c>
      <c r="AH181" s="8" t="str">
        <f>IF($B181="","",IF(COUNTIF('Competency Event Log'!$U$4:$U$803,$B181&amp;"|"&amp;AH$5)=0,"",SUMIF('Competency Event Log'!$U$4:$U$803,$B181&amp;"|"&amp;AH$5,'Competency Event Log'!$D$4:$D$803)))</f>
        <v/>
      </c>
      <c r="AI181" s="8" t="str">
        <f>IF($B181="","",IF(COUNTIF('Competency Event Log'!$U$4:$U$803,$B181&amp;"|"&amp;AI$5)=0,"",SUMIF('Competency Event Log'!$U$4:$U$803,$B181&amp;"|"&amp;AI$5,'Competency Event Log'!$D$4:$D$803)))</f>
        <v/>
      </c>
      <c r="AJ181" s="8" t="str">
        <f>IF($B181="","",IF(COUNTIF('Competency Event Log'!$U$4:$U$803,$B181&amp;"|"&amp;AJ$5)=0,"",SUMIF('Competency Event Log'!$U$4:$U$803,$B181&amp;"|"&amp;AJ$5,'Competency Event Log'!$D$4:$D$803)))</f>
        <v/>
      </c>
      <c r="AK181" s="8" t="str">
        <f>IF($B181="","",IF(COUNTIF('Competency Event Log'!$U$4:$U$803,$B181&amp;"|"&amp;AK$5)=0,"",SUMIF('Competency Event Log'!$U$4:$U$803,$B181&amp;"|"&amp;AK$5,'Competency Event Log'!$D$4:$D$803)))</f>
        <v/>
      </c>
      <c r="AL181" s="8" t="str">
        <f>IF($B181="","",IF(COUNTIF('Competency Event Log'!$U$4:$U$803,$B181&amp;"|"&amp;AL$5)=0,"",SUMIF('Competency Event Log'!$U$4:$U$803,$B181&amp;"|"&amp;AL$5,'Competency Event Log'!$D$4:$D$803)))</f>
        <v/>
      </c>
      <c r="AM181" s="8" t="str">
        <f>IF($B181="","",IF(COUNTIF('Competency Event Log'!$U$4:$U$803,$B181&amp;"|"&amp;AM$5)=0,"",SUMIF('Competency Event Log'!$U$4:$U$803,$B181&amp;"|"&amp;AM$5,'Competency Event Log'!$D$4:$D$803)))</f>
        <v/>
      </c>
      <c r="AN181" s="8" t="str">
        <f>IF($B181="","",IF(COUNTIF('Competency Event Log'!$U$4:$U$803,$B181&amp;"|"&amp;AN$5)=0,"",SUMIF('Competency Event Log'!$U$4:$U$803,$B181&amp;"|"&amp;AN$5,'Competency Event Log'!$D$4:$D$803)))</f>
        <v/>
      </c>
      <c r="AO181" s="8" t="str">
        <f>IF($B181="","",IF(COUNTIF('Competency Event Log'!$U$4:$U$803,$B181&amp;"|"&amp;AO$5)=0,"",SUMIF('Competency Event Log'!$U$4:$U$803,$B181&amp;"|"&amp;AO$5,'Competency Event Log'!$D$4:$D$803)))</f>
        <v/>
      </c>
      <c r="AP181" s="8" t="str">
        <f>IF($B181="","",IF(COUNTIF('Competency Event Log'!$U$4:$U$803,$B181&amp;"|"&amp;AP$5)=0,"",SUMIF('Competency Event Log'!$U$4:$U$803,$B181&amp;"|"&amp;AP$5,'Competency Event Log'!$D$4:$D$803)))</f>
        <v/>
      </c>
      <c r="AQ181" s="8" t="str">
        <f>IF($B181="","",IF(COUNTIF('Competency Event Log'!$U$4:$U$803,$B181&amp;"|"&amp;AQ$5)=0,"",SUMIF('Competency Event Log'!$U$4:$U$803,$B181&amp;"|"&amp;AQ$5,'Competency Event Log'!$D$4:$D$803)))</f>
        <v/>
      </c>
      <c r="AR181" s="8" t="str">
        <f>IF($B181="","",IF(COUNTIF('Competency Event Log'!$U$4:$U$803,$B181&amp;"|"&amp;AR$5)=0,"",SUMIF('Competency Event Log'!$U$4:$U$803,$B181&amp;"|"&amp;AR$5,'Competency Event Log'!$D$4:$D$803)))</f>
        <v/>
      </c>
      <c r="AS181" s="8" t="str">
        <f>IF($B181="","",IF(COUNTIF('Competency Event Log'!$U$4:$U$803,$B181&amp;"|"&amp;AS$5)=0,"",SUMIF('Competency Event Log'!$U$4:$U$803,$B181&amp;"|"&amp;AS$5,'Competency Event Log'!$D$4:$D$803)))</f>
        <v/>
      </c>
      <c r="AT181" s="8" t="str">
        <f>IF($B181="","",IF(COUNTIF('Competency Event Log'!$U$4:$U$803,$B181&amp;"|"&amp;AT$5)=0,"",SUMIF('Competency Event Log'!$U$4:$U$803,$B181&amp;"|"&amp;AT$5,'Competency Event Log'!$D$4:$D$803)))</f>
        <v/>
      </c>
      <c r="AU181" s="8" t="str">
        <f>IF($B181="","",IF(COUNTIF('Competency Event Log'!$U$4:$U$803,$B181&amp;"|"&amp;AU$5)=0,"",SUMIF('Competency Event Log'!$U$4:$U$803,$B181&amp;"|"&amp;AU$5,'Competency Event Log'!$D$4:$D$803)))</f>
        <v/>
      </c>
      <c r="AV181" s="8" t="str">
        <f>IF($B181="","",IF(COUNTIF('Competency Event Log'!$U$4:$U$803,$B181&amp;"|"&amp;AV$5)=0,"",SUMIF('Competency Event Log'!$U$4:$U$803,$B181&amp;"|"&amp;AV$5,'Competency Event Log'!$D$4:$D$803)))</f>
        <v/>
      </c>
      <c r="AW181" s="8" t="str">
        <f>IF($B181="","",IF(COUNTIF('Competency Event Log'!$U$4:$U$803,$B181&amp;"|"&amp;AW$5)=0,"",SUMIF('Competency Event Log'!$U$4:$U$803,$B181&amp;"|"&amp;AW$5,'Competency Event Log'!$D$4:$D$803)))</f>
        <v/>
      </c>
      <c r="AX181" s="8" t="str">
        <f>IF($B181="","",IF(COUNTIF('Competency Event Log'!$U$4:$U$803,$B181&amp;"|"&amp;AX$5)=0,"",SUMIF('Competency Event Log'!$U$4:$U$803,$B181&amp;"|"&amp;AX$5,'Competency Event Log'!$D$4:$D$803)))</f>
        <v/>
      </c>
      <c r="AY181" s="8" t="str">
        <f>IF($B181="","",IF(COUNTIF('Competency Event Log'!$U$4:$U$803,$B181&amp;"|"&amp;AY$5)=0,"",SUMIF('Competency Event Log'!$U$4:$U$803,$B181&amp;"|"&amp;AY$5,'Competency Event Log'!$D$4:$D$803)))</f>
        <v/>
      </c>
      <c r="AZ181" s="8" t="str">
        <f>IF($B181="","",IF(COUNTIF('Competency Event Log'!$U$4:$U$803,$B181&amp;"|"&amp;AZ$5)=0,"",SUMIF('Competency Event Log'!$U$4:$U$803,$B181&amp;"|"&amp;AZ$5,'Competency Event Log'!$D$4:$D$803)))</f>
        <v/>
      </c>
      <c r="BA181" s="8" t="str">
        <f>IF($B181="","",IF(COUNTIF('Competency Event Log'!$U$4:$U$803,$B181&amp;"|"&amp;BA$5)=0,"",SUMIF('Competency Event Log'!$U$4:$U$803,$B181&amp;"|"&amp;BA$5,'Competency Event Log'!$D$4:$D$803)))</f>
        <v/>
      </c>
      <c r="BB181" s="8" t="str">
        <f>IF($B181="","",IF(COUNTIF('Competency Event Log'!$U$4:$U$803,$B181&amp;"|"&amp;BB$5)=0,"",SUMIF('Competency Event Log'!$U$4:$U$803,$B181&amp;"|"&amp;BB$5,'Competency Event Log'!$D$4:$D$803)))</f>
        <v/>
      </c>
      <c r="BC181" s="8" t="str">
        <f>IF($B181="","",IF(COUNTIF('Competency Event Log'!$U$4:$U$803,$B181&amp;"|"&amp;BC$5)=0,"",SUMIF('Competency Event Log'!$U$4:$U$803,$B181&amp;"|"&amp;BC$5,'Competency Event Log'!$D$4:$D$803)))</f>
        <v/>
      </c>
      <c r="BD181" s="8" t="str">
        <f>IF($B181="","",IF(COUNTIF('Competency Event Log'!$U$4:$U$803,$B181&amp;"|"&amp;BD$5)=0,"",SUMIF('Competency Event Log'!$U$4:$U$803,$B181&amp;"|"&amp;BD$5,'Competency Event Log'!$D$4:$D$803)))</f>
        <v/>
      </c>
      <c r="BE181" s="8" t="str">
        <f>IF($B181="","",IF(COUNTIF('Competency Event Log'!$U$4:$U$803,$B181&amp;"|"&amp;BE$5)=0,"",SUMIF('Competency Event Log'!$U$4:$U$803,$B181&amp;"|"&amp;BE$5,'Competency Event Log'!$D$4:$D$803)))</f>
        <v/>
      </c>
      <c r="BF181" s="8" t="str">
        <f>IF($B181="","",IF(COUNTIF('Competency Event Log'!$U$4:$U$803,$B181&amp;"|"&amp;BF$5)=0,"",SUMIF('Competency Event Log'!$U$4:$U$803,$B181&amp;"|"&amp;BF$5,'Competency Event Log'!$D$4:$D$803)))</f>
        <v/>
      </c>
      <c r="BG181" s="8" t="str">
        <f>IF($B181="","",IF(COUNTIF('Competency Event Log'!$U$4:$U$803,$B181&amp;"|"&amp;BG$5)=0,"",SUMIF('Competency Event Log'!$U$4:$U$803,$B181&amp;"|"&amp;BG$5,'Competency Event Log'!$D$4:$D$803)))</f>
        <v/>
      </c>
      <c r="BH181" s="8" t="str">
        <f>IF($B181="","",IF(COUNTIF('Competency Event Log'!$U$4:$U$803,$B181&amp;"|"&amp;BH$5)=0,"",SUMIF('Competency Event Log'!$U$4:$U$803,$B181&amp;"|"&amp;BH$5,'Competency Event Log'!$D$4:$D$803)))</f>
        <v/>
      </c>
      <c r="BI181" s="8" t="str">
        <f>IF($B181="","",IF(COUNTIF('Competency Event Log'!$U$4:$U$803,$B181&amp;"|"&amp;BI$5)=0,"",SUMIF('Competency Event Log'!$U$4:$U$803,$B181&amp;"|"&amp;BI$5,'Competency Event Log'!$D$4:$D$803)))</f>
        <v/>
      </c>
      <c r="BJ181" s="8" t="str">
        <f>IF($B181="","",IF(COUNTIF('Competency Event Log'!$U$4:$U$803,$B181&amp;"|"&amp;BJ$5)=0,"",SUMIF('Competency Event Log'!$U$4:$U$803,$B181&amp;"|"&amp;BJ$5,'Competency Event Log'!$D$4:$D$803)))</f>
        <v/>
      </c>
      <c r="BK181" s="8" t="str">
        <f>IF($B181="","",IF(COUNTIF('Competency Event Log'!$U$4:$U$803,$B181&amp;"|"&amp;BK$5)=0,"",SUMIF('Competency Event Log'!$U$4:$U$803,$B181&amp;"|"&amp;BK$5,'Competency Event Log'!$D$4:$D$803)))</f>
        <v/>
      </c>
      <c r="BL181" s="8" t="str">
        <f>IF($B181="","",IF(COUNTIF('Competency Event Log'!$U$4:$U$803,$B181&amp;"|"&amp;BL$5)=0,"",SUMIF('Competency Event Log'!$U$4:$U$803,$B181&amp;"|"&amp;BL$5,'Competency Event Log'!$D$4:$D$803)))</f>
        <v/>
      </c>
      <c r="BM181" s="8" t="str">
        <f>IF($B181="","",IF(COUNTIF('Competency Event Log'!$U$4:$U$803,$B181&amp;"|"&amp;BM$5)=0,"",SUMIF('Competency Event Log'!$U$4:$U$803,$B181&amp;"|"&amp;BM$5,'Competency Event Log'!$D$4:$D$803)))</f>
        <v/>
      </c>
      <c r="BN181" s="8" t="str">
        <f>IF($B181="","",IF(COUNTIF('Competency Event Log'!$U$4:$U$803,$B181&amp;"|"&amp;BN$5)=0,"",SUMIF('Competency Event Log'!$U$4:$U$803,$B181&amp;"|"&amp;BN$5,'Competency Event Log'!$D$4:$D$803)))</f>
        <v/>
      </c>
      <c r="BO181" s="8" t="str">
        <f>IF($B181="","",IF(COUNTIF('Competency Event Log'!$U$4:$U$803,$B181&amp;"|"&amp;BO$5)=0,"",SUMIF('Competency Event Log'!$U$4:$U$803,$B181&amp;"|"&amp;BO$5,'Competency Event Log'!$D$4:$D$803)))</f>
        <v/>
      </c>
      <c r="BP181" s="8" t="str">
        <f>IF($B181="","",IF(COUNTIF('Competency Event Log'!$U$4:$U$803,$B181&amp;"|"&amp;BP$5)=0,"",SUMIF('Competency Event Log'!$U$4:$U$803,$B181&amp;"|"&amp;BP$5,'Competency Event Log'!$D$4:$D$803)))</f>
        <v/>
      </c>
      <c r="BQ181" s="8" t="str">
        <f>IF($B181="","",IF(COUNTIF('Competency Event Log'!$U$4:$U$803,$B181&amp;"|"&amp;BQ$5)=0,"",SUMIF('Competency Event Log'!$U$4:$U$803,$B181&amp;"|"&amp;BQ$5,'Competency Event Log'!$D$4:$D$803)))</f>
        <v/>
      </c>
      <c r="BR181" s="8" t="str">
        <f>IF($B181="","",IF(COUNTIF('Competency Event Log'!$U$4:$U$803,$B181&amp;"|"&amp;BR$5)=0,"",SUMIF('Competency Event Log'!$U$4:$U$803,$B181&amp;"|"&amp;BR$5,'Competency Event Log'!$D$4:$D$803)))</f>
        <v/>
      </c>
      <c r="BS181" s="8" t="str">
        <f>IF($B181="","",IF(COUNTIF('Competency Event Log'!$U$4:$U$803,$B181&amp;"|"&amp;BS$5)=0,"",SUMIF('Competency Event Log'!$U$4:$U$803,$B181&amp;"|"&amp;BS$5,'Competency Event Log'!$D$4:$D$803)))</f>
        <v/>
      </c>
      <c r="BT181" s="8" t="str">
        <f>IF($B181="","",IF(COUNTIF('Competency Event Log'!$U$4:$U$803,$B181&amp;"|"&amp;BT$5)=0,"",SUMIF('Competency Event Log'!$U$4:$U$803,$B181&amp;"|"&amp;BT$5,'Competency Event Log'!$D$4:$D$803)))</f>
        <v/>
      </c>
      <c r="BU181" s="8" t="str">
        <f>IF($B181="","",IF(COUNTIF('Competency Event Log'!$U$4:$U$803,$B181&amp;"|"&amp;BU$5)=0,"",SUMIF('Competency Event Log'!$U$4:$U$803,$B181&amp;"|"&amp;BU$5,'Competency Event Log'!$D$4:$D$803)))</f>
        <v/>
      </c>
      <c r="BV181" s="8" t="str">
        <f>IF($B181="","",IF(COUNTIF('Competency Event Log'!$U$4:$U$803,$B181&amp;"|"&amp;BV$5)=0,"",SUMIF('Competency Event Log'!$U$4:$U$803,$B181&amp;"|"&amp;BV$5,'Competency Event Log'!$D$4:$D$803)))</f>
        <v/>
      </c>
      <c r="BW181" s="8" t="str">
        <f>IF($B181="","",IF(COUNTIF('Competency Event Log'!$U$4:$U$803,$B181&amp;"|"&amp;BW$5)=0,"",SUMIF('Competency Event Log'!$U$4:$U$803,$B181&amp;"|"&amp;BW$5,'Competency Event Log'!$D$4:$D$803)))</f>
        <v/>
      </c>
      <c r="BX181" s="8" t="str">
        <f>IF($B181="","",IF(COUNTIF('Competency Event Log'!$U$4:$U$803,$B181&amp;"|"&amp;BX$5)=0,"",SUMIF('Competency Event Log'!$U$4:$U$803,$B181&amp;"|"&amp;BX$5,'Competency Event Log'!$D$4:$D$803)))</f>
        <v/>
      </c>
      <c r="BY181" s="8" t="str">
        <f>IF($B181="","",IF(COUNTIF('Competency Event Log'!$U$4:$U$803,$B181&amp;"|"&amp;BY$5)=0,"",SUMIF('Competency Event Log'!$U$4:$U$803,$B181&amp;"|"&amp;BY$5,'Competency Event Log'!$D$4:$D$803)))</f>
        <v/>
      </c>
      <c r="BZ181" s="8" t="str">
        <f>IF($B181="","",IF(COUNTIF('Competency Event Log'!$U$4:$U$803,$B181&amp;"|"&amp;BZ$5)=0,"",SUMIF('Competency Event Log'!$U$4:$U$803,$B181&amp;"|"&amp;BZ$5,'Competency Event Log'!$D$4:$D$803)))</f>
        <v/>
      </c>
      <c r="CA181" s="8" t="str">
        <f>IF($B181="","",IF(COUNTIF('Competency Event Log'!$U$4:$U$803,$B181&amp;"|"&amp;CA$5)=0,"",SUMIF('Competency Event Log'!$U$4:$U$803,$B181&amp;"|"&amp;CA$5,'Competency Event Log'!$D$4:$D$803)))</f>
        <v/>
      </c>
      <c r="CB181" s="8" t="str">
        <f>IF($B181="","",IF(COUNTIF('Competency Event Log'!$U$4:$U$803,$B181&amp;"|"&amp;CB$5)=0,"",SUMIF('Competency Event Log'!$U$4:$U$803,$B181&amp;"|"&amp;CB$5,'Competency Event Log'!$D$4:$D$803)))</f>
        <v/>
      </c>
      <c r="CC181" s="8" t="str">
        <f>IF($B181="","",IF(COUNTIF('Competency Event Log'!$U$4:$U$803,$B181&amp;"|"&amp;CC$5)=0,"",SUMIF('Competency Event Log'!$U$4:$U$803,$B181&amp;"|"&amp;CC$5,'Competency Event Log'!$D$4:$D$803)))</f>
        <v/>
      </c>
      <c r="CD181" s="8" t="str">
        <f>IF($B181="","",IF(COUNTIF('Competency Event Log'!$U$4:$U$803,$B181&amp;"|"&amp;CD$5)=0,"",SUMIF('Competency Event Log'!$U$4:$U$803,$B181&amp;"|"&amp;CD$5,'Competency Event Log'!$D$4:$D$803)))</f>
        <v/>
      </c>
      <c r="CE181" s="8" t="str">
        <f>IF($B181="","",IF(COUNTIF('Competency Event Log'!$U$4:$U$803,$B181&amp;"|"&amp;CE$5)=0,"",SUMIF('Competency Event Log'!$U$4:$U$803,$B181&amp;"|"&amp;CE$5,'Competency Event Log'!$D$4:$D$803)))</f>
        <v/>
      </c>
      <c r="CF181" s="8" t="str">
        <f>IF($B181="","",IF(COUNTIF('Competency Event Log'!$U$4:$U$803,$B181&amp;"|"&amp;CF$5)=0,"",SUMIF('Competency Event Log'!$U$4:$U$803,$B181&amp;"|"&amp;CF$5,'Competency Event Log'!$D$4:$D$803)))</f>
        <v/>
      </c>
      <c r="CG181" s="8" t="str">
        <f>IF($B181="","",IF(COUNTIF('Competency Event Log'!$U$4:$U$803,$B181&amp;"|"&amp;CG$5)=0,"",SUMIF('Competency Event Log'!$U$4:$U$803,$B181&amp;"|"&amp;CG$5,'Competency Event Log'!$D$4:$D$803)))</f>
        <v/>
      </c>
      <c r="CH181" s="8" t="str">
        <f>IF($B181="","",IF(COUNTIF('Competency Event Log'!$U$4:$U$803,$B181&amp;"|"&amp;CH$5)=0,"",SUMIF('Competency Event Log'!$U$4:$U$803,$B181&amp;"|"&amp;CH$5,'Competency Event Log'!$D$4:$D$803)))</f>
        <v/>
      </c>
      <c r="CI181" s="8" t="str">
        <f>IF($B181="","",IF(COUNTIF('Competency Event Log'!$U$4:$U$803,$B181&amp;"|"&amp;CI$5)=0,"",SUMIF('Competency Event Log'!$U$4:$U$803,$B181&amp;"|"&amp;CI$5,'Competency Event Log'!$D$4:$D$803)))</f>
        <v/>
      </c>
      <c r="CJ181" s="8" t="str">
        <f>IF($B181="","",IF(COUNTIF('Competency Event Log'!$U$4:$U$803,$B181&amp;"|"&amp;CJ$5)=0,"",SUMIF('Competency Event Log'!$U$4:$U$803,$B181&amp;"|"&amp;CJ$5,'Competency Event Log'!$D$4:$D$803)))</f>
        <v/>
      </c>
      <c r="CK181" s="8" t="str">
        <f>IF($B181="","",IF(COUNTIF('Competency Event Log'!$U$4:$U$803,$B181&amp;"|"&amp;CK$5)=0,"",SUMIF('Competency Event Log'!$U$4:$U$803,$B181&amp;"|"&amp;CK$5,'Competency Event Log'!$D$4:$D$803)))</f>
        <v/>
      </c>
      <c r="CL181" s="8" t="str">
        <f>IF($B181="","",IF(COUNTIF('Competency Event Log'!$U$4:$U$803,$B181&amp;"|"&amp;CL$5)=0,"",SUMIF('Competency Event Log'!$U$4:$U$803,$B181&amp;"|"&amp;CL$5,'Competency Event Log'!$D$4:$D$803)))</f>
        <v/>
      </c>
      <c r="CM181" s="8" t="str">
        <f>IF($B181="","",IF(COUNTIF('Competency Event Log'!$U$4:$U$803,$B181&amp;"|"&amp;CM$5)=0,"",SUMIF('Competency Event Log'!$U$4:$U$803,$B181&amp;"|"&amp;CM$5,'Competency Event Log'!$D$4:$D$803)))</f>
        <v/>
      </c>
      <c r="CN181" s="8" t="str">
        <f>IF($B181="","",IF(COUNTIF('Competency Event Log'!$U$4:$U$803,$B181&amp;"|"&amp;CN$5)=0,"",SUMIF('Competency Event Log'!$U$4:$U$803,$B181&amp;"|"&amp;CN$5,'Competency Event Log'!$D$4:$D$803)))</f>
        <v/>
      </c>
      <c r="CO181" s="8" t="str">
        <f>IF($B181="","",IF(COUNTIF('Competency Event Log'!$U$4:$U$803,$B181&amp;"|"&amp;CO$5)=0,"",SUMIF('Competency Event Log'!$U$4:$U$803,$B181&amp;"|"&amp;CO$5,'Competency Event Log'!$D$4:$D$803)))</f>
        <v/>
      </c>
      <c r="CP181" s="8" t="str">
        <f>IF($B181="","",IF(COUNTIF('Competency Event Log'!$U$4:$U$803,$B181&amp;"|"&amp;CP$5)=0,"",SUMIF('Competency Event Log'!$U$4:$U$803,$B181&amp;"|"&amp;CP$5,'Competency Event Log'!$D$4:$D$803)))</f>
        <v/>
      </c>
      <c r="CQ181" s="8" t="str">
        <f>IF($B181="","",IF(COUNTIF('Competency Event Log'!$U$4:$U$803,$B181&amp;"|"&amp;CQ$5)=0,"",SUMIF('Competency Event Log'!$U$4:$U$803,$B181&amp;"|"&amp;CQ$5,'Competency Event Log'!$D$4:$D$803)))</f>
        <v/>
      </c>
      <c r="CR181" s="8" t="str">
        <f>IF($B181="","",IF(COUNTIF('Competency Event Log'!$U$4:$U$803,$B181&amp;"|"&amp;CR$5)=0,"",SUMIF('Competency Event Log'!$U$4:$U$803,$B181&amp;"|"&amp;CR$5,'Competency Event Log'!$D$4:$D$803)))</f>
        <v/>
      </c>
      <c r="CS181" s="8" t="str">
        <f>IF($B181="","",IF(COUNTIF('Competency Event Log'!$U$4:$U$803,$B181&amp;"|"&amp;CS$5)=0,"",SUMIF('Competency Event Log'!$U$4:$U$803,$B181&amp;"|"&amp;CS$5,'Competency Event Log'!$D$4:$D$803)))</f>
        <v/>
      </c>
      <c r="CT181" s="8" t="str">
        <f>IF($B181="","",IF(COUNTIF('Competency Event Log'!$U$4:$U$803,$B181&amp;"|"&amp;CT$5)=0,"",SUMIF('Competency Event Log'!$U$4:$U$803,$B181&amp;"|"&amp;CT$5,'Competency Event Log'!$D$4:$D$803)))</f>
        <v/>
      </c>
      <c r="CU181" s="8" t="str">
        <f>IF($B181="","",IF(COUNTIF('Competency Event Log'!$U$4:$U$803,$B181&amp;"|"&amp;CU$5)=0,"",SUMIF('Competency Event Log'!$U$4:$U$803,$B181&amp;"|"&amp;CU$5,'Competency Event Log'!$D$4:$D$803)))</f>
        <v/>
      </c>
      <c r="CV181" s="8" t="str">
        <f>IF($B181="","",IF(COUNTIF('Competency Event Log'!$U$4:$U$803,$B181&amp;"|"&amp;CV$5)=0,"",SUMIF('Competency Event Log'!$U$4:$U$803,$B181&amp;"|"&amp;CV$5,'Competency Event Log'!$D$4:$D$803)))</f>
        <v/>
      </c>
      <c r="CW181" s="8" t="str">
        <f>IF($B181="","",IF(COUNTIF('Competency Event Log'!$U$4:$U$803,$B181&amp;"|"&amp;CW$5)=0,"",SUMIF('Competency Event Log'!$U$4:$U$803,$B181&amp;"|"&amp;CW$5,'Competency Event Log'!$D$4:$D$803)))</f>
        <v/>
      </c>
      <c r="CX181" s="8" t="str">
        <f>IF($B181="","",IF(COUNTIF('Competency Event Log'!$U$4:$U$803,$B181&amp;"|"&amp;CX$5)=0,"",SUMIF('Competency Event Log'!$U$4:$U$803,$B181&amp;"|"&amp;CX$5,'Competency Event Log'!$D$4:$D$803)))</f>
        <v/>
      </c>
      <c r="CY181" s="8" t="str">
        <f>IF($B181="","",IF(COUNTIF('Competency Event Log'!$U$4:$U$803,$B181&amp;"|"&amp;CY$5)=0,"",SUMIF('Competency Event Log'!$U$4:$U$803,$B181&amp;"|"&amp;CY$5,'Competency Event Log'!$D$4:$D$803)))</f>
        <v/>
      </c>
      <c r="CZ181" s="8" t="str">
        <f>IF($B181="","",IF(COUNTIF('Competency Event Log'!$U$4:$U$803,$B181&amp;"|"&amp;CZ$5)=0,"",SUMIF('Competency Event Log'!$U$4:$U$803,$B181&amp;"|"&amp;CZ$5,'Competency Event Log'!$D$4:$D$803)))</f>
        <v/>
      </c>
      <c r="DA181" s="8" t="str">
        <f>IF($B181="","",IF(COUNTIF('Competency Event Log'!$U$4:$U$803,$B181&amp;"|"&amp;DA$5)=0,"",SUMIF('Competency Event Log'!$U$4:$U$803,$B181&amp;"|"&amp;DA$5,'Competency Event Log'!$D$4:$D$803)))</f>
        <v/>
      </c>
      <c r="DB181" s="8" t="str">
        <f>IF($B181="","",IF(COUNTIF('Competency Event Log'!$U$4:$U$803,$B181&amp;"|"&amp;DB$5)=0,"",SUMIF('Competency Event Log'!$U$4:$U$803,$B181&amp;"|"&amp;DB$5,'Competency Event Log'!$D$4:$D$803)))</f>
        <v/>
      </c>
      <c r="DC181" s="8" t="str">
        <f>IF($B181="","",IF(COUNTIF('Competency Event Log'!$U$4:$U$803,$B181&amp;"|"&amp;DC$5)=0,"",SUMIF('Competency Event Log'!$U$4:$U$803,$B181&amp;"|"&amp;DC$5,'Competency Event Log'!$D$4:$D$803)))</f>
        <v/>
      </c>
      <c r="DD181" s="8" t="str">
        <f>IF($B181="","",IF(COUNTIF('Competency Event Log'!$U$4:$U$803,$B181&amp;"|"&amp;DD$5)=0,"",SUMIF('Competency Event Log'!$U$4:$U$803,$B181&amp;"|"&amp;DD$5,'Competency Event Log'!$D$4:$D$803)))</f>
        <v/>
      </c>
      <c r="DE181" s="8" t="str">
        <f>IF($B181="","",IF(COUNTIF('Competency Event Log'!$U$4:$U$803,$B181&amp;"|"&amp;DE$5)=0,"",SUMIF('Competency Event Log'!$U$4:$U$803,$B181&amp;"|"&amp;DE$5,'Competency Event Log'!$D$4:$D$803)))</f>
        <v/>
      </c>
      <c r="DF181" s="8" t="str">
        <f t="shared" si="20"/>
        <v/>
      </c>
      <c r="DG181" s="8" t="str">
        <f t="shared" si="21"/>
        <v/>
      </c>
      <c r="DH181" s="8" t="str">
        <f t="shared" si="22"/>
        <v/>
      </c>
      <c r="DI181" s="11" t="str">
        <f t="shared" si="23"/>
        <v/>
      </c>
    </row>
    <row r="182" spans="1:113">
      <c r="A182" s="7"/>
      <c r="B182" s="7"/>
      <c r="C182" s="8"/>
      <c r="D182" s="9"/>
      <c r="E182" s="10"/>
      <c r="F182" s="8"/>
      <c r="G182" s="8" t="str">
        <f>IF($B182="","",IF(COUNTIF('Competency Event Log'!$U$4:$U$803,$B182&amp;"|"&amp;G$5)=0,"",SUMIF('Competency Event Log'!$U$4:$U$803,$B182&amp;"|"&amp;G$5,'Competency Event Log'!$D$4:$D$803)))</f>
        <v/>
      </c>
      <c r="H182" s="8" t="str">
        <f>IF($B182="","",IF(COUNTIF('Competency Event Log'!$U$4:$U$803,$B182&amp;"|"&amp;H$5)=0,"",SUMIF('Competency Event Log'!$U$4:$U$803,$B182&amp;"|"&amp;H$5,'Competency Event Log'!$D$4:$D$803)))</f>
        <v/>
      </c>
      <c r="I182" s="8" t="str">
        <f>IF($B182="","",IF(COUNTIF('Competency Event Log'!$U$4:$U$803,$B182&amp;"|"&amp;I$5)=0,"",SUMIF('Competency Event Log'!$U$4:$U$803,$B182&amp;"|"&amp;I$5,'Competency Event Log'!$D$4:$D$803)))</f>
        <v/>
      </c>
      <c r="J182" s="8" t="str">
        <f>IF($B182="","",IF(COUNTIF('Competency Event Log'!$U$4:$U$803,$B182&amp;"|"&amp;J$5)=0,"",SUMIF('Competency Event Log'!$U$4:$U$803,$B182&amp;"|"&amp;J$5,'Competency Event Log'!$D$4:$D$803)))</f>
        <v/>
      </c>
      <c r="K182" s="8" t="str">
        <f>IF($B182="","",IF(COUNTIF('Competency Event Log'!$U$4:$U$803,$B182&amp;"|"&amp;K$5)=0,"",SUMIF('Competency Event Log'!$U$4:$U$803,$B182&amp;"|"&amp;K$5,'Competency Event Log'!$D$4:$D$803)))</f>
        <v/>
      </c>
      <c r="L182" s="8" t="str">
        <f>IF($B182="","",IF(COUNTIF('Competency Event Log'!$U$4:$U$803,$B182&amp;"|"&amp;L$5)=0,"",SUMIF('Competency Event Log'!$U$4:$U$803,$B182&amp;"|"&amp;L$5,'Competency Event Log'!$D$4:$D$803)))</f>
        <v/>
      </c>
      <c r="M182" s="8" t="str">
        <f>IF($B182="","",IF(COUNTIF('Competency Event Log'!$U$4:$U$803,$B182&amp;"|"&amp;M$5)=0,"",SUMIF('Competency Event Log'!$U$4:$U$803,$B182&amp;"|"&amp;M$5,'Competency Event Log'!$D$4:$D$803)))</f>
        <v/>
      </c>
      <c r="N182" s="8" t="str">
        <f>IF($B182="","",IF(COUNTIF('Competency Event Log'!$U$4:$U$803,$B182&amp;"|"&amp;N$5)=0,"",SUMIF('Competency Event Log'!$U$4:$U$803,$B182&amp;"|"&amp;N$5,'Competency Event Log'!$D$4:$D$803)))</f>
        <v/>
      </c>
      <c r="O182" s="8" t="str">
        <f>IF($B182="","",IF(COUNTIF('Competency Event Log'!$U$4:$U$803,$B182&amp;"|"&amp;O$5)=0,"",SUMIF('Competency Event Log'!$U$4:$U$803,$B182&amp;"|"&amp;O$5,'Competency Event Log'!$D$4:$D$803)))</f>
        <v/>
      </c>
      <c r="P182" s="8" t="str">
        <f>IF($B182="","",IF(COUNTIF('Competency Event Log'!$U$4:$U$803,$B182&amp;"|"&amp;P$5)=0,"",SUMIF('Competency Event Log'!$U$4:$U$803,$B182&amp;"|"&amp;P$5,'Competency Event Log'!$D$4:$D$803)))</f>
        <v/>
      </c>
      <c r="Q182" s="8" t="str">
        <f>IF($B182="","",IF(COUNTIF('Competency Event Log'!$U$4:$U$803,$B182&amp;"|"&amp;Q$5)=0,"",SUMIF('Competency Event Log'!$U$4:$U$803,$B182&amp;"|"&amp;Q$5,'Competency Event Log'!$D$4:$D$803)))</f>
        <v/>
      </c>
      <c r="R182" s="8" t="str">
        <f>IF($B182="","",IF(COUNTIF('Competency Event Log'!$U$4:$U$803,$B182&amp;"|"&amp;R$5)=0,"",SUMIF('Competency Event Log'!$U$4:$U$803,$B182&amp;"|"&amp;R$5,'Competency Event Log'!$D$4:$D$803)))</f>
        <v/>
      </c>
      <c r="S182" s="8" t="str">
        <f>IF($B182="","",IF(COUNTIF('Competency Event Log'!$U$4:$U$803,$B182&amp;"|"&amp;S$5)=0,"",SUMIF('Competency Event Log'!$U$4:$U$803,$B182&amp;"|"&amp;S$5,'Competency Event Log'!$D$4:$D$803)))</f>
        <v/>
      </c>
      <c r="T182" s="8" t="str">
        <f>IF($B182="","",IF(COUNTIF('Competency Event Log'!$U$4:$U$803,$B182&amp;"|"&amp;T$5)=0,"",SUMIF('Competency Event Log'!$U$4:$U$803,$B182&amp;"|"&amp;T$5,'Competency Event Log'!$D$4:$D$803)))</f>
        <v/>
      </c>
      <c r="U182" s="8" t="str">
        <f>IF($B182="","",IF(COUNTIF('Competency Event Log'!$U$4:$U$803,$B182&amp;"|"&amp;U$5)=0,"",SUMIF('Competency Event Log'!$U$4:$U$803,$B182&amp;"|"&amp;U$5,'Competency Event Log'!$D$4:$D$803)))</f>
        <v/>
      </c>
      <c r="V182" s="8" t="str">
        <f>IF($B182="","",IF(COUNTIF('Competency Event Log'!$U$4:$U$803,$B182&amp;"|"&amp;V$5)=0,"",SUMIF('Competency Event Log'!$U$4:$U$803,$B182&amp;"|"&amp;V$5,'Competency Event Log'!$D$4:$D$803)))</f>
        <v/>
      </c>
      <c r="W182" s="8" t="str">
        <f>IF($B182="","",IF(COUNTIF('Competency Event Log'!$U$4:$U$803,$B182&amp;"|"&amp;W$5)=0,"",SUMIF('Competency Event Log'!$U$4:$U$803,$B182&amp;"|"&amp;W$5,'Competency Event Log'!$D$4:$D$803)))</f>
        <v/>
      </c>
      <c r="X182" s="8" t="str">
        <f>IF($B182="","",IF(COUNTIF('Competency Event Log'!$U$4:$U$803,$B182&amp;"|"&amp;X$5)=0,"",SUMIF('Competency Event Log'!$U$4:$U$803,$B182&amp;"|"&amp;X$5,'Competency Event Log'!$D$4:$D$803)))</f>
        <v/>
      </c>
      <c r="Y182" s="8" t="str">
        <f>IF($B182="","",IF(COUNTIF('Competency Event Log'!$U$4:$U$803,$B182&amp;"|"&amp;Y$5)=0,"",SUMIF('Competency Event Log'!$U$4:$U$803,$B182&amp;"|"&amp;Y$5,'Competency Event Log'!$D$4:$D$803)))</f>
        <v/>
      </c>
      <c r="Z182" s="8" t="str">
        <f>IF($B182="","",IF(COUNTIF('Competency Event Log'!$U$4:$U$803,$B182&amp;"|"&amp;Z$5)=0,"",SUMIF('Competency Event Log'!$U$4:$U$803,$B182&amp;"|"&amp;Z$5,'Competency Event Log'!$D$4:$D$803)))</f>
        <v/>
      </c>
      <c r="AA182" s="8" t="str">
        <f>IF($B182="","",IF(COUNTIF('Competency Event Log'!$U$4:$U$803,$B182&amp;"|"&amp;AA$5)=0,"",SUMIF('Competency Event Log'!$U$4:$U$803,$B182&amp;"|"&amp;AA$5,'Competency Event Log'!$D$4:$D$803)))</f>
        <v/>
      </c>
      <c r="AB182" s="8" t="str">
        <f>IF($B182="","",IF(COUNTIF('Competency Event Log'!$U$4:$U$803,$B182&amp;"|"&amp;AB$5)=0,"",SUMIF('Competency Event Log'!$U$4:$U$803,$B182&amp;"|"&amp;AB$5,'Competency Event Log'!$D$4:$D$803)))</f>
        <v/>
      </c>
      <c r="AC182" s="8" t="str">
        <f>IF($B182="","",IF(COUNTIF('Competency Event Log'!$U$4:$U$803,$B182&amp;"|"&amp;AC$5)=0,"",SUMIF('Competency Event Log'!$U$4:$U$803,$B182&amp;"|"&amp;AC$5,'Competency Event Log'!$D$4:$D$803)))</f>
        <v/>
      </c>
      <c r="AD182" s="8" t="str">
        <f>IF($B182="","",IF(COUNTIF('Competency Event Log'!$U$4:$U$803,$B182&amp;"|"&amp;AD$5)=0,"",SUMIF('Competency Event Log'!$U$4:$U$803,$B182&amp;"|"&amp;AD$5,'Competency Event Log'!$D$4:$D$803)))</f>
        <v/>
      </c>
      <c r="AE182" s="8" t="str">
        <f>IF($B182="","",IF(COUNTIF('Competency Event Log'!$U$4:$U$803,$B182&amp;"|"&amp;AE$5)=0,"",SUMIF('Competency Event Log'!$U$4:$U$803,$B182&amp;"|"&amp;AE$5,'Competency Event Log'!$D$4:$D$803)))</f>
        <v/>
      </c>
      <c r="AF182" s="8" t="str">
        <f>IF($B182="","",IF(COUNTIF('Competency Event Log'!$U$4:$U$803,$B182&amp;"|"&amp;AF$5)=0,"",SUMIF('Competency Event Log'!$U$4:$U$803,$B182&amp;"|"&amp;AF$5,'Competency Event Log'!$D$4:$D$803)))</f>
        <v/>
      </c>
      <c r="AG182" s="8" t="str">
        <f>IF($B182="","",IF(COUNTIF('Competency Event Log'!$U$4:$U$803,$B182&amp;"|"&amp;AG$5)=0,"",SUMIF('Competency Event Log'!$U$4:$U$803,$B182&amp;"|"&amp;AG$5,'Competency Event Log'!$D$4:$D$803)))</f>
        <v/>
      </c>
      <c r="AH182" s="8" t="str">
        <f>IF($B182="","",IF(COUNTIF('Competency Event Log'!$U$4:$U$803,$B182&amp;"|"&amp;AH$5)=0,"",SUMIF('Competency Event Log'!$U$4:$U$803,$B182&amp;"|"&amp;AH$5,'Competency Event Log'!$D$4:$D$803)))</f>
        <v/>
      </c>
      <c r="AI182" s="8" t="str">
        <f>IF($B182="","",IF(COUNTIF('Competency Event Log'!$U$4:$U$803,$B182&amp;"|"&amp;AI$5)=0,"",SUMIF('Competency Event Log'!$U$4:$U$803,$B182&amp;"|"&amp;AI$5,'Competency Event Log'!$D$4:$D$803)))</f>
        <v/>
      </c>
      <c r="AJ182" s="8" t="str">
        <f>IF($B182="","",IF(COUNTIF('Competency Event Log'!$U$4:$U$803,$B182&amp;"|"&amp;AJ$5)=0,"",SUMIF('Competency Event Log'!$U$4:$U$803,$B182&amp;"|"&amp;AJ$5,'Competency Event Log'!$D$4:$D$803)))</f>
        <v/>
      </c>
      <c r="AK182" s="8" t="str">
        <f>IF($B182="","",IF(COUNTIF('Competency Event Log'!$U$4:$U$803,$B182&amp;"|"&amp;AK$5)=0,"",SUMIF('Competency Event Log'!$U$4:$U$803,$B182&amp;"|"&amp;AK$5,'Competency Event Log'!$D$4:$D$803)))</f>
        <v/>
      </c>
      <c r="AL182" s="8" t="str">
        <f>IF($B182="","",IF(COUNTIF('Competency Event Log'!$U$4:$U$803,$B182&amp;"|"&amp;AL$5)=0,"",SUMIF('Competency Event Log'!$U$4:$U$803,$B182&amp;"|"&amp;AL$5,'Competency Event Log'!$D$4:$D$803)))</f>
        <v/>
      </c>
      <c r="AM182" s="8" t="str">
        <f>IF($B182="","",IF(COUNTIF('Competency Event Log'!$U$4:$U$803,$B182&amp;"|"&amp;AM$5)=0,"",SUMIF('Competency Event Log'!$U$4:$U$803,$B182&amp;"|"&amp;AM$5,'Competency Event Log'!$D$4:$D$803)))</f>
        <v/>
      </c>
      <c r="AN182" s="8" t="str">
        <f>IF($B182="","",IF(COUNTIF('Competency Event Log'!$U$4:$U$803,$B182&amp;"|"&amp;AN$5)=0,"",SUMIF('Competency Event Log'!$U$4:$U$803,$B182&amp;"|"&amp;AN$5,'Competency Event Log'!$D$4:$D$803)))</f>
        <v/>
      </c>
      <c r="AO182" s="8" t="str">
        <f>IF($B182="","",IF(COUNTIF('Competency Event Log'!$U$4:$U$803,$B182&amp;"|"&amp;AO$5)=0,"",SUMIF('Competency Event Log'!$U$4:$U$803,$B182&amp;"|"&amp;AO$5,'Competency Event Log'!$D$4:$D$803)))</f>
        <v/>
      </c>
      <c r="AP182" s="8" t="str">
        <f>IF($B182="","",IF(COUNTIF('Competency Event Log'!$U$4:$U$803,$B182&amp;"|"&amp;AP$5)=0,"",SUMIF('Competency Event Log'!$U$4:$U$803,$B182&amp;"|"&amp;AP$5,'Competency Event Log'!$D$4:$D$803)))</f>
        <v/>
      </c>
      <c r="AQ182" s="8" t="str">
        <f>IF($B182="","",IF(COUNTIF('Competency Event Log'!$U$4:$U$803,$B182&amp;"|"&amp;AQ$5)=0,"",SUMIF('Competency Event Log'!$U$4:$U$803,$B182&amp;"|"&amp;AQ$5,'Competency Event Log'!$D$4:$D$803)))</f>
        <v/>
      </c>
      <c r="AR182" s="8" t="str">
        <f>IF($B182="","",IF(COUNTIF('Competency Event Log'!$U$4:$U$803,$B182&amp;"|"&amp;AR$5)=0,"",SUMIF('Competency Event Log'!$U$4:$U$803,$B182&amp;"|"&amp;AR$5,'Competency Event Log'!$D$4:$D$803)))</f>
        <v/>
      </c>
      <c r="AS182" s="8" t="str">
        <f>IF($B182="","",IF(COUNTIF('Competency Event Log'!$U$4:$U$803,$B182&amp;"|"&amp;AS$5)=0,"",SUMIF('Competency Event Log'!$U$4:$U$803,$B182&amp;"|"&amp;AS$5,'Competency Event Log'!$D$4:$D$803)))</f>
        <v/>
      </c>
      <c r="AT182" s="8" t="str">
        <f>IF($B182="","",IF(COUNTIF('Competency Event Log'!$U$4:$U$803,$B182&amp;"|"&amp;AT$5)=0,"",SUMIF('Competency Event Log'!$U$4:$U$803,$B182&amp;"|"&amp;AT$5,'Competency Event Log'!$D$4:$D$803)))</f>
        <v/>
      </c>
      <c r="AU182" s="8" t="str">
        <f>IF($B182="","",IF(COUNTIF('Competency Event Log'!$U$4:$U$803,$B182&amp;"|"&amp;AU$5)=0,"",SUMIF('Competency Event Log'!$U$4:$U$803,$B182&amp;"|"&amp;AU$5,'Competency Event Log'!$D$4:$D$803)))</f>
        <v/>
      </c>
      <c r="AV182" s="8" t="str">
        <f>IF($B182="","",IF(COUNTIF('Competency Event Log'!$U$4:$U$803,$B182&amp;"|"&amp;AV$5)=0,"",SUMIF('Competency Event Log'!$U$4:$U$803,$B182&amp;"|"&amp;AV$5,'Competency Event Log'!$D$4:$D$803)))</f>
        <v/>
      </c>
      <c r="AW182" s="8" t="str">
        <f>IF($B182="","",IF(COUNTIF('Competency Event Log'!$U$4:$U$803,$B182&amp;"|"&amp;AW$5)=0,"",SUMIF('Competency Event Log'!$U$4:$U$803,$B182&amp;"|"&amp;AW$5,'Competency Event Log'!$D$4:$D$803)))</f>
        <v/>
      </c>
      <c r="AX182" s="8" t="str">
        <f>IF($B182="","",IF(COUNTIF('Competency Event Log'!$U$4:$U$803,$B182&amp;"|"&amp;AX$5)=0,"",SUMIF('Competency Event Log'!$U$4:$U$803,$B182&amp;"|"&amp;AX$5,'Competency Event Log'!$D$4:$D$803)))</f>
        <v/>
      </c>
      <c r="AY182" s="8" t="str">
        <f>IF($B182="","",IF(COUNTIF('Competency Event Log'!$U$4:$U$803,$B182&amp;"|"&amp;AY$5)=0,"",SUMIF('Competency Event Log'!$U$4:$U$803,$B182&amp;"|"&amp;AY$5,'Competency Event Log'!$D$4:$D$803)))</f>
        <v/>
      </c>
      <c r="AZ182" s="8" t="str">
        <f>IF($B182="","",IF(COUNTIF('Competency Event Log'!$U$4:$U$803,$B182&amp;"|"&amp;AZ$5)=0,"",SUMIF('Competency Event Log'!$U$4:$U$803,$B182&amp;"|"&amp;AZ$5,'Competency Event Log'!$D$4:$D$803)))</f>
        <v/>
      </c>
      <c r="BA182" s="8" t="str">
        <f>IF($B182="","",IF(COUNTIF('Competency Event Log'!$U$4:$U$803,$B182&amp;"|"&amp;BA$5)=0,"",SUMIF('Competency Event Log'!$U$4:$U$803,$B182&amp;"|"&amp;BA$5,'Competency Event Log'!$D$4:$D$803)))</f>
        <v/>
      </c>
      <c r="BB182" s="8" t="str">
        <f>IF($B182="","",IF(COUNTIF('Competency Event Log'!$U$4:$U$803,$B182&amp;"|"&amp;BB$5)=0,"",SUMIF('Competency Event Log'!$U$4:$U$803,$B182&amp;"|"&amp;BB$5,'Competency Event Log'!$D$4:$D$803)))</f>
        <v/>
      </c>
      <c r="BC182" s="8" t="str">
        <f>IF($B182="","",IF(COUNTIF('Competency Event Log'!$U$4:$U$803,$B182&amp;"|"&amp;BC$5)=0,"",SUMIF('Competency Event Log'!$U$4:$U$803,$B182&amp;"|"&amp;BC$5,'Competency Event Log'!$D$4:$D$803)))</f>
        <v/>
      </c>
      <c r="BD182" s="8" t="str">
        <f>IF($B182="","",IF(COUNTIF('Competency Event Log'!$U$4:$U$803,$B182&amp;"|"&amp;BD$5)=0,"",SUMIF('Competency Event Log'!$U$4:$U$803,$B182&amp;"|"&amp;BD$5,'Competency Event Log'!$D$4:$D$803)))</f>
        <v/>
      </c>
      <c r="BE182" s="8" t="str">
        <f>IF($B182="","",IF(COUNTIF('Competency Event Log'!$U$4:$U$803,$B182&amp;"|"&amp;BE$5)=0,"",SUMIF('Competency Event Log'!$U$4:$U$803,$B182&amp;"|"&amp;BE$5,'Competency Event Log'!$D$4:$D$803)))</f>
        <v/>
      </c>
      <c r="BF182" s="8" t="str">
        <f>IF($B182="","",IF(COUNTIF('Competency Event Log'!$U$4:$U$803,$B182&amp;"|"&amp;BF$5)=0,"",SUMIF('Competency Event Log'!$U$4:$U$803,$B182&amp;"|"&amp;BF$5,'Competency Event Log'!$D$4:$D$803)))</f>
        <v/>
      </c>
      <c r="BG182" s="8" t="str">
        <f>IF($B182="","",IF(COUNTIF('Competency Event Log'!$U$4:$U$803,$B182&amp;"|"&amp;BG$5)=0,"",SUMIF('Competency Event Log'!$U$4:$U$803,$B182&amp;"|"&amp;BG$5,'Competency Event Log'!$D$4:$D$803)))</f>
        <v/>
      </c>
      <c r="BH182" s="8" t="str">
        <f>IF($B182="","",IF(COUNTIF('Competency Event Log'!$U$4:$U$803,$B182&amp;"|"&amp;BH$5)=0,"",SUMIF('Competency Event Log'!$U$4:$U$803,$B182&amp;"|"&amp;BH$5,'Competency Event Log'!$D$4:$D$803)))</f>
        <v/>
      </c>
      <c r="BI182" s="8" t="str">
        <f>IF($B182="","",IF(COUNTIF('Competency Event Log'!$U$4:$U$803,$B182&amp;"|"&amp;BI$5)=0,"",SUMIF('Competency Event Log'!$U$4:$U$803,$B182&amp;"|"&amp;BI$5,'Competency Event Log'!$D$4:$D$803)))</f>
        <v/>
      </c>
      <c r="BJ182" s="8" t="str">
        <f>IF($B182="","",IF(COUNTIF('Competency Event Log'!$U$4:$U$803,$B182&amp;"|"&amp;BJ$5)=0,"",SUMIF('Competency Event Log'!$U$4:$U$803,$B182&amp;"|"&amp;BJ$5,'Competency Event Log'!$D$4:$D$803)))</f>
        <v/>
      </c>
      <c r="BK182" s="8" t="str">
        <f>IF($B182="","",IF(COUNTIF('Competency Event Log'!$U$4:$U$803,$B182&amp;"|"&amp;BK$5)=0,"",SUMIF('Competency Event Log'!$U$4:$U$803,$B182&amp;"|"&amp;BK$5,'Competency Event Log'!$D$4:$D$803)))</f>
        <v/>
      </c>
      <c r="BL182" s="8" t="str">
        <f>IF($B182="","",IF(COUNTIF('Competency Event Log'!$U$4:$U$803,$B182&amp;"|"&amp;BL$5)=0,"",SUMIF('Competency Event Log'!$U$4:$U$803,$B182&amp;"|"&amp;BL$5,'Competency Event Log'!$D$4:$D$803)))</f>
        <v/>
      </c>
      <c r="BM182" s="8" t="str">
        <f>IF($B182="","",IF(COUNTIF('Competency Event Log'!$U$4:$U$803,$B182&amp;"|"&amp;BM$5)=0,"",SUMIF('Competency Event Log'!$U$4:$U$803,$B182&amp;"|"&amp;BM$5,'Competency Event Log'!$D$4:$D$803)))</f>
        <v/>
      </c>
      <c r="BN182" s="8" t="str">
        <f>IF($B182="","",IF(COUNTIF('Competency Event Log'!$U$4:$U$803,$B182&amp;"|"&amp;BN$5)=0,"",SUMIF('Competency Event Log'!$U$4:$U$803,$B182&amp;"|"&amp;BN$5,'Competency Event Log'!$D$4:$D$803)))</f>
        <v/>
      </c>
      <c r="BO182" s="8" t="str">
        <f>IF($B182="","",IF(COUNTIF('Competency Event Log'!$U$4:$U$803,$B182&amp;"|"&amp;BO$5)=0,"",SUMIF('Competency Event Log'!$U$4:$U$803,$B182&amp;"|"&amp;BO$5,'Competency Event Log'!$D$4:$D$803)))</f>
        <v/>
      </c>
      <c r="BP182" s="8" t="str">
        <f>IF($B182="","",IF(COUNTIF('Competency Event Log'!$U$4:$U$803,$B182&amp;"|"&amp;BP$5)=0,"",SUMIF('Competency Event Log'!$U$4:$U$803,$B182&amp;"|"&amp;BP$5,'Competency Event Log'!$D$4:$D$803)))</f>
        <v/>
      </c>
      <c r="BQ182" s="8" t="str">
        <f>IF($B182="","",IF(COUNTIF('Competency Event Log'!$U$4:$U$803,$B182&amp;"|"&amp;BQ$5)=0,"",SUMIF('Competency Event Log'!$U$4:$U$803,$B182&amp;"|"&amp;BQ$5,'Competency Event Log'!$D$4:$D$803)))</f>
        <v/>
      </c>
      <c r="BR182" s="8" t="str">
        <f>IF($B182="","",IF(COUNTIF('Competency Event Log'!$U$4:$U$803,$B182&amp;"|"&amp;BR$5)=0,"",SUMIF('Competency Event Log'!$U$4:$U$803,$B182&amp;"|"&amp;BR$5,'Competency Event Log'!$D$4:$D$803)))</f>
        <v/>
      </c>
      <c r="BS182" s="8" t="str">
        <f>IF($B182="","",IF(COUNTIF('Competency Event Log'!$U$4:$U$803,$B182&amp;"|"&amp;BS$5)=0,"",SUMIF('Competency Event Log'!$U$4:$U$803,$B182&amp;"|"&amp;BS$5,'Competency Event Log'!$D$4:$D$803)))</f>
        <v/>
      </c>
      <c r="BT182" s="8" t="str">
        <f>IF($B182="","",IF(COUNTIF('Competency Event Log'!$U$4:$U$803,$B182&amp;"|"&amp;BT$5)=0,"",SUMIF('Competency Event Log'!$U$4:$U$803,$B182&amp;"|"&amp;BT$5,'Competency Event Log'!$D$4:$D$803)))</f>
        <v/>
      </c>
      <c r="BU182" s="8" t="str">
        <f>IF($B182="","",IF(COUNTIF('Competency Event Log'!$U$4:$U$803,$B182&amp;"|"&amp;BU$5)=0,"",SUMIF('Competency Event Log'!$U$4:$U$803,$B182&amp;"|"&amp;BU$5,'Competency Event Log'!$D$4:$D$803)))</f>
        <v/>
      </c>
      <c r="BV182" s="8" t="str">
        <f>IF($B182="","",IF(COUNTIF('Competency Event Log'!$U$4:$U$803,$B182&amp;"|"&amp;BV$5)=0,"",SUMIF('Competency Event Log'!$U$4:$U$803,$B182&amp;"|"&amp;BV$5,'Competency Event Log'!$D$4:$D$803)))</f>
        <v/>
      </c>
      <c r="BW182" s="8" t="str">
        <f>IF($B182="","",IF(COUNTIF('Competency Event Log'!$U$4:$U$803,$B182&amp;"|"&amp;BW$5)=0,"",SUMIF('Competency Event Log'!$U$4:$U$803,$B182&amp;"|"&amp;BW$5,'Competency Event Log'!$D$4:$D$803)))</f>
        <v/>
      </c>
      <c r="BX182" s="8" t="str">
        <f>IF($B182="","",IF(COUNTIF('Competency Event Log'!$U$4:$U$803,$B182&amp;"|"&amp;BX$5)=0,"",SUMIF('Competency Event Log'!$U$4:$U$803,$B182&amp;"|"&amp;BX$5,'Competency Event Log'!$D$4:$D$803)))</f>
        <v/>
      </c>
      <c r="BY182" s="8" t="str">
        <f>IF($B182="","",IF(COUNTIF('Competency Event Log'!$U$4:$U$803,$B182&amp;"|"&amp;BY$5)=0,"",SUMIF('Competency Event Log'!$U$4:$U$803,$B182&amp;"|"&amp;BY$5,'Competency Event Log'!$D$4:$D$803)))</f>
        <v/>
      </c>
      <c r="BZ182" s="8" t="str">
        <f>IF($B182="","",IF(COUNTIF('Competency Event Log'!$U$4:$U$803,$B182&amp;"|"&amp;BZ$5)=0,"",SUMIF('Competency Event Log'!$U$4:$U$803,$B182&amp;"|"&amp;BZ$5,'Competency Event Log'!$D$4:$D$803)))</f>
        <v/>
      </c>
      <c r="CA182" s="8" t="str">
        <f>IF($B182="","",IF(COUNTIF('Competency Event Log'!$U$4:$U$803,$B182&amp;"|"&amp;CA$5)=0,"",SUMIF('Competency Event Log'!$U$4:$U$803,$B182&amp;"|"&amp;CA$5,'Competency Event Log'!$D$4:$D$803)))</f>
        <v/>
      </c>
      <c r="CB182" s="8" t="str">
        <f>IF($B182="","",IF(COUNTIF('Competency Event Log'!$U$4:$U$803,$B182&amp;"|"&amp;CB$5)=0,"",SUMIF('Competency Event Log'!$U$4:$U$803,$B182&amp;"|"&amp;CB$5,'Competency Event Log'!$D$4:$D$803)))</f>
        <v/>
      </c>
      <c r="CC182" s="8" t="str">
        <f>IF($B182="","",IF(COUNTIF('Competency Event Log'!$U$4:$U$803,$B182&amp;"|"&amp;CC$5)=0,"",SUMIF('Competency Event Log'!$U$4:$U$803,$B182&amp;"|"&amp;CC$5,'Competency Event Log'!$D$4:$D$803)))</f>
        <v/>
      </c>
      <c r="CD182" s="8" t="str">
        <f>IF($B182="","",IF(COUNTIF('Competency Event Log'!$U$4:$U$803,$B182&amp;"|"&amp;CD$5)=0,"",SUMIF('Competency Event Log'!$U$4:$U$803,$B182&amp;"|"&amp;CD$5,'Competency Event Log'!$D$4:$D$803)))</f>
        <v/>
      </c>
      <c r="CE182" s="8" t="str">
        <f>IF($B182="","",IF(COUNTIF('Competency Event Log'!$U$4:$U$803,$B182&amp;"|"&amp;CE$5)=0,"",SUMIF('Competency Event Log'!$U$4:$U$803,$B182&amp;"|"&amp;CE$5,'Competency Event Log'!$D$4:$D$803)))</f>
        <v/>
      </c>
      <c r="CF182" s="8" t="str">
        <f>IF($B182="","",IF(COUNTIF('Competency Event Log'!$U$4:$U$803,$B182&amp;"|"&amp;CF$5)=0,"",SUMIF('Competency Event Log'!$U$4:$U$803,$B182&amp;"|"&amp;CF$5,'Competency Event Log'!$D$4:$D$803)))</f>
        <v/>
      </c>
      <c r="CG182" s="8" t="str">
        <f>IF($B182="","",IF(COUNTIF('Competency Event Log'!$U$4:$U$803,$B182&amp;"|"&amp;CG$5)=0,"",SUMIF('Competency Event Log'!$U$4:$U$803,$B182&amp;"|"&amp;CG$5,'Competency Event Log'!$D$4:$D$803)))</f>
        <v/>
      </c>
      <c r="CH182" s="8" t="str">
        <f>IF($B182="","",IF(COUNTIF('Competency Event Log'!$U$4:$U$803,$B182&amp;"|"&amp;CH$5)=0,"",SUMIF('Competency Event Log'!$U$4:$U$803,$B182&amp;"|"&amp;CH$5,'Competency Event Log'!$D$4:$D$803)))</f>
        <v/>
      </c>
      <c r="CI182" s="8" t="str">
        <f>IF($B182="","",IF(COUNTIF('Competency Event Log'!$U$4:$U$803,$B182&amp;"|"&amp;CI$5)=0,"",SUMIF('Competency Event Log'!$U$4:$U$803,$B182&amp;"|"&amp;CI$5,'Competency Event Log'!$D$4:$D$803)))</f>
        <v/>
      </c>
      <c r="CJ182" s="8" t="str">
        <f>IF($B182="","",IF(COUNTIF('Competency Event Log'!$U$4:$U$803,$B182&amp;"|"&amp;CJ$5)=0,"",SUMIF('Competency Event Log'!$U$4:$U$803,$B182&amp;"|"&amp;CJ$5,'Competency Event Log'!$D$4:$D$803)))</f>
        <v/>
      </c>
      <c r="CK182" s="8" t="str">
        <f>IF($B182="","",IF(COUNTIF('Competency Event Log'!$U$4:$U$803,$B182&amp;"|"&amp;CK$5)=0,"",SUMIF('Competency Event Log'!$U$4:$U$803,$B182&amp;"|"&amp;CK$5,'Competency Event Log'!$D$4:$D$803)))</f>
        <v/>
      </c>
      <c r="CL182" s="8" t="str">
        <f>IF($B182="","",IF(COUNTIF('Competency Event Log'!$U$4:$U$803,$B182&amp;"|"&amp;CL$5)=0,"",SUMIF('Competency Event Log'!$U$4:$U$803,$B182&amp;"|"&amp;CL$5,'Competency Event Log'!$D$4:$D$803)))</f>
        <v/>
      </c>
      <c r="CM182" s="8" t="str">
        <f>IF($B182="","",IF(COUNTIF('Competency Event Log'!$U$4:$U$803,$B182&amp;"|"&amp;CM$5)=0,"",SUMIF('Competency Event Log'!$U$4:$U$803,$B182&amp;"|"&amp;CM$5,'Competency Event Log'!$D$4:$D$803)))</f>
        <v/>
      </c>
      <c r="CN182" s="8" t="str">
        <f>IF($B182="","",IF(COUNTIF('Competency Event Log'!$U$4:$U$803,$B182&amp;"|"&amp;CN$5)=0,"",SUMIF('Competency Event Log'!$U$4:$U$803,$B182&amp;"|"&amp;CN$5,'Competency Event Log'!$D$4:$D$803)))</f>
        <v/>
      </c>
      <c r="CO182" s="8" t="str">
        <f>IF($B182="","",IF(COUNTIF('Competency Event Log'!$U$4:$U$803,$B182&amp;"|"&amp;CO$5)=0,"",SUMIF('Competency Event Log'!$U$4:$U$803,$B182&amp;"|"&amp;CO$5,'Competency Event Log'!$D$4:$D$803)))</f>
        <v/>
      </c>
      <c r="CP182" s="8" t="str">
        <f>IF($B182="","",IF(COUNTIF('Competency Event Log'!$U$4:$U$803,$B182&amp;"|"&amp;CP$5)=0,"",SUMIF('Competency Event Log'!$U$4:$U$803,$B182&amp;"|"&amp;CP$5,'Competency Event Log'!$D$4:$D$803)))</f>
        <v/>
      </c>
      <c r="CQ182" s="8" t="str">
        <f>IF($B182="","",IF(COUNTIF('Competency Event Log'!$U$4:$U$803,$B182&amp;"|"&amp;CQ$5)=0,"",SUMIF('Competency Event Log'!$U$4:$U$803,$B182&amp;"|"&amp;CQ$5,'Competency Event Log'!$D$4:$D$803)))</f>
        <v/>
      </c>
      <c r="CR182" s="8" t="str">
        <f>IF($B182="","",IF(COUNTIF('Competency Event Log'!$U$4:$U$803,$B182&amp;"|"&amp;CR$5)=0,"",SUMIF('Competency Event Log'!$U$4:$U$803,$B182&amp;"|"&amp;CR$5,'Competency Event Log'!$D$4:$D$803)))</f>
        <v/>
      </c>
      <c r="CS182" s="8" t="str">
        <f>IF($B182="","",IF(COUNTIF('Competency Event Log'!$U$4:$U$803,$B182&amp;"|"&amp;CS$5)=0,"",SUMIF('Competency Event Log'!$U$4:$U$803,$B182&amp;"|"&amp;CS$5,'Competency Event Log'!$D$4:$D$803)))</f>
        <v/>
      </c>
      <c r="CT182" s="8" t="str">
        <f>IF($B182="","",IF(COUNTIF('Competency Event Log'!$U$4:$U$803,$B182&amp;"|"&amp;CT$5)=0,"",SUMIF('Competency Event Log'!$U$4:$U$803,$B182&amp;"|"&amp;CT$5,'Competency Event Log'!$D$4:$D$803)))</f>
        <v/>
      </c>
      <c r="CU182" s="8" t="str">
        <f>IF($B182="","",IF(COUNTIF('Competency Event Log'!$U$4:$U$803,$B182&amp;"|"&amp;CU$5)=0,"",SUMIF('Competency Event Log'!$U$4:$U$803,$B182&amp;"|"&amp;CU$5,'Competency Event Log'!$D$4:$D$803)))</f>
        <v/>
      </c>
      <c r="CV182" s="8" t="str">
        <f>IF($B182="","",IF(COUNTIF('Competency Event Log'!$U$4:$U$803,$B182&amp;"|"&amp;CV$5)=0,"",SUMIF('Competency Event Log'!$U$4:$U$803,$B182&amp;"|"&amp;CV$5,'Competency Event Log'!$D$4:$D$803)))</f>
        <v/>
      </c>
      <c r="CW182" s="8" t="str">
        <f>IF($B182="","",IF(COUNTIF('Competency Event Log'!$U$4:$U$803,$B182&amp;"|"&amp;CW$5)=0,"",SUMIF('Competency Event Log'!$U$4:$U$803,$B182&amp;"|"&amp;CW$5,'Competency Event Log'!$D$4:$D$803)))</f>
        <v/>
      </c>
      <c r="CX182" s="8" t="str">
        <f>IF($B182="","",IF(COUNTIF('Competency Event Log'!$U$4:$U$803,$B182&amp;"|"&amp;CX$5)=0,"",SUMIF('Competency Event Log'!$U$4:$U$803,$B182&amp;"|"&amp;CX$5,'Competency Event Log'!$D$4:$D$803)))</f>
        <v/>
      </c>
      <c r="CY182" s="8" t="str">
        <f>IF($B182="","",IF(COUNTIF('Competency Event Log'!$U$4:$U$803,$B182&amp;"|"&amp;CY$5)=0,"",SUMIF('Competency Event Log'!$U$4:$U$803,$B182&amp;"|"&amp;CY$5,'Competency Event Log'!$D$4:$D$803)))</f>
        <v/>
      </c>
      <c r="CZ182" s="8" t="str">
        <f>IF($B182="","",IF(COUNTIF('Competency Event Log'!$U$4:$U$803,$B182&amp;"|"&amp;CZ$5)=0,"",SUMIF('Competency Event Log'!$U$4:$U$803,$B182&amp;"|"&amp;CZ$5,'Competency Event Log'!$D$4:$D$803)))</f>
        <v/>
      </c>
      <c r="DA182" s="8" t="str">
        <f>IF($B182="","",IF(COUNTIF('Competency Event Log'!$U$4:$U$803,$B182&amp;"|"&amp;DA$5)=0,"",SUMIF('Competency Event Log'!$U$4:$U$803,$B182&amp;"|"&amp;DA$5,'Competency Event Log'!$D$4:$D$803)))</f>
        <v/>
      </c>
      <c r="DB182" s="8" t="str">
        <f>IF($B182="","",IF(COUNTIF('Competency Event Log'!$U$4:$U$803,$B182&amp;"|"&amp;DB$5)=0,"",SUMIF('Competency Event Log'!$U$4:$U$803,$B182&amp;"|"&amp;DB$5,'Competency Event Log'!$D$4:$D$803)))</f>
        <v/>
      </c>
      <c r="DC182" s="8" t="str">
        <f>IF($B182="","",IF(COUNTIF('Competency Event Log'!$U$4:$U$803,$B182&amp;"|"&amp;DC$5)=0,"",SUMIF('Competency Event Log'!$U$4:$U$803,$B182&amp;"|"&amp;DC$5,'Competency Event Log'!$D$4:$D$803)))</f>
        <v/>
      </c>
      <c r="DD182" s="8" t="str">
        <f>IF($B182="","",IF(COUNTIF('Competency Event Log'!$U$4:$U$803,$B182&amp;"|"&amp;DD$5)=0,"",SUMIF('Competency Event Log'!$U$4:$U$803,$B182&amp;"|"&amp;DD$5,'Competency Event Log'!$D$4:$D$803)))</f>
        <v/>
      </c>
      <c r="DE182" s="8" t="str">
        <f>IF($B182="","",IF(COUNTIF('Competency Event Log'!$U$4:$U$803,$B182&amp;"|"&amp;DE$5)=0,"",SUMIF('Competency Event Log'!$U$4:$U$803,$B182&amp;"|"&amp;DE$5,'Competency Event Log'!$D$4:$D$803)))</f>
        <v/>
      </c>
      <c r="DF182" s="8" t="str">
        <f t="shared" si="20"/>
        <v/>
      </c>
      <c r="DG182" s="8" t="str">
        <f t="shared" si="21"/>
        <v/>
      </c>
      <c r="DH182" s="8" t="str">
        <f t="shared" si="22"/>
        <v/>
      </c>
      <c r="DI182" s="11" t="str">
        <f t="shared" si="23"/>
        <v/>
      </c>
    </row>
    <row r="183" spans="1:113">
      <c r="A183" s="7"/>
      <c r="B183" s="7"/>
      <c r="C183" s="8"/>
      <c r="D183" s="9"/>
      <c r="E183" s="10"/>
      <c r="F183" s="8"/>
      <c r="G183" s="8" t="str">
        <f>IF($B183="","",IF(COUNTIF('Competency Event Log'!$U$4:$U$803,$B183&amp;"|"&amp;G$5)=0,"",SUMIF('Competency Event Log'!$U$4:$U$803,$B183&amp;"|"&amp;G$5,'Competency Event Log'!$D$4:$D$803)))</f>
        <v/>
      </c>
      <c r="H183" s="8" t="str">
        <f>IF($B183="","",IF(COUNTIF('Competency Event Log'!$U$4:$U$803,$B183&amp;"|"&amp;H$5)=0,"",SUMIF('Competency Event Log'!$U$4:$U$803,$B183&amp;"|"&amp;H$5,'Competency Event Log'!$D$4:$D$803)))</f>
        <v/>
      </c>
      <c r="I183" s="8" t="str">
        <f>IF($B183="","",IF(COUNTIF('Competency Event Log'!$U$4:$U$803,$B183&amp;"|"&amp;I$5)=0,"",SUMIF('Competency Event Log'!$U$4:$U$803,$B183&amp;"|"&amp;I$5,'Competency Event Log'!$D$4:$D$803)))</f>
        <v/>
      </c>
      <c r="J183" s="8" t="str">
        <f>IF($B183="","",IF(COUNTIF('Competency Event Log'!$U$4:$U$803,$B183&amp;"|"&amp;J$5)=0,"",SUMIF('Competency Event Log'!$U$4:$U$803,$B183&amp;"|"&amp;J$5,'Competency Event Log'!$D$4:$D$803)))</f>
        <v/>
      </c>
      <c r="K183" s="8" t="str">
        <f>IF($B183="","",IF(COUNTIF('Competency Event Log'!$U$4:$U$803,$B183&amp;"|"&amp;K$5)=0,"",SUMIF('Competency Event Log'!$U$4:$U$803,$B183&amp;"|"&amp;K$5,'Competency Event Log'!$D$4:$D$803)))</f>
        <v/>
      </c>
      <c r="L183" s="8" t="str">
        <f>IF($B183="","",IF(COUNTIF('Competency Event Log'!$U$4:$U$803,$B183&amp;"|"&amp;L$5)=0,"",SUMIF('Competency Event Log'!$U$4:$U$803,$B183&amp;"|"&amp;L$5,'Competency Event Log'!$D$4:$D$803)))</f>
        <v/>
      </c>
      <c r="M183" s="8" t="str">
        <f>IF($B183="","",IF(COUNTIF('Competency Event Log'!$U$4:$U$803,$B183&amp;"|"&amp;M$5)=0,"",SUMIF('Competency Event Log'!$U$4:$U$803,$B183&amp;"|"&amp;M$5,'Competency Event Log'!$D$4:$D$803)))</f>
        <v/>
      </c>
      <c r="N183" s="8" t="str">
        <f>IF($B183="","",IF(COUNTIF('Competency Event Log'!$U$4:$U$803,$B183&amp;"|"&amp;N$5)=0,"",SUMIF('Competency Event Log'!$U$4:$U$803,$B183&amp;"|"&amp;N$5,'Competency Event Log'!$D$4:$D$803)))</f>
        <v/>
      </c>
      <c r="O183" s="8" t="str">
        <f>IF($B183="","",IF(COUNTIF('Competency Event Log'!$U$4:$U$803,$B183&amp;"|"&amp;O$5)=0,"",SUMIF('Competency Event Log'!$U$4:$U$803,$B183&amp;"|"&amp;O$5,'Competency Event Log'!$D$4:$D$803)))</f>
        <v/>
      </c>
      <c r="P183" s="8" t="str">
        <f>IF($B183="","",IF(COUNTIF('Competency Event Log'!$U$4:$U$803,$B183&amp;"|"&amp;P$5)=0,"",SUMIF('Competency Event Log'!$U$4:$U$803,$B183&amp;"|"&amp;P$5,'Competency Event Log'!$D$4:$D$803)))</f>
        <v/>
      </c>
      <c r="Q183" s="8" t="str">
        <f>IF($B183="","",IF(COUNTIF('Competency Event Log'!$U$4:$U$803,$B183&amp;"|"&amp;Q$5)=0,"",SUMIF('Competency Event Log'!$U$4:$U$803,$B183&amp;"|"&amp;Q$5,'Competency Event Log'!$D$4:$D$803)))</f>
        <v/>
      </c>
      <c r="R183" s="8" t="str">
        <f>IF($B183="","",IF(COUNTIF('Competency Event Log'!$U$4:$U$803,$B183&amp;"|"&amp;R$5)=0,"",SUMIF('Competency Event Log'!$U$4:$U$803,$B183&amp;"|"&amp;R$5,'Competency Event Log'!$D$4:$D$803)))</f>
        <v/>
      </c>
      <c r="S183" s="8" t="str">
        <f>IF($B183="","",IF(COUNTIF('Competency Event Log'!$U$4:$U$803,$B183&amp;"|"&amp;S$5)=0,"",SUMIF('Competency Event Log'!$U$4:$U$803,$B183&amp;"|"&amp;S$5,'Competency Event Log'!$D$4:$D$803)))</f>
        <v/>
      </c>
      <c r="T183" s="8" t="str">
        <f>IF($B183="","",IF(COUNTIF('Competency Event Log'!$U$4:$U$803,$B183&amp;"|"&amp;T$5)=0,"",SUMIF('Competency Event Log'!$U$4:$U$803,$B183&amp;"|"&amp;T$5,'Competency Event Log'!$D$4:$D$803)))</f>
        <v/>
      </c>
      <c r="U183" s="8" t="str">
        <f>IF($B183="","",IF(COUNTIF('Competency Event Log'!$U$4:$U$803,$B183&amp;"|"&amp;U$5)=0,"",SUMIF('Competency Event Log'!$U$4:$U$803,$B183&amp;"|"&amp;U$5,'Competency Event Log'!$D$4:$D$803)))</f>
        <v/>
      </c>
      <c r="V183" s="8" t="str">
        <f>IF($B183="","",IF(COUNTIF('Competency Event Log'!$U$4:$U$803,$B183&amp;"|"&amp;V$5)=0,"",SUMIF('Competency Event Log'!$U$4:$U$803,$B183&amp;"|"&amp;V$5,'Competency Event Log'!$D$4:$D$803)))</f>
        <v/>
      </c>
      <c r="W183" s="8" t="str">
        <f>IF($B183="","",IF(COUNTIF('Competency Event Log'!$U$4:$U$803,$B183&amp;"|"&amp;W$5)=0,"",SUMIF('Competency Event Log'!$U$4:$U$803,$B183&amp;"|"&amp;W$5,'Competency Event Log'!$D$4:$D$803)))</f>
        <v/>
      </c>
      <c r="X183" s="8" t="str">
        <f>IF($B183="","",IF(COUNTIF('Competency Event Log'!$U$4:$U$803,$B183&amp;"|"&amp;X$5)=0,"",SUMIF('Competency Event Log'!$U$4:$U$803,$B183&amp;"|"&amp;X$5,'Competency Event Log'!$D$4:$D$803)))</f>
        <v/>
      </c>
      <c r="Y183" s="8" t="str">
        <f>IF($B183="","",IF(COUNTIF('Competency Event Log'!$U$4:$U$803,$B183&amp;"|"&amp;Y$5)=0,"",SUMIF('Competency Event Log'!$U$4:$U$803,$B183&amp;"|"&amp;Y$5,'Competency Event Log'!$D$4:$D$803)))</f>
        <v/>
      </c>
      <c r="Z183" s="8" t="str">
        <f>IF($B183="","",IF(COUNTIF('Competency Event Log'!$U$4:$U$803,$B183&amp;"|"&amp;Z$5)=0,"",SUMIF('Competency Event Log'!$U$4:$U$803,$B183&amp;"|"&amp;Z$5,'Competency Event Log'!$D$4:$D$803)))</f>
        <v/>
      </c>
      <c r="AA183" s="8" t="str">
        <f>IF($B183="","",IF(COUNTIF('Competency Event Log'!$U$4:$U$803,$B183&amp;"|"&amp;AA$5)=0,"",SUMIF('Competency Event Log'!$U$4:$U$803,$B183&amp;"|"&amp;AA$5,'Competency Event Log'!$D$4:$D$803)))</f>
        <v/>
      </c>
      <c r="AB183" s="8" t="str">
        <f>IF($B183="","",IF(COUNTIF('Competency Event Log'!$U$4:$U$803,$B183&amp;"|"&amp;AB$5)=0,"",SUMIF('Competency Event Log'!$U$4:$U$803,$B183&amp;"|"&amp;AB$5,'Competency Event Log'!$D$4:$D$803)))</f>
        <v/>
      </c>
      <c r="AC183" s="8" t="str">
        <f>IF($B183="","",IF(COUNTIF('Competency Event Log'!$U$4:$U$803,$B183&amp;"|"&amp;AC$5)=0,"",SUMIF('Competency Event Log'!$U$4:$U$803,$B183&amp;"|"&amp;AC$5,'Competency Event Log'!$D$4:$D$803)))</f>
        <v/>
      </c>
      <c r="AD183" s="8" t="str">
        <f>IF($B183="","",IF(COUNTIF('Competency Event Log'!$U$4:$U$803,$B183&amp;"|"&amp;AD$5)=0,"",SUMIF('Competency Event Log'!$U$4:$U$803,$B183&amp;"|"&amp;AD$5,'Competency Event Log'!$D$4:$D$803)))</f>
        <v/>
      </c>
      <c r="AE183" s="8" t="str">
        <f>IF($B183="","",IF(COUNTIF('Competency Event Log'!$U$4:$U$803,$B183&amp;"|"&amp;AE$5)=0,"",SUMIF('Competency Event Log'!$U$4:$U$803,$B183&amp;"|"&amp;AE$5,'Competency Event Log'!$D$4:$D$803)))</f>
        <v/>
      </c>
      <c r="AF183" s="8" t="str">
        <f>IF($B183="","",IF(COUNTIF('Competency Event Log'!$U$4:$U$803,$B183&amp;"|"&amp;AF$5)=0,"",SUMIF('Competency Event Log'!$U$4:$U$803,$B183&amp;"|"&amp;AF$5,'Competency Event Log'!$D$4:$D$803)))</f>
        <v/>
      </c>
      <c r="AG183" s="8" t="str">
        <f>IF($B183="","",IF(COUNTIF('Competency Event Log'!$U$4:$U$803,$B183&amp;"|"&amp;AG$5)=0,"",SUMIF('Competency Event Log'!$U$4:$U$803,$B183&amp;"|"&amp;AG$5,'Competency Event Log'!$D$4:$D$803)))</f>
        <v/>
      </c>
      <c r="AH183" s="8" t="str">
        <f>IF($B183="","",IF(COUNTIF('Competency Event Log'!$U$4:$U$803,$B183&amp;"|"&amp;AH$5)=0,"",SUMIF('Competency Event Log'!$U$4:$U$803,$B183&amp;"|"&amp;AH$5,'Competency Event Log'!$D$4:$D$803)))</f>
        <v/>
      </c>
      <c r="AI183" s="8" t="str">
        <f>IF($B183="","",IF(COUNTIF('Competency Event Log'!$U$4:$U$803,$B183&amp;"|"&amp;AI$5)=0,"",SUMIF('Competency Event Log'!$U$4:$U$803,$B183&amp;"|"&amp;AI$5,'Competency Event Log'!$D$4:$D$803)))</f>
        <v/>
      </c>
      <c r="AJ183" s="8" t="str">
        <f>IF($B183="","",IF(COUNTIF('Competency Event Log'!$U$4:$U$803,$B183&amp;"|"&amp;AJ$5)=0,"",SUMIF('Competency Event Log'!$U$4:$U$803,$B183&amp;"|"&amp;AJ$5,'Competency Event Log'!$D$4:$D$803)))</f>
        <v/>
      </c>
      <c r="AK183" s="8" t="str">
        <f>IF($B183="","",IF(COUNTIF('Competency Event Log'!$U$4:$U$803,$B183&amp;"|"&amp;AK$5)=0,"",SUMIF('Competency Event Log'!$U$4:$U$803,$B183&amp;"|"&amp;AK$5,'Competency Event Log'!$D$4:$D$803)))</f>
        <v/>
      </c>
      <c r="AL183" s="8" t="str">
        <f>IF($B183="","",IF(COUNTIF('Competency Event Log'!$U$4:$U$803,$B183&amp;"|"&amp;AL$5)=0,"",SUMIF('Competency Event Log'!$U$4:$U$803,$B183&amp;"|"&amp;AL$5,'Competency Event Log'!$D$4:$D$803)))</f>
        <v/>
      </c>
      <c r="AM183" s="8" t="str">
        <f>IF($B183="","",IF(COUNTIF('Competency Event Log'!$U$4:$U$803,$B183&amp;"|"&amp;AM$5)=0,"",SUMIF('Competency Event Log'!$U$4:$U$803,$B183&amp;"|"&amp;AM$5,'Competency Event Log'!$D$4:$D$803)))</f>
        <v/>
      </c>
      <c r="AN183" s="8" t="str">
        <f>IF($B183="","",IF(COUNTIF('Competency Event Log'!$U$4:$U$803,$B183&amp;"|"&amp;AN$5)=0,"",SUMIF('Competency Event Log'!$U$4:$U$803,$B183&amp;"|"&amp;AN$5,'Competency Event Log'!$D$4:$D$803)))</f>
        <v/>
      </c>
      <c r="AO183" s="8" t="str">
        <f>IF($B183="","",IF(COUNTIF('Competency Event Log'!$U$4:$U$803,$B183&amp;"|"&amp;AO$5)=0,"",SUMIF('Competency Event Log'!$U$4:$U$803,$B183&amp;"|"&amp;AO$5,'Competency Event Log'!$D$4:$D$803)))</f>
        <v/>
      </c>
      <c r="AP183" s="8" t="str">
        <f>IF($B183="","",IF(COUNTIF('Competency Event Log'!$U$4:$U$803,$B183&amp;"|"&amp;AP$5)=0,"",SUMIF('Competency Event Log'!$U$4:$U$803,$B183&amp;"|"&amp;AP$5,'Competency Event Log'!$D$4:$D$803)))</f>
        <v/>
      </c>
      <c r="AQ183" s="8" t="str">
        <f>IF($B183="","",IF(COUNTIF('Competency Event Log'!$U$4:$U$803,$B183&amp;"|"&amp;AQ$5)=0,"",SUMIF('Competency Event Log'!$U$4:$U$803,$B183&amp;"|"&amp;AQ$5,'Competency Event Log'!$D$4:$D$803)))</f>
        <v/>
      </c>
      <c r="AR183" s="8" t="str">
        <f>IF($B183="","",IF(COUNTIF('Competency Event Log'!$U$4:$U$803,$B183&amp;"|"&amp;AR$5)=0,"",SUMIF('Competency Event Log'!$U$4:$U$803,$B183&amp;"|"&amp;AR$5,'Competency Event Log'!$D$4:$D$803)))</f>
        <v/>
      </c>
      <c r="AS183" s="8" t="str">
        <f>IF($B183="","",IF(COUNTIF('Competency Event Log'!$U$4:$U$803,$B183&amp;"|"&amp;AS$5)=0,"",SUMIF('Competency Event Log'!$U$4:$U$803,$B183&amp;"|"&amp;AS$5,'Competency Event Log'!$D$4:$D$803)))</f>
        <v/>
      </c>
      <c r="AT183" s="8" t="str">
        <f>IF($B183="","",IF(COUNTIF('Competency Event Log'!$U$4:$U$803,$B183&amp;"|"&amp;AT$5)=0,"",SUMIF('Competency Event Log'!$U$4:$U$803,$B183&amp;"|"&amp;AT$5,'Competency Event Log'!$D$4:$D$803)))</f>
        <v/>
      </c>
      <c r="AU183" s="8" t="str">
        <f>IF($B183="","",IF(COUNTIF('Competency Event Log'!$U$4:$U$803,$B183&amp;"|"&amp;AU$5)=0,"",SUMIF('Competency Event Log'!$U$4:$U$803,$B183&amp;"|"&amp;AU$5,'Competency Event Log'!$D$4:$D$803)))</f>
        <v/>
      </c>
      <c r="AV183" s="8" t="str">
        <f>IF($B183="","",IF(COUNTIF('Competency Event Log'!$U$4:$U$803,$B183&amp;"|"&amp;AV$5)=0,"",SUMIF('Competency Event Log'!$U$4:$U$803,$B183&amp;"|"&amp;AV$5,'Competency Event Log'!$D$4:$D$803)))</f>
        <v/>
      </c>
      <c r="AW183" s="8" t="str">
        <f>IF($B183="","",IF(COUNTIF('Competency Event Log'!$U$4:$U$803,$B183&amp;"|"&amp;AW$5)=0,"",SUMIF('Competency Event Log'!$U$4:$U$803,$B183&amp;"|"&amp;AW$5,'Competency Event Log'!$D$4:$D$803)))</f>
        <v/>
      </c>
      <c r="AX183" s="8" t="str">
        <f>IF($B183="","",IF(COUNTIF('Competency Event Log'!$U$4:$U$803,$B183&amp;"|"&amp;AX$5)=0,"",SUMIF('Competency Event Log'!$U$4:$U$803,$B183&amp;"|"&amp;AX$5,'Competency Event Log'!$D$4:$D$803)))</f>
        <v/>
      </c>
      <c r="AY183" s="8" t="str">
        <f>IF($B183="","",IF(COUNTIF('Competency Event Log'!$U$4:$U$803,$B183&amp;"|"&amp;AY$5)=0,"",SUMIF('Competency Event Log'!$U$4:$U$803,$B183&amp;"|"&amp;AY$5,'Competency Event Log'!$D$4:$D$803)))</f>
        <v/>
      </c>
      <c r="AZ183" s="8" t="str">
        <f>IF($B183="","",IF(COUNTIF('Competency Event Log'!$U$4:$U$803,$B183&amp;"|"&amp;AZ$5)=0,"",SUMIF('Competency Event Log'!$U$4:$U$803,$B183&amp;"|"&amp;AZ$5,'Competency Event Log'!$D$4:$D$803)))</f>
        <v/>
      </c>
      <c r="BA183" s="8" t="str">
        <f>IF($B183="","",IF(COUNTIF('Competency Event Log'!$U$4:$U$803,$B183&amp;"|"&amp;BA$5)=0,"",SUMIF('Competency Event Log'!$U$4:$U$803,$B183&amp;"|"&amp;BA$5,'Competency Event Log'!$D$4:$D$803)))</f>
        <v/>
      </c>
      <c r="BB183" s="8" t="str">
        <f>IF($B183="","",IF(COUNTIF('Competency Event Log'!$U$4:$U$803,$B183&amp;"|"&amp;BB$5)=0,"",SUMIF('Competency Event Log'!$U$4:$U$803,$B183&amp;"|"&amp;BB$5,'Competency Event Log'!$D$4:$D$803)))</f>
        <v/>
      </c>
      <c r="BC183" s="8" t="str">
        <f>IF($B183="","",IF(COUNTIF('Competency Event Log'!$U$4:$U$803,$B183&amp;"|"&amp;BC$5)=0,"",SUMIF('Competency Event Log'!$U$4:$U$803,$B183&amp;"|"&amp;BC$5,'Competency Event Log'!$D$4:$D$803)))</f>
        <v/>
      </c>
      <c r="BD183" s="8" t="str">
        <f>IF($B183="","",IF(COUNTIF('Competency Event Log'!$U$4:$U$803,$B183&amp;"|"&amp;BD$5)=0,"",SUMIF('Competency Event Log'!$U$4:$U$803,$B183&amp;"|"&amp;BD$5,'Competency Event Log'!$D$4:$D$803)))</f>
        <v/>
      </c>
      <c r="BE183" s="8" t="str">
        <f>IF($B183="","",IF(COUNTIF('Competency Event Log'!$U$4:$U$803,$B183&amp;"|"&amp;BE$5)=0,"",SUMIF('Competency Event Log'!$U$4:$U$803,$B183&amp;"|"&amp;BE$5,'Competency Event Log'!$D$4:$D$803)))</f>
        <v/>
      </c>
      <c r="BF183" s="8" t="str">
        <f>IF($B183="","",IF(COUNTIF('Competency Event Log'!$U$4:$U$803,$B183&amp;"|"&amp;BF$5)=0,"",SUMIF('Competency Event Log'!$U$4:$U$803,$B183&amp;"|"&amp;BF$5,'Competency Event Log'!$D$4:$D$803)))</f>
        <v/>
      </c>
      <c r="BG183" s="8" t="str">
        <f>IF($B183="","",IF(COUNTIF('Competency Event Log'!$U$4:$U$803,$B183&amp;"|"&amp;BG$5)=0,"",SUMIF('Competency Event Log'!$U$4:$U$803,$B183&amp;"|"&amp;BG$5,'Competency Event Log'!$D$4:$D$803)))</f>
        <v/>
      </c>
      <c r="BH183" s="8" t="str">
        <f>IF($B183="","",IF(COUNTIF('Competency Event Log'!$U$4:$U$803,$B183&amp;"|"&amp;BH$5)=0,"",SUMIF('Competency Event Log'!$U$4:$U$803,$B183&amp;"|"&amp;BH$5,'Competency Event Log'!$D$4:$D$803)))</f>
        <v/>
      </c>
      <c r="BI183" s="8" t="str">
        <f>IF($B183="","",IF(COUNTIF('Competency Event Log'!$U$4:$U$803,$B183&amp;"|"&amp;BI$5)=0,"",SUMIF('Competency Event Log'!$U$4:$U$803,$B183&amp;"|"&amp;BI$5,'Competency Event Log'!$D$4:$D$803)))</f>
        <v/>
      </c>
      <c r="BJ183" s="8" t="str">
        <f>IF($B183="","",IF(COUNTIF('Competency Event Log'!$U$4:$U$803,$B183&amp;"|"&amp;BJ$5)=0,"",SUMIF('Competency Event Log'!$U$4:$U$803,$B183&amp;"|"&amp;BJ$5,'Competency Event Log'!$D$4:$D$803)))</f>
        <v/>
      </c>
      <c r="BK183" s="8" t="str">
        <f>IF($B183="","",IF(COUNTIF('Competency Event Log'!$U$4:$U$803,$B183&amp;"|"&amp;BK$5)=0,"",SUMIF('Competency Event Log'!$U$4:$U$803,$B183&amp;"|"&amp;BK$5,'Competency Event Log'!$D$4:$D$803)))</f>
        <v/>
      </c>
      <c r="BL183" s="8" t="str">
        <f>IF($B183="","",IF(COUNTIF('Competency Event Log'!$U$4:$U$803,$B183&amp;"|"&amp;BL$5)=0,"",SUMIF('Competency Event Log'!$U$4:$U$803,$B183&amp;"|"&amp;BL$5,'Competency Event Log'!$D$4:$D$803)))</f>
        <v/>
      </c>
      <c r="BM183" s="8" t="str">
        <f>IF($B183="","",IF(COUNTIF('Competency Event Log'!$U$4:$U$803,$B183&amp;"|"&amp;BM$5)=0,"",SUMIF('Competency Event Log'!$U$4:$U$803,$B183&amp;"|"&amp;BM$5,'Competency Event Log'!$D$4:$D$803)))</f>
        <v/>
      </c>
      <c r="BN183" s="8" t="str">
        <f>IF($B183="","",IF(COUNTIF('Competency Event Log'!$U$4:$U$803,$B183&amp;"|"&amp;BN$5)=0,"",SUMIF('Competency Event Log'!$U$4:$U$803,$B183&amp;"|"&amp;BN$5,'Competency Event Log'!$D$4:$D$803)))</f>
        <v/>
      </c>
      <c r="BO183" s="8" t="str">
        <f>IF($B183="","",IF(COUNTIF('Competency Event Log'!$U$4:$U$803,$B183&amp;"|"&amp;BO$5)=0,"",SUMIF('Competency Event Log'!$U$4:$U$803,$B183&amp;"|"&amp;BO$5,'Competency Event Log'!$D$4:$D$803)))</f>
        <v/>
      </c>
      <c r="BP183" s="8" t="str">
        <f>IF($B183="","",IF(COUNTIF('Competency Event Log'!$U$4:$U$803,$B183&amp;"|"&amp;BP$5)=0,"",SUMIF('Competency Event Log'!$U$4:$U$803,$B183&amp;"|"&amp;BP$5,'Competency Event Log'!$D$4:$D$803)))</f>
        <v/>
      </c>
      <c r="BQ183" s="8" t="str">
        <f>IF($B183="","",IF(COUNTIF('Competency Event Log'!$U$4:$U$803,$B183&amp;"|"&amp;BQ$5)=0,"",SUMIF('Competency Event Log'!$U$4:$U$803,$B183&amp;"|"&amp;BQ$5,'Competency Event Log'!$D$4:$D$803)))</f>
        <v/>
      </c>
      <c r="BR183" s="8" t="str">
        <f>IF($B183="","",IF(COUNTIF('Competency Event Log'!$U$4:$U$803,$B183&amp;"|"&amp;BR$5)=0,"",SUMIF('Competency Event Log'!$U$4:$U$803,$B183&amp;"|"&amp;BR$5,'Competency Event Log'!$D$4:$D$803)))</f>
        <v/>
      </c>
      <c r="BS183" s="8" t="str">
        <f>IF($B183="","",IF(COUNTIF('Competency Event Log'!$U$4:$U$803,$B183&amp;"|"&amp;BS$5)=0,"",SUMIF('Competency Event Log'!$U$4:$U$803,$B183&amp;"|"&amp;BS$5,'Competency Event Log'!$D$4:$D$803)))</f>
        <v/>
      </c>
      <c r="BT183" s="8" t="str">
        <f>IF($B183="","",IF(COUNTIF('Competency Event Log'!$U$4:$U$803,$B183&amp;"|"&amp;BT$5)=0,"",SUMIF('Competency Event Log'!$U$4:$U$803,$B183&amp;"|"&amp;BT$5,'Competency Event Log'!$D$4:$D$803)))</f>
        <v/>
      </c>
      <c r="BU183" s="8" t="str">
        <f>IF($B183="","",IF(COUNTIF('Competency Event Log'!$U$4:$U$803,$B183&amp;"|"&amp;BU$5)=0,"",SUMIF('Competency Event Log'!$U$4:$U$803,$B183&amp;"|"&amp;BU$5,'Competency Event Log'!$D$4:$D$803)))</f>
        <v/>
      </c>
      <c r="BV183" s="8" t="str">
        <f>IF($B183="","",IF(COUNTIF('Competency Event Log'!$U$4:$U$803,$B183&amp;"|"&amp;BV$5)=0,"",SUMIF('Competency Event Log'!$U$4:$U$803,$B183&amp;"|"&amp;BV$5,'Competency Event Log'!$D$4:$D$803)))</f>
        <v/>
      </c>
      <c r="BW183" s="8" t="str">
        <f>IF($B183="","",IF(COUNTIF('Competency Event Log'!$U$4:$U$803,$B183&amp;"|"&amp;BW$5)=0,"",SUMIF('Competency Event Log'!$U$4:$U$803,$B183&amp;"|"&amp;BW$5,'Competency Event Log'!$D$4:$D$803)))</f>
        <v/>
      </c>
      <c r="BX183" s="8" t="str">
        <f>IF($B183="","",IF(COUNTIF('Competency Event Log'!$U$4:$U$803,$B183&amp;"|"&amp;BX$5)=0,"",SUMIF('Competency Event Log'!$U$4:$U$803,$B183&amp;"|"&amp;BX$5,'Competency Event Log'!$D$4:$D$803)))</f>
        <v/>
      </c>
      <c r="BY183" s="8" t="str">
        <f>IF($B183="","",IF(COUNTIF('Competency Event Log'!$U$4:$U$803,$B183&amp;"|"&amp;BY$5)=0,"",SUMIF('Competency Event Log'!$U$4:$U$803,$B183&amp;"|"&amp;BY$5,'Competency Event Log'!$D$4:$D$803)))</f>
        <v/>
      </c>
      <c r="BZ183" s="8" t="str">
        <f>IF($B183="","",IF(COUNTIF('Competency Event Log'!$U$4:$U$803,$B183&amp;"|"&amp;BZ$5)=0,"",SUMIF('Competency Event Log'!$U$4:$U$803,$B183&amp;"|"&amp;BZ$5,'Competency Event Log'!$D$4:$D$803)))</f>
        <v/>
      </c>
      <c r="CA183" s="8" t="str">
        <f>IF($B183="","",IF(COUNTIF('Competency Event Log'!$U$4:$U$803,$B183&amp;"|"&amp;CA$5)=0,"",SUMIF('Competency Event Log'!$U$4:$U$803,$B183&amp;"|"&amp;CA$5,'Competency Event Log'!$D$4:$D$803)))</f>
        <v/>
      </c>
      <c r="CB183" s="8" t="str">
        <f>IF($B183="","",IF(COUNTIF('Competency Event Log'!$U$4:$U$803,$B183&amp;"|"&amp;CB$5)=0,"",SUMIF('Competency Event Log'!$U$4:$U$803,$B183&amp;"|"&amp;CB$5,'Competency Event Log'!$D$4:$D$803)))</f>
        <v/>
      </c>
      <c r="CC183" s="8" t="str">
        <f>IF($B183="","",IF(COUNTIF('Competency Event Log'!$U$4:$U$803,$B183&amp;"|"&amp;CC$5)=0,"",SUMIF('Competency Event Log'!$U$4:$U$803,$B183&amp;"|"&amp;CC$5,'Competency Event Log'!$D$4:$D$803)))</f>
        <v/>
      </c>
      <c r="CD183" s="8" t="str">
        <f>IF($B183="","",IF(COUNTIF('Competency Event Log'!$U$4:$U$803,$B183&amp;"|"&amp;CD$5)=0,"",SUMIF('Competency Event Log'!$U$4:$U$803,$B183&amp;"|"&amp;CD$5,'Competency Event Log'!$D$4:$D$803)))</f>
        <v/>
      </c>
      <c r="CE183" s="8" t="str">
        <f>IF($B183="","",IF(COUNTIF('Competency Event Log'!$U$4:$U$803,$B183&amp;"|"&amp;CE$5)=0,"",SUMIF('Competency Event Log'!$U$4:$U$803,$B183&amp;"|"&amp;CE$5,'Competency Event Log'!$D$4:$D$803)))</f>
        <v/>
      </c>
      <c r="CF183" s="8" t="str">
        <f>IF($B183="","",IF(COUNTIF('Competency Event Log'!$U$4:$U$803,$B183&amp;"|"&amp;CF$5)=0,"",SUMIF('Competency Event Log'!$U$4:$U$803,$B183&amp;"|"&amp;CF$5,'Competency Event Log'!$D$4:$D$803)))</f>
        <v/>
      </c>
      <c r="CG183" s="8" t="str">
        <f>IF($B183="","",IF(COUNTIF('Competency Event Log'!$U$4:$U$803,$B183&amp;"|"&amp;CG$5)=0,"",SUMIF('Competency Event Log'!$U$4:$U$803,$B183&amp;"|"&amp;CG$5,'Competency Event Log'!$D$4:$D$803)))</f>
        <v/>
      </c>
      <c r="CH183" s="8" t="str">
        <f>IF($B183="","",IF(COUNTIF('Competency Event Log'!$U$4:$U$803,$B183&amp;"|"&amp;CH$5)=0,"",SUMIF('Competency Event Log'!$U$4:$U$803,$B183&amp;"|"&amp;CH$5,'Competency Event Log'!$D$4:$D$803)))</f>
        <v/>
      </c>
      <c r="CI183" s="8" t="str">
        <f>IF($B183="","",IF(COUNTIF('Competency Event Log'!$U$4:$U$803,$B183&amp;"|"&amp;CI$5)=0,"",SUMIF('Competency Event Log'!$U$4:$U$803,$B183&amp;"|"&amp;CI$5,'Competency Event Log'!$D$4:$D$803)))</f>
        <v/>
      </c>
      <c r="CJ183" s="8" t="str">
        <f>IF($B183="","",IF(COUNTIF('Competency Event Log'!$U$4:$U$803,$B183&amp;"|"&amp;CJ$5)=0,"",SUMIF('Competency Event Log'!$U$4:$U$803,$B183&amp;"|"&amp;CJ$5,'Competency Event Log'!$D$4:$D$803)))</f>
        <v/>
      </c>
      <c r="CK183" s="8" t="str">
        <f>IF($B183="","",IF(COUNTIF('Competency Event Log'!$U$4:$U$803,$B183&amp;"|"&amp;CK$5)=0,"",SUMIF('Competency Event Log'!$U$4:$U$803,$B183&amp;"|"&amp;CK$5,'Competency Event Log'!$D$4:$D$803)))</f>
        <v/>
      </c>
      <c r="CL183" s="8" t="str">
        <f>IF($B183="","",IF(COUNTIF('Competency Event Log'!$U$4:$U$803,$B183&amp;"|"&amp;CL$5)=0,"",SUMIF('Competency Event Log'!$U$4:$U$803,$B183&amp;"|"&amp;CL$5,'Competency Event Log'!$D$4:$D$803)))</f>
        <v/>
      </c>
      <c r="CM183" s="8" t="str">
        <f>IF($B183="","",IF(COUNTIF('Competency Event Log'!$U$4:$U$803,$B183&amp;"|"&amp;CM$5)=0,"",SUMIF('Competency Event Log'!$U$4:$U$803,$B183&amp;"|"&amp;CM$5,'Competency Event Log'!$D$4:$D$803)))</f>
        <v/>
      </c>
      <c r="CN183" s="8" t="str">
        <f>IF($B183="","",IF(COUNTIF('Competency Event Log'!$U$4:$U$803,$B183&amp;"|"&amp;CN$5)=0,"",SUMIF('Competency Event Log'!$U$4:$U$803,$B183&amp;"|"&amp;CN$5,'Competency Event Log'!$D$4:$D$803)))</f>
        <v/>
      </c>
      <c r="CO183" s="8" t="str">
        <f>IF($B183="","",IF(COUNTIF('Competency Event Log'!$U$4:$U$803,$B183&amp;"|"&amp;CO$5)=0,"",SUMIF('Competency Event Log'!$U$4:$U$803,$B183&amp;"|"&amp;CO$5,'Competency Event Log'!$D$4:$D$803)))</f>
        <v/>
      </c>
      <c r="CP183" s="8" t="str">
        <f>IF($B183="","",IF(COUNTIF('Competency Event Log'!$U$4:$U$803,$B183&amp;"|"&amp;CP$5)=0,"",SUMIF('Competency Event Log'!$U$4:$U$803,$B183&amp;"|"&amp;CP$5,'Competency Event Log'!$D$4:$D$803)))</f>
        <v/>
      </c>
      <c r="CQ183" s="8" t="str">
        <f>IF($B183="","",IF(COUNTIF('Competency Event Log'!$U$4:$U$803,$B183&amp;"|"&amp;CQ$5)=0,"",SUMIF('Competency Event Log'!$U$4:$U$803,$B183&amp;"|"&amp;CQ$5,'Competency Event Log'!$D$4:$D$803)))</f>
        <v/>
      </c>
      <c r="CR183" s="8" t="str">
        <f>IF($B183="","",IF(COUNTIF('Competency Event Log'!$U$4:$U$803,$B183&amp;"|"&amp;CR$5)=0,"",SUMIF('Competency Event Log'!$U$4:$U$803,$B183&amp;"|"&amp;CR$5,'Competency Event Log'!$D$4:$D$803)))</f>
        <v/>
      </c>
      <c r="CS183" s="8" t="str">
        <f>IF($B183="","",IF(COUNTIF('Competency Event Log'!$U$4:$U$803,$B183&amp;"|"&amp;CS$5)=0,"",SUMIF('Competency Event Log'!$U$4:$U$803,$B183&amp;"|"&amp;CS$5,'Competency Event Log'!$D$4:$D$803)))</f>
        <v/>
      </c>
      <c r="CT183" s="8" t="str">
        <f>IF($B183="","",IF(COUNTIF('Competency Event Log'!$U$4:$U$803,$B183&amp;"|"&amp;CT$5)=0,"",SUMIF('Competency Event Log'!$U$4:$U$803,$B183&amp;"|"&amp;CT$5,'Competency Event Log'!$D$4:$D$803)))</f>
        <v/>
      </c>
      <c r="CU183" s="8" t="str">
        <f>IF($B183="","",IF(COUNTIF('Competency Event Log'!$U$4:$U$803,$B183&amp;"|"&amp;CU$5)=0,"",SUMIF('Competency Event Log'!$U$4:$U$803,$B183&amp;"|"&amp;CU$5,'Competency Event Log'!$D$4:$D$803)))</f>
        <v/>
      </c>
      <c r="CV183" s="8" t="str">
        <f>IF($B183="","",IF(COUNTIF('Competency Event Log'!$U$4:$U$803,$B183&amp;"|"&amp;CV$5)=0,"",SUMIF('Competency Event Log'!$U$4:$U$803,$B183&amp;"|"&amp;CV$5,'Competency Event Log'!$D$4:$D$803)))</f>
        <v/>
      </c>
      <c r="CW183" s="8" t="str">
        <f>IF($B183="","",IF(COUNTIF('Competency Event Log'!$U$4:$U$803,$B183&amp;"|"&amp;CW$5)=0,"",SUMIF('Competency Event Log'!$U$4:$U$803,$B183&amp;"|"&amp;CW$5,'Competency Event Log'!$D$4:$D$803)))</f>
        <v/>
      </c>
      <c r="CX183" s="8" t="str">
        <f>IF($B183="","",IF(COUNTIF('Competency Event Log'!$U$4:$U$803,$B183&amp;"|"&amp;CX$5)=0,"",SUMIF('Competency Event Log'!$U$4:$U$803,$B183&amp;"|"&amp;CX$5,'Competency Event Log'!$D$4:$D$803)))</f>
        <v/>
      </c>
      <c r="CY183" s="8" t="str">
        <f>IF($B183="","",IF(COUNTIF('Competency Event Log'!$U$4:$U$803,$B183&amp;"|"&amp;CY$5)=0,"",SUMIF('Competency Event Log'!$U$4:$U$803,$B183&amp;"|"&amp;CY$5,'Competency Event Log'!$D$4:$D$803)))</f>
        <v/>
      </c>
      <c r="CZ183" s="8" t="str">
        <f>IF($B183="","",IF(COUNTIF('Competency Event Log'!$U$4:$U$803,$B183&amp;"|"&amp;CZ$5)=0,"",SUMIF('Competency Event Log'!$U$4:$U$803,$B183&amp;"|"&amp;CZ$5,'Competency Event Log'!$D$4:$D$803)))</f>
        <v/>
      </c>
      <c r="DA183" s="8" t="str">
        <f>IF($B183="","",IF(COUNTIF('Competency Event Log'!$U$4:$U$803,$B183&amp;"|"&amp;DA$5)=0,"",SUMIF('Competency Event Log'!$U$4:$U$803,$B183&amp;"|"&amp;DA$5,'Competency Event Log'!$D$4:$D$803)))</f>
        <v/>
      </c>
      <c r="DB183" s="8" t="str">
        <f>IF($B183="","",IF(COUNTIF('Competency Event Log'!$U$4:$U$803,$B183&amp;"|"&amp;DB$5)=0,"",SUMIF('Competency Event Log'!$U$4:$U$803,$B183&amp;"|"&amp;DB$5,'Competency Event Log'!$D$4:$D$803)))</f>
        <v/>
      </c>
      <c r="DC183" s="8" t="str">
        <f>IF($B183="","",IF(COUNTIF('Competency Event Log'!$U$4:$U$803,$B183&amp;"|"&amp;DC$5)=0,"",SUMIF('Competency Event Log'!$U$4:$U$803,$B183&amp;"|"&amp;DC$5,'Competency Event Log'!$D$4:$D$803)))</f>
        <v/>
      </c>
      <c r="DD183" s="8" t="str">
        <f>IF($B183="","",IF(COUNTIF('Competency Event Log'!$U$4:$U$803,$B183&amp;"|"&amp;DD$5)=0,"",SUMIF('Competency Event Log'!$U$4:$U$803,$B183&amp;"|"&amp;DD$5,'Competency Event Log'!$D$4:$D$803)))</f>
        <v/>
      </c>
      <c r="DE183" s="8" t="str">
        <f>IF($B183="","",IF(COUNTIF('Competency Event Log'!$U$4:$U$803,$B183&amp;"|"&amp;DE$5)=0,"",SUMIF('Competency Event Log'!$U$4:$U$803,$B183&amp;"|"&amp;DE$5,'Competency Event Log'!$D$4:$D$803)))</f>
        <v/>
      </c>
      <c r="DF183" s="8" t="str">
        <f t="shared" si="20"/>
        <v/>
      </c>
      <c r="DG183" s="8" t="str">
        <f t="shared" si="21"/>
        <v/>
      </c>
      <c r="DH183" s="8" t="str">
        <f t="shared" si="22"/>
        <v/>
      </c>
      <c r="DI183" s="11" t="str">
        <f t="shared" si="23"/>
        <v/>
      </c>
    </row>
    <row r="184" spans="1:113">
      <c r="A184" s="7"/>
      <c r="B184" s="7"/>
      <c r="C184" s="8"/>
      <c r="D184" s="9"/>
      <c r="E184" s="10"/>
      <c r="F184" s="8"/>
      <c r="G184" s="8" t="str">
        <f>IF($B184="","",IF(COUNTIF('Competency Event Log'!$U$4:$U$803,$B184&amp;"|"&amp;G$5)=0,"",SUMIF('Competency Event Log'!$U$4:$U$803,$B184&amp;"|"&amp;G$5,'Competency Event Log'!$D$4:$D$803)))</f>
        <v/>
      </c>
      <c r="H184" s="8" t="str">
        <f>IF($B184="","",IF(COUNTIF('Competency Event Log'!$U$4:$U$803,$B184&amp;"|"&amp;H$5)=0,"",SUMIF('Competency Event Log'!$U$4:$U$803,$B184&amp;"|"&amp;H$5,'Competency Event Log'!$D$4:$D$803)))</f>
        <v/>
      </c>
      <c r="I184" s="8" t="str">
        <f>IF($B184="","",IF(COUNTIF('Competency Event Log'!$U$4:$U$803,$B184&amp;"|"&amp;I$5)=0,"",SUMIF('Competency Event Log'!$U$4:$U$803,$B184&amp;"|"&amp;I$5,'Competency Event Log'!$D$4:$D$803)))</f>
        <v/>
      </c>
      <c r="J184" s="8" t="str">
        <f>IF($B184="","",IF(COUNTIF('Competency Event Log'!$U$4:$U$803,$B184&amp;"|"&amp;J$5)=0,"",SUMIF('Competency Event Log'!$U$4:$U$803,$B184&amp;"|"&amp;J$5,'Competency Event Log'!$D$4:$D$803)))</f>
        <v/>
      </c>
      <c r="K184" s="8" t="str">
        <f>IF($B184="","",IF(COUNTIF('Competency Event Log'!$U$4:$U$803,$B184&amp;"|"&amp;K$5)=0,"",SUMIF('Competency Event Log'!$U$4:$U$803,$B184&amp;"|"&amp;K$5,'Competency Event Log'!$D$4:$D$803)))</f>
        <v/>
      </c>
      <c r="L184" s="8" t="str">
        <f>IF($B184="","",IF(COUNTIF('Competency Event Log'!$U$4:$U$803,$B184&amp;"|"&amp;L$5)=0,"",SUMIF('Competency Event Log'!$U$4:$U$803,$B184&amp;"|"&amp;L$5,'Competency Event Log'!$D$4:$D$803)))</f>
        <v/>
      </c>
      <c r="M184" s="8" t="str">
        <f>IF($B184="","",IF(COUNTIF('Competency Event Log'!$U$4:$U$803,$B184&amp;"|"&amp;M$5)=0,"",SUMIF('Competency Event Log'!$U$4:$U$803,$B184&amp;"|"&amp;M$5,'Competency Event Log'!$D$4:$D$803)))</f>
        <v/>
      </c>
      <c r="N184" s="8" t="str">
        <f>IF($B184="","",IF(COUNTIF('Competency Event Log'!$U$4:$U$803,$B184&amp;"|"&amp;N$5)=0,"",SUMIF('Competency Event Log'!$U$4:$U$803,$B184&amp;"|"&amp;N$5,'Competency Event Log'!$D$4:$D$803)))</f>
        <v/>
      </c>
      <c r="O184" s="8" t="str">
        <f>IF($B184="","",IF(COUNTIF('Competency Event Log'!$U$4:$U$803,$B184&amp;"|"&amp;O$5)=0,"",SUMIF('Competency Event Log'!$U$4:$U$803,$B184&amp;"|"&amp;O$5,'Competency Event Log'!$D$4:$D$803)))</f>
        <v/>
      </c>
      <c r="P184" s="8" t="str">
        <f>IF($B184="","",IF(COUNTIF('Competency Event Log'!$U$4:$U$803,$B184&amp;"|"&amp;P$5)=0,"",SUMIF('Competency Event Log'!$U$4:$U$803,$B184&amp;"|"&amp;P$5,'Competency Event Log'!$D$4:$D$803)))</f>
        <v/>
      </c>
      <c r="Q184" s="8" t="str">
        <f>IF($B184="","",IF(COUNTIF('Competency Event Log'!$U$4:$U$803,$B184&amp;"|"&amp;Q$5)=0,"",SUMIF('Competency Event Log'!$U$4:$U$803,$B184&amp;"|"&amp;Q$5,'Competency Event Log'!$D$4:$D$803)))</f>
        <v/>
      </c>
      <c r="R184" s="8" t="str">
        <f>IF($B184="","",IF(COUNTIF('Competency Event Log'!$U$4:$U$803,$B184&amp;"|"&amp;R$5)=0,"",SUMIF('Competency Event Log'!$U$4:$U$803,$B184&amp;"|"&amp;R$5,'Competency Event Log'!$D$4:$D$803)))</f>
        <v/>
      </c>
      <c r="S184" s="8" t="str">
        <f>IF($B184="","",IF(COUNTIF('Competency Event Log'!$U$4:$U$803,$B184&amp;"|"&amp;S$5)=0,"",SUMIF('Competency Event Log'!$U$4:$U$803,$B184&amp;"|"&amp;S$5,'Competency Event Log'!$D$4:$D$803)))</f>
        <v/>
      </c>
      <c r="T184" s="8" t="str">
        <f>IF($B184="","",IF(COUNTIF('Competency Event Log'!$U$4:$U$803,$B184&amp;"|"&amp;T$5)=0,"",SUMIF('Competency Event Log'!$U$4:$U$803,$B184&amp;"|"&amp;T$5,'Competency Event Log'!$D$4:$D$803)))</f>
        <v/>
      </c>
      <c r="U184" s="8" t="str">
        <f>IF($B184="","",IF(COUNTIF('Competency Event Log'!$U$4:$U$803,$B184&amp;"|"&amp;U$5)=0,"",SUMIF('Competency Event Log'!$U$4:$U$803,$B184&amp;"|"&amp;U$5,'Competency Event Log'!$D$4:$D$803)))</f>
        <v/>
      </c>
      <c r="V184" s="8" t="str">
        <f>IF($B184="","",IF(COUNTIF('Competency Event Log'!$U$4:$U$803,$B184&amp;"|"&amp;V$5)=0,"",SUMIF('Competency Event Log'!$U$4:$U$803,$B184&amp;"|"&amp;V$5,'Competency Event Log'!$D$4:$D$803)))</f>
        <v/>
      </c>
      <c r="W184" s="8" t="str">
        <f>IF($B184="","",IF(COUNTIF('Competency Event Log'!$U$4:$U$803,$B184&amp;"|"&amp;W$5)=0,"",SUMIF('Competency Event Log'!$U$4:$U$803,$B184&amp;"|"&amp;W$5,'Competency Event Log'!$D$4:$D$803)))</f>
        <v/>
      </c>
      <c r="X184" s="8" t="str">
        <f>IF($B184="","",IF(COUNTIF('Competency Event Log'!$U$4:$U$803,$B184&amp;"|"&amp;X$5)=0,"",SUMIF('Competency Event Log'!$U$4:$U$803,$B184&amp;"|"&amp;X$5,'Competency Event Log'!$D$4:$D$803)))</f>
        <v/>
      </c>
      <c r="Y184" s="8" t="str">
        <f>IF($B184="","",IF(COUNTIF('Competency Event Log'!$U$4:$U$803,$B184&amp;"|"&amp;Y$5)=0,"",SUMIF('Competency Event Log'!$U$4:$U$803,$B184&amp;"|"&amp;Y$5,'Competency Event Log'!$D$4:$D$803)))</f>
        <v/>
      </c>
      <c r="Z184" s="8" t="str">
        <f>IF($B184="","",IF(COUNTIF('Competency Event Log'!$U$4:$U$803,$B184&amp;"|"&amp;Z$5)=0,"",SUMIF('Competency Event Log'!$U$4:$U$803,$B184&amp;"|"&amp;Z$5,'Competency Event Log'!$D$4:$D$803)))</f>
        <v/>
      </c>
      <c r="AA184" s="8" t="str">
        <f>IF($B184="","",IF(COUNTIF('Competency Event Log'!$U$4:$U$803,$B184&amp;"|"&amp;AA$5)=0,"",SUMIF('Competency Event Log'!$U$4:$U$803,$B184&amp;"|"&amp;AA$5,'Competency Event Log'!$D$4:$D$803)))</f>
        <v/>
      </c>
      <c r="AB184" s="8" t="str">
        <f>IF($B184="","",IF(COUNTIF('Competency Event Log'!$U$4:$U$803,$B184&amp;"|"&amp;AB$5)=0,"",SUMIF('Competency Event Log'!$U$4:$U$803,$B184&amp;"|"&amp;AB$5,'Competency Event Log'!$D$4:$D$803)))</f>
        <v/>
      </c>
      <c r="AC184" s="8" t="str">
        <f>IF($B184="","",IF(COUNTIF('Competency Event Log'!$U$4:$U$803,$B184&amp;"|"&amp;AC$5)=0,"",SUMIF('Competency Event Log'!$U$4:$U$803,$B184&amp;"|"&amp;AC$5,'Competency Event Log'!$D$4:$D$803)))</f>
        <v/>
      </c>
      <c r="AD184" s="8" t="str">
        <f>IF($B184="","",IF(COUNTIF('Competency Event Log'!$U$4:$U$803,$B184&amp;"|"&amp;AD$5)=0,"",SUMIF('Competency Event Log'!$U$4:$U$803,$B184&amp;"|"&amp;AD$5,'Competency Event Log'!$D$4:$D$803)))</f>
        <v/>
      </c>
      <c r="AE184" s="8" t="str">
        <f>IF($B184="","",IF(COUNTIF('Competency Event Log'!$U$4:$U$803,$B184&amp;"|"&amp;AE$5)=0,"",SUMIF('Competency Event Log'!$U$4:$U$803,$B184&amp;"|"&amp;AE$5,'Competency Event Log'!$D$4:$D$803)))</f>
        <v/>
      </c>
      <c r="AF184" s="8" t="str">
        <f>IF($B184="","",IF(COUNTIF('Competency Event Log'!$U$4:$U$803,$B184&amp;"|"&amp;AF$5)=0,"",SUMIF('Competency Event Log'!$U$4:$U$803,$B184&amp;"|"&amp;AF$5,'Competency Event Log'!$D$4:$D$803)))</f>
        <v/>
      </c>
      <c r="AG184" s="8" t="str">
        <f>IF($B184="","",IF(COUNTIF('Competency Event Log'!$U$4:$U$803,$B184&amp;"|"&amp;AG$5)=0,"",SUMIF('Competency Event Log'!$U$4:$U$803,$B184&amp;"|"&amp;AG$5,'Competency Event Log'!$D$4:$D$803)))</f>
        <v/>
      </c>
      <c r="AH184" s="8" t="str">
        <f>IF($B184="","",IF(COUNTIF('Competency Event Log'!$U$4:$U$803,$B184&amp;"|"&amp;AH$5)=0,"",SUMIF('Competency Event Log'!$U$4:$U$803,$B184&amp;"|"&amp;AH$5,'Competency Event Log'!$D$4:$D$803)))</f>
        <v/>
      </c>
      <c r="AI184" s="8" t="str">
        <f>IF($B184="","",IF(COUNTIF('Competency Event Log'!$U$4:$U$803,$B184&amp;"|"&amp;AI$5)=0,"",SUMIF('Competency Event Log'!$U$4:$U$803,$B184&amp;"|"&amp;AI$5,'Competency Event Log'!$D$4:$D$803)))</f>
        <v/>
      </c>
      <c r="AJ184" s="8" t="str">
        <f>IF($B184="","",IF(COUNTIF('Competency Event Log'!$U$4:$U$803,$B184&amp;"|"&amp;AJ$5)=0,"",SUMIF('Competency Event Log'!$U$4:$U$803,$B184&amp;"|"&amp;AJ$5,'Competency Event Log'!$D$4:$D$803)))</f>
        <v/>
      </c>
      <c r="AK184" s="8" t="str">
        <f>IF($B184="","",IF(COUNTIF('Competency Event Log'!$U$4:$U$803,$B184&amp;"|"&amp;AK$5)=0,"",SUMIF('Competency Event Log'!$U$4:$U$803,$B184&amp;"|"&amp;AK$5,'Competency Event Log'!$D$4:$D$803)))</f>
        <v/>
      </c>
      <c r="AL184" s="8" t="str">
        <f>IF($B184="","",IF(COUNTIF('Competency Event Log'!$U$4:$U$803,$B184&amp;"|"&amp;AL$5)=0,"",SUMIF('Competency Event Log'!$U$4:$U$803,$B184&amp;"|"&amp;AL$5,'Competency Event Log'!$D$4:$D$803)))</f>
        <v/>
      </c>
      <c r="AM184" s="8" t="str">
        <f>IF($B184="","",IF(COUNTIF('Competency Event Log'!$U$4:$U$803,$B184&amp;"|"&amp;AM$5)=0,"",SUMIF('Competency Event Log'!$U$4:$U$803,$B184&amp;"|"&amp;AM$5,'Competency Event Log'!$D$4:$D$803)))</f>
        <v/>
      </c>
      <c r="AN184" s="8" t="str">
        <f>IF($B184="","",IF(COUNTIF('Competency Event Log'!$U$4:$U$803,$B184&amp;"|"&amp;AN$5)=0,"",SUMIF('Competency Event Log'!$U$4:$U$803,$B184&amp;"|"&amp;AN$5,'Competency Event Log'!$D$4:$D$803)))</f>
        <v/>
      </c>
      <c r="AO184" s="8" t="str">
        <f>IF($B184="","",IF(COUNTIF('Competency Event Log'!$U$4:$U$803,$B184&amp;"|"&amp;AO$5)=0,"",SUMIF('Competency Event Log'!$U$4:$U$803,$B184&amp;"|"&amp;AO$5,'Competency Event Log'!$D$4:$D$803)))</f>
        <v/>
      </c>
      <c r="AP184" s="8" t="str">
        <f>IF($B184="","",IF(COUNTIF('Competency Event Log'!$U$4:$U$803,$B184&amp;"|"&amp;AP$5)=0,"",SUMIF('Competency Event Log'!$U$4:$U$803,$B184&amp;"|"&amp;AP$5,'Competency Event Log'!$D$4:$D$803)))</f>
        <v/>
      </c>
      <c r="AQ184" s="8" t="str">
        <f>IF($B184="","",IF(COUNTIF('Competency Event Log'!$U$4:$U$803,$B184&amp;"|"&amp;AQ$5)=0,"",SUMIF('Competency Event Log'!$U$4:$U$803,$B184&amp;"|"&amp;AQ$5,'Competency Event Log'!$D$4:$D$803)))</f>
        <v/>
      </c>
      <c r="AR184" s="8" t="str">
        <f>IF($B184="","",IF(COUNTIF('Competency Event Log'!$U$4:$U$803,$B184&amp;"|"&amp;AR$5)=0,"",SUMIF('Competency Event Log'!$U$4:$U$803,$B184&amp;"|"&amp;AR$5,'Competency Event Log'!$D$4:$D$803)))</f>
        <v/>
      </c>
      <c r="AS184" s="8" t="str">
        <f>IF($B184="","",IF(COUNTIF('Competency Event Log'!$U$4:$U$803,$B184&amp;"|"&amp;AS$5)=0,"",SUMIF('Competency Event Log'!$U$4:$U$803,$B184&amp;"|"&amp;AS$5,'Competency Event Log'!$D$4:$D$803)))</f>
        <v/>
      </c>
      <c r="AT184" s="8" t="str">
        <f>IF($B184="","",IF(COUNTIF('Competency Event Log'!$U$4:$U$803,$B184&amp;"|"&amp;AT$5)=0,"",SUMIF('Competency Event Log'!$U$4:$U$803,$B184&amp;"|"&amp;AT$5,'Competency Event Log'!$D$4:$D$803)))</f>
        <v/>
      </c>
      <c r="AU184" s="8" t="str">
        <f>IF($B184="","",IF(COUNTIF('Competency Event Log'!$U$4:$U$803,$B184&amp;"|"&amp;AU$5)=0,"",SUMIF('Competency Event Log'!$U$4:$U$803,$B184&amp;"|"&amp;AU$5,'Competency Event Log'!$D$4:$D$803)))</f>
        <v/>
      </c>
      <c r="AV184" s="8" t="str">
        <f>IF($B184="","",IF(COUNTIF('Competency Event Log'!$U$4:$U$803,$B184&amp;"|"&amp;AV$5)=0,"",SUMIF('Competency Event Log'!$U$4:$U$803,$B184&amp;"|"&amp;AV$5,'Competency Event Log'!$D$4:$D$803)))</f>
        <v/>
      </c>
      <c r="AW184" s="8" t="str">
        <f>IF($B184="","",IF(COUNTIF('Competency Event Log'!$U$4:$U$803,$B184&amp;"|"&amp;AW$5)=0,"",SUMIF('Competency Event Log'!$U$4:$U$803,$B184&amp;"|"&amp;AW$5,'Competency Event Log'!$D$4:$D$803)))</f>
        <v/>
      </c>
      <c r="AX184" s="8" t="str">
        <f>IF($B184="","",IF(COUNTIF('Competency Event Log'!$U$4:$U$803,$B184&amp;"|"&amp;AX$5)=0,"",SUMIF('Competency Event Log'!$U$4:$U$803,$B184&amp;"|"&amp;AX$5,'Competency Event Log'!$D$4:$D$803)))</f>
        <v/>
      </c>
      <c r="AY184" s="8" t="str">
        <f>IF($B184="","",IF(COUNTIF('Competency Event Log'!$U$4:$U$803,$B184&amp;"|"&amp;AY$5)=0,"",SUMIF('Competency Event Log'!$U$4:$U$803,$B184&amp;"|"&amp;AY$5,'Competency Event Log'!$D$4:$D$803)))</f>
        <v/>
      </c>
      <c r="AZ184" s="8" t="str">
        <f>IF($B184="","",IF(COUNTIF('Competency Event Log'!$U$4:$U$803,$B184&amp;"|"&amp;AZ$5)=0,"",SUMIF('Competency Event Log'!$U$4:$U$803,$B184&amp;"|"&amp;AZ$5,'Competency Event Log'!$D$4:$D$803)))</f>
        <v/>
      </c>
      <c r="BA184" s="8" t="str">
        <f>IF($B184="","",IF(COUNTIF('Competency Event Log'!$U$4:$U$803,$B184&amp;"|"&amp;BA$5)=0,"",SUMIF('Competency Event Log'!$U$4:$U$803,$B184&amp;"|"&amp;BA$5,'Competency Event Log'!$D$4:$D$803)))</f>
        <v/>
      </c>
      <c r="BB184" s="8" t="str">
        <f>IF($B184="","",IF(COUNTIF('Competency Event Log'!$U$4:$U$803,$B184&amp;"|"&amp;BB$5)=0,"",SUMIF('Competency Event Log'!$U$4:$U$803,$B184&amp;"|"&amp;BB$5,'Competency Event Log'!$D$4:$D$803)))</f>
        <v/>
      </c>
      <c r="BC184" s="8" t="str">
        <f>IF($B184="","",IF(COUNTIF('Competency Event Log'!$U$4:$U$803,$B184&amp;"|"&amp;BC$5)=0,"",SUMIF('Competency Event Log'!$U$4:$U$803,$B184&amp;"|"&amp;BC$5,'Competency Event Log'!$D$4:$D$803)))</f>
        <v/>
      </c>
      <c r="BD184" s="8" t="str">
        <f>IF($B184="","",IF(COUNTIF('Competency Event Log'!$U$4:$U$803,$B184&amp;"|"&amp;BD$5)=0,"",SUMIF('Competency Event Log'!$U$4:$U$803,$B184&amp;"|"&amp;BD$5,'Competency Event Log'!$D$4:$D$803)))</f>
        <v/>
      </c>
      <c r="BE184" s="8" t="str">
        <f>IF($B184="","",IF(COUNTIF('Competency Event Log'!$U$4:$U$803,$B184&amp;"|"&amp;BE$5)=0,"",SUMIF('Competency Event Log'!$U$4:$U$803,$B184&amp;"|"&amp;BE$5,'Competency Event Log'!$D$4:$D$803)))</f>
        <v/>
      </c>
      <c r="BF184" s="8" t="str">
        <f>IF($B184="","",IF(COUNTIF('Competency Event Log'!$U$4:$U$803,$B184&amp;"|"&amp;BF$5)=0,"",SUMIF('Competency Event Log'!$U$4:$U$803,$B184&amp;"|"&amp;BF$5,'Competency Event Log'!$D$4:$D$803)))</f>
        <v/>
      </c>
      <c r="BG184" s="8" t="str">
        <f>IF($B184="","",IF(COUNTIF('Competency Event Log'!$U$4:$U$803,$B184&amp;"|"&amp;BG$5)=0,"",SUMIF('Competency Event Log'!$U$4:$U$803,$B184&amp;"|"&amp;BG$5,'Competency Event Log'!$D$4:$D$803)))</f>
        <v/>
      </c>
      <c r="BH184" s="8" t="str">
        <f>IF($B184="","",IF(COUNTIF('Competency Event Log'!$U$4:$U$803,$B184&amp;"|"&amp;BH$5)=0,"",SUMIF('Competency Event Log'!$U$4:$U$803,$B184&amp;"|"&amp;BH$5,'Competency Event Log'!$D$4:$D$803)))</f>
        <v/>
      </c>
      <c r="BI184" s="8" t="str">
        <f>IF($B184="","",IF(COUNTIF('Competency Event Log'!$U$4:$U$803,$B184&amp;"|"&amp;BI$5)=0,"",SUMIF('Competency Event Log'!$U$4:$U$803,$B184&amp;"|"&amp;BI$5,'Competency Event Log'!$D$4:$D$803)))</f>
        <v/>
      </c>
      <c r="BJ184" s="8" t="str">
        <f>IF($B184="","",IF(COUNTIF('Competency Event Log'!$U$4:$U$803,$B184&amp;"|"&amp;BJ$5)=0,"",SUMIF('Competency Event Log'!$U$4:$U$803,$B184&amp;"|"&amp;BJ$5,'Competency Event Log'!$D$4:$D$803)))</f>
        <v/>
      </c>
      <c r="BK184" s="8" t="str">
        <f>IF($B184="","",IF(COUNTIF('Competency Event Log'!$U$4:$U$803,$B184&amp;"|"&amp;BK$5)=0,"",SUMIF('Competency Event Log'!$U$4:$U$803,$B184&amp;"|"&amp;BK$5,'Competency Event Log'!$D$4:$D$803)))</f>
        <v/>
      </c>
      <c r="BL184" s="8" t="str">
        <f>IF($B184="","",IF(COUNTIF('Competency Event Log'!$U$4:$U$803,$B184&amp;"|"&amp;BL$5)=0,"",SUMIF('Competency Event Log'!$U$4:$U$803,$B184&amp;"|"&amp;BL$5,'Competency Event Log'!$D$4:$D$803)))</f>
        <v/>
      </c>
      <c r="BM184" s="8" t="str">
        <f>IF($B184="","",IF(COUNTIF('Competency Event Log'!$U$4:$U$803,$B184&amp;"|"&amp;BM$5)=0,"",SUMIF('Competency Event Log'!$U$4:$U$803,$B184&amp;"|"&amp;BM$5,'Competency Event Log'!$D$4:$D$803)))</f>
        <v/>
      </c>
      <c r="BN184" s="8" t="str">
        <f>IF($B184="","",IF(COUNTIF('Competency Event Log'!$U$4:$U$803,$B184&amp;"|"&amp;BN$5)=0,"",SUMIF('Competency Event Log'!$U$4:$U$803,$B184&amp;"|"&amp;BN$5,'Competency Event Log'!$D$4:$D$803)))</f>
        <v/>
      </c>
      <c r="BO184" s="8" t="str">
        <f>IF($B184="","",IF(COUNTIF('Competency Event Log'!$U$4:$U$803,$B184&amp;"|"&amp;BO$5)=0,"",SUMIF('Competency Event Log'!$U$4:$U$803,$B184&amp;"|"&amp;BO$5,'Competency Event Log'!$D$4:$D$803)))</f>
        <v/>
      </c>
      <c r="BP184" s="8" t="str">
        <f>IF($B184="","",IF(COUNTIF('Competency Event Log'!$U$4:$U$803,$B184&amp;"|"&amp;BP$5)=0,"",SUMIF('Competency Event Log'!$U$4:$U$803,$B184&amp;"|"&amp;BP$5,'Competency Event Log'!$D$4:$D$803)))</f>
        <v/>
      </c>
      <c r="BQ184" s="8" t="str">
        <f>IF($B184="","",IF(COUNTIF('Competency Event Log'!$U$4:$U$803,$B184&amp;"|"&amp;BQ$5)=0,"",SUMIF('Competency Event Log'!$U$4:$U$803,$B184&amp;"|"&amp;BQ$5,'Competency Event Log'!$D$4:$D$803)))</f>
        <v/>
      </c>
      <c r="BR184" s="8" t="str">
        <f>IF($B184="","",IF(COUNTIF('Competency Event Log'!$U$4:$U$803,$B184&amp;"|"&amp;BR$5)=0,"",SUMIF('Competency Event Log'!$U$4:$U$803,$B184&amp;"|"&amp;BR$5,'Competency Event Log'!$D$4:$D$803)))</f>
        <v/>
      </c>
      <c r="BS184" s="8" t="str">
        <f>IF($B184="","",IF(COUNTIF('Competency Event Log'!$U$4:$U$803,$B184&amp;"|"&amp;BS$5)=0,"",SUMIF('Competency Event Log'!$U$4:$U$803,$B184&amp;"|"&amp;BS$5,'Competency Event Log'!$D$4:$D$803)))</f>
        <v/>
      </c>
      <c r="BT184" s="8" t="str">
        <f>IF($B184="","",IF(COUNTIF('Competency Event Log'!$U$4:$U$803,$B184&amp;"|"&amp;BT$5)=0,"",SUMIF('Competency Event Log'!$U$4:$U$803,$B184&amp;"|"&amp;BT$5,'Competency Event Log'!$D$4:$D$803)))</f>
        <v/>
      </c>
      <c r="BU184" s="8" t="str">
        <f>IF($B184="","",IF(COUNTIF('Competency Event Log'!$U$4:$U$803,$B184&amp;"|"&amp;BU$5)=0,"",SUMIF('Competency Event Log'!$U$4:$U$803,$B184&amp;"|"&amp;BU$5,'Competency Event Log'!$D$4:$D$803)))</f>
        <v/>
      </c>
      <c r="BV184" s="8" t="str">
        <f>IF($B184="","",IF(COUNTIF('Competency Event Log'!$U$4:$U$803,$B184&amp;"|"&amp;BV$5)=0,"",SUMIF('Competency Event Log'!$U$4:$U$803,$B184&amp;"|"&amp;BV$5,'Competency Event Log'!$D$4:$D$803)))</f>
        <v/>
      </c>
      <c r="BW184" s="8" t="str">
        <f>IF($B184="","",IF(COUNTIF('Competency Event Log'!$U$4:$U$803,$B184&amp;"|"&amp;BW$5)=0,"",SUMIF('Competency Event Log'!$U$4:$U$803,$B184&amp;"|"&amp;BW$5,'Competency Event Log'!$D$4:$D$803)))</f>
        <v/>
      </c>
      <c r="BX184" s="8" t="str">
        <f>IF($B184="","",IF(COUNTIF('Competency Event Log'!$U$4:$U$803,$B184&amp;"|"&amp;BX$5)=0,"",SUMIF('Competency Event Log'!$U$4:$U$803,$B184&amp;"|"&amp;BX$5,'Competency Event Log'!$D$4:$D$803)))</f>
        <v/>
      </c>
      <c r="BY184" s="8" t="str">
        <f>IF($B184="","",IF(COUNTIF('Competency Event Log'!$U$4:$U$803,$B184&amp;"|"&amp;BY$5)=0,"",SUMIF('Competency Event Log'!$U$4:$U$803,$B184&amp;"|"&amp;BY$5,'Competency Event Log'!$D$4:$D$803)))</f>
        <v/>
      </c>
      <c r="BZ184" s="8" t="str">
        <f>IF($B184="","",IF(COUNTIF('Competency Event Log'!$U$4:$U$803,$B184&amp;"|"&amp;BZ$5)=0,"",SUMIF('Competency Event Log'!$U$4:$U$803,$B184&amp;"|"&amp;BZ$5,'Competency Event Log'!$D$4:$D$803)))</f>
        <v/>
      </c>
      <c r="CA184" s="8" t="str">
        <f>IF($B184="","",IF(COUNTIF('Competency Event Log'!$U$4:$U$803,$B184&amp;"|"&amp;CA$5)=0,"",SUMIF('Competency Event Log'!$U$4:$U$803,$B184&amp;"|"&amp;CA$5,'Competency Event Log'!$D$4:$D$803)))</f>
        <v/>
      </c>
      <c r="CB184" s="8" t="str">
        <f>IF($B184="","",IF(COUNTIF('Competency Event Log'!$U$4:$U$803,$B184&amp;"|"&amp;CB$5)=0,"",SUMIF('Competency Event Log'!$U$4:$U$803,$B184&amp;"|"&amp;CB$5,'Competency Event Log'!$D$4:$D$803)))</f>
        <v/>
      </c>
      <c r="CC184" s="8" t="str">
        <f>IF($B184="","",IF(COUNTIF('Competency Event Log'!$U$4:$U$803,$B184&amp;"|"&amp;CC$5)=0,"",SUMIF('Competency Event Log'!$U$4:$U$803,$B184&amp;"|"&amp;CC$5,'Competency Event Log'!$D$4:$D$803)))</f>
        <v/>
      </c>
      <c r="CD184" s="8" t="str">
        <f>IF($B184="","",IF(COUNTIF('Competency Event Log'!$U$4:$U$803,$B184&amp;"|"&amp;CD$5)=0,"",SUMIF('Competency Event Log'!$U$4:$U$803,$B184&amp;"|"&amp;CD$5,'Competency Event Log'!$D$4:$D$803)))</f>
        <v/>
      </c>
      <c r="CE184" s="8" t="str">
        <f>IF($B184="","",IF(COUNTIF('Competency Event Log'!$U$4:$U$803,$B184&amp;"|"&amp;CE$5)=0,"",SUMIF('Competency Event Log'!$U$4:$U$803,$B184&amp;"|"&amp;CE$5,'Competency Event Log'!$D$4:$D$803)))</f>
        <v/>
      </c>
      <c r="CF184" s="8" t="str">
        <f>IF($B184="","",IF(COUNTIF('Competency Event Log'!$U$4:$U$803,$B184&amp;"|"&amp;CF$5)=0,"",SUMIF('Competency Event Log'!$U$4:$U$803,$B184&amp;"|"&amp;CF$5,'Competency Event Log'!$D$4:$D$803)))</f>
        <v/>
      </c>
      <c r="CG184" s="8" t="str">
        <f>IF($B184="","",IF(COUNTIF('Competency Event Log'!$U$4:$U$803,$B184&amp;"|"&amp;CG$5)=0,"",SUMIF('Competency Event Log'!$U$4:$U$803,$B184&amp;"|"&amp;CG$5,'Competency Event Log'!$D$4:$D$803)))</f>
        <v/>
      </c>
      <c r="CH184" s="8" t="str">
        <f>IF($B184="","",IF(COUNTIF('Competency Event Log'!$U$4:$U$803,$B184&amp;"|"&amp;CH$5)=0,"",SUMIF('Competency Event Log'!$U$4:$U$803,$B184&amp;"|"&amp;CH$5,'Competency Event Log'!$D$4:$D$803)))</f>
        <v/>
      </c>
      <c r="CI184" s="8" t="str">
        <f>IF($B184="","",IF(COUNTIF('Competency Event Log'!$U$4:$U$803,$B184&amp;"|"&amp;CI$5)=0,"",SUMIF('Competency Event Log'!$U$4:$U$803,$B184&amp;"|"&amp;CI$5,'Competency Event Log'!$D$4:$D$803)))</f>
        <v/>
      </c>
      <c r="CJ184" s="8" t="str">
        <f>IF($B184="","",IF(COUNTIF('Competency Event Log'!$U$4:$U$803,$B184&amp;"|"&amp;CJ$5)=0,"",SUMIF('Competency Event Log'!$U$4:$U$803,$B184&amp;"|"&amp;CJ$5,'Competency Event Log'!$D$4:$D$803)))</f>
        <v/>
      </c>
      <c r="CK184" s="8" t="str">
        <f>IF($B184="","",IF(COUNTIF('Competency Event Log'!$U$4:$U$803,$B184&amp;"|"&amp;CK$5)=0,"",SUMIF('Competency Event Log'!$U$4:$U$803,$B184&amp;"|"&amp;CK$5,'Competency Event Log'!$D$4:$D$803)))</f>
        <v/>
      </c>
      <c r="CL184" s="8" t="str">
        <f>IF($B184="","",IF(COUNTIF('Competency Event Log'!$U$4:$U$803,$B184&amp;"|"&amp;CL$5)=0,"",SUMIF('Competency Event Log'!$U$4:$U$803,$B184&amp;"|"&amp;CL$5,'Competency Event Log'!$D$4:$D$803)))</f>
        <v/>
      </c>
      <c r="CM184" s="8" t="str">
        <f>IF($B184="","",IF(COUNTIF('Competency Event Log'!$U$4:$U$803,$B184&amp;"|"&amp;CM$5)=0,"",SUMIF('Competency Event Log'!$U$4:$U$803,$B184&amp;"|"&amp;CM$5,'Competency Event Log'!$D$4:$D$803)))</f>
        <v/>
      </c>
      <c r="CN184" s="8" t="str">
        <f>IF($B184="","",IF(COUNTIF('Competency Event Log'!$U$4:$U$803,$B184&amp;"|"&amp;CN$5)=0,"",SUMIF('Competency Event Log'!$U$4:$U$803,$B184&amp;"|"&amp;CN$5,'Competency Event Log'!$D$4:$D$803)))</f>
        <v/>
      </c>
      <c r="CO184" s="8" t="str">
        <f>IF($B184="","",IF(COUNTIF('Competency Event Log'!$U$4:$U$803,$B184&amp;"|"&amp;CO$5)=0,"",SUMIF('Competency Event Log'!$U$4:$U$803,$B184&amp;"|"&amp;CO$5,'Competency Event Log'!$D$4:$D$803)))</f>
        <v/>
      </c>
      <c r="CP184" s="8" t="str">
        <f>IF($B184="","",IF(COUNTIF('Competency Event Log'!$U$4:$U$803,$B184&amp;"|"&amp;CP$5)=0,"",SUMIF('Competency Event Log'!$U$4:$U$803,$B184&amp;"|"&amp;CP$5,'Competency Event Log'!$D$4:$D$803)))</f>
        <v/>
      </c>
      <c r="CQ184" s="8" t="str">
        <f>IF($B184="","",IF(COUNTIF('Competency Event Log'!$U$4:$U$803,$B184&amp;"|"&amp;CQ$5)=0,"",SUMIF('Competency Event Log'!$U$4:$U$803,$B184&amp;"|"&amp;CQ$5,'Competency Event Log'!$D$4:$D$803)))</f>
        <v/>
      </c>
      <c r="CR184" s="8" t="str">
        <f>IF($B184="","",IF(COUNTIF('Competency Event Log'!$U$4:$U$803,$B184&amp;"|"&amp;CR$5)=0,"",SUMIF('Competency Event Log'!$U$4:$U$803,$B184&amp;"|"&amp;CR$5,'Competency Event Log'!$D$4:$D$803)))</f>
        <v/>
      </c>
      <c r="CS184" s="8" t="str">
        <f>IF($B184="","",IF(COUNTIF('Competency Event Log'!$U$4:$U$803,$B184&amp;"|"&amp;CS$5)=0,"",SUMIF('Competency Event Log'!$U$4:$U$803,$B184&amp;"|"&amp;CS$5,'Competency Event Log'!$D$4:$D$803)))</f>
        <v/>
      </c>
      <c r="CT184" s="8" t="str">
        <f>IF($B184="","",IF(COUNTIF('Competency Event Log'!$U$4:$U$803,$B184&amp;"|"&amp;CT$5)=0,"",SUMIF('Competency Event Log'!$U$4:$U$803,$B184&amp;"|"&amp;CT$5,'Competency Event Log'!$D$4:$D$803)))</f>
        <v/>
      </c>
      <c r="CU184" s="8" t="str">
        <f>IF($B184="","",IF(COUNTIF('Competency Event Log'!$U$4:$U$803,$B184&amp;"|"&amp;CU$5)=0,"",SUMIF('Competency Event Log'!$U$4:$U$803,$B184&amp;"|"&amp;CU$5,'Competency Event Log'!$D$4:$D$803)))</f>
        <v/>
      </c>
      <c r="CV184" s="8" t="str">
        <f>IF($B184="","",IF(COUNTIF('Competency Event Log'!$U$4:$U$803,$B184&amp;"|"&amp;CV$5)=0,"",SUMIF('Competency Event Log'!$U$4:$U$803,$B184&amp;"|"&amp;CV$5,'Competency Event Log'!$D$4:$D$803)))</f>
        <v/>
      </c>
      <c r="CW184" s="8" t="str">
        <f>IF($B184="","",IF(COUNTIF('Competency Event Log'!$U$4:$U$803,$B184&amp;"|"&amp;CW$5)=0,"",SUMIF('Competency Event Log'!$U$4:$U$803,$B184&amp;"|"&amp;CW$5,'Competency Event Log'!$D$4:$D$803)))</f>
        <v/>
      </c>
      <c r="CX184" s="8" t="str">
        <f>IF($B184="","",IF(COUNTIF('Competency Event Log'!$U$4:$U$803,$B184&amp;"|"&amp;CX$5)=0,"",SUMIF('Competency Event Log'!$U$4:$U$803,$B184&amp;"|"&amp;CX$5,'Competency Event Log'!$D$4:$D$803)))</f>
        <v/>
      </c>
      <c r="CY184" s="8" t="str">
        <f>IF($B184="","",IF(COUNTIF('Competency Event Log'!$U$4:$U$803,$B184&amp;"|"&amp;CY$5)=0,"",SUMIF('Competency Event Log'!$U$4:$U$803,$B184&amp;"|"&amp;CY$5,'Competency Event Log'!$D$4:$D$803)))</f>
        <v/>
      </c>
      <c r="CZ184" s="8" t="str">
        <f>IF($B184="","",IF(COUNTIF('Competency Event Log'!$U$4:$U$803,$B184&amp;"|"&amp;CZ$5)=0,"",SUMIF('Competency Event Log'!$U$4:$U$803,$B184&amp;"|"&amp;CZ$5,'Competency Event Log'!$D$4:$D$803)))</f>
        <v/>
      </c>
      <c r="DA184" s="8" t="str">
        <f>IF($B184="","",IF(COUNTIF('Competency Event Log'!$U$4:$U$803,$B184&amp;"|"&amp;DA$5)=0,"",SUMIF('Competency Event Log'!$U$4:$U$803,$B184&amp;"|"&amp;DA$5,'Competency Event Log'!$D$4:$D$803)))</f>
        <v/>
      </c>
      <c r="DB184" s="8" t="str">
        <f>IF($B184="","",IF(COUNTIF('Competency Event Log'!$U$4:$U$803,$B184&amp;"|"&amp;DB$5)=0,"",SUMIF('Competency Event Log'!$U$4:$U$803,$B184&amp;"|"&amp;DB$5,'Competency Event Log'!$D$4:$D$803)))</f>
        <v/>
      </c>
      <c r="DC184" s="8" t="str">
        <f>IF($B184="","",IF(COUNTIF('Competency Event Log'!$U$4:$U$803,$B184&amp;"|"&amp;DC$5)=0,"",SUMIF('Competency Event Log'!$U$4:$U$803,$B184&amp;"|"&amp;DC$5,'Competency Event Log'!$D$4:$D$803)))</f>
        <v/>
      </c>
      <c r="DD184" s="8" t="str">
        <f>IF($B184="","",IF(COUNTIF('Competency Event Log'!$U$4:$U$803,$B184&amp;"|"&amp;DD$5)=0,"",SUMIF('Competency Event Log'!$U$4:$U$803,$B184&amp;"|"&amp;DD$5,'Competency Event Log'!$D$4:$D$803)))</f>
        <v/>
      </c>
      <c r="DE184" s="8" t="str">
        <f>IF($B184="","",IF(COUNTIF('Competency Event Log'!$U$4:$U$803,$B184&amp;"|"&amp;DE$5)=0,"",SUMIF('Competency Event Log'!$U$4:$U$803,$B184&amp;"|"&amp;DE$5,'Competency Event Log'!$D$4:$D$803)))</f>
        <v/>
      </c>
      <c r="DF184" s="8" t="str">
        <f t="shared" si="20"/>
        <v/>
      </c>
      <c r="DG184" s="8" t="str">
        <f t="shared" si="21"/>
        <v/>
      </c>
      <c r="DH184" s="8" t="str">
        <f t="shared" si="22"/>
        <v/>
      </c>
      <c r="DI184" s="11" t="str">
        <f t="shared" si="23"/>
        <v/>
      </c>
    </row>
    <row r="185" spans="1:113">
      <c r="A185" s="7"/>
      <c r="B185" s="7"/>
      <c r="C185" s="8"/>
      <c r="D185" s="9"/>
      <c r="E185" s="10"/>
      <c r="F185" s="8"/>
      <c r="G185" s="8" t="str">
        <f>IF($B185="","",IF(COUNTIF('Competency Event Log'!$U$4:$U$803,$B185&amp;"|"&amp;G$5)=0,"",SUMIF('Competency Event Log'!$U$4:$U$803,$B185&amp;"|"&amp;G$5,'Competency Event Log'!$D$4:$D$803)))</f>
        <v/>
      </c>
      <c r="H185" s="8" t="str">
        <f>IF($B185="","",IF(COUNTIF('Competency Event Log'!$U$4:$U$803,$B185&amp;"|"&amp;H$5)=0,"",SUMIF('Competency Event Log'!$U$4:$U$803,$B185&amp;"|"&amp;H$5,'Competency Event Log'!$D$4:$D$803)))</f>
        <v/>
      </c>
      <c r="I185" s="8" t="str">
        <f>IF($B185="","",IF(COUNTIF('Competency Event Log'!$U$4:$U$803,$B185&amp;"|"&amp;I$5)=0,"",SUMIF('Competency Event Log'!$U$4:$U$803,$B185&amp;"|"&amp;I$5,'Competency Event Log'!$D$4:$D$803)))</f>
        <v/>
      </c>
      <c r="J185" s="8" t="str">
        <f>IF($B185="","",IF(COUNTIF('Competency Event Log'!$U$4:$U$803,$B185&amp;"|"&amp;J$5)=0,"",SUMIF('Competency Event Log'!$U$4:$U$803,$B185&amp;"|"&amp;J$5,'Competency Event Log'!$D$4:$D$803)))</f>
        <v/>
      </c>
      <c r="K185" s="8" t="str">
        <f>IF($B185="","",IF(COUNTIF('Competency Event Log'!$U$4:$U$803,$B185&amp;"|"&amp;K$5)=0,"",SUMIF('Competency Event Log'!$U$4:$U$803,$B185&amp;"|"&amp;K$5,'Competency Event Log'!$D$4:$D$803)))</f>
        <v/>
      </c>
      <c r="L185" s="8" t="str">
        <f>IF($B185="","",IF(COUNTIF('Competency Event Log'!$U$4:$U$803,$B185&amp;"|"&amp;L$5)=0,"",SUMIF('Competency Event Log'!$U$4:$U$803,$B185&amp;"|"&amp;L$5,'Competency Event Log'!$D$4:$D$803)))</f>
        <v/>
      </c>
      <c r="M185" s="8" t="str">
        <f>IF($B185="","",IF(COUNTIF('Competency Event Log'!$U$4:$U$803,$B185&amp;"|"&amp;M$5)=0,"",SUMIF('Competency Event Log'!$U$4:$U$803,$B185&amp;"|"&amp;M$5,'Competency Event Log'!$D$4:$D$803)))</f>
        <v/>
      </c>
      <c r="N185" s="8" t="str">
        <f>IF($B185="","",IF(COUNTIF('Competency Event Log'!$U$4:$U$803,$B185&amp;"|"&amp;N$5)=0,"",SUMIF('Competency Event Log'!$U$4:$U$803,$B185&amp;"|"&amp;N$5,'Competency Event Log'!$D$4:$D$803)))</f>
        <v/>
      </c>
      <c r="O185" s="8" t="str">
        <f>IF($B185="","",IF(COUNTIF('Competency Event Log'!$U$4:$U$803,$B185&amp;"|"&amp;O$5)=0,"",SUMIF('Competency Event Log'!$U$4:$U$803,$B185&amp;"|"&amp;O$5,'Competency Event Log'!$D$4:$D$803)))</f>
        <v/>
      </c>
      <c r="P185" s="8" t="str">
        <f>IF($B185="","",IF(COUNTIF('Competency Event Log'!$U$4:$U$803,$B185&amp;"|"&amp;P$5)=0,"",SUMIF('Competency Event Log'!$U$4:$U$803,$B185&amp;"|"&amp;P$5,'Competency Event Log'!$D$4:$D$803)))</f>
        <v/>
      </c>
      <c r="Q185" s="8" t="str">
        <f>IF($B185="","",IF(COUNTIF('Competency Event Log'!$U$4:$U$803,$B185&amp;"|"&amp;Q$5)=0,"",SUMIF('Competency Event Log'!$U$4:$U$803,$B185&amp;"|"&amp;Q$5,'Competency Event Log'!$D$4:$D$803)))</f>
        <v/>
      </c>
      <c r="R185" s="8" t="str">
        <f>IF($B185="","",IF(COUNTIF('Competency Event Log'!$U$4:$U$803,$B185&amp;"|"&amp;R$5)=0,"",SUMIF('Competency Event Log'!$U$4:$U$803,$B185&amp;"|"&amp;R$5,'Competency Event Log'!$D$4:$D$803)))</f>
        <v/>
      </c>
      <c r="S185" s="8" t="str">
        <f>IF($B185="","",IF(COUNTIF('Competency Event Log'!$U$4:$U$803,$B185&amp;"|"&amp;S$5)=0,"",SUMIF('Competency Event Log'!$U$4:$U$803,$B185&amp;"|"&amp;S$5,'Competency Event Log'!$D$4:$D$803)))</f>
        <v/>
      </c>
      <c r="T185" s="8" t="str">
        <f>IF($B185="","",IF(COUNTIF('Competency Event Log'!$U$4:$U$803,$B185&amp;"|"&amp;T$5)=0,"",SUMIF('Competency Event Log'!$U$4:$U$803,$B185&amp;"|"&amp;T$5,'Competency Event Log'!$D$4:$D$803)))</f>
        <v/>
      </c>
      <c r="U185" s="8" t="str">
        <f>IF($B185="","",IF(COUNTIF('Competency Event Log'!$U$4:$U$803,$B185&amp;"|"&amp;U$5)=0,"",SUMIF('Competency Event Log'!$U$4:$U$803,$B185&amp;"|"&amp;U$5,'Competency Event Log'!$D$4:$D$803)))</f>
        <v/>
      </c>
      <c r="V185" s="8" t="str">
        <f>IF($B185="","",IF(COUNTIF('Competency Event Log'!$U$4:$U$803,$B185&amp;"|"&amp;V$5)=0,"",SUMIF('Competency Event Log'!$U$4:$U$803,$B185&amp;"|"&amp;V$5,'Competency Event Log'!$D$4:$D$803)))</f>
        <v/>
      </c>
      <c r="W185" s="8" t="str">
        <f>IF($B185="","",IF(COUNTIF('Competency Event Log'!$U$4:$U$803,$B185&amp;"|"&amp;W$5)=0,"",SUMIF('Competency Event Log'!$U$4:$U$803,$B185&amp;"|"&amp;W$5,'Competency Event Log'!$D$4:$D$803)))</f>
        <v/>
      </c>
      <c r="X185" s="8" t="str">
        <f>IF($B185="","",IF(COUNTIF('Competency Event Log'!$U$4:$U$803,$B185&amp;"|"&amp;X$5)=0,"",SUMIF('Competency Event Log'!$U$4:$U$803,$B185&amp;"|"&amp;X$5,'Competency Event Log'!$D$4:$D$803)))</f>
        <v/>
      </c>
      <c r="Y185" s="8" t="str">
        <f>IF($B185="","",IF(COUNTIF('Competency Event Log'!$U$4:$U$803,$B185&amp;"|"&amp;Y$5)=0,"",SUMIF('Competency Event Log'!$U$4:$U$803,$B185&amp;"|"&amp;Y$5,'Competency Event Log'!$D$4:$D$803)))</f>
        <v/>
      </c>
      <c r="Z185" s="8" t="str">
        <f>IF($B185="","",IF(COUNTIF('Competency Event Log'!$U$4:$U$803,$B185&amp;"|"&amp;Z$5)=0,"",SUMIF('Competency Event Log'!$U$4:$U$803,$B185&amp;"|"&amp;Z$5,'Competency Event Log'!$D$4:$D$803)))</f>
        <v/>
      </c>
      <c r="AA185" s="8" t="str">
        <f>IF($B185="","",IF(COUNTIF('Competency Event Log'!$U$4:$U$803,$B185&amp;"|"&amp;AA$5)=0,"",SUMIF('Competency Event Log'!$U$4:$U$803,$B185&amp;"|"&amp;AA$5,'Competency Event Log'!$D$4:$D$803)))</f>
        <v/>
      </c>
      <c r="AB185" s="8" t="str">
        <f>IF($B185="","",IF(COUNTIF('Competency Event Log'!$U$4:$U$803,$B185&amp;"|"&amp;AB$5)=0,"",SUMIF('Competency Event Log'!$U$4:$U$803,$B185&amp;"|"&amp;AB$5,'Competency Event Log'!$D$4:$D$803)))</f>
        <v/>
      </c>
      <c r="AC185" s="8" t="str">
        <f>IF($B185="","",IF(COUNTIF('Competency Event Log'!$U$4:$U$803,$B185&amp;"|"&amp;AC$5)=0,"",SUMIF('Competency Event Log'!$U$4:$U$803,$B185&amp;"|"&amp;AC$5,'Competency Event Log'!$D$4:$D$803)))</f>
        <v/>
      </c>
      <c r="AD185" s="8" t="str">
        <f>IF($B185="","",IF(COUNTIF('Competency Event Log'!$U$4:$U$803,$B185&amp;"|"&amp;AD$5)=0,"",SUMIF('Competency Event Log'!$U$4:$U$803,$B185&amp;"|"&amp;AD$5,'Competency Event Log'!$D$4:$D$803)))</f>
        <v/>
      </c>
      <c r="AE185" s="8" t="str">
        <f>IF($B185="","",IF(COUNTIF('Competency Event Log'!$U$4:$U$803,$B185&amp;"|"&amp;AE$5)=0,"",SUMIF('Competency Event Log'!$U$4:$U$803,$B185&amp;"|"&amp;AE$5,'Competency Event Log'!$D$4:$D$803)))</f>
        <v/>
      </c>
      <c r="AF185" s="8" t="str">
        <f>IF($B185="","",IF(COUNTIF('Competency Event Log'!$U$4:$U$803,$B185&amp;"|"&amp;AF$5)=0,"",SUMIF('Competency Event Log'!$U$4:$U$803,$B185&amp;"|"&amp;AF$5,'Competency Event Log'!$D$4:$D$803)))</f>
        <v/>
      </c>
      <c r="AG185" s="8" t="str">
        <f>IF($B185="","",IF(COUNTIF('Competency Event Log'!$U$4:$U$803,$B185&amp;"|"&amp;AG$5)=0,"",SUMIF('Competency Event Log'!$U$4:$U$803,$B185&amp;"|"&amp;AG$5,'Competency Event Log'!$D$4:$D$803)))</f>
        <v/>
      </c>
      <c r="AH185" s="8" t="str">
        <f>IF($B185="","",IF(COUNTIF('Competency Event Log'!$U$4:$U$803,$B185&amp;"|"&amp;AH$5)=0,"",SUMIF('Competency Event Log'!$U$4:$U$803,$B185&amp;"|"&amp;AH$5,'Competency Event Log'!$D$4:$D$803)))</f>
        <v/>
      </c>
      <c r="AI185" s="8" t="str">
        <f>IF($B185="","",IF(COUNTIF('Competency Event Log'!$U$4:$U$803,$B185&amp;"|"&amp;AI$5)=0,"",SUMIF('Competency Event Log'!$U$4:$U$803,$B185&amp;"|"&amp;AI$5,'Competency Event Log'!$D$4:$D$803)))</f>
        <v/>
      </c>
      <c r="AJ185" s="8" t="str">
        <f>IF($B185="","",IF(COUNTIF('Competency Event Log'!$U$4:$U$803,$B185&amp;"|"&amp;AJ$5)=0,"",SUMIF('Competency Event Log'!$U$4:$U$803,$B185&amp;"|"&amp;AJ$5,'Competency Event Log'!$D$4:$D$803)))</f>
        <v/>
      </c>
      <c r="AK185" s="8" t="str">
        <f>IF($B185="","",IF(COUNTIF('Competency Event Log'!$U$4:$U$803,$B185&amp;"|"&amp;AK$5)=0,"",SUMIF('Competency Event Log'!$U$4:$U$803,$B185&amp;"|"&amp;AK$5,'Competency Event Log'!$D$4:$D$803)))</f>
        <v/>
      </c>
      <c r="AL185" s="8" t="str">
        <f>IF($B185="","",IF(COUNTIF('Competency Event Log'!$U$4:$U$803,$B185&amp;"|"&amp;AL$5)=0,"",SUMIF('Competency Event Log'!$U$4:$U$803,$B185&amp;"|"&amp;AL$5,'Competency Event Log'!$D$4:$D$803)))</f>
        <v/>
      </c>
      <c r="AM185" s="8" t="str">
        <f>IF($B185="","",IF(COUNTIF('Competency Event Log'!$U$4:$U$803,$B185&amp;"|"&amp;AM$5)=0,"",SUMIF('Competency Event Log'!$U$4:$U$803,$B185&amp;"|"&amp;AM$5,'Competency Event Log'!$D$4:$D$803)))</f>
        <v/>
      </c>
      <c r="AN185" s="8" t="str">
        <f>IF($B185="","",IF(COUNTIF('Competency Event Log'!$U$4:$U$803,$B185&amp;"|"&amp;AN$5)=0,"",SUMIF('Competency Event Log'!$U$4:$U$803,$B185&amp;"|"&amp;AN$5,'Competency Event Log'!$D$4:$D$803)))</f>
        <v/>
      </c>
      <c r="AO185" s="8" t="str">
        <f>IF($B185="","",IF(COUNTIF('Competency Event Log'!$U$4:$U$803,$B185&amp;"|"&amp;AO$5)=0,"",SUMIF('Competency Event Log'!$U$4:$U$803,$B185&amp;"|"&amp;AO$5,'Competency Event Log'!$D$4:$D$803)))</f>
        <v/>
      </c>
      <c r="AP185" s="8" t="str">
        <f>IF($B185="","",IF(COUNTIF('Competency Event Log'!$U$4:$U$803,$B185&amp;"|"&amp;AP$5)=0,"",SUMIF('Competency Event Log'!$U$4:$U$803,$B185&amp;"|"&amp;AP$5,'Competency Event Log'!$D$4:$D$803)))</f>
        <v/>
      </c>
      <c r="AQ185" s="8" t="str">
        <f>IF($B185="","",IF(COUNTIF('Competency Event Log'!$U$4:$U$803,$B185&amp;"|"&amp;AQ$5)=0,"",SUMIF('Competency Event Log'!$U$4:$U$803,$B185&amp;"|"&amp;AQ$5,'Competency Event Log'!$D$4:$D$803)))</f>
        <v/>
      </c>
      <c r="AR185" s="8" t="str">
        <f>IF($B185="","",IF(COUNTIF('Competency Event Log'!$U$4:$U$803,$B185&amp;"|"&amp;AR$5)=0,"",SUMIF('Competency Event Log'!$U$4:$U$803,$B185&amp;"|"&amp;AR$5,'Competency Event Log'!$D$4:$D$803)))</f>
        <v/>
      </c>
      <c r="AS185" s="8" t="str">
        <f>IF($B185="","",IF(COUNTIF('Competency Event Log'!$U$4:$U$803,$B185&amp;"|"&amp;AS$5)=0,"",SUMIF('Competency Event Log'!$U$4:$U$803,$B185&amp;"|"&amp;AS$5,'Competency Event Log'!$D$4:$D$803)))</f>
        <v/>
      </c>
      <c r="AT185" s="8" t="str">
        <f>IF($B185="","",IF(COUNTIF('Competency Event Log'!$U$4:$U$803,$B185&amp;"|"&amp;AT$5)=0,"",SUMIF('Competency Event Log'!$U$4:$U$803,$B185&amp;"|"&amp;AT$5,'Competency Event Log'!$D$4:$D$803)))</f>
        <v/>
      </c>
      <c r="AU185" s="8" t="str">
        <f>IF($B185="","",IF(COUNTIF('Competency Event Log'!$U$4:$U$803,$B185&amp;"|"&amp;AU$5)=0,"",SUMIF('Competency Event Log'!$U$4:$U$803,$B185&amp;"|"&amp;AU$5,'Competency Event Log'!$D$4:$D$803)))</f>
        <v/>
      </c>
      <c r="AV185" s="8" t="str">
        <f>IF($B185="","",IF(COUNTIF('Competency Event Log'!$U$4:$U$803,$B185&amp;"|"&amp;AV$5)=0,"",SUMIF('Competency Event Log'!$U$4:$U$803,$B185&amp;"|"&amp;AV$5,'Competency Event Log'!$D$4:$D$803)))</f>
        <v/>
      </c>
      <c r="AW185" s="8" t="str">
        <f>IF($B185="","",IF(COUNTIF('Competency Event Log'!$U$4:$U$803,$B185&amp;"|"&amp;AW$5)=0,"",SUMIF('Competency Event Log'!$U$4:$U$803,$B185&amp;"|"&amp;AW$5,'Competency Event Log'!$D$4:$D$803)))</f>
        <v/>
      </c>
      <c r="AX185" s="8" t="str">
        <f>IF($B185="","",IF(COUNTIF('Competency Event Log'!$U$4:$U$803,$B185&amp;"|"&amp;AX$5)=0,"",SUMIF('Competency Event Log'!$U$4:$U$803,$B185&amp;"|"&amp;AX$5,'Competency Event Log'!$D$4:$D$803)))</f>
        <v/>
      </c>
      <c r="AY185" s="8" t="str">
        <f>IF($B185="","",IF(COUNTIF('Competency Event Log'!$U$4:$U$803,$B185&amp;"|"&amp;AY$5)=0,"",SUMIF('Competency Event Log'!$U$4:$U$803,$B185&amp;"|"&amp;AY$5,'Competency Event Log'!$D$4:$D$803)))</f>
        <v/>
      </c>
      <c r="AZ185" s="8" t="str">
        <f>IF($B185="","",IF(COUNTIF('Competency Event Log'!$U$4:$U$803,$B185&amp;"|"&amp;AZ$5)=0,"",SUMIF('Competency Event Log'!$U$4:$U$803,$B185&amp;"|"&amp;AZ$5,'Competency Event Log'!$D$4:$D$803)))</f>
        <v/>
      </c>
      <c r="BA185" s="8" t="str">
        <f>IF($B185="","",IF(COUNTIF('Competency Event Log'!$U$4:$U$803,$B185&amp;"|"&amp;BA$5)=0,"",SUMIF('Competency Event Log'!$U$4:$U$803,$B185&amp;"|"&amp;BA$5,'Competency Event Log'!$D$4:$D$803)))</f>
        <v/>
      </c>
      <c r="BB185" s="8" t="str">
        <f>IF($B185="","",IF(COUNTIF('Competency Event Log'!$U$4:$U$803,$B185&amp;"|"&amp;BB$5)=0,"",SUMIF('Competency Event Log'!$U$4:$U$803,$B185&amp;"|"&amp;BB$5,'Competency Event Log'!$D$4:$D$803)))</f>
        <v/>
      </c>
      <c r="BC185" s="8" t="str">
        <f>IF($B185="","",IF(COUNTIF('Competency Event Log'!$U$4:$U$803,$B185&amp;"|"&amp;BC$5)=0,"",SUMIF('Competency Event Log'!$U$4:$U$803,$B185&amp;"|"&amp;BC$5,'Competency Event Log'!$D$4:$D$803)))</f>
        <v/>
      </c>
      <c r="BD185" s="8" t="str">
        <f>IF($B185="","",IF(COUNTIF('Competency Event Log'!$U$4:$U$803,$B185&amp;"|"&amp;BD$5)=0,"",SUMIF('Competency Event Log'!$U$4:$U$803,$B185&amp;"|"&amp;BD$5,'Competency Event Log'!$D$4:$D$803)))</f>
        <v/>
      </c>
      <c r="BE185" s="8" t="str">
        <f>IF($B185="","",IF(COUNTIF('Competency Event Log'!$U$4:$U$803,$B185&amp;"|"&amp;BE$5)=0,"",SUMIF('Competency Event Log'!$U$4:$U$803,$B185&amp;"|"&amp;BE$5,'Competency Event Log'!$D$4:$D$803)))</f>
        <v/>
      </c>
      <c r="BF185" s="8" t="str">
        <f>IF($B185="","",IF(COUNTIF('Competency Event Log'!$U$4:$U$803,$B185&amp;"|"&amp;BF$5)=0,"",SUMIF('Competency Event Log'!$U$4:$U$803,$B185&amp;"|"&amp;BF$5,'Competency Event Log'!$D$4:$D$803)))</f>
        <v/>
      </c>
      <c r="BG185" s="8" t="str">
        <f>IF($B185="","",IF(COUNTIF('Competency Event Log'!$U$4:$U$803,$B185&amp;"|"&amp;BG$5)=0,"",SUMIF('Competency Event Log'!$U$4:$U$803,$B185&amp;"|"&amp;BG$5,'Competency Event Log'!$D$4:$D$803)))</f>
        <v/>
      </c>
      <c r="BH185" s="8" t="str">
        <f>IF($B185="","",IF(COUNTIF('Competency Event Log'!$U$4:$U$803,$B185&amp;"|"&amp;BH$5)=0,"",SUMIF('Competency Event Log'!$U$4:$U$803,$B185&amp;"|"&amp;BH$5,'Competency Event Log'!$D$4:$D$803)))</f>
        <v/>
      </c>
      <c r="BI185" s="8" t="str">
        <f>IF($B185="","",IF(COUNTIF('Competency Event Log'!$U$4:$U$803,$B185&amp;"|"&amp;BI$5)=0,"",SUMIF('Competency Event Log'!$U$4:$U$803,$B185&amp;"|"&amp;BI$5,'Competency Event Log'!$D$4:$D$803)))</f>
        <v/>
      </c>
      <c r="BJ185" s="8" t="str">
        <f>IF($B185="","",IF(COUNTIF('Competency Event Log'!$U$4:$U$803,$B185&amp;"|"&amp;BJ$5)=0,"",SUMIF('Competency Event Log'!$U$4:$U$803,$B185&amp;"|"&amp;BJ$5,'Competency Event Log'!$D$4:$D$803)))</f>
        <v/>
      </c>
      <c r="BK185" s="8" t="str">
        <f>IF($B185="","",IF(COUNTIF('Competency Event Log'!$U$4:$U$803,$B185&amp;"|"&amp;BK$5)=0,"",SUMIF('Competency Event Log'!$U$4:$U$803,$B185&amp;"|"&amp;BK$5,'Competency Event Log'!$D$4:$D$803)))</f>
        <v/>
      </c>
      <c r="BL185" s="8" t="str">
        <f>IF($B185="","",IF(COUNTIF('Competency Event Log'!$U$4:$U$803,$B185&amp;"|"&amp;BL$5)=0,"",SUMIF('Competency Event Log'!$U$4:$U$803,$B185&amp;"|"&amp;BL$5,'Competency Event Log'!$D$4:$D$803)))</f>
        <v/>
      </c>
      <c r="BM185" s="8" t="str">
        <f>IF($B185="","",IF(COUNTIF('Competency Event Log'!$U$4:$U$803,$B185&amp;"|"&amp;BM$5)=0,"",SUMIF('Competency Event Log'!$U$4:$U$803,$B185&amp;"|"&amp;BM$5,'Competency Event Log'!$D$4:$D$803)))</f>
        <v/>
      </c>
      <c r="BN185" s="8" t="str">
        <f>IF($B185="","",IF(COUNTIF('Competency Event Log'!$U$4:$U$803,$B185&amp;"|"&amp;BN$5)=0,"",SUMIF('Competency Event Log'!$U$4:$U$803,$B185&amp;"|"&amp;BN$5,'Competency Event Log'!$D$4:$D$803)))</f>
        <v/>
      </c>
      <c r="BO185" s="8" t="str">
        <f>IF($B185="","",IF(COUNTIF('Competency Event Log'!$U$4:$U$803,$B185&amp;"|"&amp;BO$5)=0,"",SUMIF('Competency Event Log'!$U$4:$U$803,$B185&amp;"|"&amp;BO$5,'Competency Event Log'!$D$4:$D$803)))</f>
        <v/>
      </c>
      <c r="BP185" s="8" t="str">
        <f>IF($B185="","",IF(COUNTIF('Competency Event Log'!$U$4:$U$803,$B185&amp;"|"&amp;BP$5)=0,"",SUMIF('Competency Event Log'!$U$4:$U$803,$B185&amp;"|"&amp;BP$5,'Competency Event Log'!$D$4:$D$803)))</f>
        <v/>
      </c>
      <c r="BQ185" s="8" t="str">
        <f>IF($B185="","",IF(COUNTIF('Competency Event Log'!$U$4:$U$803,$B185&amp;"|"&amp;BQ$5)=0,"",SUMIF('Competency Event Log'!$U$4:$U$803,$B185&amp;"|"&amp;BQ$5,'Competency Event Log'!$D$4:$D$803)))</f>
        <v/>
      </c>
      <c r="BR185" s="8" t="str">
        <f>IF($B185="","",IF(COUNTIF('Competency Event Log'!$U$4:$U$803,$B185&amp;"|"&amp;BR$5)=0,"",SUMIF('Competency Event Log'!$U$4:$U$803,$B185&amp;"|"&amp;BR$5,'Competency Event Log'!$D$4:$D$803)))</f>
        <v/>
      </c>
      <c r="BS185" s="8" t="str">
        <f>IF($B185="","",IF(COUNTIF('Competency Event Log'!$U$4:$U$803,$B185&amp;"|"&amp;BS$5)=0,"",SUMIF('Competency Event Log'!$U$4:$U$803,$B185&amp;"|"&amp;BS$5,'Competency Event Log'!$D$4:$D$803)))</f>
        <v/>
      </c>
      <c r="BT185" s="8" t="str">
        <f>IF($B185="","",IF(COUNTIF('Competency Event Log'!$U$4:$U$803,$B185&amp;"|"&amp;BT$5)=0,"",SUMIF('Competency Event Log'!$U$4:$U$803,$B185&amp;"|"&amp;BT$5,'Competency Event Log'!$D$4:$D$803)))</f>
        <v/>
      </c>
      <c r="BU185" s="8" t="str">
        <f>IF($B185="","",IF(COUNTIF('Competency Event Log'!$U$4:$U$803,$B185&amp;"|"&amp;BU$5)=0,"",SUMIF('Competency Event Log'!$U$4:$U$803,$B185&amp;"|"&amp;BU$5,'Competency Event Log'!$D$4:$D$803)))</f>
        <v/>
      </c>
      <c r="BV185" s="8" t="str">
        <f>IF($B185="","",IF(COUNTIF('Competency Event Log'!$U$4:$U$803,$B185&amp;"|"&amp;BV$5)=0,"",SUMIF('Competency Event Log'!$U$4:$U$803,$B185&amp;"|"&amp;BV$5,'Competency Event Log'!$D$4:$D$803)))</f>
        <v/>
      </c>
      <c r="BW185" s="8" t="str">
        <f>IF($B185="","",IF(COUNTIF('Competency Event Log'!$U$4:$U$803,$B185&amp;"|"&amp;BW$5)=0,"",SUMIF('Competency Event Log'!$U$4:$U$803,$B185&amp;"|"&amp;BW$5,'Competency Event Log'!$D$4:$D$803)))</f>
        <v/>
      </c>
      <c r="BX185" s="8" t="str">
        <f>IF($B185="","",IF(COUNTIF('Competency Event Log'!$U$4:$U$803,$B185&amp;"|"&amp;BX$5)=0,"",SUMIF('Competency Event Log'!$U$4:$U$803,$B185&amp;"|"&amp;BX$5,'Competency Event Log'!$D$4:$D$803)))</f>
        <v/>
      </c>
      <c r="BY185" s="8" t="str">
        <f>IF($B185="","",IF(COUNTIF('Competency Event Log'!$U$4:$U$803,$B185&amp;"|"&amp;BY$5)=0,"",SUMIF('Competency Event Log'!$U$4:$U$803,$B185&amp;"|"&amp;BY$5,'Competency Event Log'!$D$4:$D$803)))</f>
        <v/>
      </c>
      <c r="BZ185" s="8" t="str">
        <f>IF($B185="","",IF(COUNTIF('Competency Event Log'!$U$4:$U$803,$B185&amp;"|"&amp;BZ$5)=0,"",SUMIF('Competency Event Log'!$U$4:$U$803,$B185&amp;"|"&amp;BZ$5,'Competency Event Log'!$D$4:$D$803)))</f>
        <v/>
      </c>
      <c r="CA185" s="8" t="str">
        <f>IF($B185="","",IF(COUNTIF('Competency Event Log'!$U$4:$U$803,$B185&amp;"|"&amp;CA$5)=0,"",SUMIF('Competency Event Log'!$U$4:$U$803,$B185&amp;"|"&amp;CA$5,'Competency Event Log'!$D$4:$D$803)))</f>
        <v/>
      </c>
      <c r="CB185" s="8" t="str">
        <f>IF($B185="","",IF(COUNTIF('Competency Event Log'!$U$4:$U$803,$B185&amp;"|"&amp;CB$5)=0,"",SUMIF('Competency Event Log'!$U$4:$U$803,$B185&amp;"|"&amp;CB$5,'Competency Event Log'!$D$4:$D$803)))</f>
        <v/>
      </c>
      <c r="CC185" s="8" t="str">
        <f>IF($B185="","",IF(COUNTIF('Competency Event Log'!$U$4:$U$803,$B185&amp;"|"&amp;CC$5)=0,"",SUMIF('Competency Event Log'!$U$4:$U$803,$B185&amp;"|"&amp;CC$5,'Competency Event Log'!$D$4:$D$803)))</f>
        <v/>
      </c>
      <c r="CD185" s="8" t="str">
        <f>IF($B185="","",IF(COUNTIF('Competency Event Log'!$U$4:$U$803,$B185&amp;"|"&amp;CD$5)=0,"",SUMIF('Competency Event Log'!$U$4:$U$803,$B185&amp;"|"&amp;CD$5,'Competency Event Log'!$D$4:$D$803)))</f>
        <v/>
      </c>
      <c r="CE185" s="8" t="str">
        <f>IF($B185="","",IF(COUNTIF('Competency Event Log'!$U$4:$U$803,$B185&amp;"|"&amp;CE$5)=0,"",SUMIF('Competency Event Log'!$U$4:$U$803,$B185&amp;"|"&amp;CE$5,'Competency Event Log'!$D$4:$D$803)))</f>
        <v/>
      </c>
      <c r="CF185" s="8" t="str">
        <f>IF($B185="","",IF(COUNTIF('Competency Event Log'!$U$4:$U$803,$B185&amp;"|"&amp;CF$5)=0,"",SUMIF('Competency Event Log'!$U$4:$U$803,$B185&amp;"|"&amp;CF$5,'Competency Event Log'!$D$4:$D$803)))</f>
        <v/>
      </c>
      <c r="CG185" s="8" t="str">
        <f>IF($B185="","",IF(COUNTIF('Competency Event Log'!$U$4:$U$803,$B185&amp;"|"&amp;CG$5)=0,"",SUMIF('Competency Event Log'!$U$4:$U$803,$B185&amp;"|"&amp;CG$5,'Competency Event Log'!$D$4:$D$803)))</f>
        <v/>
      </c>
      <c r="CH185" s="8" t="str">
        <f>IF($B185="","",IF(COUNTIF('Competency Event Log'!$U$4:$U$803,$B185&amp;"|"&amp;CH$5)=0,"",SUMIF('Competency Event Log'!$U$4:$U$803,$B185&amp;"|"&amp;CH$5,'Competency Event Log'!$D$4:$D$803)))</f>
        <v/>
      </c>
      <c r="CI185" s="8" t="str">
        <f>IF($B185="","",IF(COUNTIF('Competency Event Log'!$U$4:$U$803,$B185&amp;"|"&amp;CI$5)=0,"",SUMIF('Competency Event Log'!$U$4:$U$803,$B185&amp;"|"&amp;CI$5,'Competency Event Log'!$D$4:$D$803)))</f>
        <v/>
      </c>
      <c r="CJ185" s="8" t="str">
        <f>IF($B185="","",IF(COUNTIF('Competency Event Log'!$U$4:$U$803,$B185&amp;"|"&amp;CJ$5)=0,"",SUMIF('Competency Event Log'!$U$4:$U$803,$B185&amp;"|"&amp;CJ$5,'Competency Event Log'!$D$4:$D$803)))</f>
        <v/>
      </c>
      <c r="CK185" s="8" t="str">
        <f>IF($B185="","",IF(COUNTIF('Competency Event Log'!$U$4:$U$803,$B185&amp;"|"&amp;CK$5)=0,"",SUMIF('Competency Event Log'!$U$4:$U$803,$B185&amp;"|"&amp;CK$5,'Competency Event Log'!$D$4:$D$803)))</f>
        <v/>
      </c>
      <c r="CL185" s="8" t="str">
        <f>IF($B185="","",IF(COUNTIF('Competency Event Log'!$U$4:$U$803,$B185&amp;"|"&amp;CL$5)=0,"",SUMIF('Competency Event Log'!$U$4:$U$803,$B185&amp;"|"&amp;CL$5,'Competency Event Log'!$D$4:$D$803)))</f>
        <v/>
      </c>
      <c r="CM185" s="8" t="str">
        <f>IF($B185="","",IF(COUNTIF('Competency Event Log'!$U$4:$U$803,$B185&amp;"|"&amp;CM$5)=0,"",SUMIF('Competency Event Log'!$U$4:$U$803,$B185&amp;"|"&amp;CM$5,'Competency Event Log'!$D$4:$D$803)))</f>
        <v/>
      </c>
      <c r="CN185" s="8" t="str">
        <f>IF($B185="","",IF(COUNTIF('Competency Event Log'!$U$4:$U$803,$B185&amp;"|"&amp;CN$5)=0,"",SUMIF('Competency Event Log'!$U$4:$U$803,$B185&amp;"|"&amp;CN$5,'Competency Event Log'!$D$4:$D$803)))</f>
        <v/>
      </c>
      <c r="CO185" s="8" t="str">
        <f>IF($B185="","",IF(COUNTIF('Competency Event Log'!$U$4:$U$803,$B185&amp;"|"&amp;CO$5)=0,"",SUMIF('Competency Event Log'!$U$4:$U$803,$B185&amp;"|"&amp;CO$5,'Competency Event Log'!$D$4:$D$803)))</f>
        <v/>
      </c>
      <c r="CP185" s="8" t="str">
        <f>IF($B185="","",IF(COUNTIF('Competency Event Log'!$U$4:$U$803,$B185&amp;"|"&amp;CP$5)=0,"",SUMIF('Competency Event Log'!$U$4:$U$803,$B185&amp;"|"&amp;CP$5,'Competency Event Log'!$D$4:$D$803)))</f>
        <v/>
      </c>
      <c r="CQ185" s="8" t="str">
        <f>IF($B185="","",IF(COUNTIF('Competency Event Log'!$U$4:$U$803,$B185&amp;"|"&amp;CQ$5)=0,"",SUMIF('Competency Event Log'!$U$4:$U$803,$B185&amp;"|"&amp;CQ$5,'Competency Event Log'!$D$4:$D$803)))</f>
        <v/>
      </c>
      <c r="CR185" s="8" t="str">
        <f>IF($B185="","",IF(COUNTIF('Competency Event Log'!$U$4:$U$803,$B185&amp;"|"&amp;CR$5)=0,"",SUMIF('Competency Event Log'!$U$4:$U$803,$B185&amp;"|"&amp;CR$5,'Competency Event Log'!$D$4:$D$803)))</f>
        <v/>
      </c>
      <c r="CS185" s="8" t="str">
        <f>IF($B185="","",IF(COUNTIF('Competency Event Log'!$U$4:$U$803,$B185&amp;"|"&amp;CS$5)=0,"",SUMIF('Competency Event Log'!$U$4:$U$803,$B185&amp;"|"&amp;CS$5,'Competency Event Log'!$D$4:$D$803)))</f>
        <v/>
      </c>
      <c r="CT185" s="8" t="str">
        <f>IF($B185="","",IF(COUNTIF('Competency Event Log'!$U$4:$U$803,$B185&amp;"|"&amp;CT$5)=0,"",SUMIF('Competency Event Log'!$U$4:$U$803,$B185&amp;"|"&amp;CT$5,'Competency Event Log'!$D$4:$D$803)))</f>
        <v/>
      </c>
      <c r="CU185" s="8" t="str">
        <f>IF($B185="","",IF(COUNTIF('Competency Event Log'!$U$4:$U$803,$B185&amp;"|"&amp;CU$5)=0,"",SUMIF('Competency Event Log'!$U$4:$U$803,$B185&amp;"|"&amp;CU$5,'Competency Event Log'!$D$4:$D$803)))</f>
        <v/>
      </c>
      <c r="CV185" s="8" t="str">
        <f>IF($B185="","",IF(COUNTIF('Competency Event Log'!$U$4:$U$803,$B185&amp;"|"&amp;CV$5)=0,"",SUMIF('Competency Event Log'!$U$4:$U$803,$B185&amp;"|"&amp;CV$5,'Competency Event Log'!$D$4:$D$803)))</f>
        <v/>
      </c>
      <c r="CW185" s="8" t="str">
        <f>IF($B185="","",IF(COUNTIF('Competency Event Log'!$U$4:$U$803,$B185&amp;"|"&amp;CW$5)=0,"",SUMIF('Competency Event Log'!$U$4:$U$803,$B185&amp;"|"&amp;CW$5,'Competency Event Log'!$D$4:$D$803)))</f>
        <v/>
      </c>
      <c r="CX185" s="8" t="str">
        <f>IF($B185="","",IF(COUNTIF('Competency Event Log'!$U$4:$U$803,$B185&amp;"|"&amp;CX$5)=0,"",SUMIF('Competency Event Log'!$U$4:$U$803,$B185&amp;"|"&amp;CX$5,'Competency Event Log'!$D$4:$D$803)))</f>
        <v/>
      </c>
      <c r="CY185" s="8" t="str">
        <f>IF($B185="","",IF(COUNTIF('Competency Event Log'!$U$4:$U$803,$B185&amp;"|"&amp;CY$5)=0,"",SUMIF('Competency Event Log'!$U$4:$U$803,$B185&amp;"|"&amp;CY$5,'Competency Event Log'!$D$4:$D$803)))</f>
        <v/>
      </c>
      <c r="CZ185" s="8" t="str">
        <f>IF($B185="","",IF(COUNTIF('Competency Event Log'!$U$4:$U$803,$B185&amp;"|"&amp;CZ$5)=0,"",SUMIF('Competency Event Log'!$U$4:$U$803,$B185&amp;"|"&amp;CZ$5,'Competency Event Log'!$D$4:$D$803)))</f>
        <v/>
      </c>
      <c r="DA185" s="8" t="str">
        <f>IF($B185="","",IF(COUNTIF('Competency Event Log'!$U$4:$U$803,$B185&amp;"|"&amp;DA$5)=0,"",SUMIF('Competency Event Log'!$U$4:$U$803,$B185&amp;"|"&amp;DA$5,'Competency Event Log'!$D$4:$D$803)))</f>
        <v/>
      </c>
      <c r="DB185" s="8" t="str">
        <f>IF($B185="","",IF(COUNTIF('Competency Event Log'!$U$4:$U$803,$B185&amp;"|"&amp;DB$5)=0,"",SUMIF('Competency Event Log'!$U$4:$U$803,$B185&amp;"|"&amp;DB$5,'Competency Event Log'!$D$4:$D$803)))</f>
        <v/>
      </c>
      <c r="DC185" s="8" t="str">
        <f>IF($B185="","",IF(COUNTIF('Competency Event Log'!$U$4:$U$803,$B185&amp;"|"&amp;DC$5)=0,"",SUMIF('Competency Event Log'!$U$4:$U$803,$B185&amp;"|"&amp;DC$5,'Competency Event Log'!$D$4:$D$803)))</f>
        <v/>
      </c>
      <c r="DD185" s="8" t="str">
        <f>IF($B185="","",IF(COUNTIF('Competency Event Log'!$U$4:$U$803,$B185&amp;"|"&amp;DD$5)=0,"",SUMIF('Competency Event Log'!$U$4:$U$803,$B185&amp;"|"&amp;DD$5,'Competency Event Log'!$D$4:$D$803)))</f>
        <v/>
      </c>
      <c r="DE185" s="8" t="str">
        <f>IF($B185="","",IF(COUNTIF('Competency Event Log'!$U$4:$U$803,$B185&amp;"|"&amp;DE$5)=0,"",SUMIF('Competency Event Log'!$U$4:$U$803,$B185&amp;"|"&amp;DE$5,'Competency Event Log'!$D$4:$D$803)))</f>
        <v/>
      </c>
      <c r="DF185" s="8" t="str">
        <f t="shared" si="20"/>
        <v/>
      </c>
      <c r="DG185" s="8" t="str">
        <f t="shared" si="21"/>
        <v/>
      </c>
      <c r="DH185" s="8" t="str">
        <f t="shared" si="22"/>
        <v/>
      </c>
      <c r="DI185" s="11" t="str">
        <f t="shared" si="23"/>
        <v/>
      </c>
    </row>
    <row r="186" spans="1:113">
      <c r="A186" s="7"/>
      <c r="B186" s="7"/>
      <c r="C186" s="8"/>
      <c r="D186" s="9"/>
      <c r="E186" s="10"/>
      <c r="F186" s="8"/>
      <c r="G186" s="8" t="str">
        <f>IF($B186="","",IF(COUNTIF('Competency Event Log'!$U$4:$U$803,$B186&amp;"|"&amp;G$5)=0,"",SUMIF('Competency Event Log'!$U$4:$U$803,$B186&amp;"|"&amp;G$5,'Competency Event Log'!$D$4:$D$803)))</f>
        <v/>
      </c>
      <c r="H186" s="8" t="str">
        <f>IF($B186="","",IF(COUNTIF('Competency Event Log'!$U$4:$U$803,$B186&amp;"|"&amp;H$5)=0,"",SUMIF('Competency Event Log'!$U$4:$U$803,$B186&amp;"|"&amp;H$5,'Competency Event Log'!$D$4:$D$803)))</f>
        <v/>
      </c>
      <c r="I186" s="8" t="str">
        <f>IF($B186="","",IF(COUNTIF('Competency Event Log'!$U$4:$U$803,$B186&amp;"|"&amp;I$5)=0,"",SUMIF('Competency Event Log'!$U$4:$U$803,$B186&amp;"|"&amp;I$5,'Competency Event Log'!$D$4:$D$803)))</f>
        <v/>
      </c>
      <c r="J186" s="8" t="str">
        <f>IF($B186="","",IF(COUNTIF('Competency Event Log'!$U$4:$U$803,$B186&amp;"|"&amp;J$5)=0,"",SUMIF('Competency Event Log'!$U$4:$U$803,$B186&amp;"|"&amp;J$5,'Competency Event Log'!$D$4:$D$803)))</f>
        <v/>
      </c>
      <c r="K186" s="8" t="str">
        <f>IF($B186="","",IF(COUNTIF('Competency Event Log'!$U$4:$U$803,$B186&amp;"|"&amp;K$5)=0,"",SUMIF('Competency Event Log'!$U$4:$U$803,$B186&amp;"|"&amp;K$5,'Competency Event Log'!$D$4:$D$803)))</f>
        <v/>
      </c>
      <c r="L186" s="8" t="str">
        <f>IF($B186="","",IF(COUNTIF('Competency Event Log'!$U$4:$U$803,$B186&amp;"|"&amp;L$5)=0,"",SUMIF('Competency Event Log'!$U$4:$U$803,$B186&amp;"|"&amp;L$5,'Competency Event Log'!$D$4:$D$803)))</f>
        <v/>
      </c>
      <c r="M186" s="8" t="str">
        <f>IF($B186="","",IF(COUNTIF('Competency Event Log'!$U$4:$U$803,$B186&amp;"|"&amp;M$5)=0,"",SUMIF('Competency Event Log'!$U$4:$U$803,$B186&amp;"|"&amp;M$5,'Competency Event Log'!$D$4:$D$803)))</f>
        <v/>
      </c>
      <c r="N186" s="8" t="str">
        <f>IF($B186="","",IF(COUNTIF('Competency Event Log'!$U$4:$U$803,$B186&amp;"|"&amp;N$5)=0,"",SUMIF('Competency Event Log'!$U$4:$U$803,$B186&amp;"|"&amp;N$5,'Competency Event Log'!$D$4:$D$803)))</f>
        <v/>
      </c>
      <c r="O186" s="8" t="str">
        <f>IF($B186="","",IF(COUNTIF('Competency Event Log'!$U$4:$U$803,$B186&amp;"|"&amp;O$5)=0,"",SUMIF('Competency Event Log'!$U$4:$U$803,$B186&amp;"|"&amp;O$5,'Competency Event Log'!$D$4:$D$803)))</f>
        <v/>
      </c>
      <c r="P186" s="8" t="str">
        <f>IF($B186="","",IF(COUNTIF('Competency Event Log'!$U$4:$U$803,$B186&amp;"|"&amp;P$5)=0,"",SUMIF('Competency Event Log'!$U$4:$U$803,$B186&amp;"|"&amp;P$5,'Competency Event Log'!$D$4:$D$803)))</f>
        <v/>
      </c>
      <c r="Q186" s="8" t="str">
        <f>IF($B186="","",IF(COUNTIF('Competency Event Log'!$U$4:$U$803,$B186&amp;"|"&amp;Q$5)=0,"",SUMIF('Competency Event Log'!$U$4:$U$803,$B186&amp;"|"&amp;Q$5,'Competency Event Log'!$D$4:$D$803)))</f>
        <v/>
      </c>
      <c r="R186" s="8" t="str">
        <f>IF($B186="","",IF(COUNTIF('Competency Event Log'!$U$4:$U$803,$B186&amp;"|"&amp;R$5)=0,"",SUMIF('Competency Event Log'!$U$4:$U$803,$B186&amp;"|"&amp;R$5,'Competency Event Log'!$D$4:$D$803)))</f>
        <v/>
      </c>
      <c r="S186" s="8" t="str">
        <f>IF($B186="","",IF(COUNTIF('Competency Event Log'!$U$4:$U$803,$B186&amp;"|"&amp;S$5)=0,"",SUMIF('Competency Event Log'!$U$4:$U$803,$B186&amp;"|"&amp;S$5,'Competency Event Log'!$D$4:$D$803)))</f>
        <v/>
      </c>
      <c r="T186" s="8" t="str">
        <f>IF($B186="","",IF(COUNTIF('Competency Event Log'!$U$4:$U$803,$B186&amp;"|"&amp;T$5)=0,"",SUMIF('Competency Event Log'!$U$4:$U$803,$B186&amp;"|"&amp;T$5,'Competency Event Log'!$D$4:$D$803)))</f>
        <v/>
      </c>
      <c r="U186" s="8" t="str">
        <f>IF($B186="","",IF(COUNTIF('Competency Event Log'!$U$4:$U$803,$B186&amp;"|"&amp;U$5)=0,"",SUMIF('Competency Event Log'!$U$4:$U$803,$B186&amp;"|"&amp;U$5,'Competency Event Log'!$D$4:$D$803)))</f>
        <v/>
      </c>
      <c r="V186" s="8" t="str">
        <f>IF($B186="","",IF(COUNTIF('Competency Event Log'!$U$4:$U$803,$B186&amp;"|"&amp;V$5)=0,"",SUMIF('Competency Event Log'!$U$4:$U$803,$B186&amp;"|"&amp;V$5,'Competency Event Log'!$D$4:$D$803)))</f>
        <v/>
      </c>
      <c r="W186" s="8" t="str">
        <f>IF($B186="","",IF(COUNTIF('Competency Event Log'!$U$4:$U$803,$B186&amp;"|"&amp;W$5)=0,"",SUMIF('Competency Event Log'!$U$4:$U$803,$B186&amp;"|"&amp;W$5,'Competency Event Log'!$D$4:$D$803)))</f>
        <v/>
      </c>
      <c r="X186" s="8" t="str">
        <f>IF($B186="","",IF(COUNTIF('Competency Event Log'!$U$4:$U$803,$B186&amp;"|"&amp;X$5)=0,"",SUMIF('Competency Event Log'!$U$4:$U$803,$B186&amp;"|"&amp;X$5,'Competency Event Log'!$D$4:$D$803)))</f>
        <v/>
      </c>
      <c r="Y186" s="8" t="str">
        <f>IF($B186="","",IF(COUNTIF('Competency Event Log'!$U$4:$U$803,$B186&amp;"|"&amp;Y$5)=0,"",SUMIF('Competency Event Log'!$U$4:$U$803,$B186&amp;"|"&amp;Y$5,'Competency Event Log'!$D$4:$D$803)))</f>
        <v/>
      </c>
      <c r="Z186" s="8" t="str">
        <f>IF($B186="","",IF(COUNTIF('Competency Event Log'!$U$4:$U$803,$B186&amp;"|"&amp;Z$5)=0,"",SUMIF('Competency Event Log'!$U$4:$U$803,$B186&amp;"|"&amp;Z$5,'Competency Event Log'!$D$4:$D$803)))</f>
        <v/>
      </c>
      <c r="AA186" s="8" t="str">
        <f>IF($B186="","",IF(COUNTIF('Competency Event Log'!$U$4:$U$803,$B186&amp;"|"&amp;AA$5)=0,"",SUMIF('Competency Event Log'!$U$4:$U$803,$B186&amp;"|"&amp;AA$5,'Competency Event Log'!$D$4:$D$803)))</f>
        <v/>
      </c>
      <c r="AB186" s="8" t="str">
        <f>IF($B186="","",IF(COUNTIF('Competency Event Log'!$U$4:$U$803,$B186&amp;"|"&amp;AB$5)=0,"",SUMIF('Competency Event Log'!$U$4:$U$803,$B186&amp;"|"&amp;AB$5,'Competency Event Log'!$D$4:$D$803)))</f>
        <v/>
      </c>
      <c r="AC186" s="8" t="str">
        <f>IF($B186="","",IF(COUNTIF('Competency Event Log'!$U$4:$U$803,$B186&amp;"|"&amp;AC$5)=0,"",SUMIF('Competency Event Log'!$U$4:$U$803,$B186&amp;"|"&amp;AC$5,'Competency Event Log'!$D$4:$D$803)))</f>
        <v/>
      </c>
      <c r="AD186" s="8" t="str">
        <f>IF($B186="","",IF(COUNTIF('Competency Event Log'!$U$4:$U$803,$B186&amp;"|"&amp;AD$5)=0,"",SUMIF('Competency Event Log'!$U$4:$U$803,$B186&amp;"|"&amp;AD$5,'Competency Event Log'!$D$4:$D$803)))</f>
        <v/>
      </c>
      <c r="AE186" s="8" t="str">
        <f>IF($B186="","",IF(COUNTIF('Competency Event Log'!$U$4:$U$803,$B186&amp;"|"&amp;AE$5)=0,"",SUMIF('Competency Event Log'!$U$4:$U$803,$B186&amp;"|"&amp;AE$5,'Competency Event Log'!$D$4:$D$803)))</f>
        <v/>
      </c>
      <c r="AF186" s="8" t="str">
        <f>IF($B186="","",IF(COUNTIF('Competency Event Log'!$U$4:$U$803,$B186&amp;"|"&amp;AF$5)=0,"",SUMIF('Competency Event Log'!$U$4:$U$803,$B186&amp;"|"&amp;AF$5,'Competency Event Log'!$D$4:$D$803)))</f>
        <v/>
      </c>
      <c r="AG186" s="8" t="str">
        <f>IF($B186="","",IF(COUNTIF('Competency Event Log'!$U$4:$U$803,$B186&amp;"|"&amp;AG$5)=0,"",SUMIF('Competency Event Log'!$U$4:$U$803,$B186&amp;"|"&amp;AG$5,'Competency Event Log'!$D$4:$D$803)))</f>
        <v/>
      </c>
      <c r="AH186" s="8" t="str">
        <f>IF($B186="","",IF(COUNTIF('Competency Event Log'!$U$4:$U$803,$B186&amp;"|"&amp;AH$5)=0,"",SUMIF('Competency Event Log'!$U$4:$U$803,$B186&amp;"|"&amp;AH$5,'Competency Event Log'!$D$4:$D$803)))</f>
        <v/>
      </c>
      <c r="AI186" s="8" t="str">
        <f>IF($B186="","",IF(COUNTIF('Competency Event Log'!$U$4:$U$803,$B186&amp;"|"&amp;AI$5)=0,"",SUMIF('Competency Event Log'!$U$4:$U$803,$B186&amp;"|"&amp;AI$5,'Competency Event Log'!$D$4:$D$803)))</f>
        <v/>
      </c>
      <c r="AJ186" s="8" t="str">
        <f>IF($B186="","",IF(COUNTIF('Competency Event Log'!$U$4:$U$803,$B186&amp;"|"&amp;AJ$5)=0,"",SUMIF('Competency Event Log'!$U$4:$U$803,$B186&amp;"|"&amp;AJ$5,'Competency Event Log'!$D$4:$D$803)))</f>
        <v/>
      </c>
      <c r="AK186" s="8" t="str">
        <f>IF($B186="","",IF(COUNTIF('Competency Event Log'!$U$4:$U$803,$B186&amp;"|"&amp;AK$5)=0,"",SUMIF('Competency Event Log'!$U$4:$U$803,$B186&amp;"|"&amp;AK$5,'Competency Event Log'!$D$4:$D$803)))</f>
        <v/>
      </c>
      <c r="AL186" s="8" t="str">
        <f>IF($B186="","",IF(COUNTIF('Competency Event Log'!$U$4:$U$803,$B186&amp;"|"&amp;AL$5)=0,"",SUMIF('Competency Event Log'!$U$4:$U$803,$B186&amp;"|"&amp;AL$5,'Competency Event Log'!$D$4:$D$803)))</f>
        <v/>
      </c>
      <c r="AM186" s="8" t="str">
        <f>IF($B186="","",IF(COUNTIF('Competency Event Log'!$U$4:$U$803,$B186&amp;"|"&amp;AM$5)=0,"",SUMIF('Competency Event Log'!$U$4:$U$803,$B186&amp;"|"&amp;AM$5,'Competency Event Log'!$D$4:$D$803)))</f>
        <v/>
      </c>
      <c r="AN186" s="8" t="str">
        <f>IF($B186="","",IF(COUNTIF('Competency Event Log'!$U$4:$U$803,$B186&amp;"|"&amp;AN$5)=0,"",SUMIF('Competency Event Log'!$U$4:$U$803,$B186&amp;"|"&amp;AN$5,'Competency Event Log'!$D$4:$D$803)))</f>
        <v/>
      </c>
      <c r="AO186" s="8" t="str">
        <f>IF($B186="","",IF(COUNTIF('Competency Event Log'!$U$4:$U$803,$B186&amp;"|"&amp;AO$5)=0,"",SUMIF('Competency Event Log'!$U$4:$U$803,$B186&amp;"|"&amp;AO$5,'Competency Event Log'!$D$4:$D$803)))</f>
        <v/>
      </c>
      <c r="AP186" s="8" t="str">
        <f>IF($B186="","",IF(COUNTIF('Competency Event Log'!$U$4:$U$803,$B186&amp;"|"&amp;AP$5)=0,"",SUMIF('Competency Event Log'!$U$4:$U$803,$B186&amp;"|"&amp;AP$5,'Competency Event Log'!$D$4:$D$803)))</f>
        <v/>
      </c>
      <c r="AQ186" s="8" t="str">
        <f>IF($B186="","",IF(COUNTIF('Competency Event Log'!$U$4:$U$803,$B186&amp;"|"&amp;AQ$5)=0,"",SUMIF('Competency Event Log'!$U$4:$U$803,$B186&amp;"|"&amp;AQ$5,'Competency Event Log'!$D$4:$D$803)))</f>
        <v/>
      </c>
      <c r="AR186" s="8" t="str">
        <f>IF($B186="","",IF(COUNTIF('Competency Event Log'!$U$4:$U$803,$B186&amp;"|"&amp;AR$5)=0,"",SUMIF('Competency Event Log'!$U$4:$U$803,$B186&amp;"|"&amp;AR$5,'Competency Event Log'!$D$4:$D$803)))</f>
        <v/>
      </c>
      <c r="AS186" s="8" t="str">
        <f>IF($B186="","",IF(COUNTIF('Competency Event Log'!$U$4:$U$803,$B186&amp;"|"&amp;AS$5)=0,"",SUMIF('Competency Event Log'!$U$4:$U$803,$B186&amp;"|"&amp;AS$5,'Competency Event Log'!$D$4:$D$803)))</f>
        <v/>
      </c>
      <c r="AT186" s="8" t="str">
        <f>IF($B186="","",IF(COUNTIF('Competency Event Log'!$U$4:$U$803,$B186&amp;"|"&amp;AT$5)=0,"",SUMIF('Competency Event Log'!$U$4:$U$803,$B186&amp;"|"&amp;AT$5,'Competency Event Log'!$D$4:$D$803)))</f>
        <v/>
      </c>
      <c r="AU186" s="8" t="str">
        <f>IF($B186="","",IF(COUNTIF('Competency Event Log'!$U$4:$U$803,$B186&amp;"|"&amp;AU$5)=0,"",SUMIF('Competency Event Log'!$U$4:$U$803,$B186&amp;"|"&amp;AU$5,'Competency Event Log'!$D$4:$D$803)))</f>
        <v/>
      </c>
      <c r="AV186" s="8" t="str">
        <f>IF($B186="","",IF(COUNTIF('Competency Event Log'!$U$4:$U$803,$B186&amp;"|"&amp;AV$5)=0,"",SUMIF('Competency Event Log'!$U$4:$U$803,$B186&amp;"|"&amp;AV$5,'Competency Event Log'!$D$4:$D$803)))</f>
        <v/>
      </c>
      <c r="AW186" s="8" t="str">
        <f>IF($B186="","",IF(COUNTIF('Competency Event Log'!$U$4:$U$803,$B186&amp;"|"&amp;AW$5)=0,"",SUMIF('Competency Event Log'!$U$4:$U$803,$B186&amp;"|"&amp;AW$5,'Competency Event Log'!$D$4:$D$803)))</f>
        <v/>
      </c>
      <c r="AX186" s="8" t="str">
        <f>IF($B186="","",IF(COUNTIF('Competency Event Log'!$U$4:$U$803,$B186&amp;"|"&amp;AX$5)=0,"",SUMIF('Competency Event Log'!$U$4:$U$803,$B186&amp;"|"&amp;AX$5,'Competency Event Log'!$D$4:$D$803)))</f>
        <v/>
      </c>
      <c r="AY186" s="8" t="str">
        <f>IF($B186="","",IF(COUNTIF('Competency Event Log'!$U$4:$U$803,$B186&amp;"|"&amp;AY$5)=0,"",SUMIF('Competency Event Log'!$U$4:$U$803,$B186&amp;"|"&amp;AY$5,'Competency Event Log'!$D$4:$D$803)))</f>
        <v/>
      </c>
      <c r="AZ186" s="8" t="str">
        <f>IF($B186="","",IF(COUNTIF('Competency Event Log'!$U$4:$U$803,$B186&amp;"|"&amp;AZ$5)=0,"",SUMIF('Competency Event Log'!$U$4:$U$803,$B186&amp;"|"&amp;AZ$5,'Competency Event Log'!$D$4:$D$803)))</f>
        <v/>
      </c>
      <c r="BA186" s="8" t="str">
        <f>IF($B186="","",IF(COUNTIF('Competency Event Log'!$U$4:$U$803,$B186&amp;"|"&amp;BA$5)=0,"",SUMIF('Competency Event Log'!$U$4:$U$803,$B186&amp;"|"&amp;BA$5,'Competency Event Log'!$D$4:$D$803)))</f>
        <v/>
      </c>
      <c r="BB186" s="8" t="str">
        <f>IF($B186="","",IF(COUNTIF('Competency Event Log'!$U$4:$U$803,$B186&amp;"|"&amp;BB$5)=0,"",SUMIF('Competency Event Log'!$U$4:$U$803,$B186&amp;"|"&amp;BB$5,'Competency Event Log'!$D$4:$D$803)))</f>
        <v/>
      </c>
      <c r="BC186" s="8" t="str">
        <f>IF($B186="","",IF(COUNTIF('Competency Event Log'!$U$4:$U$803,$B186&amp;"|"&amp;BC$5)=0,"",SUMIF('Competency Event Log'!$U$4:$U$803,$B186&amp;"|"&amp;BC$5,'Competency Event Log'!$D$4:$D$803)))</f>
        <v/>
      </c>
      <c r="BD186" s="8" t="str">
        <f>IF($B186="","",IF(COUNTIF('Competency Event Log'!$U$4:$U$803,$B186&amp;"|"&amp;BD$5)=0,"",SUMIF('Competency Event Log'!$U$4:$U$803,$B186&amp;"|"&amp;BD$5,'Competency Event Log'!$D$4:$D$803)))</f>
        <v/>
      </c>
      <c r="BE186" s="8" t="str">
        <f>IF($B186="","",IF(COUNTIF('Competency Event Log'!$U$4:$U$803,$B186&amp;"|"&amp;BE$5)=0,"",SUMIF('Competency Event Log'!$U$4:$U$803,$B186&amp;"|"&amp;BE$5,'Competency Event Log'!$D$4:$D$803)))</f>
        <v/>
      </c>
      <c r="BF186" s="8" t="str">
        <f>IF($B186="","",IF(COUNTIF('Competency Event Log'!$U$4:$U$803,$B186&amp;"|"&amp;BF$5)=0,"",SUMIF('Competency Event Log'!$U$4:$U$803,$B186&amp;"|"&amp;BF$5,'Competency Event Log'!$D$4:$D$803)))</f>
        <v/>
      </c>
      <c r="BG186" s="8" t="str">
        <f>IF($B186="","",IF(COUNTIF('Competency Event Log'!$U$4:$U$803,$B186&amp;"|"&amp;BG$5)=0,"",SUMIF('Competency Event Log'!$U$4:$U$803,$B186&amp;"|"&amp;BG$5,'Competency Event Log'!$D$4:$D$803)))</f>
        <v/>
      </c>
      <c r="BH186" s="8" t="str">
        <f>IF($B186="","",IF(COUNTIF('Competency Event Log'!$U$4:$U$803,$B186&amp;"|"&amp;BH$5)=0,"",SUMIF('Competency Event Log'!$U$4:$U$803,$B186&amp;"|"&amp;BH$5,'Competency Event Log'!$D$4:$D$803)))</f>
        <v/>
      </c>
      <c r="BI186" s="8" t="str">
        <f>IF($B186="","",IF(COUNTIF('Competency Event Log'!$U$4:$U$803,$B186&amp;"|"&amp;BI$5)=0,"",SUMIF('Competency Event Log'!$U$4:$U$803,$B186&amp;"|"&amp;BI$5,'Competency Event Log'!$D$4:$D$803)))</f>
        <v/>
      </c>
      <c r="BJ186" s="8" t="str">
        <f>IF($B186="","",IF(COUNTIF('Competency Event Log'!$U$4:$U$803,$B186&amp;"|"&amp;BJ$5)=0,"",SUMIF('Competency Event Log'!$U$4:$U$803,$B186&amp;"|"&amp;BJ$5,'Competency Event Log'!$D$4:$D$803)))</f>
        <v/>
      </c>
      <c r="BK186" s="8" t="str">
        <f>IF($B186="","",IF(COUNTIF('Competency Event Log'!$U$4:$U$803,$B186&amp;"|"&amp;BK$5)=0,"",SUMIF('Competency Event Log'!$U$4:$U$803,$B186&amp;"|"&amp;BK$5,'Competency Event Log'!$D$4:$D$803)))</f>
        <v/>
      </c>
      <c r="BL186" s="8" t="str">
        <f>IF($B186="","",IF(COUNTIF('Competency Event Log'!$U$4:$U$803,$B186&amp;"|"&amp;BL$5)=0,"",SUMIF('Competency Event Log'!$U$4:$U$803,$B186&amp;"|"&amp;BL$5,'Competency Event Log'!$D$4:$D$803)))</f>
        <v/>
      </c>
      <c r="BM186" s="8" t="str">
        <f>IF($B186="","",IF(COUNTIF('Competency Event Log'!$U$4:$U$803,$B186&amp;"|"&amp;BM$5)=0,"",SUMIF('Competency Event Log'!$U$4:$U$803,$B186&amp;"|"&amp;BM$5,'Competency Event Log'!$D$4:$D$803)))</f>
        <v/>
      </c>
      <c r="BN186" s="8" t="str">
        <f>IF($B186="","",IF(COUNTIF('Competency Event Log'!$U$4:$U$803,$B186&amp;"|"&amp;BN$5)=0,"",SUMIF('Competency Event Log'!$U$4:$U$803,$B186&amp;"|"&amp;BN$5,'Competency Event Log'!$D$4:$D$803)))</f>
        <v/>
      </c>
      <c r="BO186" s="8" t="str">
        <f>IF($B186="","",IF(COUNTIF('Competency Event Log'!$U$4:$U$803,$B186&amp;"|"&amp;BO$5)=0,"",SUMIF('Competency Event Log'!$U$4:$U$803,$B186&amp;"|"&amp;BO$5,'Competency Event Log'!$D$4:$D$803)))</f>
        <v/>
      </c>
      <c r="BP186" s="8" t="str">
        <f>IF($B186="","",IF(COUNTIF('Competency Event Log'!$U$4:$U$803,$B186&amp;"|"&amp;BP$5)=0,"",SUMIF('Competency Event Log'!$U$4:$U$803,$B186&amp;"|"&amp;BP$5,'Competency Event Log'!$D$4:$D$803)))</f>
        <v/>
      </c>
      <c r="BQ186" s="8" t="str">
        <f>IF($B186="","",IF(COUNTIF('Competency Event Log'!$U$4:$U$803,$B186&amp;"|"&amp;BQ$5)=0,"",SUMIF('Competency Event Log'!$U$4:$U$803,$B186&amp;"|"&amp;BQ$5,'Competency Event Log'!$D$4:$D$803)))</f>
        <v/>
      </c>
      <c r="BR186" s="8" t="str">
        <f>IF($B186="","",IF(COUNTIF('Competency Event Log'!$U$4:$U$803,$B186&amp;"|"&amp;BR$5)=0,"",SUMIF('Competency Event Log'!$U$4:$U$803,$B186&amp;"|"&amp;BR$5,'Competency Event Log'!$D$4:$D$803)))</f>
        <v/>
      </c>
      <c r="BS186" s="8" t="str">
        <f>IF($B186="","",IF(COUNTIF('Competency Event Log'!$U$4:$U$803,$B186&amp;"|"&amp;BS$5)=0,"",SUMIF('Competency Event Log'!$U$4:$U$803,$B186&amp;"|"&amp;BS$5,'Competency Event Log'!$D$4:$D$803)))</f>
        <v/>
      </c>
      <c r="BT186" s="8" t="str">
        <f>IF($B186="","",IF(COUNTIF('Competency Event Log'!$U$4:$U$803,$B186&amp;"|"&amp;BT$5)=0,"",SUMIF('Competency Event Log'!$U$4:$U$803,$B186&amp;"|"&amp;BT$5,'Competency Event Log'!$D$4:$D$803)))</f>
        <v/>
      </c>
      <c r="BU186" s="8" t="str">
        <f>IF($B186="","",IF(COUNTIF('Competency Event Log'!$U$4:$U$803,$B186&amp;"|"&amp;BU$5)=0,"",SUMIF('Competency Event Log'!$U$4:$U$803,$B186&amp;"|"&amp;BU$5,'Competency Event Log'!$D$4:$D$803)))</f>
        <v/>
      </c>
      <c r="BV186" s="8" t="str">
        <f>IF($B186="","",IF(COUNTIF('Competency Event Log'!$U$4:$U$803,$B186&amp;"|"&amp;BV$5)=0,"",SUMIF('Competency Event Log'!$U$4:$U$803,$B186&amp;"|"&amp;BV$5,'Competency Event Log'!$D$4:$D$803)))</f>
        <v/>
      </c>
      <c r="BW186" s="8" t="str">
        <f>IF($B186="","",IF(COUNTIF('Competency Event Log'!$U$4:$U$803,$B186&amp;"|"&amp;BW$5)=0,"",SUMIF('Competency Event Log'!$U$4:$U$803,$B186&amp;"|"&amp;BW$5,'Competency Event Log'!$D$4:$D$803)))</f>
        <v/>
      </c>
      <c r="BX186" s="8" t="str">
        <f>IF($B186="","",IF(COUNTIF('Competency Event Log'!$U$4:$U$803,$B186&amp;"|"&amp;BX$5)=0,"",SUMIF('Competency Event Log'!$U$4:$U$803,$B186&amp;"|"&amp;BX$5,'Competency Event Log'!$D$4:$D$803)))</f>
        <v/>
      </c>
      <c r="BY186" s="8" t="str">
        <f>IF($B186="","",IF(COUNTIF('Competency Event Log'!$U$4:$U$803,$B186&amp;"|"&amp;BY$5)=0,"",SUMIF('Competency Event Log'!$U$4:$U$803,$B186&amp;"|"&amp;BY$5,'Competency Event Log'!$D$4:$D$803)))</f>
        <v/>
      </c>
      <c r="BZ186" s="8" t="str">
        <f>IF($B186="","",IF(COUNTIF('Competency Event Log'!$U$4:$U$803,$B186&amp;"|"&amp;BZ$5)=0,"",SUMIF('Competency Event Log'!$U$4:$U$803,$B186&amp;"|"&amp;BZ$5,'Competency Event Log'!$D$4:$D$803)))</f>
        <v/>
      </c>
      <c r="CA186" s="8" t="str">
        <f>IF($B186="","",IF(COUNTIF('Competency Event Log'!$U$4:$U$803,$B186&amp;"|"&amp;CA$5)=0,"",SUMIF('Competency Event Log'!$U$4:$U$803,$B186&amp;"|"&amp;CA$5,'Competency Event Log'!$D$4:$D$803)))</f>
        <v/>
      </c>
      <c r="CB186" s="8" t="str">
        <f>IF($B186="","",IF(COUNTIF('Competency Event Log'!$U$4:$U$803,$B186&amp;"|"&amp;CB$5)=0,"",SUMIF('Competency Event Log'!$U$4:$U$803,$B186&amp;"|"&amp;CB$5,'Competency Event Log'!$D$4:$D$803)))</f>
        <v/>
      </c>
      <c r="CC186" s="8" t="str">
        <f>IF($B186="","",IF(COUNTIF('Competency Event Log'!$U$4:$U$803,$B186&amp;"|"&amp;CC$5)=0,"",SUMIF('Competency Event Log'!$U$4:$U$803,$B186&amp;"|"&amp;CC$5,'Competency Event Log'!$D$4:$D$803)))</f>
        <v/>
      </c>
      <c r="CD186" s="8" t="str">
        <f>IF($B186="","",IF(COUNTIF('Competency Event Log'!$U$4:$U$803,$B186&amp;"|"&amp;CD$5)=0,"",SUMIF('Competency Event Log'!$U$4:$U$803,$B186&amp;"|"&amp;CD$5,'Competency Event Log'!$D$4:$D$803)))</f>
        <v/>
      </c>
      <c r="CE186" s="8" t="str">
        <f>IF($B186="","",IF(COUNTIF('Competency Event Log'!$U$4:$U$803,$B186&amp;"|"&amp;CE$5)=0,"",SUMIF('Competency Event Log'!$U$4:$U$803,$B186&amp;"|"&amp;CE$5,'Competency Event Log'!$D$4:$D$803)))</f>
        <v/>
      </c>
      <c r="CF186" s="8" t="str">
        <f>IF($B186="","",IF(COUNTIF('Competency Event Log'!$U$4:$U$803,$B186&amp;"|"&amp;CF$5)=0,"",SUMIF('Competency Event Log'!$U$4:$U$803,$B186&amp;"|"&amp;CF$5,'Competency Event Log'!$D$4:$D$803)))</f>
        <v/>
      </c>
      <c r="CG186" s="8" t="str">
        <f>IF($B186="","",IF(COUNTIF('Competency Event Log'!$U$4:$U$803,$B186&amp;"|"&amp;CG$5)=0,"",SUMIF('Competency Event Log'!$U$4:$U$803,$B186&amp;"|"&amp;CG$5,'Competency Event Log'!$D$4:$D$803)))</f>
        <v/>
      </c>
      <c r="CH186" s="8" t="str">
        <f>IF($B186="","",IF(COUNTIF('Competency Event Log'!$U$4:$U$803,$B186&amp;"|"&amp;CH$5)=0,"",SUMIF('Competency Event Log'!$U$4:$U$803,$B186&amp;"|"&amp;CH$5,'Competency Event Log'!$D$4:$D$803)))</f>
        <v/>
      </c>
      <c r="CI186" s="8" t="str">
        <f>IF($B186="","",IF(COUNTIF('Competency Event Log'!$U$4:$U$803,$B186&amp;"|"&amp;CI$5)=0,"",SUMIF('Competency Event Log'!$U$4:$U$803,$B186&amp;"|"&amp;CI$5,'Competency Event Log'!$D$4:$D$803)))</f>
        <v/>
      </c>
      <c r="CJ186" s="8" t="str">
        <f>IF($B186="","",IF(COUNTIF('Competency Event Log'!$U$4:$U$803,$B186&amp;"|"&amp;CJ$5)=0,"",SUMIF('Competency Event Log'!$U$4:$U$803,$B186&amp;"|"&amp;CJ$5,'Competency Event Log'!$D$4:$D$803)))</f>
        <v/>
      </c>
      <c r="CK186" s="8" t="str">
        <f>IF($B186="","",IF(COUNTIF('Competency Event Log'!$U$4:$U$803,$B186&amp;"|"&amp;CK$5)=0,"",SUMIF('Competency Event Log'!$U$4:$U$803,$B186&amp;"|"&amp;CK$5,'Competency Event Log'!$D$4:$D$803)))</f>
        <v/>
      </c>
      <c r="CL186" s="8" t="str">
        <f>IF($B186="","",IF(COUNTIF('Competency Event Log'!$U$4:$U$803,$B186&amp;"|"&amp;CL$5)=0,"",SUMIF('Competency Event Log'!$U$4:$U$803,$B186&amp;"|"&amp;CL$5,'Competency Event Log'!$D$4:$D$803)))</f>
        <v/>
      </c>
      <c r="CM186" s="8" t="str">
        <f>IF($B186="","",IF(COUNTIF('Competency Event Log'!$U$4:$U$803,$B186&amp;"|"&amp;CM$5)=0,"",SUMIF('Competency Event Log'!$U$4:$U$803,$B186&amp;"|"&amp;CM$5,'Competency Event Log'!$D$4:$D$803)))</f>
        <v/>
      </c>
      <c r="CN186" s="8" t="str">
        <f>IF($B186="","",IF(COUNTIF('Competency Event Log'!$U$4:$U$803,$B186&amp;"|"&amp;CN$5)=0,"",SUMIF('Competency Event Log'!$U$4:$U$803,$B186&amp;"|"&amp;CN$5,'Competency Event Log'!$D$4:$D$803)))</f>
        <v/>
      </c>
      <c r="CO186" s="8" t="str">
        <f>IF($B186="","",IF(COUNTIF('Competency Event Log'!$U$4:$U$803,$B186&amp;"|"&amp;CO$5)=0,"",SUMIF('Competency Event Log'!$U$4:$U$803,$B186&amp;"|"&amp;CO$5,'Competency Event Log'!$D$4:$D$803)))</f>
        <v/>
      </c>
      <c r="CP186" s="8" t="str">
        <f>IF($B186="","",IF(COUNTIF('Competency Event Log'!$U$4:$U$803,$B186&amp;"|"&amp;CP$5)=0,"",SUMIF('Competency Event Log'!$U$4:$U$803,$B186&amp;"|"&amp;CP$5,'Competency Event Log'!$D$4:$D$803)))</f>
        <v/>
      </c>
      <c r="CQ186" s="8" t="str">
        <f>IF($B186="","",IF(COUNTIF('Competency Event Log'!$U$4:$U$803,$B186&amp;"|"&amp;CQ$5)=0,"",SUMIF('Competency Event Log'!$U$4:$U$803,$B186&amp;"|"&amp;CQ$5,'Competency Event Log'!$D$4:$D$803)))</f>
        <v/>
      </c>
      <c r="CR186" s="8" t="str">
        <f>IF($B186="","",IF(COUNTIF('Competency Event Log'!$U$4:$U$803,$B186&amp;"|"&amp;CR$5)=0,"",SUMIF('Competency Event Log'!$U$4:$U$803,$B186&amp;"|"&amp;CR$5,'Competency Event Log'!$D$4:$D$803)))</f>
        <v/>
      </c>
      <c r="CS186" s="8" t="str">
        <f>IF($B186="","",IF(COUNTIF('Competency Event Log'!$U$4:$U$803,$B186&amp;"|"&amp;CS$5)=0,"",SUMIF('Competency Event Log'!$U$4:$U$803,$B186&amp;"|"&amp;CS$5,'Competency Event Log'!$D$4:$D$803)))</f>
        <v/>
      </c>
      <c r="CT186" s="8" t="str">
        <f>IF($B186="","",IF(COUNTIF('Competency Event Log'!$U$4:$U$803,$B186&amp;"|"&amp;CT$5)=0,"",SUMIF('Competency Event Log'!$U$4:$U$803,$B186&amp;"|"&amp;CT$5,'Competency Event Log'!$D$4:$D$803)))</f>
        <v/>
      </c>
      <c r="CU186" s="8" t="str">
        <f>IF($B186="","",IF(COUNTIF('Competency Event Log'!$U$4:$U$803,$B186&amp;"|"&amp;CU$5)=0,"",SUMIF('Competency Event Log'!$U$4:$U$803,$B186&amp;"|"&amp;CU$5,'Competency Event Log'!$D$4:$D$803)))</f>
        <v/>
      </c>
      <c r="CV186" s="8" t="str">
        <f>IF($B186="","",IF(COUNTIF('Competency Event Log'!$U$4:$U$803,$B186&amp;"|"&amp;CV$5)=0,"",SUMIF('Competency Event Log'!$U$4:$U$803,$B186&amp;"|"&amp;CV$5,'Competency Event Log'!$D$4:$D$803)))</f>
        <v/>
      </c>
      <c r="CW186" s="8" t="str">
        <f>IF($B186="","",IF(COUNTIF('Competency Event Log'!$U$4:$U$803,$B186&amp;"|"&amp;CW$5)=0,"",SUMIF('Competency Event Log'!$U$4:$U$803,$B186&amp;"|"&amp;CW$5,'Competency Event Log'!$D$4:$D$803)))</f>
        <v/>
      </c>
      <c r="CX186" s="8" t="str">
        <f>IF($B186="","",IF(COUNTIF('Competency Event Log'!$U$4:$U$803,$B186&amp;"|"&amp;CX$5)=0,"",SUMIF('Competency Event Log'!$U$4:$U$803,$B186&amp;"|"&amp;CX$5,'Competency Event Log'!$D$4:$D$803)))</f>
        <v/>
      </c>
      <c r="CY186" s="8" t="str">
        <f>IF($B186="","",IF(COUNTIF('Competency Event Log'!$U$4:$U$803,$B186&amp;"|"&amp;CY$5)=0,"",SUMIF('Competency Event Log'!$U$4:$U$803,$B186&amp;"|"&amp;CY$5,'Competency Event Log'!$D$4:$D$803)))</f>
        <v/>
      </c>
      <c r="CZ186" s="8" t="str">
        <f>IF($B186="","",IF(COUNTIF('Competency Event Log'!$U$4:$U$803,$B186&amp;"|"&amp;CZ$5)=0,"",SUMIF('Competency Event Log'!$U$4:$U$803,$B186&amp;"|"&amp;CZ$5,'Competency Event Log'!$D$4:$D$803)))</f>
        <v/>
      </c>
      <c r="DA186" s="8" t="str">
        <f>IF($B186="","",IF(COUNTIF('Competency Event Log'!$U$4:$U$803,$B186&amp;"|"&amp;DA$5)=0,"",SUMIF('Competency Event Log'!$U$4:$U$803,$B186&amp;"|"&amp;DA$5,'Competency Event Log'!$D$4:$D$803)))</f>
        <v/>
      </c>
      <c r="DB186" s="8" t="str">
        <f>IF($B186="","",IF(COUNTIF('Competency Event Log'!$U$4:$U$803,$B186&amp;"|"&amp;DB$5)=0,"",SUMIF('Competency Event Log'!$U$4:$U$803,$B186&amp;"|"&amp;DB$5,'Competency Event Log'!$D$4:$D$803)))</f>
        <v/>
      </c>
      <c r="DC186" s="8" t="str">
        <f>IF($B186="","",IF(COUNTIF('Competency Event Log'!$U$4:$U$803,$B186&amp;"|"&amp;DC$5)=0,"",SUMIF('Competency Event Log'!$U$4:$U$803,$B186&amp;"|"&amp;DC$5,'Competency Event Log'!$D$4:$D$803)))</f>
        <v/>
      </c>
      <c r="DD186" s="8" t="str">
        <f>IF($B186="","",IF(COUNTIF('Competency Event Log'!$U$4:$U$803,$B186&amp;"|"&amp;DD$5)=0,"",SUMIF('Competency Event Log'!$U$4:$U$803,$B186&amp;"|"&amp;DD$5,'Competency Event Log'!$D$4:$D$803)))</f>
        <v/>
      </c>
      <c r="DE186" s="8" t="str">
        <f>IF($B186="","",IF(COUNTIF('Competency Event Log'!$U$4:$U$803,$B186&amp;"|"&amp;DE$5)=0,"",SUMIF('Competency Event Log'!$U$4:$U$803,$B186&amp;"|"&amp;DE$5,'Competency Event Log'!$D$4:$D$803)))</f>
        <v/>
      </c>
      <c r="DF186" s="8" t="str">
        <f t="shared" si="20"/>
        <v/>
      </c>
      <c r="DG186" s="8" t="str">
        <f t="shared" si="21"/>
        <v/>
      </c>
      <c r="DH186" s="8" t="str">
        <f t="shared" si="22"/>
        <v/>
      </c>
      <c r="DI186" s="11" t="str">
        <f t="shared" si="23"/>
        <v/>
      </c>
    </row>
    <row r="187" spans="1:113">
      <c r="A187" s="7"/>
      <c r="B187" s="7"/>
      <c r="C187" s="8"/>
      <c r="D187" s="9"/>
      <c r="E187" s="10"/>
      <c r="F187" s="8"/>
      <c r="G187" s="8" t="str">
        <f>IF($B187="","",IF(COUNTIF('Competency Event Log'!$U$4:$U$803,$B187&amp;"|"&amp;G$5)=0,"",SUMIF('Competency Event Log'!$U$4:$U$803,$B187&amp;"|"&amp;G$5,'Competency Event Log'!$D$4:$D$803)))</f>
        <v/>
      </c>
      <c r="H187" s="8" t="str">
        <f>IF($B187="","",IF(COUNTIF('Competency Event Log'!$U$4:$U$803,$B187&amp;"|"&amp;H$5)=0,"",SUMIF('Competency Event Log'!$U$4:$U$803,$B187&amp;"|"&amp;H$5,'Competency Event Log'!$D$4:$D$803)))</f>
        <v/>
      </c>
      <c r="I187" s="8" t="str">
        <f>IF($B187="","",IF(COUNTIF('Competency Event Log'!$U$4:$U$803,$B187&amp;"|"&amp;I$5)=0,"",SUMIF('Competency Event Log'!$U$4:$U$803,$B187&amp;"|"&amp;I$5,'Competency Event Log'!$D$4:$D$803)))</f>
        <v/>
      </c>
      <c r="J187" s="8" t="str">
        <f>IF($B187="","",IF(COUNTIF('Competency Event Log'!$U$4:$U$803,$B187&amp;"|"&amp;J$5)=0,"",SUMIF('Competency Event Log'!$U$4:$U$803,$B187&amp;"|"&amp;J$5,'Competency Event Log'!$D$4:$D$803)))</f>
        <v/>
      </c>
      <c r="K187" s="8" t="str">
        <f>IF($B187="","",IF(COUNTIF('Competency Event Log'!$U$4:$U$803,$B187&amp;"|"&amp;K$5)=0,"",SUMIF('Competency Event Log'!$U$4:$U$803,$B187&amp;"|"&amp;K$5,'Competency Event Log'!$D$4:$D$803)))</f>
        <v/>
      </c>
      <c r="L187" s="8" t="str">
        <f>IF($B187="","",IF(COUNTIF('Competency Event Log'!$U$4:$U$803,$B187&amp;"|"&amp;L$5)=0,"",SUMIF('Competency Event Log'!$U$4:$U$803,$B187&amp;"|"&amp;L$5,'Competency Event Log'!$D$4:$D$803)))</f>
        <v/>
      </c>
      <c r="M187" s="8" t="str">
        <f>IF($B187="","",IF(COUNTIF('Competency Event Log'!$U$4:$U$803,$B187&amp;"|"&amp;M$5)=0,"",SUMIF('Competency Event Log'!$U$4:$U$803,$B187&amp;"|"&amp;M$5,'Competency Event Log'!$D$4:$D$803)))</f>
        <v/>
      </c>
      <c r="N187" s="8" t="str">
        <f>IF($B187="","",IF(COUNTIF('Competency Event Log'!$U$4:$U$803,$B187&amp;"|"&amp;N$5)=0,"",SUMIF('Competency Event Log'!$U$4:$U$803,$B187&amp;"|"&amp;N$5,'Competency Event Log'!$D$4:$D$803)))</f>
        <v/>
      </c>
      <c r="O187" s="8" t="str">
        <f>IF($B187="","",IF(COUNTIF('Competency Event Log'!$U$4:$U$803,$B187&amp;"|"&amp;O$5)=0,"",SUMIF('Competency Event Log'!$U$4:$U$803,$B187&amp;"|"&amp;O$5,'Competency Event Log'!$D$4:$D$803)))</f>
        <v/>
      </c>
      <c r="P187" s="8" t="str">
        <f>IF($B187="","",IF(COUNTIF('Competency Event Log'!$U$4:$U$803,$B187&amp;"|"&amp;P$5)=0,"",SUMIF('Competency Event Log'!$U$4:$U$803,$B187&amp;"|"&amp;P$5,'Competency Event Log'!$D$4:$D$803)))</f>
        <v/>
      </c>
      <c r="Q187" s="8" t="str">
        <f>IF($B187="","",IF(COUNTIF('Competency Event Log'!$U$4:$U$803,$B187&amp;"|"&amp;Q$5)=0,"",SUMIF('Competency Event Log'!$U$4:$U$803,$B187&amp;"|"&amp;Q$5,'Competency Event Log'!$D$4:$D$803)))</f>
        <v/>
      </c>
      <c r="R187" s="8" t="str">
        <f>IF($B187="","",IF(COUNTIF('Competency Event Log'!$U$4:$U$803,$B187&amp;"|"&amp;R$5)=0,"",SUMIF('Competency Event Log'!$U$4:$U$803,$B187&amp;"|"&amp;R$5,'Competency Event Log'!$D$4:$D$803)))</f>
        <v/>
      </c>
      <c r="S187" s="8" t="str">
        <f>IF($B187="","",IF(COUNTIF('Competency Event Log'!$U$4:$U$803,$B187&amp;"|"&amp;S$5)=0,"",SUMIF('Competency Event Log'!$U$4:$U$803,$B187&amp;"|"&amp;S$5,'Competency Event Log'!$D$4:$D$803)))</f>
        <v/>
      </c>
      <c r="T187" s="8" t="str">
        <f>IF($B187="","",IF(COUNTIF('Competency Event Log'!$U$4:$U$803,$B187&amp;"|"&amp;T$5)=0,"",SUMIF('Competency Event Log'!$U$4:$U$803,$B187&amp;"|"&amp;T$5,'Competency Event Log'!$D$4:$D$803)))</f>
        <v/>
      </c>
      <c r="U187" s="8" t="str">
        <f>IF($B187="","",IF(COUNTIF('Competency Event Log'!$U$4:$U$803,$B187&amp;"|"&amp;U$5)=0,"",SUMIF('Competency Event Log'!$U$4:$U$803,$B187&amp;"|"&amp;U$5,'Competency Event Log'!$D$4:$D$803)))</f>
        <v/>
      </c>
      <c r="V187" s="8" t="str">
        <f>IF($B187="","",IF(COUNTIF('Competency Event Log'!$U$4:$U$803,$B187&amp;"|"&amp;V$5)=0,"",SUMIF('Competency Event Log'!$U$4:$U$803,$B187&amp;"|"&amp;V$5,'Competency Event Log'!$D$4:$D$803)))</f>
        <v/>
      </c>
      <c r="W187" s="8" t="str">
        <f>IF($B187="","",IF(COUNTIF('Competency Event Log'!$U$4:$U$803,$B187&amp;"|"&amp;W$5)=0,"",SUMIF('Competency Event Log'!$U$4:$U$803,$B187&amp;"|"&amp;W$5,'Competency Event Log'!$D$4:$D$803)))</f>
        <v/>
      </c>
      <c r="X187" s="8" t="str">
        <f>IF($B187="","",IF(COUNTIF('Competency Event Log'!$U$4:$U$803,$B187&amp;"|"&amp;X$5)=0,"",SUMIF('Competency Event Log'!$U$4:$U$803,$B187&amp;"|"&amp;X$5,'Competency Event Log'!$D$4:$D$803)))</f>
        <v/>
      </c>
      <c r="Y187" s="8" t="str">
        <f>IF($B187="","",IF(COUNTIF('Competency Event Log'!$U$4:$U$803,$B187&amp;"|"&amp;Y$5)=0,"",SUMIF('Competency Event Log'!$U$4:$U$803,$B187&amp;"|"&amp;Y$5,'Competency Event Log'!$D$4:$D$803)))</f>
        <v/>
      </c>
      <c r="Z187" s="8" t="str">
        <f>IF($B187="","",IF(COUNTIF('Competency Event Log'!$U$4:$U$803,$B187&amp;"|"&amp;Z$5)=0,"",SUMIF('Competency Event Log'!$U$4:$U$803,$B187&amp;"|"&amp;Z$5,'Competency Event Log'!$D$4:$D$803)))</f>
        <v/>
      </c>
      <c r="AA187" s="8" t="str">
        <f>IF($B187="","",IF(COUNTIF('Competency Event Log'!$U$4:$U$803,$B187&amp;"|"&amp;AA$5)=0,"",SUMIF('Competency Event Log'!$U$4:$U$803,$B187&amp;"|"&amp;AA$5,'Competency Event Log'!$D$4:$D$803)))</f>
        <v/>
      </c>
      <c r="AB187" s="8" t="str">
        <f>IF($B187="","",IF(COUNTIF('Competency Event Log'!$U$4:$U$803,$B187&amp;"|"&amp;AB$5)=0,"",SUMIF('Competency Event Log'!$U$4:$U$803,$B187&amp;"|"&amp;AB$5,'Competency Event Log'!$D$4:$D$803)))</f>
        <v/>
      </c>
      <c r="AC187" s="8" t="str">
        <f>IF($B187="","",IF(COUNTIF('Competency Event Log'!$U$4:$U$803,$B187&amp;"|"&amp;AC$5)=0,"",SUMIF('Competency Event Log'!$U$4:$U$803,$B187&amp;"|"&amp;AC$5,'Competency Event Log'!$D$4:$D$803)))</f>
        <v/>
      </c>
      <c r="AD187" s="8" t="str">
        <f>IF($B187="","",IF(COUNTIF('Competency Event Log'!$U$4:$U$803,$B187&amp;"|"&amp;AD$5)=0,"",SUMIF('Competency Event Log'!$U$4:$U$803,$B187&amp;"|"&amp;AD$5,'Competency Event Log'!$D$4:$D$803)))</f>
        <v/>
      </c>
      <c r="AE187" s="8" t="str">
        <f>IF($B187="","",IF(COUNTIF('Competency Event Log'!$U$4:$U$803,$B187&amp;"|"&amp;AE$5)=0,"",SUMIF('Competency Event Log'!$U$4:$U$803,$B187&amp;"|"&amp;AE$5,'Competency Event Log'!$D$4:$D$803)))</f>
        <v/>
      </c>
      <c r="AF187" s="8" t="str">
        <f>IF($B187="","",IF(COUNTIF('Competency Event Log'!$U$4:$U$803,$B187&amp;"|"&amp;AF$5)=0,"",SUMIF('Competency Event Log'!$U$4:$U$803,$B187&amp;"|"&amp;AF$5,'Competency Event Log'!$D$4:$D$803)))</f>
        <v/>
      </c>
      <c r="AG187" s="8" t="str">
        <f>IF($B187="","",IF(COUNTIF('Competency Event Log'!$U$4:$U$803,$B187&amp;"|"&amp;AG$5)=0,"",SUMIF('Competency Event Log'!$U$4:$U$803,$B187&amp;"|"&amp;AG$5,'Competency Event Log'!$D$4:$D$803)))</f>
        <v/>
      </c>
      <c r="AH187" s="8" t="str">
        <f>IF($B187="","",IF(COUNTIF('Competency Event Log'!$U$4:$U$803,$B187&amp;"|"&amp;AH$5)=0,"",SUMIF('Competency Event Log'!$U$4:$U$803,$B187&amp;"|"&amp;AH$5,'Competency Event Log'!$D$4:$D$803)))</f>
        <v/>
      </c>
      <c r="AI187" s="8" t="str">
        <f>IF($B187="","",IF(COUNTIF('Competency Event Log'!$U$4:$U$803,$B187&amp;"|"&amp;AI$5)=0,"",SUMIF('Competency Event Log'!$U$4:$U$803,$B187&amp;"|"&amp;AI$5,'Competency Event Log'!$D$4:$D$803)))</f>
        <v/>
      </c>
      <c r="AJ187" s="8" t="str">
        <f>IF($B187="","",IF(COUNTIF('Competency Event Log'!$U$4:$U$803,$B187&amp;"|"&amp;AJ$5)=0,"",SUMIF('Competency Event Log'!$U$4:$U$803,$B187&amp;"|"&amp;AJ$5,'Competency Event Log'!$D$4:$D$803)))</f>
        <v/>
      </c>
      <c r="AK187" s="8" t="str">
        <f>IF($B187="","",IF(COUNTIF('Competency Event Log'!$U$4:$U$803,$B187&amp;"|"&amp;AK$5)=0,"",SUMIF('Competency Event Log'!$U$4:$U$803,$B187&amp;"|"&amp;AK$5,'Competency Event Log'!$D$4:$D$803)))</f>
        <v/>
      </c>
      <c r="AL187" s="8" t="str">
        <f>IF($B187="","",IF(COUNTIF('Competency Event Log'!$U$4:$U$803,$B187&amp;"|"&amp;AL$5)=0,"",SUMIF('Competency Event Log'!$U$4:$U$803,$B187&amp;"|"&amp;AL$5,'Competency Event Log'!$D$4:$D$803)))</f>
        <v/>
      </c>
      <c r="AM187" s="8" t="str">
        <f>IF($B187="","",IF(COUNTIF('Competency Event Log'!$U$4:$U$803,$B187&amp;"|"&amp;AM$5)=0,"",SUMIF('Competency Event Log'!$U$4:$U$803,$B187&amp;"|"&amp;AM$5,'Competency Event Log'!$D$4:$D$803)))</f>
        <v/>
      </c>
      <c r="AN187" s="8" t="str">
        <f>IF($B187="","",IF(COUNTIF('Competency Event Log'!$U$4:$U$803,$B187&amp;"|"&amp;AN$5)=0,"",SUMIF('Competency Event Log'!$U$4:$U$803,$B187&amp;"|"&amp;AN$5,'Competency Event Log'!$D$4:$D$803)))</f>
        <v/>
      </c>
      <c r="AO187" s="8" t="str">
        <f>IF($B187="","",IF(COUNTIF('Competency Event Log'!$U$4:$U$803,$B187&amp;"|"&amp;AO$5)=0,"",SUMIF('Competency Event Log'!$U$4:$U$803,$B187&amp;"|"&amp;AO$5,'Competency Event Log'!$D$4:$D$803)))</f>
        <v/>
      </c>
      <c r="AP187" s="8" t="str">
        <f>IF($B187="","",IF(COUNTIF('Competency Event Log'!$U$4:$U$803,$B187&amp;"|"&amp;AP$5)=0,"",SUMIF('Competency Event Log'!$U$4:$U$803,$B187&amp;"|"&amp;AP$5,'Competency Event Log'!$D$4:$D$803)))</f>
        <v/>
      </c>
      <c r="AQ187" s="8" t="str">
        <f>IF($B187="","",IF(COUNTIF('Competency Event Log'!$U$4:$U$803,$B187&amp;"|"&amp;AQ$5)=0,"",SUMIF('Competency Event Log'!$U$4:$U$803,$B187&amp;"|"&amp;AQ$5,'Competency Event Log'!$D$4:$D$803)))</f>
        <v/>
      </c>
      <c r="AR187" s="8" t="str">
        <f>IF($B187="","",IF(COUNTIF('Competency Event Log'!$U$4:$U$803,$B187&amp;"|"&amp;AR$5)=0,"",SUMIF('Competency Event Log'!$U$4:$U$803,$B187&amp;"|"&amp;AR$5,'Competency Event Log'!$D$4:$D$803)))</f>
        <v/>
      </c>
      <c r="AS187" s="8" t="str">
        <f>IF($B187="","",IF(COUNTIF('Competency Event Log'!$U$4:$U$803,$B187&amp;"|"&amp;AS$5)=0,"",SUMIF('Competency Event Log'!$U$4:$U$803,$B187&amp;"|"&amp;AS$5,'Competency Event Log'!$D$4:$D$803)))</f>
        <v/>
      </c>
      <c r="AT187" s="8" t="str">
        <f>IF($B187="","",IF(COUNTIF('Competency Event Log'!$U$4:$U$803,$B187&amp;"|"&amp;AT$5)=0,"",SUMIF('Competency Event Log'!$U$4:$U$803,$B187&amp;"|"&amp;AT$5,'Competency Event Log'!$D$4:$D$803)))</f>
        <v/>
      </c>
      <c r="AU187" s="8" t="str">
        <f>IF($B187="","",IF(COUNTIF('Competency Event Log'!$U$4:$U$803,$B187&amp;"|"&amp;AU$5)=0,"",SUMIF('Competency Event Log'!$U$4:$U$803,$B187&amp;"|"&amp;AU$5,'Competency Event Log'!$D$4:$D$803)))</f>
        <v/>
      </c>
      <c r="AV187" s="8" t="str">
        <f>IF($B187="","",IF(COUNTIF('Competency Event Log'!$U$4:$U$803,$B187&amp;"|"&amp;AV$5)=0,"",SUMIF('Competency Event Log'!$U$4:$U$803,$B187&amp;"|"&amp;AV$5,'Competency Event Log'!$D$4:$D$803)))</f>
        <v/>
      </c>
      <c r="AW187" s="8" t="str">
        <f>IF($B187="","",IF(COUNTIF('Competency Event Log'!$U$4:$U$803,$B187&amp;"|"&amp;AW$5)=0,"",SUMIF('Competency Event Log'!$U$4:$U$803,$B187&amp;"|"&amp;AW$5,'Competency Event Log'!$D$4:$D$803)))</f>
        <v/>
      </c>
      <c r="AX187" s="8" t="str">
        <f>IF($B187="","",IF(COUNTIF('Competency Event Log'!$U$4:$U$803,$B187&amp;"|"&amp;AX$5)=0,"",SUMIF('Competency Event Log'!$U$4:$U$803,$B187&amp;"|"&amp;AX$5,'Competency Event Log'!$D$4:$D$803)))</f>
        <v/>
      </c>
      <c r="AY187" s="8" t="str">
        <f>IF($B187="","",IF(COUNTIF('Competency Event Log'!$U$4:$U$803,$B187&amp;"|"&amp;AY$5)=0,"",SUMIF('Competency Event Log'!$U$4:$U$803,$B187&amp;"|"&amp;AY$5,'Competency Event Log'!$D$4:$D$803)))</f>
        <v/>
      </c>
      <c r="AZ187" s="8" t="str">
        <f>IF($B187="","",IF(COUNTIF('Competency Event Log'!$U$4:$U$803,$B187&amp;"|"&amp;AZ$5)=0,"",SUMIF('Competency Event Log'!$U$4:$U$803,$B187&amp;"|"&amp;AZ$5,'Competency Event Log'!$D$4:$D$803)))</f>
        <v/>
      </c>
      <c r="BA187" s="8" t="str">
        <f>IF($B187="","",IF(COUNTIF('Competency Event Log'!$U$4:$U$803,$B187&amp;"|"&amp;BA$5)=0,"",SUMIF('Competency Event Log'!$U$4:$U$803,$B187&amp;"|"&amp;BA$5,'Competency Event Log'!$D$4:$D$803)))</f>
        <v/>
      </c>
      <c r="BB187" s="8" t="str">
        <f>IF($B187="","",IF(COUNTIF('Competency Event Log'!$U$4:$U$803,$B187&amp;"|"&amp;BB$5)=0,"",SUMIF('Competency Event Log'!$U$4:$U$803,$B187&amp;"|"&amp;BB$5,'Competency Event Log'!$D$4:$D$803)))</f>
        <v/>
      </c>
      <c r="BC187" s="8" t="str">
        <f>IF($B187="","",IF(COUNTIF('Competency Event Log'!$U$4:$U$803,$B187&amp;"|"&amp;BC$5)=0,"",SUMIF('Competency Event Log'!$U$4:$U$803,$B187&amp;"|"&amp;BC$5,'Competency Event Log'!$D$4:$D$803)))</f>
        <v/>
      </c>
      <c r="BD187" s="8" t="str">
        <f>IF($B187="","",IF(COUNTIF('Competency Event Log'!$U$4:$U$803,$B187&amp;"|"&amp;BD$5)=0,"",SUMIF('Competency Event Log'!$U$4:$U$803,$B187&amp;"|"&amp;BD$5,'Competency Event Log'!$D$4:$D$803)))</f>
        <v/>
      </c>
      <c r="BE187" s="8" t="str">
        <f>IF($B187="","",IF(COUNTIF('Competency Event Log'!$U$4:$U$803,$B187&amp;"|"&amp;BE$5)=0,"",SUMIF('Competency Event Log'!$U$4:$U$803,$B187&amp;"|"&amp;BE$5,'Competency Event Log'!$D$4:$D$803)))</f>
        <v/>
      </c>
      <c r="BF187" s="8" t="str">
        <f>IF($B187="","",IF(COUNTIF('Competency Event Log'!$U$4:$U$803,$B187&amp;"|"&amp;BF$5)=0,"",SUMIF('Competency Event Log'!$U$4:$U$803,$B187&amp;"|"&amp;BF$5,'Competency Event Log'!$D$4:$D$803)))</f>
        <v/>
      </c>
      <c r="BG187" s="8" t="str">
        <f>IF($B187="","",IF(COUNTIF('Competency Event Log'!$U$4:$U$803,$B187&amp;"|"&amp;BG$5)=0,"",SUMIF('Competency Event Log'!$U$4:$U$803,$B187&amp;"|"&amp;BG$5,'Competency Event Log'!$D$4:$D$803)))</f>
        <v/>
      </c>
      <c r="BH187" s="8" t="str">
        <f>IF($B187="","",IF(COUNTIF('Competency Event Log'!$U$4:$U$803,$B187&amp;"|"&amp;BH$5)=0,"",SUMIF('Competency Event Log'!$U$4:$U$803,$B187&amp;"|"&amp;BH$5,'Competency Event Log'!$D$4:$D$803)))</f>
        <v/>
      </c>
      <c r="BI187" s="8" t="str">
        <f>IF($B187="","",IF(COUNTIF('Competency Event Log'!$U$4:$U$803,$B187&amp;"|"&amp;BI$5)=0,"",SUMIF('Competency Event Log'!$U$4:$U$803,$B187&amp;"|"&amp;BI$5,'Competency Event Log'!$D$4:$D$803)))</f>
        <v/>
      </c>
      <c r="BJ187" s="8" t="str">
        <f>IF($B187="","",IF(COUNTIF('Competency Event Log'!$U$4:$U$803,$B187&amp;"|"&amp;BJ$5)=0,"",SUMIF('Competency Event Log'!$U$4:$U$803,$B187&amp;"|"&amp;BJ$5,'Competency Event Log'!$D$4:$D$803)))</f>
        <v/>
      </c>
      <c r="BK187" s="8" t="str">
        <f>IF($B187="","",IF(COUNTIF('Competency Event Log'!$U$4:$U$803,$B187&amp;"|"&amp;BK$5)=0,"",SUMIF('Competency Event Log'!$U$4:$U$803,$B187&amp;"|"&amp;BK$5,'Competency Event Log'!$D$4:$D$803)))</f>
        <v/>
      </c>
      <c r="BL187" s="8" t="str">
        <f>IF($B187="","",IF(COUNTIF('Competency Event Log'!$U$4:$U$803,$B187&amp;"|"&amp;BL$5)=0,"",SUMIF('Competency Event Log'!$U$4:$U$803,$B187&amp;"|"&amp;BL$5,'Competency Event Log'!$D$4:$D$803)))</f>
        <v/>
      </c>
      <c r="BM187" s="8" t="str">
        <f>IF($B187="","",IF(COUNTIF('Competency Event Log'!$U$4:$U$803,$B187&amp;"|"&amp;BM$5)=0,"",SUMIF('Competency Event Log'!$U$4:$U$803,$B187&amp;"|"&amp;BM$5,'Competency Event Log'!$D$4:$D$803)))</f>
        <v/>
      </c>
      <c r="BN187" s="8" t="str">
        <f>IF($B187="","",IF(COUNTIF('Competency Event Log'!$U$4:$U$803,$B187&amp;"|"&amp;BN$5)=0,"",SUMIF('Competency Event Log'!$U$4:$U$803,$B187&amp;"|"&amp;BN$5,'Competency Event Log'!$D$4:$D$803)))</f>
        <v/>
      </c>
      <c r="BO187" s="8" t="str">
        <f>IF($B187="","",IF(COUNTIF('Competency Event Log'!$U$4:$U$803,$B187&amp;"|"&amp;BO$5)=0,"",SUMIF('Competency Event Log'!$U$4:$U$803,$B187&amp;"|"&amp;BO$5,'Competency Event Log'!$D$4:$D$803)))</f>
        <v/>
      </c>
      <c r="BP187" s="8" t="str">
        <f>IF($B187="","",IF(COUNTIF('Competency Event Log'!$U$4:$U$803,$B187&amp;"|"&amp;BP$5)=0,"",SUMIF('Competency Event Log'!$U$4:$U$803,$B187&amp;"|"&amp;BP$5,'Competency Event Log'!$D$4:$D$803)))</f>
        <v/>
      </c>
      <c r="BQ187" s="8" t="str">
        <f>IF($B187="","",IF(COUNTIF('Competency Event Log'!$U$4:$U$803,$B187&amp;"|"&amp;BQ$5)=0,"",SUMIF('Competency Event Log'!$U$4:$U$803,$B187&amp;"|"&amp;BQ$5,'Competency Event Log'!$D$4:$D$803)))</f>
        <v/>
      </c>
      <c r="BR187" s="8" t="str">
        <f>IF($B187="","",IF(COUNTIF('Competency Event Log'!$U$4:$U$803,$B187&amp;"|"&amp;BR$5)=0,"",SUMIF('Competency Event Log'!$U$4:$U$803,$B187&amp;"|"&amp;BR$5,'Competency Event Log'!$D$4:$D$803)))</f>
        <v/>
      </c>
      <c r="BS187" s="8" t="str">
        <f>IF($B187="","",IF(COUNTIF('Competency Event Log'!$U$4:$U$803,$B187&amp;"|"&amp;BS$5)=0,"",SUMIF('Competency Event Log'!$U$4:$U$803,$B187&amp;"|"&amp;BS$5,'Competency Event Log'!$D$4:$D$803)))</f>
        <v/>
      </c>
      <c r="BT187" s="8" t="str">
        <f>IF($B187="","",IF(COUNTIF('Competency Event Log'!$U$4:$U$803,$B187&amp;"|"&amp;BT$5)=0,"",SUMIF('Competency Event Log'!$U$4:$U$803,$B187&amp;"|"&amp;BT$5,'Competency Event Log'!$D$4:$D$803)))</f>
        <v/>
      </c>
      <c r="BU187" s="8" t="str">
        <f>IF($B187="","",IF(COUNTIF('Competency Event Log'!$U$4:$U$803,$B187&amp;"|"&amp;BU$5)=0,"",SUMIF('Competency Event Log'!$U$4:$U$803,$B187&amp;"|"&amp;BU$5,'Competency Event Log'!$D$4:$D$803)))</f>
        <v/>
      </c>
      <c r="BV187" s="8" t="str">
        <f>IF($B187="","",IF(COUNTIF('Competency Event Log'!$U$4:$U$803,$B187&amp;"|"&amp;BV$5)=0,"",SUMIF('Competency Event Log'!$U$4:$U$803,$B187&amp;"|"&amp;BV$5,'Competency Event Log'!$D$4:$D$803)))</f>
        <v/>
      </c>
      <c r="BW187" s="8" t="str">
        <f>IF($B187="","",IF(COUNTIF('Competency Event Log'!$U$4:$U$803,$B187&amp;"|"&amp;BW$5)=0,"",SUMIF('Competency Event Log'!$U$4:$U$803,$B187&amp;"|"&amp;BW$5,'Competency Event Log'!$D$4:$D$803)))</f>
        <v/>
      </c>
      <c r="BX187" s="8" t="str">
        <f>IF($B187="","",IF(COUNTIF('Competency Event Log'!$U$4:$U$803,$B187&amp;"|"&amp;BX$5)=0,"",SUMIF('Competency Event Log'!$U$4:$U$803,$B187&amp;"|"&amp;BX$5,'Competency Event Log'!$D$4:$D$803)))</f>
        <v/>
      </c>
      <c r="BY187" s="8" t="str">
        <f>IF($B187="","",IF(COUNTIF('Competency Event Log'!$U$4:$U$803,$B187&amp;"|"&amp;BY$5)=0,"",SUMIF('Competency Event Log'!$U$4:$U$803,$B187&amp;"|"&amp;BY$5,'Competency Event Log'!$D$4:$D$803)))</f>
        <v/>
      </c>
      <c r="BZ187" s="8" t="str">
        <f>IF($B187="","",IF(COUNTIF('Competency Event Log'!$U$4:$U$803,$B187&amp;"|"&amp;BZ$5)=0,"",SUMIF('Competency Event Log'!$U$4:$U$803,$B187&amp;"|"&amp;BZ$5,'Competency Event Log'!$D$4:$D$803)))</f>
        <v/>
      </c>
      <c r="CA187" s="8" t="str">
        <f>IF($B187="","",IF(COUNTIF('Competency Event Log'!$U$4:$U$803,$B187&amp;"|"&amp;CA$5)=0,"",SUMIF('Competency Event Log'!$U$4:$U$803,$B187&amp;"|"&amp;CA$5,'Competency Event Log'!$D$4:$D$803)))</f>
        <v/>
      </c>
      <c r="CB187" s="8" t="str">
        <f>IF($B187="","",IF(COUNTIF('Competency Event Log'!$U$4:$U$803,$B187&amp;"|"&amp;CB$5)=0,"",SUMIF('Competency Event Log'!$U$4:$U$803,$B187&amp;"|"&amp;CB$5,'Competency Event Log'!$D$4:$D$803)))</f>
        <v/>
      </c>
      <c r="CC187" s="8" t="str">
        <f>IF($B187="","",IF(COUNTIF('Competency Event Log'!$U$4:$U$803,$B187&amp;"|"&amp;CC$5)=0,"",SUMIF('Competency Event Log'!$U$4:$U$803,$B187&amp;"|"&amp;CC$5,'Competency Event Log'!$D$4:$D$803)))</f>
        <v/>
      </c>
      <c r="CD187" s="8" t="str">
        <f>IF($B187="","",IF(COUNTIF('Competency Event Log'!$U$4:$U$803,$B187&amp;"|"&amp;CD$5)=0,"",SUMIF('Competency Event Log'!$U$4:$U$803,$B187&amp;"|"&amp;CD$5,'Competency Event Log'!$D$4:$D$803)))</f>
        <v/>
      </c>
      <c r="CE187" s="8" t="str">
        <f>IF($B187="","",IF(COUNTIF('Competency Event Log'!$U$4:$U$803,$B187&amp;"|"&amp;CE$5)=0,"",SUMIF('Competency Event Log'!$U$4:$U$803,$B187&amp;"|"&amp;CE$5,'Competency Event Log'!$D$4:$D$803)))</f>
        <v/>
      </c>
      <c r="CF187" s="8" t="str">
        <f>IF($B187="","",IF(COUNTIF('Competency Event Log'!$U$4:$U$803,$B187&amp;"|"&amp;CF$5)=0,"",SUMIF('Competency Event Log'!$U$4:$U$803,$B187&amp;"|"&amp;CF$5,'Competency Event Log'!$D$4:$D$803)))</f>
        <v/>
      </c>
      <c r="CG187" s="8" t="str">
        <f>IF($B187="","",IF(COUNTIF('Competency Event Log'!$U$4:$U$803,$B187&amp;"|"&amp;CG$5)=0,"",SUMIF('Competency Event Log'!$U$4:$U$803,$B187&amp;"|"&amp;CG$5,'Competency Event Log'!$D$4:$D$803)))</f>
        <v/>
      </c>
      <c r="CH187" s="8" t="str">
        <f>IF($B187="","",IF(COUNTIF('Competency Event Log'!$U$4:$U$803,$B187&amp;"|"&amp;CH$5)=0,"",SUMIF('Competency Event Log'!$U$4:$U$803,$B187&amp;"|"&amp;CH$5,'Competency Event Log'!$D$4:$D$803)))</f>
        <v/>
      </c>
      <c r="CI187" s="8" t="str">
        <f>IF($B187="","",IF(COUNTIF('Competency Event Log'!$U$4:$U$803,$B187&amp;"|"&amp;CI$5)=0,"",SUMIF('Competency Event Log'!$U$4:$U$803,$B187&amp;"|"&amp;CI$5,'Competency Event Log'!$D$4:$D$803)))</f>
        <v/>
      </c>
      <c r="CJ187" s="8" t="str">
        <f>IF($B187="","",IF(COUNTIF('Competency Event Log'!$U$4:$U$803,$B187&amp;"|"&amp;CJ$5)=0,"",SUMIF('Competency Event Log'!$U$4:$U$803,$B187&amp;"|"&amp;CJ$5,'Competency Event Log'!$D$4:$D$803)))</f>
        <v/>
      </c>
      <c r="CK187" s="8" t="str">
        <f>IF($B187="","",IF(COUNTIF('Competency Event Log'!$U$4:$U$803,$B187&amp;"|"&amp;CK$5)=0,"",SUMIF('Competency Event Log'!$U$4:$U$803,$B187&amp;"|"&amp;CK$5,'Competency Event Log'!$D$4:$D$803)))</f>
        <v/>
      </c>
      <c r="CL187" s="8" t="str">
        <f>IF($B187="","",IF(COUNTIF('Competency Event Log'!$U$4:$U$803,$B187&amp;"|"&amp;CL$5)=0,"",SUMIF('Competency Event Log'!$U$4:$U$803,$B187&amp;"|"&amp;CL$5,'Competency Event Log'!$D$4:$D$803)))</f>
        <v/>
      </c>
      <c r="CM187" s="8" t="str">
        <f>IF($B187="","",IF(COUNTIF('Competency Event Log'!$U$4:$U$803,$B187&amp;"|"&amp;CM$5)=0,"",SUMIF('Competency Event Log'!$U$4:$U$803,$B187&amp;"|"&amp;CM$5,'Competency Event Log'!$D$4:$D$803)))</f>
        <v/>
      </c>
      <c r="CN187" s="8" t="str">
        <f>IF($B187="","",IF(COUNTIF('Competency Event Log'!$U$4:$U$803,$B187&amp;"|"&amp;CN$5)=0,"",SUMIF('Competency Event Log'!$U$4:$U$803,$B187&amp;"|"&amp;CN$5,'Competency Event Log'!$D$4:$D$803)))</f>
        <v/>
      </c>
      <c r="CO187" s="8" t="str">
        <f>IF($B187="","",IF(COUNTIF('Competency Event Log'!$U$4:$U$803,$B187&amp;"|"&amp;CO$5)=0,"",SUMIF('Competency Event Log'!$U$4:$U$803,$B187&amp;"|"&amp;CO$5,'Competency Event Log'!$D$4:$D$803)))</f>
        <v/>
      </c>
      <c r="CP187" s="8" t="str">
        <f>IF($B187="","",IF(COUNTIF('Competency Event Log'!$U$4:$U$803,$B187&amp;"|"&amp;CP$5)=0,"",SUMIF('Competency Event Log'!$U$4:$U$803,$B187&amp;"|"&amp;CP$5,'Competency Event Log'!$D$4:$D$803)))</f>
        <v/>
      </c>
      <c r="CQ187" s="8" t="str">
        <f>IF($B187="","",IF(COUNTIF('Competency Event Log'!$U$4:$U$803,$B187&amp;"|"&amp;CQ$5)=0,"",SUMIF('Competency Event Log'!$U$4:$U$803,$B187&amp;"|"&amp;CQ$5,'Competency Event Log'!$D$4:$D$803)))</f>
        <v/>
      </c>
      <c r="CR187" s="8" t="str">
        <f>IF($B187="","",IF(COUNTIF('Competency Event Log'!$U$4:$U$803,$B187&amp;"|"&amp;CR$5)=0,"",SUMIF('Competency Event Log'!$U$4:$U$803,$B187&amp;"|"&amp;CR$5,'Competency Event Log'!$D$4:$D$803)))</f>
        <v/>
      </c>
      <c r="CS187" s="8" t="str">
        <f>IF($B187="","",IF(COUNTIF('Competency Event Log'!$U$4:$U$803,$B187&amp;"|"&amp;CS$5)=0,"",SUMIF('Competency Event Log'!$U$4:$U$803,$B187&amp;"|"&amp;CS$5,'Competency Event Log'!$D$4:$D$803)))</f>
        <v/>
      </c>
      <c r="CT187" s="8" t="str">
        <f>IF($B187="","",IF(COUNTIF('Competency Event Log'!$U$4:$U$803,$B187&amp;"|"&amp;CT$5)=0,"",SUMIF('Competency Event Log'!$U$4:$U$803,$B187&amp;"|"&amp;CT$5,'Competency Event Log'!$D$4:$D$803)))</f>
        <v/>
      </c>
      <c r="CU187" s="8" t="str">
        <f>IF($B187="","",IF(COUNTIF('Competency Event Log'!$U$4:$U$803,$B187&amp;"|"&amp;CU$5)=0,"",SUMIF('Competency Event Log'!$U$4:$U$803,$B187&amp;"|"&amp;CU$5,'Competency Event Log'!$D$4:$D$803)))</f>
        <v/>
      </c>
      <c r="CV187" s="8" t="str">
        <f>IF($B187="","",IF(COUNTIF('Competency Event Log'!$U$4:$U$803,$B187&amp;"|"&amp;CV$5)=0,"",SUMIF('Competency Event Log'!$U$4:$U$803,$B187&amp;"|"&amp;CV$5,'Competency Event Log'!$D$4:$D$803)))</f>
        <v/>
      </c>
      <c r="CW187" s="8" t="str">
        <f>IF($B187="","",IF(COUNTIF('Competency Event Log'!$U$4:$U$803,$B187&amp;"|"&amp;CW$5)=0,"",SUMIF('Competency Event Log'!$U$4:$U$803,$B187&amp;"|"&amp;CW$5,'Competency Event Log'!$D$4:$D$803)))</f>
        <v/>
      </c>
      <c r="CX187" s="8" t="str">
        <f>IF($B187="","",IF(COUNTIF('Competency Event Log'!$U$4:$U$803,$B187&amp;"|"&amp;CX$5)=0,"",SUMIF('Competency Event Log'!$U$4:$U$803,$B187&amp;"|"&amp;CX$5,'Competency Event Log'!$D$4:$D$803)))</f>
        <v/>
      </c>
      <c r="CY187" s="8" t="str">
        <f>IF($B187="","",IF(COUNTIF('Competency Event Log'!$U$4:$U$803,$B187&amp;"|"&amp;CY$5)=0,"",SUMIF('Competency Event Log'!$U$4:$U$803,$B187&amp;"|"&amp;CY$5,'Competency Event Log'!$D$4:$D$803)))</f>
        <v/>
      </c>
      <c r="CZ187" s="8" t="str">
        <f>IF($B187="","",IF(COUNTIF('Competency Event Log'!$U$4:$U$803,$B187&amp;"|"&amp;CZ$5)=0,"",SUMIF('Competency Event Log'!$U$4:$U$803,$B187&amp;"|"&amp;CZ$5,'Competency Event Log'!$D$4:$D$803)))</f>
        <v/>
      </c>
      <c r="DA187" s="8" t="str">
        <f>IF($B187="","",IF(COUNTIF('Competency Event Log'!$U$4:$U$803,$B187&amp;"|"&amp;DA$5)=0,"",SUMIF('Competency Event Log'!$U$4:$U$803,$B187&amp;"|"&amp;DA$5,'Competency Event Log'!$D$4:$D$803)))</f>
        <v/>
      </c>
      <c r="DB187" s="8" t="str">
        <f>IF($B187="","",IF(COUNTIF('Competency Event Log'!$U$4:$U$803,$B187&amp;"|"&amp;DB$5)=0,"",SUMIF('Competency Event Log'!$U$4:$U$803,$B187&amp;"|"&amp;DB$5,'Competency Event Log'!$D$4:$D$803)))</f>
        <v/>
      </c>
      <c r="DC187" s="8" t="str">
        <f>IF($B187="","",IF(COUNTIF('Competency Event Log'!$U$4:$U$803,$B187&amp;"|"&amp;DC$5)=0,"",SUMIF('Competency Event Log'!$U$4:$U$803,$B187&amp;"|"&amp;DC$5,'Competency Event Log'!$D$4:$D$803)))</f>
        <v/>
      </c>
      <c r="DD187" s="8" t="str">
        <f>IF($B187="","",IF(COUNTIF('Competency Event Log'!$U$4:$U$803,$B187&amp;"|"&amp;DD$5)=0,"",SUMIF('Competency Event Log'!$U$4:$U$803,$B187&amp;"|"&amp;DD$5,'Competency Event Log'!$D$4:$D$803)))</f>
        <v/>
      </c>
      <c r="DE187" s="8" t="str">
        <f>IF($B187="","",IF(COUNTIF('Competency Event Log'!$U$4:$U$803,$B187&amp;"|"&amp;DE$5)=0,"",SUMIF('Competency Event Log'!$U$4:$U$803,$B187&amp;"|"&amp;DE$5,'Competency Event Log'!$D$4:$D$803)))</f>
        <v/>
      </c>
      <c r="DF187" s="8" t="str">
        <f t="shared" si="20"/>
        <v/>
      </c>
      <c r="DG187" s="8" t="str">
        <f t="shared" si="21"/>
        <v/>
      </c>
      <c r="DH187" s="8" t="str">
        <f t="shared" si="22"/>
        <v/>
      </c>
      <c r="DI187" s="11" t="str">
        <f t="shared" si="23"/>
        <v/>
      </c>
    </row>
    <row r="188" spans="1:113">
      <c r="A188" s="7"/>
      <c r="B188" s="7"/>
      <c r="C188" s="8"/>
      <c r="D188" s="9"/>
      <c r="E188" s="10"/>
      <c r="F188" s="8"/>
      <c r="G188" s="8" t="str">
        <f>IF($B188="","",IF(COUNTIF('Competency Event Log'!$U$4:$U$803,$B188&amp;"|"&amp;G$5)=0,"",SUMIF('Competency Event Log'!$U$4:$U$803,$B188&amp;"|"&amp;G$5,'Competency Event Log'!$D$4:$D$803)))</f>
        <v/>
      </c>
      <c r="H188" s="8" t="str">
        <f>IF($B188="","",IF(COUNTIF('Competency Event Log'!$U$4:$U$803,$B188&amp;"|"&amp;H$5)=0,"",SUMIF('Competency Event Log'!$U$4:$U$803,$B188&amp;"|"&amp;H$5,'Competency Event Log'!$D$4:$D$803)))</f>
        <v/>
      </c>
      <c r="I188" s="8" t="str">
        <f>IF($B188="","",IF(COUNTIF('Competency Event Log'!$U$4:$U$803,$B188&amp;"|"&amp;I$5)=0,"",SUMIF('Competency Event Log'!$U$4:$U$803,$B188&amp;"|"&amp;I$5,'Competency Event Log'!$D$4:$D$803)))</f>
        <v/>
      </c>
      <c r="J188" s="8" t="str">
        <f>IF($B188="","",IF(COUNTIF('Competency Event Log'!$U$4:$U$803,$B188&amp;"|"&amp;J$5)=0,"",SUMIF('Competency Event Log'!$U$4:$U$803,$B188&amp;"|"&amp;J$5,'Competency Event Log'!$D$4:$D$803)))</f>
        <v/>
      </c>
      <c r="K188" s="8" t="str">
        <f>IF($B188="","",IF(COUNTIF('Competency Event Log'!$U$4:$U$803,$B188&amp;"|"&amp;K$5)=0,"",SUMIF('Competency Event Log'!$U$4:$U$803,$B188&amp;"|"&amp;K$5,'Competency Event Log'!$D$4:$D$803)))</f>
        <v/>
      </c>
      <c r="L188" s="8" t="str">
        <f>IF($B188="","",IF(COUNTIF('Competency Event Log'!$U$4:$U$803,$B188&amp;"|"&amp;L$5)=0,"",SUMIF('Competency Event Log'!$U$4:$U$803,$B188&amp;"|"&amp;L$5,'Competency Event Log'!$D$4:$D$803)))</f>
        <v/>
      </c>
      <c r="M188" s="8" t="str">
        <f>IF($B188="","",IF(COUNTIF('Competency Event Log'!$U$4:$U$803,$B188&amp;"|"&amp;M$5)=0,"",SUMIF('Competency Event Log'!$U$4:$U$803,$B188&amp;"|"&amp;M$5,'Competency Event Log'!$D$4:$D$803)))</f>
        <v/>
      </c>
      <c r="N188" s="8" t="str">
        <f>IF($B188="","",IF(COUNTIF('Competency Event Log'!$U$4:$U$803,$B188&amp;"|"&amp;N$5)=0,"",SUMIF('Competency Event Log'!$U$4:$U$803,$B188&amp;"|"&amp;N$5,'Competency Event Log'!$D$4:$D$803)))</f>
        <v/>
      </c>
      <c r="O188" s="8" t="str">
        <f>IF($B188="","",IF(COUNTIF('Competency Event Log'!$U$4:$U$803,$B188&amp;"|"&amp;O$5)=0,"",SUMIF('Competency Event Log'!$U$4:$U$803,$B188&amp;"|"&amp;O$5,'Competency Event Log'!$D$4:$D$803)))</f>
        <v/>
      </c>
      <c r="P188" s="8" t="str">
        <f>IF($B188="","",IF(COUNTIF('Competency Event Log'!$U$4:$U$803,$B188&amp;"|"&amp;P$5)=0,"",SUMIF('Competency Event Log'!$U$4:$U$803,$B188&amp;"|"&amp;P$5,'Competency Event Log'!$D$4:$D$803)))</f>
        <v/>
      </c>
      <c r="Q188" s="8" t="str">
        <f>IF($B188="","",IF(COUNTIF('Competency Event Log'!$U$4:$U$803,$B188&amp;"|"&amp;Q$5)=0,"",SUMIF('Competency Event Log'!$U$4:$U$803,$B188&amp;"|"&amp;Q$5,'Competency Event Log'!$D$4:$D$803)))</f>
        <v/>
      </c>
      <c r="R188" s="8" t="str">
        <f>IF($B188="","",IF(COUNTIF('Competency Event Log'!$U$4:$U$803,$B188&amp;"|"&amp;R$5)=0,"",SUMIF('Competency Event Log'!$U$4:$U$803,$B188&amp;"|"&amp;R$5,'Competency Event Log'!$D$4:$D$803)))</f>
        <v/>
      </c>
      <c r="S188" s="8" t="str">
        <f>IF($B188="","",IF(COUNTIF('Competency Event Log'!$U$4:$U$803,$B188&amp;"|"&amp;S$5)=0,"",SUMIF('Competency Event Log'!$U$4:$U$803,$B188&amp;"|"&amp;S$5,'Competency Event Log'!$D$4:$D$803)))</f>
        <v/>
      </c>
      <c r="T188" s="8" t="str">
        <f>IF($B188="","",IF(COUNTIF('Competency Event Log'!$U$4:$U$803,$B188&amp;"|"&amp;T$5)=0,"",SUMIF('Competency Event Log'!$U$4:$U$803,$B188&amp;"|"&amp;T$5,'Competency Event Log'!$D$4:$D$803)))</f>
        <v/>
      </c>
      <c r="U188" s="8" t="str">
        <f>IF($B188="","",IF(COUNTIF('Competency Event Log'!$U$4:$U$803,$B188&amp;"|"&amp;U$5)=0,"",SUMIF('Competency Event Log'!$U$4:$U$803,$B188&amp;"|"&amp;U$5,'Competency Event Log'!$D$4:$D$803)))</f>
        <v/>
      </c>
      <c r="V188" s="8" t="str">
        <f>IF($B188="","",IF(COUNTIF('Competency Event Log'!$U$4:$U$803,$B188&amp;"|"&amp;V$5)=0,"",SUMIF('Competency Event Log'!$U$4:$U$803,$B188&amp;"|"&amp;V$5,'Competency Event Log'!$D$4:$D$803)))</f>
        <v/>
      </c>
      <c r="W188" s="8" t="str">
        <f>IF($B188="","",IF(COUNTIF('Competency Event Log'!$U$4:$U$803,$B188&amp;"|"&amp;W$5)=0,"",SUMIF('Competency Event Log'!$U$4:$U$803,$B188&amp;"|"&amp;W$5,'Competency Event Log'!$D$4:$D$803)))</f>
        <v/>
      </c>
      <c r="X188" s="8" t="str">
        <f>IF($B188="","",IF(COUNTIF('Competency Event Log'!$U$4:$U$803,$B188&amp;"|"&amp;X$5)=0,"",SUMIF('Competency Event Log'!$U$4:$U$803,$B188&amp;"|"&amp;X$5,'Competency Event Log'!$D$4:$D$803)))</f>
        <v/>
      </c>
      <c r="Y188" s="8" t="str">
        <f>IF($B188="","",IF(COUNTIF('Competency Event Log'!$U$4:$U$803,$B188&amp;"|"&amp;Y$5)=0,"",SUMIF('Competency Event Log'!$U$4:$U$803,$B188&amp;"|"&amp;Y$5,'Competency Event Log'!$D$4:$D$803)))</f>
        <v/>
      </c>
      <c r="Z188" s="8" t="str">
        <f>IF($B188="","",IF(COUNTIF('Competency Event Log'!$U$4:$U$803,$B188&amp;"|"&amp;Z$5)=0,"",SUMIF('Competency Event Log'!$U$4:$U$803,$B188&amp;"|"&amp;Z$5,'Competency Event Log'!$D$4:$D$803)))</f>
        <v/>
      </c>
      <c r="AA188" s="8" t="str">
        <f>IF($B188="","",IF(COUNTIF('Competency Event Log'!$U$4:$U$803,$B188&amp;"|"&amp;AA$5)=0,"",SUMIF('Competency Event Log'!$U$4:$U$803,$B188&amp;"|"&amp;AA$5,'Competency Event Log'!$D$4:$D$803)))</f>
        <v/>
      </c>
      <c r="AB188" s="8" t="str">
        <f>IF($B188="","",IF(COUNTIF('Competency Event Log'!$U$4:$U$803,$B188&amp;"|"&amp;AB$5)=0,"",SUMIF('Competency Event Log'!$U$4:$U$803,$B188&amp;"|"&amp;AB$5,'Competency Event Log'!$D$4:$D$803)))</f>
        <v/>
      </c>
      <c r="AC188" s="8" t="str">
        <f>IF($B188="","",IF(COUNTIF('Competency Event Log'!$U$4:$U$803,$B188&amp;"|"&amp;AC$5)=0,"",SUMIF('Competency Event Log'!$U$4:$U$803,$B188&amp;"|"&amp;AC$5,'Competency Event Log'!$D$4:$D$803)))</f>
        <v/>
      </c>
      <c r="AD188" s="8" t="str">
        <f>IF($B188="","",IF(COUNTIF('Competency Event Log'!$U$4:$U$803,$B188&amp;"|"&amp;AD$5)=0,"",SUMIF('Competency Event Log'!$U$4:$U$803,$B188&amp;"|"&amp;AD$5,'Competency Event Log'!$D$4:$D$803)))</f>
        <v/>
      </c>
      <c r="AE188" s="8" t="str">
        <f>IF($B188="","",IF(COUNTIF('Competency Event Log'!$U$4:$U$803,$B188&amp;"|"&amp;AE$5)=0,"",SUMIF('Competency Event Log'!$U$4:$U$803,$B188&amp;"|"&amp;AE$5,'Competency Event Log'!$D$4:$D$803)))</f>
        <v/>
      </c>
      <c r="AF188" s="8" t="str">
        <f>IF($B188="","",IF(COUNTIF('Competency Event Log'!$U$4:$U$803,$B188&amp;"|"&amp;AF$5)=0,"",SUMIF('Competency Event Log'!$U$4:$U$803,$B188&amp;"|"&amp;AF$5,'Competency Event Log'!$D$4:$D$803)))</f>
        <v/>
      </c>
      <c r="AG188" s="8" t="str">
        <f>IF($B188="","",IF(COUNTIF('Competency Event Log'!$U$4:$U$803,$B188&amp;"|"&amp;AG$5)=0,"",SUMIF('Competency Event Log'!$U$4:$U$803,$B188&amp;"|"&amp;AG$5,'Competency Event Log'!$D$4:$D$803)))</f>
        <v/>
      </c>
      <c r="AH188" s="8" t="str">
        <f>IF($B188="","",IF(COUNTIF('Competency Event Log'!$U$4:$U$803,$B188&amp;"|"&amp;AH$5)=0,"",SUMIF('Competency Event Log'!$U$4:$U$803,$B188&amp;"|"&amp;AH$5,'Competency Event Log'!$D$4:$D$803)))</f>
        <v/>
      </c>
      <c r="AI188" s="8" t="str">
        <f>IF($B188="","",IF(COUNTIF('Competency Event Log'!$U$4:$U$803,$B188&amp;"|"&amp;AI$5)=0,"",SUMIF('Competency Event Log'!$U$4:$U$803,$B188&amp;"|"&amp;AI$5,'Competency Event Log'!$D$4:$D$803)))</f>
        <v/>
      </c>
      <c r="AJ188" s="8" t="str">
        <f>IF($B188="","",IF(COUNTIF('Competency Event Log'!$U$4:$U$803,$B188&amp;"|"&amp;AJ$5)=0,"",SUMIF('Competency Event Log'!$U$4:$U$803,$B188&amp;"|"&amp;AJ$5,'Competency Event Log'!$D$4:$D$803)))</f>
        <v/>
      </c>
      <c r="AK188" s="8" t="str">
        <f>IF($B188="","",IF(COUNTIF('Competency Event Log'!$U$4:$U$803,$B188&amp;"|"&amp;AK$5)=0,"",SUMIF('Competency Event Log'!$U$4:$U$803,$B188&amp;"|"&amp;AK$5,'Competency Event Log'!$D$4:$D$803)))</f>
        <v/>
      </c>
      <c r="AL188" s="8" t="str">
        <f>IF($B188="","",IF(COUNTIF('Competency Event Log'!$U$4:$U$803,$B188&amp;"|"&amp;AL$5)=0,"",SUMIF('Competency Event Log'!$U$4:$U$803,$B188&amp;"|"&amp;AL$5,'Competency Event Log'!$D$4:$D$803)))</f>
        <v/>
      </c>
      <c r="AM188" s="8" t="str">
        <f>IF($B188="","",IF(COUNTIF('Competency Event Log'!$U$4:$U$803,$B188&amp;"|"&amp;AM$5)=0,"",SUMIF('Competency Event Log'!$U$4:$U$803,$B188&amp;"|"&amp;AM$5,'Competency Event Log'!$D$4:$D$803)))</f>
        <v/>
      </c>
      <c r="AN188" s="8" t="str">
        <f>IF($B188="","",IF(COUNTIF('Competency Event Log'!$U$4:$U$803,$B188&amp;"|"&amp;AN$5)=0,"",SUMIF('Competency Event Log'!$U$4:$U$803,$B188&amp;"|"&amp;AN$5,'Competency Event Log'!$D$4:$D$803)))</f>
        <v/>
      </c>
      <c r="AO188" s="8" t="str">
        <f>IF($B188="","",IF(COUNTIF('Competency Event Log'!$U$4:$U$803,$B188&amp;"|"&amp;AO$5)=0,"",SUMIF('Competency Event Log'!$U$4:$U$803,$B188&amp;"|"&amp;AO$5,'Competency Event Log'!$D$4:$D$803)))</f>
        <v/>
      </c>
      <c r="AP188" s="8" t="str">
        <f>IF($B188="","",IF(COUNTIF('Competency Event Log'!$U$4:$U$803,$B188&amp;"|"&amp;AP$5)=0,"",SUMIF('Competency Event Log'!$U$4:$U$803,$B188&amp;"|"&amp;AP$5,'Competency Event Log'!$D$4:$D$803)))</f>
        <v/>
      </c>
      <c r="AQ188" s="8" t="str">
        <f>IF($B188="","",IF(COUNTIF('Competency Event Log'!$U$4:$U$803,$B188&amp;"|"&amp;AQ$5)=0,"",SUMIF('Competency Event Log'!$U$4:$U$803,$B188&amp;"|"&amp;AQ$5,'Competency Event Log'!$D$4:$D$803)))</f>
        <v/>
      </c>
      <c r="AR188" s="8" t="str">
        <f>IF($B188="","",IF(COUNTIF('Competency Event Log'!$U$4:$U$803,$B188&amp;"|"&amp;AR$5)=0,"",SUMIF('Competency Event Log'!$U$4:$U$803,$B188&amp;"|"&amp;AR$5,'Competency Event Log'!$D$4:$D$803)))</f>
        <v/>
      </c>
      <c r="AS188" s="8" t="str">
        <f>IF($B188="","",IF(COUNTIF('Competency Event Log'!$U$4:$U$803,$B188&amp;"|"&amp;AS$5)=0,"",SUMIF('Competency Event Log'!$U$4:$U$803,$B188&amp;"|"&amp;AS$5,'Competency Event Log'!$D$4:$D$803)))</f>
        <v/>
      </c>
      <c r="AT188" s="8" t="str">
        <f>IF($B188="","",IF(COUNTIF('Competency Event Log'!$U$4:$U$803,$B188&amp;"|"&amp;AT$5)=0,"",SUMIF('Competency Event Log'!$U$4:$U$803,$B188&amp;"|"&amp;AT$5,'Competency Event Log'!$D$4:$D$803)))</f>
        <v/>
      </c>
      <c r="AU188" s="8" t="str">
        <f>IF($B188="","",IF(COUNTIF('Competency Event Log'!$U$4:$U$803,$B188&amp;"|"&amp;AU$5)=0,"",SUMIF('Competency Event Log'!$U$4:$U$803,$B188&amp;"|"&amp;AU$5,'Competency Event Log'!$D$4:$D$803)))</f>
        <v/>
      </c>
      <c r="AV188" s="8" t="str">
        <f>IF($B188="","",IF(COUNTIF('Competency Event Log'!$U$4:$U$803,$B188&amp;"|"&amp;AV$5)=0,"",SUMIF('Competency Event Log'!$U$4:$U$803,$B188&amp;"|"&amp;AV$5,'Competency Event Log'!$D$4:$D$803)))</f>
        <v/>
      </c>
      <c r="AW188" s="8" t="str">
        <f>IF($B188="","",IF(COUNTIF('Competency Event Log'!$U$4:$U$803,$B188&amp;"|"&amp;AW$5)=0,"",SUMIF('Competency Event Log'!$U$4:$U$803,$B188&amp;"|"&amp;AW$5,'Competency Event Log'!$D$4:$D$803)))</f>
        <v/>
      </c>
      <c r="AX188" s="8" t="str">
        <f>IF($B188="","",IF(COUNTIF('Competency Event Log'!$U$4:$U$803,$B188&amp;"|"&amp;AX$5)=0,"",SUMIF('Competency Event Log'!$U$4:$U$803,$B188&amp;"|"&amp;AX$5,'Competency Event Log'!$D$4:$D$803)))</f>
        <v/>
      </c>
      <c r="AY188" s="8" t="str">
        <f>IF($B188="","",IF(COUNTIF('Competency Event Log'!$U$4:$U$803,$B188&amp;"|"&amp;AY$5)=0,"",SUMIF('Competency Event Log'!$U$4:$U$803,$B188&amp;"|"&amp;AY$5,'Competency Event Log'!$D$4:$D$803)))</f>
        <v/>
      </c>
      <c r="AZ188" s="8" t="str">
        <f>IF($B188="","",IF(COUNTIF('Competency Event Log'!$U$4:$U$803,$B188&amp;"|"&amp;AZ$5)=0,"",SUMIF('Competency Event Log'!$U$4:$U$803,$B188&amp;"|"&amp;AZ$5,'Competency Event Log'!$D$4:$D$803)))</f>
        <v/>
      </c>
      <c r="BA188" s="8" t="str">
        <f>IF($B188="","",IF(COUNTIF('Competency Event Log'!$U$4:$U$803,$B188&amp;"|"&amp;BA$5)=0,"",SUMIF('Competency Event Log'!$U$4:$U$803,$B188&amp;"|"&amp;BA$5,'Competency Event Log'!$D$4:$D$803)))</f>
        <v/>
      </c>
      <c r="BB188" s="8" t="str">
        <f>IF($B188="","",IF(COUNTIF('Competency Event Log'!$U$4:$U$803,$B188&amp;"|"&amp;BB$5)=0,"",SUMIF('Competency Event Log'!$U$4:$U$803,$B188&amp;"|"&amp;BB$5,'Competency Event Log'!$D$4:$D$803)))</f>
        <v/>
      </c>
      <c r="BC188" s="8" t="str">
        <f>IF($B188="","",IF(COUNTIF('Competency Event Log'!$U$4:$U$803,$B188&amp;"|"&amp;BC$5)=0,"",SUMIF('Competency Event Log'!$U$4:$U$803,$B188&amp;"|"&amp;BC$5,'Competency Event Log'!$D$4:$D$803)))</f>
        <v/>
      </c>
      <c r="BD188" s="8" t="str">
        <f>IF($B188="","",IF(COUNTIF('Competency Event Log'!$U$4:$U$803,$B188&amp;"|"&amp;BD$5)=0,"",SUMIF('Competency Event Log'!$U$4:$U$803,$B188&amp;"|"&amp;BD$5,'Competency Event Log'!$D$4:$D$803)))</f>
        <v/>
      </c>
      <c r="BE188" s="8" t="str">
        <f>IF($B188="","",IF(COUNTIF('Competency Event Log'!$U$4:$U$803,$B188&amp;"|"&amp;BE$5)=0,"",SUMIF('Competency Event Log'!$U$4:$U$803,$B188&amp;"|"&amp;BE$5,'Competency Event Log'!$D$4:$D$803)))</f>
        <v/>
      </c>
      <c r="BF188" s="8" t="str">
        <f>IF($B188="","",IF(COUNTIF('Competency Event Log'!$U$4:$U$803,$B188&amp;"|"&amp;BF$5)=0,"",SUMIF('Competency Event Log'!$U$4:$U$803,$B188&amp;"|"&amp;BF$5,'Competency Event Log'!$D$4:$D$803)))</f>
        <v/>
      </c>
      <c r="BG188" s="8" t="str">
        <f>IF($B188="","",IF(COUNTIF('Competency Event Log'!$U$4:$U$803,$B188&amp;"|"&amp;BG$5)=0,"",SUMIF('Competency Event Log'!$U$4:$U$803,$B188&amp;"|"&amp;BG$5,'Competency Event Log'!$D$4:$D$803)))</f>
        <v/>
      </c>
      <c r="BH188" s="8" t="str">
        <f>IF($B188="","",IF(COUNTIF('Competency Event Log'!$U$4:$U$803,$B188&amp;"|"&amp;BH$5)=0,"",SUMIF('Competency Event Log'!$U$4:$U$803,$B188&amp;"|"&amp;BH$5,'Competency Event Log'!$D$4:$D$803)))</f>
        <v/>
      </c>
      <c r="BI188" s="8" t="str">
        <f>IF($B188="","",IF(COUNTIF('Competency Event Log'!$U$4:$U$803,$B188&amp;"|"&amp;BI$5)=0,"",SUMIF('Competency Event Log'!$U$4:$U$803,$B188&amp;"|"&amp;BI$5,'Competency Event Log'!$D$4:$D$803)))</f>
        <v/>
      </c>
      <c r="BJ188" s="8" t="str">
        <f>IF($B188="","",IF(COUNTIF('Competency Event Log'!$U$4:$U$803,$B188&amp;"|"&amp;BJ$5)=0,"",SUMIF('Competency Event Log'!$U$4:$U$803,$B188&amp;"|"&amp;BJ$5,'Competency Event Log'!$D$4:$D$803)))</f>
        <v/>
      </c>
      <c r="BK188" s="8" t="str">
        <f>IF($B188="","",IF(COUNTIF('Competency Event Log'!$U$4:$U$803,$B188&amp;"|"&amp;BK$5)=0,"",SUMIF('Competency Event Log'!$U$4:$U$803,$B188&amp;"|"&amp;BK$5,'Competency Event Log'!$D$4:$D$803)))</f>
        <v/>
      </c>
      <c r="BL188" s="8" t="str">
        <f>IF($B188="","",IF(COUNTIF('Competency Event Log'!$U$4:$U$803,$B188&amp;"|"&amp;BL$5)=0,"",SUMIF('Competency Event Log'!$U$4:$U$803,$B188&amp;"|"&amp;BL$5,'Competency Event Log'!$D$4:$D$803)))</f>
        <v/>
      </c>
      <c r="BM188" s="8" t="str">
        <f>IF($B188="","",IF(COUNTIF('Competency Event Log'!$U$4:$U$803,$B188&amp;"|"&amp;BM$5)=0,"",SUMIF('Competency Event Log'!$U$4:$U$803,$B188&amp;"|"&amp;BM$5,'Competency Event Log'!$D$4:$D$803)))</f>
        <v/>
      </c>
      <c r="BN188" s="8" t="str">
        <f>IF($B188="","",IF(COUNTIF('Competency Event Log'!$U$4:$U$803,$B188&amp;"|"&amp;BN$5)=0,"",SUMIF('Competency Event Log'!$U$4:$U$803,$B188&amp;"|"&amp;BN$5,'Competency Event Log'!$D$4:$D$803)))</f>
        <v/>
      </c>
      <c r="BO188" s="8" t="str">
        <f>IF($B188="","",IF(COUNTIF('Competency Event Log'!$U$4:$U$803,$B188&amp;"|"&amp;BO$5)=0,"",SUMIF('Competency Event Log'!$U$4:$U$803,$B188&amp;"|"&amp;BO$5,'Competency Event Log'!$D$4:$D$803)))</f>
        <v/>
      </c>
      <c r="BP188" s="8" t="str">
        <f>IF($B188="","",IF(COUNTIF('Competency Event Log'!$U$4:$U$803,$B188&amp;"|"&amp;BP$5)=0,"",SUMIF('Competency Event Log'!$U$4:$U$803,$B188&amp;"|"&amp;BP$5,'Competency Event Log'!$D$4:$D$803)))</f>
        <v/>
      </c>
      <c r="BQ188" s="8" t="str">
        <f>IF($B188="","",IF(COUNTIF('Competency Event Log'!$U$4:$U$803,$B188&amp;"|"&amp;BQ$5)=0,"",SUMIF('Competency Event Log'!$U$4:$U$803,$B188&amp;"|"&amp;BQ$5,'Competency Event Log'!$D$4:$D$803)))</f>
        <v/>
      </c>
      <c r="BR188" s="8" t="str">
        <f>IF($B188="","",IF(COUNTIF('Competency Event Log'!$U$4:$U$803,$B188&amp;"|"&amp;BR$5)=0,"",SUMIF('Competency Event Log'!$U$4:$U$803,$B188&amp;"|"&amp;BR$5,'Competency Event Log'!$D$4:$D$803)))</f>
        <v/>
      </c>
      <c r="BS188" s="8" t="str">
        <f>IF($B188="","",IF(COUNTIF('Competency Event Log'!$U$4:$U$803,$B188&amp;"|"&amp;BS$5)=0,"",SUMIF('Competency Event Log'!$U$4:$U$803,$B188&amp;"|"&amp;BS$5,'Competency Event Log'!$D$4:$D$803)))</f>
        <v/>
      </c>
      <c r="BT188" s="8" t="str">
        <f>IF($B188="","",IF(COUNTIF('Competency Event Log'!$U$4:$U$803,$B188&amp;"|"&amp;BT$5)=0,"",SUMIF('Competency Event Log'!$U$4:$U$803,$B188&amp;"|"&amp;BT$5,'Competency Event Log'!$D$4:$D$803)))</f>
        <v/>
      </c>
      <c r="BU188" s="8" t="str">
        <f>IF($B188="","",IF(COUNTIF('Competency Event Log'!$U$4:$U$803,$B188&amp;"|"&amp;BU$5)=0,"",SUMIF('Competency Event Log'!$U$4:$U$803,$B188&amp;"|"&amp;BU$5,'Competency Event Log'!$D$4:$D$803)))</f>
        <v/>
      </c>
      <c r="BV188" s="8" t="str">
        <f>IF($B188="","",IF(COUNTIF('Competency Event Log'!$U$4:$U$803,$B188&amp;"|"&amp;BV$5)=0,"",SUMIF('Competency Event Log'!$U$4:$U$803,$B188&amp;"|"&amp;BV$5,'Competency Event Log'!$D$4:$D$803)))</f>
        <v/>
      </c>
      <c r="BW188" s="8" t="str">
        <f>IF($B188="","",IF(COUNTIF('Competency Event Log'!$U$4:$U$803,$B188&amp;"|"&amp;BW$5)=0,"",SUMIF('Competency Event Log'!$U$4:$U$803,$B188&amp;"|"&amp;BW$5,'Competency Event Log'!$D$4:$D$803)))</f>
        <v/>
      </c>
      <c r="BX188" s="8" t="str">
        <f>IF($B188="","",IF(COUNTIF('Competency Event Log'!$U$4:$U$803,$B188&amp;"|"&amp;BX$5)=0,"",SUMIF('Competency Event Log'!$U$4:$U$803,$B188&amp;"|"&amp;BX$5,'Competency Event Log'!$D$4:$D$803)))</f>
        <v/>
      </c>
      <c r="BY188" s="8" t="str">
        <f>IF($B188="","",IF(COUNTIF('Competency Event Log'!$U$4:$U$803,$B188&amp;"|"&amp;BY$5)=0,"",SUMIF('Competency Event Log'!$U$4:$U$803,$B188&amp;"|"&amp;BY$5,'Competency Event Log'!$D$4:$D$803)))</f>
        <v/>
      </c>
      <c r="BZ188" s="8" t="str">
        <f>IF($B188="","",IF(COUNTIF('Competency Event Log'!$U$4:$U$803,$B188&amp;"|"&amp;BZ$5)=0,"",SUMIF('Competency Event Log'!$U$4:$U$803,$B188&amp;"|"&amp;BZ$5,'Competency Event Log'!$D$4:$D$803)))</f>
        <v/>
      </c>
      <c r="CA188" s="8" t="str">
        <f>IF($B188="","",IF(COUNTIF('Competency Event Log'!$U$4:$U$803,$B188&amp;"|"&amp;CA$5)=0,"",SUMIF('Competency Event Log'!$U$4:$U$803,$B188&amp;"|"&amp;CA$5,'Competency Event Log'!$D$4:$D$803)))</f>
        <v/>
      </c>
      <c r="CB188" s="8" t="str">
        <f>IF($B188="","",IF(COUNTIF('Competency Event Log'!$U$4:$U$803,$B188&amp;"|"&amp;CB$5)=0,"",SUMIF('Competency Event Log'!$U$4:$U$803,$B188&amp;"|"&amp;CB$5,'Competency Event Log'!$D$4:$D$803)))</f>
        <v/>
      </c>
      <c r="CC188" s="8" t="str">
        <f>IF($B188="","",IF(COUNTIF('Competency Event Log'!$U$4:$U$803,$B188&amp;"|"&amp;CC$5)=0,"",SUMIF('Competency Event Log'!$U$4:$U$803,$B188&amp;"|"&amp;CC$5,'Competency Event Log'!$D$4:$D$803)))</f>
        <v/>
      </c>
      <c r="CD188" s="8" t="str">
        <f>IF($B188="","",IF(COUNTIF('Competency Event Log'!$U$4:$U$803,$B188&amp;"|"&amp;CD$5)=0,"",SUMIF('Competency Event Log'!$U$4:$U$803,$B188&amp;"|"&amp;CD$5,'Competency Event Log'!$D$4:$D$803)))</f>
        <v/>
      </c>
      <c r="CE188" s="8" t="str">
        <f>IF($B188="","",IF(COUNTIF('Competency Event Log'!$U$4:$U$803,$B188&amp;"|"&amp;CE$5)=0,"",SUMIF('Competency Event Log'!$U$4:$U$803,$B188&amp;"|"&amp;CE$5,'Competency Event Log'!$D$4:$D$803)))</f>
        <v/>
      </c>
      <c r="CF188" s="8" t="str">
        <f>IF($B188="","",IF(COUNTIF('Competency Event Log'!$U$4:$U$803,$B188&amp;"|"&amp;CF$5)=0,"",SUMIF('Competency Event Log'!$U$4:$U$803,$B188&amp;"|"&amp;CF$5,'Competency Event Log'!$D$4:$D$803)))</f>
        <v/>
      </c>
      <c r="CG188" s="8" t="str">
        <f>IF($B188="","",IF(COUNTIF('Competency Event Log'!$U$4:$U$803,$B188&amp;"|"&amp;CG$5)=0,"",SUMIF('Competency Event Log'!$U$4:$U$803,$B188&amp;"|"&amp;CG$5,'Competency Event Log'!$D$4:$D$803)))</f>
        <v/>
      </c>
      <c r="CH188" s="8" t="str">
        <f>IF($B188="","",IF(COUNTIF('Competency Event Log'!$U$4:$U$803,$B188&amp;"|"&amp;CH$5)=0,"",SUMIF('Competency Event Log'!$U$4:$U$803,$B188&amp;"|"&amp;CH$5,'Competency Event Log'!$D$4:$D$803)))</f>
        <v/>
      </c>
      <c r="CI188" s="8" t="str">
        <f>IF($B188="","",IF(COUNTIF('Competency Event Log'!$U$4:$U$803,$B188&amp;"|"&amp;CI$5)=0,"",SUMIF('Competency Event Log'!$U$4:$U$803,$B188&amp;"|"&amp;CI$5,'Competency Event Log'!$D$4:$D$803)))</f>
        <v/>
      </c>
      <c r="CJ188" s="8" t="str">
        <f>IF($B188="","",IF(COUNTIF('Competency Event Log'!$U$4:$U$803,$B188&amp;"|"&amp;CJ$5)=0,"",SUMIF('Competency Event Log'!$U$4:$U$803,$B188&amp;"|"&amp;CJ$5,'Competency Event Log'!$D$4:$D$803)))</f>
        <v/>
      </c>
      <c r="CK188" s="8" t="str">
        <f>IF($B188="","",IF(COUNTIF('Competency Event Log'!$U$4:$U$803,$B188&amp;"|"&amp;CK$5)=0,"",SUMIF('Competency Event Log'!$U$4:$U$803,$B188&amp;"|"&amp;CK$5,'Competency Event Log'!$D$4:$D$803)))</f>
        <v/>
      </c>
      <c r="CL188" s="8" t="str">
        <f>IF($B188="","",IF(COUNTIF('Competency Event Log'!$U$4:$U$803,$B188&amp;"|"&amp;CL$5)=0,"",SUMIF('Competency Event Log'!$U$4:$U$803,$B188&amp;"|"&amp;CL$5,'Competency Event Log'!$D$4:$D$803)))</f>
        <v/>
      </c>
      <c r="CM188" s="8" t="str">
        <f>IF($B188="","",IF(COUNTIF('Competency Event Log'!$U$4:$U$803,$B188&amp;"|"&amp;CM$5)=0,"",SUMIF('Competency Event Log'!$U$4:$U$803,$B188&amp;"|"&amp;CM$5,'Competency Event Log'!$D$4:$D$803)))</f>
        <v/>
      </c>
      <c r="CN188" s="8" t="str">
        <f>IF($B188="","",IF(COUNTIF('Competency Event Log'!$U$4:$U$803,$B188&amp;"|"&amp;CN$5)=0,"",SUMIF('Competency Event Log'!$U$4:$U$803,$B188&amp;"|"&amp;CN$5,'Competency Event Log'!$D$4:$D$803)))</f>
        <v/>
      </c>
      <c r="CO188" s="8" t="str">
        <f>IF($B188="","",IF(COUNTIF('Competency Event Log'!$U$4:$U$803,$B188&amp;"|"&amp;CO$5)=0,"",SUMIF('Competency Event Log'!$U$4:$U$803,$B188&amp;"|"&amp;CO$5,'Competency Event Log'!$D$4:$D$803)))</f>
        <v/>
      </c>
      <c r="CP188" s="8" t="str">
        <f>IF($B188="","",IF(COUNTIF('Competency Event Log'!$U$4:$U$803,$B188&amp;"|"&amp;CP$5)=0,"",SUMIF('Competency Event Log'!$U$4:$U$803,$B188&amp;"|"&amp;CP$5,'Competency Event Log'!$D$4:$D$803)))</f>
        <v/>
      </c>
      <c r="CQ188" s="8" t="str">
        <f>IF($B188="","",IF(COUNTIF('Competency Event Log'!$U$4:$U$803,$B188&amp;"|"&amp;CQ$5)=0,"",SUMIF('Competency Event Log'!$U$4:$U$803,$B188&amp;"|"&amp;CQ$5,'Competency Event Log'!$D$4:$D$803)))</f>
        <v/>
      </c>
      <c r="CR188" s="8" t="str">
        <f>IF($B188="","",IF(COUNTIF('Competency Event Log'!$U$4:$U$803,$B188&amp;"|"&amp;CR$5)=0,"",SUMIF('Competency Event Log'!$U$4:$U$803,$B188&amp;"|"&amp;CR$5,'Competency Event Log'!$D$4:$D$803)))</f>
        <v/>
      </c>
      <c r="CS188" s="8" t="str">
        <f>IF($B188="","",IF(COUNTIF('Competency Event Log'!$U$4:$U$803,$B188&amp;"|"&amp;CS$5)=0,"",SUMIF('Competency Event Log'!$U$4:$U$803,$B188&amp;"|"&amp;CS$5,'Competency Event Log'!$D$4:$D$803)))</f>
        <v/>
      </c>
      <c r="CT188" s="8" t="str">
        <f>IF($B188="","",IF(COUNTIF('Competency Event Log'!$U$4:$U$803,$B188&amp;"|"&amp;CT$5)=0,"",SUMIF('Competency Event Log'!$U$4:$U$803,$B188&amp;"|"&amp;CT$5,'Competency Event Log'!$D$4:$D$803)))</f>
        <v/>
      </c>
      <c r="CU188" s="8" t="str">
        <f>IF($B188="","",IF(COUNTIF('Competency Event Log'!$U$4:$U$803,$B188&amp;"|"&amp;CU$5)=0,"",SUMIF('Competency Event Log'!$U$4:$U$803,$B188&amp;"|"&amp;CU$5,'Competency Event Log'!$D$4:$D$803)))</f>
        <v/>
      </c>
      <c r="CV188" s="8" t="str">
        <f>IF($B188="","",IF(COUNTIF('Competency Event Log'!$U$4:$U$803,$B188&amp;"|"&amp;CV$5)=0,"",SUMIF('Competency Event Log'!$U$4:$U$803,$B188&amp;"|"&amp;CV$5,'Competency Event Log'!$D$4:$D$803)))</f>
        <v/>
      </c>
      <c r="CW188" s="8" t="str">
        <f>IF($B188="","",IF(COUNTIF('Competency Event Log'!$U$4:$U$803,$B188&amp;"|"&amp;CW$5)=0,"",SUMIF('Competency Event Log'!$U$4:$U$803,$B188&amp;"|"&amp;CW$5,'Competency Event Log'!$D$4:$D$803)))</f>
        <v/>
      </c>
      <c r="CX188" s="8" t="str">
        <f>IF($B188="","",IF(COUNTIF('Competency Event Log'!$U$4:$U$803,$B188&amp;"|"&amp;CX$5)=0,"",SUMIF('Competency Event Log'!$U$4:$U$803,$B188&amp;"|"&amp;CX$5,'Competency Event Log'!$D$4:$D$803)))</f>
        <v/>
      </c>
      <c r="CY188" s="8" t="str">
        <f>IF($B188="","",IF(COUNTIF('Competency Event Log'!$U$4:$U$803,$B188&amp;"|"&amp;CY$5)=0,"",SUMIF('Competency Event Log'!$U$4:$U$803,$B188&amp;"|"&amp;CY$5,'Competency Event Log'!$D$4:$D$803)))</f>
        <v/>
      </c>
      <c r="CZ188" s="8" t="str">
        <f>IF($B188="","",IF(COUNTIF('Competency Event Log'!$U$4:$U$803,$B188&amp;"|"&amp;CZ$5)=0,"",SUMIF('Competency Event Log'!$U$4:$U$803,$B188&amp;"|"&amp;CZ$5,'Competency Event Log'!$D$4:$D$803)))</f>
        <v/>
      </c>
      <c r="DA188" s="8" t="str">
        <f>IF($B188="","",IF(COUNTIF('Competency Event Log'!$U$4:$U$803,$B188&amp;"|"&amp;DA$5)=0,"",SUMIF('Competency Event Log'!$U$4:$U$803,$B188&amp;"|"&amp;DA$5,'Competency Event Log'!$D$4:$D$803)))</f>
        <v/>
      </c>
      <c r="DB188" s="8" t="str">
        <f>IF($B188="","",IF(COUNTIF('Competency Event Log'!$U$4:$U$803,$B188&amp;"|"&amp;DB$5)=0,"",SUMIF('Competency Event Log'!$U$4:$U$803,$B188&amp;"|"&amp;DB$5,'Competency Event Log'!$D$4:$D$803)))</f>
        <v/>
      </c>
      <c r="DC188" s="8" t="str">
        <f>IF($B188="","",IF(COUNTIF('Competency Event Log'!$U$4:$U$803,$B188&amp;"|"&amp;DC$5)=0,"",SUMIF('Competency Event Log'!$U$4:$U$803,$B188&amp;"|"&amp;DC$5,'Competency Event Log'!$D$4:$D$803)))</f>
        <v/>
      </c>
      <c r="DD188" s="8" t="str">
        <f>IF($B188="","",IF(COUNTIF('Competency Event Log'!$U$4:$U$803,$B188&amp;"|"&amp;DD$5)=0,"",SUMIF('Competency Event Log'!$U$4:$U$803,$B188&amp;"|"&amp;DD$5,'Competency Event Log'!$D$4:$D$803)))</f>
        <v/>
      </c>
      <c r="DE188" s="8" t="str">
        <f>IF($B188="","",IF(COUNTIF('Competency Event Log'!$U$4:$U$803,$B188&amp;"|"&amp;DE$5)=0,"",SUMIF('Competency Event Log'!$U$4:$U$803,$B188&amp;"|"&amp;DE$5,'Competency Event Log'!$D$4:$D$803)))</f>
        <v/>
      </c>
      <c r="DF188" s="8" t="str">
        <f t="shared" si="20"/>
        <v/>
      </c>
      <c r="DG188" s="8" t="str">
        <f t="shared" si="21"/>
        <v/>
      </c>
      <c r="DH188" s="8" t="str">
        <f t="shared" si="22"/>
        <v/>
      </c>
      <c r="DI188" s="11" t="str">
        <f t="shared" si="23"/>
        <v/>
      </c>
    </row>
    <row r="189" spans="1:113">
      <c r="A189" s="7"/>
      <c r="B189" s="7"/>
      <c r="C189" s="8"/>
      <c r="D189" s="9"/>
      <c r="E189" s="10"/>
      <c r="F189" s="8"/>
      <c r="G189" s="8" t="str">
        <f>IF($B189="","",IF(COUNTIF('Competency Event Log'!$U$4:$U$803,$B189&amp;"|"&amp;G$5)=0,"",SUMIF('Competency Event Log'!$U$4:$U$803,$B189&amp;"|"&amp;G$5,'Competency Event Log'!$D$4:$D$803)))</f>
        <v/>
      </c>
      <c r="H189" s="8" t="str">
        <f>IF($B189="","",IF(COUNTIF('Competency Event Log'!$U$4:$U$803,$B189&amp;"|"&amp;H$5)=0,"",SUMIF('Competency Event Log'!$U$4:$U$803,$B189&amp;"|"&amp;H$5,'Competency Event Log'!$D$4:$D$803)))</f>
        <v/>
      </c>
      <c r="I189" s="8" t="str">
        <f>IF($B189="","",IF(COUNTIF('Competency Event Log'!$U$4:$U$803,$B189&amp;"|"&amp;I$5)=0,"",SUMIF('Competency Event Log'!$U$4:$U$803,$B189&amp;"|"&amp;I$5,'Competency Event Log'!$D$4:$D$803)))</f>
        <v/>
      </c>
      <c r="J189" s="8" t="str">
        <f>IF($B189="","",IF(COUNTIF('Competency Event Log'!$U$4:$U$803,$B189&amp;"|"&amp;J$5)=0,"",SUMIF('Competency Event Log'!$U$4:$U$803,$B189&amp;"|"&amp;J$5,'Competency Event Log'!$D$4:$D$803)))</f>
        <v/>
      </c>
      <c r="K189" s="8" t="str">
        <f>IF($B189="","",IF(COUNTIF('Competency Event Log'!$U$4:$U$803,$B189&amp;"|"&amp;K$5)=0,"",SUMIF('Competency Event Log'!$U$4:$U$803,$B189&amp;"|"&amp;K$5,'Competency Event Log'!$D$4:$D$803)))</f>
        <v/>
      </c>
      <c r="L189" s="8" t="str">
        <f>IF($B189="","",IF(COUNTIF('Competency Event Log'!$U$4:$U$803,$B189&amp;"|"&amp;L$5)=0,"",SUMIF('Competency Event Log'!$U$4:$U$803,$B189&amp;"|"&amp;L$5,'Competency Event Log'!$D$4:$D$803)))</f>
        <v/>
      </c>
      <c r="M189" s="8" t="str">
        <f>IF($B189="","",IF(COUNTIF('Competency Event Log'!$U$4:$U$803,$B189&amp;"|"&amp;M$5)=0,"",SUMIF('Competency Event Log'!$U$4:$U$803,$B189&amp;"|"&amp;M$5,'Competency Event Log'!$D$4:$D$803)))</f>
        <v/>
      </c>
      <c r="N189" s="8" t="str">
        <f>IF($B189="","",IF(COUNTIF('Competency Event Log'!$U$4:$U$803,$B189&amp;"|"&amp;N$5)=0,"",SUMIF('Competency Event Log'!$U$4:$U$803,$B189&amp;"|"&amp;N$5,'Competency Event Log'!$D$4:$D$803)))</f>
        <v/>
      </c>
      <c r="O189" s="8" t="str">
        <f>IF($B189="","",IF(COUNTIF('Competency Event Log'!$U$4:$U$803,$B189&amp;"|"&amp;O$5)=0,"",SUMIF('Competency Event Log'!$U$4:$U$803,$B189&amp;"|"&amp;O$5,'Competency Event Log'!$D$4:$D$803)))</f>
        <v/>
      </c>
      <c r="P189" s="8" t="str">
        <f>IF($B189="","",IF(COUNTIF('Competency Event Log'!$U$4:$U$803,$B189&amp;"|"&amp;P$5)=0,"",SUMIF('Competency Event Log'!$U$4:$U$803,$B189&amp;"|"&amp;P$5,'Competency Event Log'!$D$4:$D$803)))</f>
        <v/>
      </c>
      <c r="Q189" s="8" t="str">
        <f>IF($B189="","",IF(COUNTIF('Competency Event Log'!$U$4:$U$803,$B189&amp;"|"&amp;Q$5)=0,"",SUMIF('Competency Event Log'!$U$4:$U$803,$B189&amp;"|"&amp;Q$5,'Competency Event Log'!$D$4:$D$803)))</f>
        <v/>
      </c>
      <c r="R189" s="8" t="str">
        <f>IF($B189="","",IF(COUNTIF('Competency Event Log'!$U$4:$U$803,$B189&amp;"|"&amp;R$5)=0,"",SUMIF('Competency Event Log'!$U$4:$U$803,$B189&amp;"|"&amp;R$5,'Competency Event Log'!$D$4:$D$803)))</f>
        <v/>
      </c>
      <c r="S189" s="8" t="str">
        <f>IF($B189="","",IF(COUNTIF('Competency Event Log'!$U$4:$U$803,$B189&amp;"|"&amp;S$5)=0,"",SUMIF('Competency Event Log'!$U$4:$U$803,$B189&amp;"|"&amp;S$5,'Competency Event Log'!$D$4:$D$803)))</f>
        <v/>
      </c>
      <c r="T189" s="8" t="str">
        <f>IF($B189="","",IF(COUNTIF('Competency Event Log'!$U$4:$U$803,$B189&amp;"|"&amp;T$5)=0,"",SUMIF('Competency Event Log'!$U$4:$U$803,$B189&amp;"|"&amp;T$5,'Competency Event Log'!$D$4:$D$803)))</f>
        <v/>
      </c>
      <c r="U189" s="8" t="str">
        <f>IF($B189="","",IF(COUNTIF('Competency Event Log'!$U$4:$U$803,$B189&amp;"|"&amp;U$5)=0,"",SUMIF('Competency Event Log'!$U$4:$U$803,$B189&amp;"|"&amp;U$5,'Competency Event Log'!$D$4:$D$803)))</f>
        <v/>
      </c>
      <c r="V189" s="8" t="str">
        <f>IF($B189="","",IF(COUNTIF('Competency Event Log'!$U$4:$U$803,$B189&amp;"|"&amp;V$5)=0,"",SUMIF('Competency Event Log'!$U$4:$U$803,$B189&amp;"|"&amp;V$5,'Competency Event Log'!$D$4:$D$803)))</f>
        <v/>
      </c>
      <c r="W189" s="8" t="str">
        <f>IF($B189="","",IF(COUNTIF('Competency Event Log'!$U$4:$U$803,$B189&amp;"|"&amp;W$5)=0,"",SUMIF('Competency Event Log'!$U$4:$U$803,$B189&amp;"|"&amp;W$5,'Competency Event Log'!$D$4:$D$803)))</f>
        <v/>
      </c>
      <c r="X189" s="8" t="str">
        <f>IF($B189="","",IF(COUNTIF('Competency Event Log'!$U$4:$U$803,$B189&amp;"|"&amp;X$5)=0,"",SUMIF('Competency Event Log'!$U$4:$U$803,$B189&amp;"|"&amp;X$5,'Competency Event Log'!$D$4:$D$803)))</f>
        <v/>
      </c>
      <c r="Y189" s="8" t="str">
        <f>IF($B189="","",IF(COUNTIF('Competency Event Log'!$U$4:$U$803,$B189&amp;"|"&amp;Y$5)=0,"",SUMIF('Competency Event Log'!$U$4:$U$803,$B189&amp;"|"&amp;Y$5,'Competency Event Log'!$D$4:$D$803)))</f>
        <v/>
      </c>
      <c r="Z189" s="8" t="str">
        <f>IF($B189="","",IF(COUNTIF('Competency Event Log'!$U$4:$U$803,$B189&amp;"|"&amp;Z$5)=0,"",SUMIF('Competency Event Log'!$U$4:$U$803,$B189&amp;"|"&amp;Z$5,'Competency Event Log'!$D$4:$D$803)))</f>
        <v/>
      </c>
      <c r="AA189" s="8" t="str">
        <f>IF($B189="","",IF(COUNTIF('Competency Event Log'!$U$4:$U$803,$B189&amp;"|"&amp;AA$5)=0,"",SUMIF('Competency Event Log'!$U$4:$U$803,$B189&amp;"|"&amp;AA$5,'Competency Event Log'!$D$4:$D$803)))</f>
        <v/>
      </c>
      <c r="AB189" s="8" t="str">
        <f>IF($B189="","",IF(COUNTIF('Competency Event Log'!$U$4:$U$803,$B189&amp;"|"&amp;AB$5)=0,"",SUMIF('Competency Event Log'!$U$4:$U$803,$B189&amp;"|"&amp;AB$5,'Competency Event Log'!$D$4:$D$803)))</f>
        <v/>
      </c>
      <c r="AC189" s="8" t="str">
        <f>IF($B189="","",IF(COUNTIF('Competency Event Log'!$U$4:$U$803,$B189&amp;"|"&amp;AC$5)=0,"",SUMIF('Competency Event Log'!$U$4:$U$803,$B189&amp;"|"&amp;AC$5,'Competency Event Log'!$D$4:$D$803)))</f>
        <v/>
      </c>
      <c r="AD189" s="8" t="str">
        <f>IF($B189="","",IF(COUNTIF('Competency Event Log'!$U$4:$U$803,$B189&amp;"|"&amp;AD$5)=0,"",SUMIF('Competency Event Log'!$U$4:$U$803,$B189&amp;"|"&amp;AD$5,'Competency Event Log'!$D$4:$D$803)))</f>
        <v/>
      </c>
      <c r="AE189" s="8" t="str">
        <f>IF($B189="","",IF(COUNTIF('Competency Event Log'!$U$4:$U$803,$B189&amp;"|"&amp;AE$5)=0,"",SUMIF('Competency Event Log'!$U$4:$U$803,$B189&amp;"|"&amp;AE$5,'Competency Event Log'!$D$4:$D$803)))</f>
        <v/>
      </c>
      <c r="AF189" s="8" t="str">
        <f>IF($B189="","",IF(COUNTIF('Competency Event Log'!$U$4:$U$803,$B189&amp;"|"&amp;AF$5)=0,"",SUMIF('Competency Event Log'!$U$4:$U$803,$B189&amp;"|"&amp;AF$5,'Competency Event Log'!$D$4:$D$803)))</f>
        <v/>
      </c>
      <c r="AG189" s="8" t="str">
        <f>IF($B189="","",IF(COUNTIF('Competency Event Log'!$U$4:$U$803,$B189&amp;"|"&amp;AG$5)=0,"",SUMIF('Competency Event Log'!$U$4:$U$803,$B189&amp;"|"&amp;AG$5,'Competency Event Log'!$D$4:$D$803)))</f>
        <v/>
      </c>
      <c r="AH189" s="8" t="str">
        <f>IF($B189="","",IF(COUNTIF('Competency Event Log'!$U$4:$U$803,$B189&amp;"|"&amp;AH$5)=0,"",SUMIF('Competency Event Log'!$U$4:$U$803,$B189&amp;"|"&amp;AH$5,'Competency Event Log'!$D$4:$D$803)))</f>
        <v/>
      </c>
      <c r="AI189" s="8" t="str">
        <f>IF($B189="","",IF(COUNTIF('Competency Event Log'!$U$4:$U$803,$B189&amp;"|"&amp;AI$5)=0,"",SUMIF('Competency Event Log'!$U$4:$U$803,$B189&amp;"|"&amp;AI$5,'Competency Event Log'!$D$4:$D$803)))</f>
        <v/>
      </c>
      <c r="AJ189" s="8" t="str">
        <f>IF($B189="","",IF(COUNTIF('Competency Event Log'!$U$4:$U$803,$B189&amp;"|"&amp;AJ$5)=0,"",SUMIF('Competency Event Log'!$U$4:$U$803,$B189&amp;"|"&amp;AJ$5,'Competency Event Log'!$D$4:$D$803)))</f>
        <v/>
      </c>
      <c r="AK189" s="8" t="str">
        <f>IF($B189="","",IF(COUNTIF('Competency Event Log'!$U$4:$U$803,$B189&amp;"|"&amp;AK$5)=0,"",SUMIF('Competency Event Log'!$U$4:$U$803,$B189&amp;"|"&amp;AK$5,'Competency Event Log'!$D$4:$D$803)))</f>
        <v/>
      </c>
      <c r="AL189" s="8" t="str">
        <f>IF($B189="","",IF(COUNTIF('Competency Event Log'!$U$4:$U$803,$B189&amp;"|"&amp;AL$5)=0,"",SUMIF('Competency Event Log'!$U$4:$U$803,$B189&amp;"|"&amp;AL$5,'Competency Event Log'!$D$4:$D$803)))</f>
        <v/>
      </c>
      <c r="AM189" s="8" t="str">
        <f>IF($B189="","",IF(COUNTIF('Competency Event Log'!$U$4:$U$803,$B189&amp;"|"&amp;AM$5)=0,"",SUMIF('Competency Event Log'!$U$4:$U$803,$B189&amp;"|"&amp;AM$5,'Competency Event Log'!$D$4:$D$803)))</f>
        <v/>
      </c>
      <c r="AN189" s="8" t="str">
        <f>IF($B189="","",IF(COUNTIF('Competency Event Log'!$U$4:$U$803,$B189&amp;"|"&amp;AN$5)=0,"",SUMIF('Competency Event Log'!$U$4:$U$803,$B189&amp;"|"&amp;AN$5,'Competency Event Log'!$D$4:$D$803)))</f>
        <v/>
      </c>
      <c r="AO189" s="8" t="str">
        <f>IF($B189="","",IF(COUNTIF('Competency Event Log'!$U$4:$U$803,$B189&amp;"|"&amp;AO$5)=0,"",SUMIF('Competency Event Log'!$U$4:$U$803,$B189&amp;"|"&amp;AO$5,'Competency Event Log'!$D$4:$D$803)))</f>
        <v/>
      </c>
      <c r="AP189" s="8" t="str">
        <f>IF($B189="","",IF(COUNTIF('Competency Event Log'!$U$4:$U$803,$B189&amp;"|"&amp;AP$5)=0,"",SUMIF('Competency Event Log'!$U$4:$U$803,$B189&amp;"|"&amp;AP$5,'Competency Event Log'!$D$4:$D$803)))</f>
        <v/>
      </c>
      <c r="AQ189" s="8" t="str">
        <f>IF($B189="","",IF(COUNTIF('Competency Event Log'!$U$4:$U$803,$B189&amp;"|"&amp;AQ$5)=0,"",SUMIF('Competency Event Log'!$U$4:$U$803,$B189&amp;"|"&amp;AQ$5,'Competency Event Log'!$D$4:$D$803)))</f>
        <v/>
      </c>
      <c r="AR189" s="8" t="str">
        <f>IF($B189="","",IF(COUNTIF('Competency Event Log'!$U$4:$U$803,$B189&amp;"|"&amp;AR$5)=0,"",SUMIF('Competency Event Log'!$U$4:$U$803,$B189&amp;"|"&amp;AR$5,'Competency Event Log'!$D$4:$D$803)))</f>
        <v/>
      </c>
      <c r="AS189" s="8" t="str">
        <f>IF($B189="","",IF(COUNTIF('Competency Event Log'!$U$4:$U$803,$B189&amp;"|"&amp;AS$5)=0,"",SUMIF('Competency Event Log'!$U$4:$U$803,$B189&amp;"|"&amp;AS$5,'Competency Event Log'!$D$4:$D$803)))</f>
        <v/>
      </c>
      <c r="AT189" s="8" t="str">
        <f>IF($B189="","",IF(COUNTIF('Competency Event Log'!$U$4:$U$803,$B189&amp;"|"&amp;AT$5)=0,"",SUMIF('Competency Event Log'!$U$4:$U$803,$B189&amp;"|"&amp;AT$5,'Competency Event Log'!$D$4:$D$803)))</f>
        <v/>
      </c>
      <c r="AU189" s="8" t="str">
        <f>IF($B189="","",IF(COUNTIF('Competency Event Log'!$U$4:$U$803,$B189&amp;"|"&amp;AU$5)=0,"",SUMIF('Competency Event Log'!$U$4:$U$803,$B189&amp;"|"&amp;AU$5,'Competency Event Log'!$D$4:$D$803)))</f>
        <v/>
      </c>
      <c r="AV189" s="8" t="str">
        <f>IF($B189="","",IF(COUNTIF('Competency Event Log'!$U$4:$U$803,$B189&amp;"|"&amp;AV$5)=0,"",SUMIF('Competency Event Log'!$U$4:$U$803,$B189&amp;"|"&amp;AV$5,'Competency Event Log'!$D$4:$D$803)))</f>
        <v/>
      </c>
      <c r="AW189" s="8" t="str">
        <f>IF($B189="","",IF(COUNTIF('Competency Event Log'!$U$4:$U$803,$B189&amp;"|"&amp;AW$5)=0,"",SUMIF('Competency Event Log'!$U$4:$U$803,$B189&amp;"|"&amp;AW$5,'Competency Event Log'!$D$4:$D$803)))</f>
        <v/>
      </c>
      <c r="AX189" s="8" t="str">
        <f>IF($B189="","",IF(COUNTIF('Competency Event Log'!$U$4:$U$803,$B189&amp;"|"&amp;AX$5)=0,"",SUMIF('Competency Event Log'!$U$4:$U$803,$B189&amp;"|"&amp;AX$5,'Competency Event Log'!$D$4:$D$803)))</f>
        <v/>
      </c>
      <c r="AY189" s="8" t="str">
        <f>IF($B189="","",IF(COUNTIF('Competency Event Log'!$U$4:$U$803,$B189&amp;"|"&amp;AY$5)=0,"",SUMIF('Competency Event Log'!$U$4:$U$803,$B189&amp;"|"&amp;AY$5,'Competency Event Log'!$D$4:$D$803)))</f>
        <v/>
      </c>
      <c r="AZ189" s="8" t="str">
        <f>IF($B189="","",IF(COUNTIF('Competency Event Log'!$U$4:$U$803,$B189&amp;"|"&amp;AZ$5)=0,"",SUMIF('Competency Event Log'!$U$4:$U$803,$B189&amp;"|"&amp;AZ$5,'Competency Event Log'!$D$4:$D$803)))</f>
        <v/>
      </c>
      <c r="BA189" s="8" t="str">
        <f>IF($B189="","",IF(COUNTIF('Competency Event Log'!$U$4:$U$803,$B189&amp;"|"&amp;BA$5)=0,"",SUMIF('Competency Event Log'!$U$4:$U$803,$B189&amp;"|"&amp;BA$5,'Competency Event Log'!$D$4:$D$803)))</f>
        <v/>
      </c>
      <c r="BB189" s="8" t="str">
        <f>IF($B189="","",IF(COUNTIF('Competency Event Log'!$U$4:$U$803,$B189&amp;"|"&amp;BB$5)=0,"",SUMIF('Competency Event Log'!$U$4:$U$803,$B189&amp;"|"&amp;BB$5,'Competency Event Log'!$D$4:$D$803)))</f>
        <v/>
      </c>
      <c r="BC189" s="8" t="str">
        <f>IF($B189="","",IF(COUNTIF('Competency Event Log'!$U$4:$U$803,$B189&amp;"|"&amp;BC$5)=0,"",SUMIF('Competency Event Log'!$U$4:$U$803,$B189&amp;"|"&amp;BC$5,'Competency Event Log'!$D$4:$D$803)))</f>
        <v/>
      </c>
      <c r="BD189" s="8" t="str">
        <f>IF($B189="","",IF(COUNTIF('Competency Event Log'!$U$4:$U$803,$B189&amp;"|"&amp;BD$5)=0,"",SUMIF('Competency Event Log'!$U$4:$U$803,$B189&amp;"|"&amp;BD$5,'Competency Event Log'!$D$4:$D$803)))</f>
        <v/>
      </c>
      <c r="BE189" s="8" t="str">
        <f>IF($B189="","",IF(COUNTIF('Competency Event Log'!$U$4:$U$803,$B189&amp;"|"&amp;BE$5)=0,"",SUMIF('Competency Event Log'!$U$4:$U$803,$B189&amp;"|"&amp;BE$5,'Competency Event Log'!$D$4:$D$803)))</f>
        <v/>
      </c>
      <c r="BF189" s="8" t="str">
        <f>IF($B189="","",IF(COUNTIF('Competency Event Log'!$U$4:$U$803,$B189&amp;"|"&amp;BF$5)=0,"",SUMIF('Competency Event Log'!$U$4:$U$803,$B189&amp;"|"&amp;BF$5,'Competency Event Log'!$D$4:$D$803)))</f>
        <v/>
      </c>
      <c r="BG189" s="8" t="str">
        <f>IF($B189="","",IF(COUNTIF('Competency Event Log'!$U$4:$U$803,$B189&amp;"|"&amp;BG$5)=0,"",SUMIF('Competency Event Log'!$U$4:$U$803,$B189&amp;"|"&amp;BG$5,'Competency Event Log'!$D$4:$D$803)))</f>
        <v/>
      </c>
      <c r="BH189" s="8" t="str">
        <f>IF($B189="","",IF(COUNTIF('Competency Event Log'!$U$4:$U$803,$B189&amp;"|"&amp;BH$5)=0,"",SUMIF('Competency Event Log'!$U$4:$U$803,$B189&amp;"|"&amp;BH$5,'Competency Event Log'!$D$4:$D$803)))</f>
        <v/>
      </c>
      <c r="BI189" s="8" t="str">
        <f>IF($B189="","",IF(COUNTIF('Competency Event Log'!$U$4:$U$803,$B189&amp;"|"&amp;BI$5)=0,"",SUMIF('Competency Event Log'!$U$4:$U$803,$B189&amp;"|"&amp;BI$5,'Competency Event Log'!$D$4:$D$803)))</f>
        <v/>
      </c>
      <c r="BJ189" s="8" t="str">
        <f>IF($B189="","",IF(COUNTIF('Competency Event Log'!$U$4:$U$803,$B189&amp;"|"&amp;BJ$5)=0,"",SUMIF('Competency Event Log'!$U$4:$U$803,$B189&amp;"|"&amp;BJ$5,'Competency Event Log'!$D$4:$D$803)))</f>
        <v/>
      </c>
      <c r="BK189" s="8" t="str">
        <f>IF($B189="","",IF(COUNTIF('Competency Event Log'!$U$4:$U$803,$B189&amp;"|"&amp;BK$5)=0,"",SUMIF('Competency Event Log'!$U$4:$U$803,$B189&amp;"|"&amp;BK$5,'Competency Event Log'!$D$4:$D$803)))</f>
        <v/>
      </c>
      <c r="BL189" s="8" t="str">
        <f>IF($B189="","",IF(COUNTIF('Competency Event Log'!$U$4:$U$803,$B189&amp;"|"&amp;BL$5)=0,"",SUMIF('Competency Event Log'!$U$4:$U$803,$B189&amp;"|"&amp;BL$5,'Competency Event Log'!$D$4:$D$803)))</f>
        <v/>
      </c>
      <c r="BM189" s="8" t="str">
        <f>IF($B189="","",IF(COUNTIF('Competency Event Log'!$U$4:$U$803,$B189&amp;"|"&amp;BM$5)=0,"",SUMIF('Competency Event Log'!$U$4:$U$803,$B189&amp;"|"&amp;BM$5,'Competency Event Log'!$D$4:$D$803)))</f>
        <v/>
      </c>
      <c r="BN189" s="8" t="str">
        <f>IF($B189="","",IF(COUNTIF('Competency Event Log'!$U$4:$U$803,$B189&amp;"|"&amp;BN$5)=0,"",SUMIF('Competency Event Log'!$U$4:$U$803,$B189&amp;"|"&amp;BN$5,'Competency Event Log'!$D$4:$D$803)))</f>
        <v/>
      </c>
      <c r="BO189" s="8" t="str">
        <f>IF($B189="","",IF(COUNTIF('Competency Event Log'!$U$4:$U$803,$B189&amp;"|"&amp;BO$5)=0,"",SUMIF('Competency Event Log'!$U$4:$U$803,$B189&amp;"|"&amp;BO$5,'Competency Event Log'!$D$4:$D$803)))</f>
        <v/>
      </c>
      <c r="BP189" s="8" t="str">
        <f>IF($B189="","",IF(COUNTIF('Competency Event Log'!$U$4:$U$803,$B189&amp;"|"&amp;BP$5)=0,"",SUMIF('Competency Event Log'!$U$4:$U$803,$B189&amp;"|"&amp;BP$5,'Competency Event Log'!$D$4:$D$803)))</f>
        <v/>
      </c>
      <c r="BQ189" s="8" t="str">
        <f>IF($B189="","",IF(COUNTIF('Competency Event Log'!$U$4:$U$803,$B189&amp;"|"&amp;BQ$5)=0,"",SUMIF('Competency Event Log'!$U$4:$U$803,$B189&amp;"|"&amp;BQ$5,'Competency Event Log'!$D$4:$D$803)))</f>
        <v/>
      </c>
      <c r="BR189" s="8" t="str">
        <f>IF($B189="","",IF(COUNTIF('Competency Event Log'!$U$4:$U$803,$B189&amp;"|"&amp;BR$5)=0,"",SUMIF('Competency Event Log'!$U$4:$U$803,$B189&amp;"|"&amp;BR$5,'Competency Event Log'!$D$4:$D$803)))</f>
        <v/>
      </c>
      <c r="BS189" s="8" t="str">
        <f>IF($B189="","",IF(COUNTIF('Competency Event Log'!$U$4:$U$803,$B189&amp;"|"&amp;BS$5)=0,"",SUMIF('Competency Event Log'!$U$4:$U$803,$B189&amp;"|"&amp;BS$5,'Competency Event Log'!$D$4:$D$803)))</f>
        <v/>
      </c>
      <c r="BT189" s="8" t="str">
        <f>IF($B189="","",IF(COUNTIF('Competency Event Log'!$U$4:$U$803,$B189&amp;"|"&amp;BT$5)=0,"",SUMIF('Competency Event Log'!$U$4:$U$803,$B189&amp;"|"&amp;BT$5,'Competency Event Log'!$D$4:$D$803)))</f>
        <v/>
      </c>
      <c r="BU189" s="8" t="str">
        <f>IF($B189="","",IF(COUNTIF('Competency Event Log'!$U$4:$U$803,$B189&amp;"|"&amp;BU$5)=0,"",SUMIF('Competency Event Log'!$U$4:$U$803,$B189&amp;"|"&amp;BU$5,'Competency Event Log'!$D$4:$D$803)))</f>
        <v/>
      </c>
      <c r="BV189" s="8" t="str">
        <f>IF($B189="","",IF(COUNTIF('Competency Event Log'!$U$4:$U$803,$B189&amp;"|"&amp;BV$5)=0,"",SUMIF('Competency Event Log'!$U$4:$U$803,$B189&amp;"|"&amp;BV$5,'Competency Event Log'!$D$4:$D$803)))</f>
        <v/>
      </c>
      <c r="BW189" s="8" t="str">
        <f>IF($B189="","",IF(COUNTIF('Competency Event Log'!$U$4:$U$803,$B189&amp;"|"&amp;BW$5)=0,"",SUMIF('Competency Event Log'!$U$4:$U$803,$B189&amp;"|"&amp;BW$5,'Competency Event Log'!$D$4:$D$803)))</f>
        <v/>
      </c>
      <c r="BX189" s="8" t="str">
        <f>IF($B189="","",IF(COUNTIF('Competency Event Log'!$U$4:$U$803,$B189&amp;"|"&amp;BX$5)=0,"",SUMIF('Competency Event Log'!$U$4:$U$803,$B189&amp;"|"&amp;BX$5,'Competency Event Log'!$D$4:$D$803)))</f>
        <v/>
      </c>
      <c r="BY189" s="8" t="str">
        <f>IF($B189="","",IF(COUNTIF('Competency Event Log'!$U$4:$U$803,$B189&amp;"|"&amp;BY$5)=0,"",SUMIF('Competency Event Log'!$U$4:$U$803,$B189&amp;"|"&amp;BY$5,'Competency Event Log'!$D$4:$D$803)))</f>
        <v/>
      </c>
      <c r="BZ189" s="8" t="str">
        <f>IF($B189="","",IF(COUNTIF('Competency Event Log'!$U$4:$U$803,$B189&amp;"|"&amp;BZ$5)=0,"",SUMIF('Competency Event Log'!$U$4:$U$803,$B189&amp;"|"&amp;BZ$5,'Competency Event Log'!$D$4:$D$803)))</f>
        <v/>
      </c>
      <c r="CA189" s="8" t="str">
        <f>IF($B189="","",IF(COUNTIF('Competency Event Log'!$U$4:$U$803,$B189&amp;"|"&amp;CA$5)=0,"",SUMIF('Competency Event Log'!$U$4:$U$803,$B189&amp;"|"&amp;CA$5,'Competency Event Log'!$D$4:$D$803)))</f>
        <v/>
      </c>
      <c r="CB189" s="8" t="str">
        <f>IF($B189="","",IF(COUNTIF('Competency Event Log'!$U$4:$U$803,$B189&amp;"|"&amp;CB$5)=0,"",SUMIF('Competency Event Log'!$U$4:$U$803,$B189&amp;"|"&amp;CB$5,'Competency Event Log'!$D$4:$D$803)))</f>
        <v/>
      </c>
      <c r="CC189" s="8" t="str">
        <f>IF($B189="","",IF(COUNTIF('Competency Event Log'!$U$4:$U$803,$B189&amp;"|"&amp;CC$5)=0,"",SUMIF('Competency Event Log'!$U$4:$U$803,$B189&amp;"|"&amp;CC$5,'Competency Event Log'!$D$4:$D$803)))</f>
        <v/>
      </c>
      <c r="CD189" s="8" t="str">
        <f>IF($B189="","",IF(COUNTIF('Competency Event Log'!$U$4:$U$803,$B189&amp;"|"&amp;CD$5)=0,"",SUMIF('Competency Event Log'!$U$4:$U$803,$B189&amp;"|"&amp;CD$5,'Competency Event Log'!$D$4:$D$803)))</f>
        <v/>
      </c>
      <c r="CE189" s="8" t="str">
        <f>IF($B189="","",IF(COUNTIF('Competency Event Log'!$U$4:$U$803,$B189&amp;"|"&amp;CE$5)=0,"",SUMIF('Competency Event Log'!$U$4:$U$803,$B189&amp;"|"&amp;CE$5,'Competency Event Log'!$D$4:$D$803)))</f>
        <v/>
      </c>
      <c r="CF189" s="8" t="str">
        <f>IF($B189="","",IF(COUNTIF('Competency Event Log'!$U$4:$U$803,$B189&amp;"|"&amp;CF$5)=0,"",SUMIF('Competency Event Log'!$U$4:$U$803,$B189&amp;"|"&amp;CF$5,'Competency Event Log'!$D$4:$D$803)))</f>
        <v/>
      </c>
      <c r="CG189" s="8" t="str">
        <f>IF($B189="","",IF(COUNTIF('Competency Event Log'!$U$4:$U$803,$B189&amp;"|"&amp;CG$5)=0,"",SUMIF('Competency Event Log'!$U$4:$U$803,$B189&amp;"|"&amp;CG$5,'Competency Event Log'!$D$4:$D$803)))</f>
        <v/>
      </c>
      <c r="CH189" s="8" t="str">
        <f>IF($B189="","",IF(COUNTIF('Competency Event Log'!$U$4:$U$803,$B189&amp;"|"&amp;CH$5)=0,"",SUMIF('Competency Event Log'!$U$4:$U$803,$B189&amp;"|"&amp;CH$5,'Competency Event Log'!$D$4:$D$803)))</f>
        <v/>
      </c>
      <c r="CI189" s="8" t="str">
        <f>IF($B189="","",IF(COUNTIF('Competency Event Log'!$U$4:$U$803,$B189&amp;"|"&amp;CI$5)=0,"",SUMIF('Competency Event Log'!$U$4:$U$803,$B189&amp;"|"&amp;CI$5,'Competency Event Log'!$D$4:$D$803)))</f>
        <v/>
      </c>
      <c r="CJ189" s="8" t="str">
        <f>IF($B189="","",IF(COUNTIF('Competency Event Log'!$U$4:$U$803,$B189&amp;"|"&amp;CJ$5)=0,"",SUMIF('Competency Event Log'!$U$4:$U$803,$B189&amp;"|"&amp;CJ$5,'Competency Event Log'!$D$4:$D$803)))</f>
        <v/>
      </c>
      <c r="CK189" s="8" t="str">
        <f>IF($B189="","",IF(COUNTIF('Competency Event Log'!$U$4:$U$803,$B189&amp;"|"&amp;CK$5)=0,"",SUMIF('Competency Event Log'!$U$4:$U$803,$B189&amp;"|"&amp;CK$5,'Competency Event Log'!$D$4:$D$803)))</f>
        <v/>
      </c>
      <c r="CL189" s="8" t="str">
        <f>IF($B189="","",IF(COUNTIF('Competency Event Log'!$U$4:$U$803,$B189&amp;"|"&amp;CL$5)=0,"",SUMIF('Competency Event Log'!$U$4:$U$803,$B189&amp;"|"&amp;CL$5,'Competency Event Log'!$D$4:$D$803)))</f>
        <v/>
      </c>
      <c r="CM189" s="8" t="str">
        <f>IF($B189="","",IF(COUNTIF('Competency Event Log'!$U$4:$U$803,$B189&amp;"|"&amp;CM$5)=0,"",SUMIF('Competency Event Log'!$U$4:$U$803,$B189&amp;"|"&amp;CM$5,'Competency Event Log'!$D$4:$D$803)))</f>
        <v/>
      </c>
      <c r="CN189" s="8" t="str">
        <f>IF($B189="","",IF(COUNTIF('Competency Event Log'!$U$4:$U$803,$B189&amp;"|"&amp;CN$5)=0,"",SUMIF('Competency Event Log'!$U$4:$U$803,$B189&amp;"|"&amp;CN$5,'Competency Event Log'!$D$4:$D$803)))</f>
        <v/>
      </c>
      <c r="CO189" s="8" t="str">
        <f>IF($B189="","",IF(COUNTIF('Competency Event Log'!$U$4:$U$803,$B189&amp;"|"&amp;CO$5)=0,"",SUMIF('Competency Event Log'!$U$4:$U$803,$B189&amp;"|"&amp;CO$5,'Competency Event Log'!$D$4:$D$803)))</f>
        <v/>
      </c>
      <c r="CP189" s="8" t="str">
        <f>IF($B189="","",IF(COUNTIF('Competency Event Log'!$U$4:$U$803,$B189&amp;"|"&amp;CP$5)=0,"",SUMIF('Competency Event Log'!$U$4:$U$803,$B189&amp;"|"&amp;CP$5,'Competency Event Log'!$D$4:$D$803)))</f>
        <v/>
      </c>
      <c r="CQ189" s="8" t="str">
        <f>IF($B189="","",IF(COUNTIF('Competency Event Log'!$U$4:$U$803,$B189&amp;"|"&amp;CQ$5)=0,"",SUMIF('Competency Event Log'!$U$4:$U$803,$B189&amp;"|"&amp;CQ$5,'Competency Event Log'!$D$4:$D$803)))</f>
        <v/>
      </c>
      <c r="CR189" s="8" t="str">
        <f>IF($B189="","",IF(COUNTIF('Competency Event Log'!$U$4:$U$803,$B189&amp;"|"&amp;CR$5)=0,"",SUMIF('Competency Event Log'!$U$4:$U$803,$B189&amp;"|"&amp;CR$5,'Competency Event Log'!$D$4:$D$803)))</f>
        <v/>
      </c>
      <c r="CS189" s="8" t="str">
        <f>IF($B189="","",IF(COUNTIF('Competency Event Log'!$U$4:$U$803,$B189&amp;"|"&amp;CS$5)=0,"",SUMIF('Competency Event Log'!$U$4:$U$803,$B189&amp;"|"&amp;CS$5,'Competency Event Log'!$D$4:$D$803)))</f>
        <v/>
      </c>
      <c r="CT189" s="8" t="str">
        <f>IF($B189="","",IF(COUNTIF('Competency Event Log'!$U$4:$U$803,$B189&amp;"|"&amp;CT$5)=0,"",SUMIF('Competency Event Log'!$U$4:$U$803,$B189&amp;"|"&amp;CT$5,'Competency Event Log'!$D$4:$D$803)))</f>
        <v/>
      </c>
      <c r="CU189" s="8" t="str">
        <f>IF($B189="","",IF(COUNTIF('Competency Event Log'!$U$4:$U$803,$B189&amp;"|"&amp;CU$5)=0,"",SUMIF('Competency Event Log'!$U$4:$U$803,$B189&amp;"|"&amp;CU$5,'Competency Event Log'!$D$4:$D$803)))</f>
        <v/>
      </c>
      <c r="CV189" s="8" t="str">
        <f>IF($B189="","",IF(COUNTIF('Competency Event Log'!$U$4:$U$803,$B189&amp;"|"&amp;CV$5)=0,"",SUMIF('Competency Event Log'!$U$4:$U$803,$B189&amp;"|"&amp;CV$5,'Competency Event Log'!$D$4:$D$803)))</f>
        <v/>
      </c>
      <c r="CW189" s="8" t="str">
        <f>IF($B189="","",IF(COUNTIF('Competency Event Log'!$U$4:$U$803,$B189&amp;"|"&amp;CW$5)=0,"",SUMIF('Competency Event Log'!$U$4:$U$803,$B189&amp;"|"&amp;CW$5,'Competency Event Log'!$D$4:$D$803)))</f>
        <v/>
      </c>
      <c r="CX189" s="8" t="str">
        <f>IF($B189="","",IF(COUNTIF('Competency Event Log'!$U$4:$U$803,$B189&amp;"|"&amp;CX$5)=0,"",SUMIF('Competency Event Log'!$U$4:$U$803,$B189&amp;"|"&amp;CX$5,'Competency Event Log'!$D$4:$D$803)))</f>
        <v/>
      </c>
      <c r="CY189" s="8" t="str">
        <f>IF($B189="","",IF(COUNTIF('Competency Event Log'!$U$4:$U$803,$B189&amp;"|"&amp;CY$5)=0,"",SUMIF('Competency Event Log'!$U$4:$U$803,$B189&amp;"|"&amp;CY$5,'Competency Event Log'!$D$4:$D$803)))</f>
        <v/>
      </c>
      <c r="CZ189" s="8" t="str">
        <f>IF($B189="","",IF(COUNTIF('Competency Event Log'!$U$4:$U$803,$B189&amp;"|"&amp;CZ$5)=0,"",SUMIF('Competency Event Log'!$U$4:$U$803,$B189&amp;"|"&amp;CZ$5,'Competency Event Log'!$D$4:$D$803)))</f>
        <v/>
      </c>
      <c r="DA189" s="8" t="str">
        <f>IF($B189="","",IF(COUNTIF('Competency Event Log'!$U$4:$U$803,$B189&amp;"|"&amp;DA$5)=0,"",SUMIF('Competency Event Log'!$U$4:$U$803,$B189&amp;"|"&amp;DA$5,'Competency Event Log'!$D$4:$D$803)))</f>
        <v/>
      </c>
      <c r="DB189" s="8" t="str">
        <f>IF($B189="","",IF(COUNTIF('Competency Event Log'!$U$4:$U$803,$B189&amp;"|"&amp;DB$5)=0,"",SUMIF('Competency Event Log'!$U$4:$U$803,$B189&amp;"|"&amp;DB$5,'Competency Event Log'!$D$4:$D$803)))</f>
        <v/>
      </c>
      <c r="DC189" s="8" t="str">
        <f>IF($B189="","",IF(COUNTIF('Competency Event Log'!$U$4:$U$803,$B189&amp;"|"&amp;DC$5)=0,"",SUMIF('Competency Event Log'!$U$4:$U$803,$B189&amp;"|"&amp;DC$5,'Competency Event Log'!$D$4:$D$803)))</f>
        <v/>
      </c>
      <c r="DD189" s="8" t="str">
        <f>IF($B189="","",IF(COUNTIF('Competency Event Log'!$U$4:$U$803,$B189&amp;"|"&amp;DD$5)=0,"",SUMIF('Competency Event Log'!$U$4:$U$803,$B189&amp;"|"&amp;DD$5,'Competency Event Log'!$D$4:$D$803)))</f>
        <v/>
      </c>
      <c r="DE189" s="8" t="str">
        <f>IF($B189="","",IF(COUNTIF('Competency Event Log'!$U$4:$U$803,$B189&amp;"|"&amp;DE$5)=0,"",SUMIF('Competency Event Log'!$U$4:$U$803,$B189&amp;"|"&amp;DE$5,'Competency Event Log'!$D$4:$D$803)))</f>
        <v/>
      </c>
      <c r="DF189" s="8" t="str">
        <f t="shared" si="20"/>
        <v/>
      </c>
      <c r="DG189" s="8" t="str">
        <f t="shared" si="21"/>
        <v/>
      </c>
      <c r="DH189" s="8" t="str">
        <f t="shared" si="22"/>
        <v/>
      </c>
      <c r="DI189" s="11" t="str">
        <f t="shared" si="23"/>
        <v/>
      </c>
    </row>
    <row r="190" spans="1:113">
      <c r="A190" s="7"/>
      <c r="B190" s="7"/>
      <c r="C190" s="8"/>
      <c r="D190" s="9"/>
      <c r="E190" s="10"/>
      <c r="F190" s="8"/>
      <c r="G190" s="8" t="str">
        <f>IF($B190="","",IF(COUNTIF('Competency Event Log'!$U$4:$U$803,$B190&amp;"|"&amp;G$5)=0,"",SUMIF('Competency Event Log'!$U$4:$U$803,$B190&amp;"|"&amp;G$5,'Competency Event Log'!$D$4:$D$803)))</f>
        <v/>
      </c>
      <c r="H190" s="8" t="str">
        <f>IF($B190="","",IF(COUNTIF('Competency Event Log'!$U$4:$U$803,$B190&amp;"|"&amp;H$5)=0,"",SUMIF('Competency Event Log'!$U$4:$U$803,$B190&amp;"|"&amp;H$5,'Competency Event Log'!$D$4:$D$803)))</f>
        <v/>
      </c>
      <c r="I190" s="8" t="str">
        <f>IF($B190="","",IF(COUNTIF('Competency Event Log'!$U$4:$U$803,$B190&amp;"|"&amp;I$5)=0,"",SUMIF('Competency Event Log'!$U$4:$U$803,$B190&amp;"|"&amp;I$5,'Competency Event Log'!$D$4:$D$803)))</f>
        <v/>
      </c>
      <c r="J190" s="8" t="str">
        <f>IF($B190="","",IF(COUNTIF('Competency Event Log'!$U$4:$U$803,$B190&amp;"|"&amp;J$5)=0,"",SUMIF('Competency Event Log'!$U$4:$U$803,$B190&amp;"|"&amp;J$5,'Competency Event Log'!$D$4:$D$803)))</f>
        <v/>
      </c>
      <c r="K190" s="8" t="str">
        <f>IF($B190="","",IF(COUNTIF('Competency Event Log'!$U$4:$U$803,$B190&amp;"|"&amp;K$5)=0,"",SUMIF('Competency Event Log'!$U$4:$U$803,$B190&amp;"|"&amp;K$5,'Competency Event Log'!$D$4:$D$803)))</f>
        <v/>
      </c>
      <c r="L190" s="8" t="str">
        <f>IF($B190="","",IF(COUNTIF('Competency Event Log'!$U$4:$U$803,$B190&amp;"|"&amp;L$5)=0,"",SUMIF('Competency Event Log'!$U$4:$U$803,$B190&amp;"|"&amp;L$5,'Competency Event Log'!$D$4:$D$803)))</f>
        <v/>
      </c>
      <c r="M190" s="8" t="str">
        <f>IF($B190="","",IF(COUNTIF('Competency Event Log'!$U$4:$U$803,$B190&amp;"|"&amp;M$5)=0,"",SUMIF('Competency Event Log'!$U$4:$U$803,$B190&amp;"|"&amp;M$5,'Competency Event Log'!$D$4:$D$803)))</f>
        <v/>
      </c>
      <c r="N190" s="8" t="str">
        <f>IF($B190="","",IF(COUNTIF('Competency Event Log'!$U$4:$U$803,$B190&amp;"|"&amp;N$5)=0,"",SUMIF('Competency Event Log'!$U$4:$U$803,$B190&amp;"|"&amp;N$5,'Competency Event Log'!$D$4:$D$803)))</f>
        <v/>
      </c>
      <c r="O190" s="8" t="str">
        <f>IF($B190="","",IF(COUNTIF('Competency Event Log'!$U$4:$U$803,$B190&amp;"|"&amp;O$5)=0,"",SUMIF('Competency Event Log'!$U$4:$U$803,$B190&amp;"|"&amp;O$5,'Competency Event Log'!$D$4:$D$803)))</f>
        <v/>
      </c>
      <c r="P190" s="8" t="str">
        <f>IF($B190="","",IF(COUNTIF('Competency Event Log'!$U$4:$U$803,$B190&amp;"|"&amp;P$5)=0,"",SUMIF('Competency Event Log'!$U$4:$U$803,$B190&amp;"|"&amp;P$5,'Competency Event Log'!$D$4:$D$803)))</f>
        <v/>
      </c>
      <c r="Q190" s="8" t="str">
        <f>IF($B190="","",IF(COUNTIF('Competency Event Log'!$U$4:$U$803,$B190&amp;"|"&amp;Q$5)=0,"",SUMIF('Competency Event Log'!$U$4:$U$803,$B190&amp;"|"&amp;Q$5,'Competency Event Log'!$D$4:$D$803)))</f>
        <v/>
      </c>
      <c r="R190" s="8" t="str">
        <f>IF($B190="","",IF(COUNTIF('Competency Event Log'!$U$4:$U$803,$B190&amp;"|"&amp;R$5)=0,"",SUMIF('Competency Event Log'!$U$4:$U$803,$B190&amp;"|"&amp;R$5,'Competency Event Log'!$D$4:$D$803)))</f>
        <v/>
      </c>
      <c r="S190" s="8" t="str">
        <f>IF($B190="","",IF(COUNTIF('Competency Event Log'!$U$4:$U$803,$B190&amp;"|"&amp;S$5)=0,"",SUMIF('Competency Event Log'!$U$4:$U$803,$B190&amp;"|"&amp;S$5,'Competency Event Log'!$D$4:$D$803)))</f>
        <v/>
      </c>
      <c r="T190" s="8" t="str">
        <f>IF($B190="","",IF(COUNTIF('Competency Event Log'!$U$4:$U$803,$B190&amp;"|"&amp;T$5)=0,"",SUMIF('Competency Event Log'!$U$4:$U$803,$B190&amp;"|"&amp;T$5,'Competency Event Log'!$D$4:$D$803)))</f>
        <v/>
      </c>
      <c r="U190" s="8" t="str">
        <f>IF($B190="","",IF(COUNTIF('Competency Event Log'!$U$4:$U$803,$B190&amp;"|"&amp;U$5)=0,"",SUMIF('Competency Event Log'!$U$4:$U$803,$B190&amp;"|"&amp;U$5,'Competency Event Log'!$D$4:$D$803)))</f>
        <v/>
      </c>
      <c r="V190" s="8" t="str">
        <f>IF($B190="","",IF(COUNTIF('Competency Event Log'!$U$4:$U$803,$B190&amp;"|"&amp;V$5)=0,"",SUMIF('Competency Event Log'!$U$4:$U$803,$B190&amp;"|"&amp;V$5,'Competency Event Log'!$D$4:$D$803)))</f>
        <v/>
      </c>
      <c r="W190" s="8" t="str">
        <f>IF($B190="","",IF(COUNTIF('Competency Event Log'!$U$4:$U$803,$B190&amp;"|"&amp;W$5)=0,"",SUMIF('Competency Event Log'!$U$4:$U$803,$B190&amp;"|"&amp;W$5,'Competency Event Log'!$D$4:$D$803)))</f>
        <v/>
      </c>
      <c r="X190" s="8" t="str">
        <f>IF($B190="","",IF(COUNTIF('Competency Event Log'!$U$4:$U$803,$B190&amp;"|"&amp;X$5)=0,"",SUMIF('Competency Event Log'!$U$4:$U$803,$B190&amp;"|"&amp;X$5,'Competency Event Log'!$D$4:$D$803)))</f>
        <v/>
      </c>
      <c r="Y190" s="8" t="str">
        <f>IF($B190="","",IF(COUNTIF('Competency Event Log'!$U$4:$U$803,$B190&amp;"|"&amp;Y$5)=0,"",SUMIF('Competency Event Log'!$U$4:$U$803,$B190&amp;"|"&amp;Y$5,'Competency Event Log'!$D$4:$D$803)))</f>
        <v/>
      </c>
      <c r="Z190" s="8" t="str">
        <f>IF($B190="","",IF(COUNTIF('Competency Event Log'!$U$4:$U$803,$B190&amp;"|"&amp;Z$5)=0,"",SUMIF('Competency Event Log'!$U$4:$U$803,$B190&amp;"|"&amp;Z$5,'Competency Event Log'!$D$4:$D$803)))</f>
        <v/>
      </c>
      <c r="AA190" s="8" t="str">
        <f>IF($B190="","",IF(COUNTIF('Competency Event Log'!$U$4:$U$803,$B190&amp;"|"&amp;AA$5)=0,"",SUMIF('Competency Event Log'!$U$4:$U$803,$B190&amp;"|"&amp;AA$5,'Competency Event Log'!$D$4:$D$803)))</f>
        <v/>
      </c>
      <c r="AB190" s="8" t="str">
        <f>IF($B190="","",IF(COUNTIF('Competency Event Log'!$U$4:$U$803,$B190&amp;"|"&amp;AB$5)=0,"",SUMIF('Competency Event Log'!$U$4:$U$803,$B190&amp;"|"&amp;AB$5,'Competency Event Log'!$D$4:$D$803)))</f>
        <v/>
      </c>
      <c r="AC190" s="8" t="str">
        <f>IF($B190="","",IF(COUNTIF('Competency Event Log'!$U$4:$U$803,$B190&amp;"|"&amp;AC$5)=0,"",SUMIF('Competency Event Log'!$U$4:$U$803,$B190&amp;"|"&amp;AC$5,'Competency Event Log'!$D$4:$D$803)))</f>
        <v/>
      </c>
      <c r="AD190" s="8" t="str">
        <f>IF($B190="","",IF(COUNTIF('Competency Event Log'!$U$4:$U$803,$B190&amp;"|"&amp;AD$5)=0,"",SUMIF('Competency Event Log'!$U$4:$U$803,$B190&amp;"|"&amp;AD$5,'Competency Event Log'!$D$4:$D$803)))</f>
        <v/>
      </c>
      <c r="AE190" s="8" t="str">
        <f>IF($B190="","",IF(COUNTIF('Competency Event Log'!$U$4:$U$803,$B190&amp;"|"&amp;AE$5)=0,"",SUMIF('Competency Event Log'!$U$4:$U$803,$B190&amp;"|"&amp;AE$5,'Competency Event Log'!$D$4:$D$803)))</f>
        <v/>
      </c>
      <c r="AF190" s="8" t="str">
        <f>IF($B190="","",IF(COUNTIF('Competency Event Log'!$U$4:$U$803,$B190&amp;"|"&amp;AF$5)=0,"",SUMIF('Competency Event Log'!$U$4:$U$803,$B190&amp;"|"&amp;AF$5,'Competency Event Log'!$D$4:$D$803)))</f>
        <v/>
      </c>
      <c r="AG190" s="8" t="str">
        <f>IF($B190="","",IF(COUNTIF('Competency Event Log'!$U$4:$U$803,$B190&amp;"|"&amp;AG$5)=0,"",SUMIF('Competency Event Log'!$U$4:$U$803,$B190&amp;"|"&amp;AG$5,'Competency Event Log'!$D$4:$D$803)))</f>
        <v/>
      </c>
      <c r="AH190" s="8" t="str">
        <f>IF($B190="","",IF(COUNTIF('Competency Event Log'!$U$4:$U$803,$B190&amp;"|"&amp;AH$5)=0,"",SUMIF('Competency Event Log'!$U$4:$U$803,$B190&amp;"|"&amp;AH$5,'Competency Event Log'!$D$4:$D$803)))</f>
        <v/>
      </c>
      <c r="AI190" s="8" t="str">
        <f>IF($B190="","",IF(COUNTIF('Competency Event Log'!$U$4:$U$803,$B190&amp;"|"&amp;AI$5)=0,"",SUMIF('Competency Event Log'!$U$4:$U$803,$B190&amp;"|"&amp;AI$5,'Competency Event Log'!$D$4:$D$803)))</f>
        <v/>
      </c>
      <c r="AJ190" s="8" t="str">
        <f>IF($B190="","",IF(COUNTIF('Competency Event Log'!$U$4:$U$803,$B190&amp;"|"&amp;AJ$5)=0,"",SUMIF('Competency Event Log'!$U$4:$U$803,$B190&amp;"|"&amp;AJ$5,'Competency Event Log'!$D$4:$D$803)))</f>
        <v/>
      </c>
      <c r="AK190" s="8" t="str">
        <f>IF($B190="","",IF(COUNTIF('Competency Event Log'!$U$4:$U$803,$B190&amp;"|"&amp;AK$5)=0,"",SUMIF('Competency Event Log'!$U$4:$U$803,$B190&amp;"|"&amp;AK$5,'Competency Event Log'!$D$4:$D$803)))</f>
        <v/>
      </c>
      <c r="AL190" s="8" t="str">
        <f>IF($B190="","",IF(COUNTIF('Competency Event Log'!$U$4:$U$803,$B190&amp;"|"&amp;AL$5)=0,"",SUMIF('Competency Event Log'!$U$4:$U$803,$B190&amp;"|"&amp;AL$5,'Competency Event Log'!$D$4:$D$803)))</f>
        <v/>
      </c>
      <c r="AM190" s="8" t="str">
        <f>IF($B190="","",IF(COUNTIF('Competency Event Log'!$U$4:$U$803,$B190&amp;"|"&amp;AM$5)=0,"",SUMIF('Competency Event Log'!$U$4:$U$803,$B190&amp;"|"&amp;AM$5,'Competency Event Log'!$D$4:$D$803)))</f>
        <v/>
      </c>
      <c r="AN190" s="8" t="str">
        <f>IF($B190="","",IF(COUNTIF('Competency Event Log'!$U$4:$U$803,$B190&amp;"|"&amp;AN$5)=0,"",SUMIF('Competency Event Log'!$U$4:$U$803,$B190&amp;"|"&amp;AN$5,'Competency Event Log'!$D$4:$D$803)))</f>
        <v/>
      </c>
      <c r="AO190" s="8" t="str">
        <f>IF($B190="","",IF(COUNTIF('Competency Event Log'!$U$4:$U$803,$B190&amp;"|"&amp;AO$5)=0,"",SUMIF('Competency Event Log'!$U$4:$U$803,$B190&amp;"|"&amp;AO$5,'Competency Event Log'!$D$4:$D$803)))</f>
        <v/>
      </c>
      <c r="AP190" s="8" t="str">
        <f>IF($B190="","",IF(COUNTIF('Competency Event Log'!$U$4:$U$803,$B190&amp;"|"&amp;AP$5)=0,"",SUMIF('Competency Event Log'!$U$4:$U$803,$B190&amp;"|"&amp;AP$5,'Competency Event Log'!$D$4:$D$803)))</f>
        <v/>
      </c>
      <c r="AQ190" s="8" t="str">
        <f>IF($B190="","",IF(COUNTIF('Competency Event Log'!$U$4:$U$803,$B190&amp;"|"&amp;AQ$5)=0,"",SUMIF('Competency Event Log'!$U$4:$U$803,$B190&amp;"|"&amp;AQ$5,'Competency Event Log'!$D$4:$D$803)))</f>
        <v/>
      </c>
      <c r="AR190" s="8" t="str">
        <f>IF($B190="","",IF(COUNTIF('Competency Event Log'!$U$4:$U$803,$B190&amp;"|"&amp;AR$5)=0,"",SUMIF('Competency Event Log'!$U$4:$U$803,$B190&amp;"|"&amp;AR$5,'Competency Event Log'!$D$4:$D$803)))</f>
        <v/>
      </c>
      <c r="AS190" s="8" t="str">
        <f>IF($B190="","",IF(COUNTIF('Competency Event Log'!$U$4:$U$803,$B190&amp;"|"&amp;AS$5)=0,"",SUMIF('Competency Event Log'!$U$4:$U$803,$B190&amp;"|"&amp;AS$5,'Competency Event Log'!$D$4:$D$803)))</f>
        <v/>
      </c>
      <c r="AT190" s="8" t="str">
        <f>IF($B190="","",IF(COUNTIF('Competency Event Log'!$U$4:$U$803,$B190&amp;"|"&amp;AT$5)=0,"",SUMIF('Competency Event Log'!$U$4:$U$803,$B190&amp;"|"&amp;AT$5,'Competency Event Log'!$D$4:$D$803)))</f>
        <v/>
      </c>
      <c r="AU190" s="8" t="str">
        <f>IF($B190="","",IF(COUNTIF('Competency Event Log'!$U$4:$U$803,$B190&amp;"|"&amp;AU$5)=0,"",SUMIF('Competency Event Log'!$U$4:$U$803,$B190&amp;"|"&amp;AU$5,'Competency Event Log'!$D$4:$D$803)))</f>
        <v/>
      </c>
      <c r="AV190" s="8" t="str">
        <f>IF($B190="","",IF(COUNTIF('Competency Event Log'!$U$4:$U$803,$B190&amp;"|"&amp;AV$5)=0,"",SUMIF('Competency Event Log'!$U$4:$U$803,$B190&amp;"|"&amp;AV$5,'Competency Event Log'!$D$4:$D$803)))</f>
        <v/>
      </c>
      <c r="AW190" s="8" t="str">
        <f>IF($B190="","",IF(COUNTIF('Competency Event Log'!$U$4:$U$803,$B190&amp;"|"&amp;AW$5)=0,"",SUMIF('Competency Event Log'!$U$4:$U$803,$B190&amp;"|"&amp;AW$5,'Competency Event Log'!$D$4:$D$803)))</f>
        <v/>
      </c>
      <c r="AX190" s="8" t="str">
        <f>IF($B190="","",IF(COUNTIF('Competency Event Log'!$U$4:$U$803,$B190&amp;"|"&amp;AX$5)=0,"",SUMIF('Competency Event Log'!$U$4:$U$803,$B190&amp;"|"&amp;AX$5,'Competency Event Log'!$D$4:$D$803)))</f>
        <v/>
      </c>
      <c r="AY190" s="8" t="str">
        <f>IF($B190="","",IF(COUNTIF('Competency Event Log'!$U$4:$U$803,$B190&amp;"|"&amp;AY$5)=0,"",SUMIF('Competency Event Log'!$U$4:$U$803,$B190&amp;"|"&amp;AY$5,'Competency Event Log'!$D$4:$D$803)))</f>
        <v/>
      </c>
      <c r="AZ190" s="8" t="str">
        <f>IF($B190="","",IF(COUNTIF('Competency Event Log'!$U$4:$U$803,$B190&amp;"|"&amp;AZ$5)=0,"",SUMIF('Competency Event Log'!$U$4:$U$803,$B190&amp;"|"&amp;AZ$5,'Competency Event Log'!$D$4:$D$803)))</f>
        <v/>
      </c>
      <c r="BA190" s="8" t="str">
        <f>IF($B190="","",IF(COUNTIF('Competency Event Log'!$U$4:$U$803,$B190&amp;"|"&amp;BA$5)=0,"",SUMIF('Competency Event Log'!$U$4:$U$803,$B190&amp;"|"&amp;BA$5,'Competency Event Log'!$D$4:$D$803)))</f>
        <v/>
      </c>
      <c r="BB190" s="8" t="str">
        <f>IF($B190="","",IF(COUNTIF('Competency Event Log'!$U$4:$U$803,$B190&amp;"|"&amp;BB$5)=0,"",SUMIF('Competency Event Log'!$U$4:$U$803,$B190&amp;"|"&amp;BB$5,'Competency Event Log'!$D$4:$D$803)))</f>
        <v/>
      </c>
      <c r="BC190" s="8" t="str">
        <f>IF($B190="","",IF(COUNTIF('Competency Event Log'!$U$4:$U$803,$B190&amp;"|"&amp;BC$5)=0,"",SUMIF('Competency Event Log'!$U$4:$U$803,$B190&amp;"|"&amp;BC$5,'Competency Event Log'!$D$4:$D$803)))</f>
        <v/>
      </c>
      <c r="BD190" s="8" t="str">
        <f>IF($B190="","",IF(COUNTIF('Competency Event Log'!$U$4:$U$803,$B190&amp;"|"&amp;BD$5)=0,"",SUMIF('Competency Event Log'!$U$4:$U$803,$B190&amp;"|"&amp;BD$5,'Competency Event Log'!$D$4:$D$803)))</f>
        <v/>
      </c>
      <c r="BE190" s="8" t="str">
        <f>IF($B190="","",IF(COUNTIF('Competency Event Log'!$U$4:$U$803,$B190&amp;"|"&amp;BE$5)=0,"",SUMIF('Competency Event Log'!$U$4:$U$803,$B190&amp;"|"&amp;BE$5,'Competency Event Log'!$D$4:$D$803)))</f>
        <v/>
      </c>
      <c r="BF190" s="8" t="str">
        <f>IF($B190="","",IF(COUNTIF('Competency Event Log'!$U$4:$U$803,$B190&amp;"|"&amp;BF$5)=0,"",SUMIF('Competency Event Log'!$U$4:$U$803,$B190&amp;"|"&amp;BF$5,'Competency Event Log'!$D$4:$D$803)))</f>
        <v/>
      </c>
      <c r="BG190" s="8" t="str">
        <f>IF($B190="","",IF(COUNTIF('Competency Event Log'!$U$4:$U$803,$B190&amp;"|"&amp;BG$5)=0,"",SUMIF('Competency Event Log'!$U$4:$U$803,$B190&amp;"|"&amp;BG$5,'Competency Event Log'!$D$4:$D$803)))</f>
        <v/>
      </c>
      <c r="BH190" s="8" t="str">
        <f>IF($B190="","",IF(COUNTIF('Competency Event Log'!$U$4:$U$803,$B190&amp;"|"&amp;BH$5)=0,"",SUMIF('Competency Event Log'!$U$4:$U$803,$B190&amp;"|"&amp;BH$5,'Competency Event Log'!$D$4:$D$803)))</f>
        <v/>
      </c>
      <c r="BI190" s="8" t="str">
        <f>IF($B190="","",IF(COUNTIF('Competency Event Log'!$U$4:$U$803,$B190&amp;"|"&amp;BI$5)=0,"",SUMIF('Competency Event Log'!$U$4:$U$803,$B190&amp;"|"&amp;BI$5,'Competency Event Log'!$D$4:$D$803)))</f>
        <v/>
      </c>
      <c r="BJ190" s="8" t="str">
        <f>IF($B190="","",IF(COUNTIF('Competency Event Log'!$U$4:$U$803,$B190&amp;"|"&amp;BJ$5)=0,"",SUMIF('Competency Event Log'!$U$4:$U$803,$B190&amp;"|"&amp;BJ$5,'Competency Event Log'!$D$4:$D$803)))</f>
        <v/>
      </c>
      <c r="BK190" s="8" t="str">
        <f>IF($B190="","",IF(COUNTIF('Competency Event Log'!$U$4:$U$803,$B190&amp;"|"&amp;BK$5)=0,"",SUMIF('Competency Event Log'!$U$4:$U$803,$B190&amp;"|"&amp;BK$5,'Competency Event Log'!$D$4:$D$803)))</f>
        <v/>
      </c>
      <c r="BL190" s="8" t="str">
        <f>IF($B190="","",IF(COUNTIF('Competency Event Log'!$U$4:$U$803,$B190&amp;"|"&amp;BL$5)=0,"",SUMIF('Competency Event Log'!$U$4:$U$803,$B190&amp;"|"&amp;BL$5,'Competency Event Log'!$D$4:$D$803)))</f>
        <v/>
      </c>
      <c r="BM190" s="8" t="str">
        <f>IF($B190="","",IF(COUNTIF('Competency Event Log'!$U$4:$U$803,$B190&amp;"|"&amp;BM$5)=0,"",SUMIF('Competency Event Log'!$U$4:$U$803,$B190&amp;"|"&amp;BM$5,'Competency Event Log'!$D$4:$D$803)))</f>
        <v/>
      </c>
      <c r="BN190" s="8" t="str">
        <f>IF($B190="","",IF(COUNTIF('Competency Event Log'!$U$4:$U$803,$B190&amp;"|"&amp;BN$5)=0,"",SUMIF('Competency Event Log'!$U$4:$U$803,$B190&amp;"|"&amp;BN$5,'Competency Event Log'!$D$4:$D$803)))</f>
        <v/>
      </c>
      <c r="BO190" s="8" t="str">
        <f>IF($B190="","",IF(COUNTIF('Competency Event Log'!$U$4:$U$803,$B190&amp;"|"&amp;BO$5)=0,"",SUMIF('Competency Event Log'!$U$4:$U$803,$B190&amp;"|"&amp;BO$5,'Competency Event Log'!$D$4:$D$803)))</f>
        <v/>
      </c>
      <c r="BP190" s="8" t="str">
        <f>IF($B190="","",IF(COUNTIF('Competency Event Log'!$U$4:$U$803,$B190&amp;"|"&amp;BP$5)=0,"",SUMIF('Competency Event Log'!$U$4:$U$803,$B190&amp;"|"&amp;BP$5,'Competency Event Log'!$D$4:$D$803)))</f>
        <v/>
      </c>
      <c r="BQ190" s="8" t="str">
        <f>IF($B190="","",IF(COUNTIF('Competency Event Log'!$U$4:$U$803,$B190&amp;"|"&amp;BQ$5)=0,"",SUMIF('Competency Event Log'!$U$4:$U$803,$B190&amp;"|"&amp;BQ$5,'Competency Event Log'!$D$4:$D$803)))</f>
        <v/>
      </c>
      <c r="BR190" s="8" t="str">
        <f>IF($B190="","",IF(COUNTIF('Competency Event Log'!$U$4:$U$803,$B190&amp;"|"&amp;BR$5)=0,"",SUMIF('Competency Event Log'!$U$4:$U$803,$B190&amp;"|"&amp;BR$5,'Competency Event Log'!$D$4:$D$803)))</f>
        <v/>
      </c>
      <c r="BS190" s="8" t="str">
        <f>IF($B190="","",IF(COUNTIF('Competency Event Log'!$U$4:$U$803,$B190&amp;"|"&amp;BS$5)=0,"",SUMIF('Competency Event Log'!$U$4:$U$803,$B190&amp;"|"&amp;BS$5,'Competency Event Log'!$D$4:$D$803)))</f>
        <v/>
      </c>
      <c r="BT190" s="8" t="str">
        <f>IF($B190="","",IF(COUNTIF('Competency Event Log'!$U$4:$U$803,$B190&amp;"|"&amp;BT$5)=0,"",SUMIF('Competency Event Log'!$U$4:$U$803,$B190&amp;"|"&amp;BT$5,'Competency Event Log'!$D$4:$D$803)))</f>
        <v/>
      </c>
      <c r="BU190" s="8" t="str">
        <f>IF($B190="","",IF(COUNTIF('Competency Event Log'!$U$4:$U$803,$B190&amp;"|"&amp;BU$5)=0,"",SUMIF('Competency Event Log'!$U$4:$U$803,$B190&amp;"|"&amp;BU$5,'Competency Event Log'!$D$4:$D$803)))</f>
        <v/>
      </c>
      <c r="BV190" s="8" t="str">
        <f>IF($B190="","",IF(COUNTIF('Competency Event Log'!$U$4:$U$803,$B190&amp;"|"&amp;BV$5)=0,"",SUMIF('Competency Event Log'!$U$4:$U$803,$B190&amp;"|"&amp;BV$5,'Competency Event Log'!$D$4:$D$803)))</f>
        <v/>
      </c>
      <c r="BW190" s="8" t="str">
        <f>IF($B190="","",IF(COUNTIF('Competency Event Log'!$U$4:$U$803,$B190&amp;"|"&amp;BW$5)=0,"",SUMIF('Competency Event Log'!$U$4:$U$803,$B190&amp;"|"&amp;BW$5,'Competency Event Log'!$D$4:$D$803)))</f>
        <v/>
      </c>
      <c r="BX190" s="8" t="str">
        <f>IF($B190="","",IF(COUNTIF('Competency Event Log'!$U$4:$U$803,$B190&amp;"|"&amp;BX$5)=0,"",SUMIF('Competency Event Log'!$U$4:$U$803,$B190&amp;"|"&amp;BX$5,'Competency Event Log'!$D$4:$D$803)))</f>
        <v/>
      </c>
      <c r="BY190" s="8" t="str">
        <f>IF($B190="","",IF(COUNTIF('Competency Event Log'!$U$4:$U$803,$B190&amp;"|"&amp;BY$5)=0,"",SUMIF('Competency Event Log'!$U$4:$U$803,$B190&amp;"|"&amp;BY$5,'Competency Event Log'!$D$4:$D$803)))</f>
        <v/>
      </c>
      <c r="BZ190" s="8" t="str">
        <f>IF($B190="","",IF(COUNTIF('Competency Event Log'!$U$4:$U$803,$B190&amp;"|"&amp;BZ$5)=0,"",SUMIF('Competency Event Log'!$U$4:$U$803,$B190&amp;"|"&amp;BZ$5,'Competency Event Log'!$D$4:$D$803)))</f>
        <v/>
      </c>
      <c r="CA190" s="8" t="str">
        <f>IF($B190="","",IF(COUNTIF('Competency Event Log'!$U$4:$U$803,$B190&amp;"|"&amp;CA$5)=0,"",SUMIF('Competency Event Log'!$U$4:$U$803,$B190&amp;"|"&amp;CA$5,'Competency Event Log'!$D$4:$D$803)))</f>
        <v/>
      </c>
      <c r="CB190" s="8" t="str">
        <f>IF($B190="","",IF(COUNTIF('Competency Event Log'!$U$4:$U$803,$B190&amp;"|"&amp;CB$5)=0,"",SUMIF('Competency Event Log'!$U$4:$U$803,$B190&amp;"|"&amp;CB$5,'Competency Event Log'!$D$4:$D$803)))</f>
        <v/>
      </c>
      <c r="CC190" s="8" t="str">
        <f>IF($B190="","",IF(COUNTIF('Competency Event Log'!$U$4:$U$803,$B190&amp;"|"&amp;CC$5)=0,"",SUMIF('Competency Event Log'!$U$4:$U$803,$B190&amp;"|"&amp;CC$5,'Competency Event Log'!$D$4:$D$803)))</f>
        <v/>
      </c>
      <c r="CD190" s="8" t="str">
        <f>IF($B190="","",IF(COUNTIF('Competency Event Log'!$U$4:$U$803,$B190&amp;"|"&amp;CD$5)=0,"",SUMIF('Competency Event Log'!$U$4:$U$803,$B190&amp;"|"&amp;CD$5,'Competency Event Log'!$D$4:$D$803)))</f>
        <v/>
      </c>
      <c r="CE190" s="8" t="str">
        <f>IF($B190="","",IF(COUNTIF('Competency Event Log'!$U$4:$U$803,$B190&amp;"|"&amp;CE$5)=0,"",SUMIF('Competency Event Log'!$U$4:$U$803,$B190&amp;"|"&amp;CE$5,'Competency Event Log'!$D$4:$D$803)))</f>
        <v/>
      </c>
      <c r="CF190" s="8" t="str">
        <f>IF($B190="","",IF(COUNTIF('Competency Event Log'!$U$4:$U$803,$B190&amp;"|"&amp;CF$5)=0,"",SUMIF('Competency Event Log'!$U$4:$U$803,$B190&amp;"|"&amp;CF$5,'Competency Event Log'!$D$4:$D$803)))</f>
        <v/>
      </c>
      <c r="CG190" s="8" t="str">
        <f>IF($B190="","",IF(COUNTIF('Competency Event Log'!$U$4:$U$803,$B190&amp;"|"&amp;CG$5)=0,"",SUMIF('Competency Event Log'!$U$4:$U$803,$B190&amp;"|"&amp;CG$5,'Competency Event Log'!$D$4:$D$803)))</f>
        <v/>
      </c>
      <c r="CH190" s="8" t="str">
        <f>IF($B190="","",IF(COUNTIF('Competency Event Log'!$U$4:$U$803,$B190&amp;"|"&amp;CH$5)=0,"",SUMIF('Competency Event Log'!$U$4:$U$803,$B190&amp;"|"&amp;CH$5,'Competency Event Log'!$D$4:$D$803)))</f>
        <v/>
      </c>
      <c r="CI190" s="8" t="str">
        <f>IF($B190="","",IF(COUNTIF('Competency Event Log'!$U$4:$U$803,$B190&amp;"|"&amp;CI$5)=0,"",SUMIF('Competency Event Log'!$U$4:$U$803,$B190&amp;"|"&amp;CI$5,'Competency Event Log'!$D$4:$D$803)))</f>
        <v/>
      </c>
      <c r="CJ190" s="8" t="str">
        <f>IF($B190="","",IF(COUNTIF('Competency Event Log'!$U$4:$U$803,$B190&amp;"|"&amp;CJ$5)=0,"",SUMIF('Competency Event Log'!$U$4:$U$803,$B190&amp;"|"&amp;CJ$5,'Competency Event Log'!$D$4:$D$803)))</f>
        <v/>
      </c>
      <c r="CK190" s="8" t="str">
        <f>IF($B190="","",IF(COUNTIF('Competency Event Log'!$U$4:$U$803,$B190&amp;"|"&amp;CK$5)=0,"",SUMIF('Competency Event Log'!$U$4:$U$803,$B190&amp;"|"&amp;CK$5,'Competency Event Log'!$D$4:$D$803)))</f>
        <v/>
      </c>
      <c r="CL190" s="8" t="str">
        <f>IF($B190="","",IF(COUNTIF('Competency Event Log'!$U$4:$U$803,$B190&amp;"|"&amp;CL$5)=0,"",SUMIF('Competency Event Log'!$U$4:$U$803,$B190&amp;"|"&amp;CL$5,'Competency Event Log'!$D$4:$D$803)))</f>
        <v/>
      </c>
      <c r="CM190" s="8" t="str">
        <f>IF($B190="","",IF(COUNTIF('Competency Event Log'!$U$4:$U$803,$B190&amp;"|"&amp;CM$5)=0,"",SUMIF('Competency Event Log'!$U$4:$U$803,$B190&amp;"|"&amp;CM$5,'Competency Event Log'!$D$4:$D$803)))</f>
        <v/>
      </c>
      <c r="CN190" s="8" t="str">
        <f>IF($B190="","",IF(COUNTIF('Competency Event Log'!$U$4:$U$803,$B190&amp;"|"&amp;CN$5)=0,"",SUMIF('Competency Event Log'!$U$4:$U$803,$B190&amp;"|"&amp;CN$5,'Competency Event Log'!$D$4:$D$803)))</f>
        <v/>
      </c>
      <c r="CO190" s="8" t="str">
        <f>IF($B190="","",IF(COUNTIF('Competency Event Log'!$U$4:$U$803,$B190&amp;"|"&amp;CO$5)=0,"",SUMIF('Competency Event Log'!$U$4:$U$803,$B190&amp;"|"&amp;CO$5,'Competency Event Log'!$D$4:$D$803)))</f>
        <v/>
      </c>
      <c r="CP190" s="8" t="str">
        <f>IF($B190="","",IF(COUNTIF('Competency Event Log'!$U$4:$U$803,$B190&amp;"|"&amp;CP$5)=0,"",SUMIF('Competency Event Log'!$U$4:$U$803,$B190&amp;"|"&amp;CP$5,'Competency Event Log'!$D$4:$D$803)))</f>
        <v/>
      </c>
      <c r="CQ190" s="8" t="str">
        <f>IF($B190="","",IF(COUNTIF('Competency Event Log'!$U$4:$U$803,$B190&amp;"|"&amp;CQ$5)=0,"",SUMIF('Competency Event Log'!$U$4:$U$803,$B190&amp;"|"&amp;CQ$5,'Competency Event Log'!$D$4:$D$803)))</f>
        <v/>
      </c>
      <c r="CR190" s="8" t="str">
        <f>IF($B190="","",IF(COUNTIF('Competency Event Log'!$U$4:$U$803,$B190&amp;"|"&amp;CR$5)=0,"",SUMIF('Competency Event Log'!$U$4:$U$803,$B190&amp;"|"&amp;CR$5,'Competency Event Log'!$D$4:$D$803)))</f>
        <v/>
      </c>
      <c r="CS190" s="8" t="str">
        <f>IF($B190="","",IF(COUNTIF('Competency Event Log'!$U$4:$U$803,$B190&amp;"|"&amp;CS$5)=0,"",SUMIF('Competency Event Log'!$U$4:$U$803,$B190&amp;"|"&amp;CS$5,'Competency Event Log'!$D$4:$D$803)))</f>
        <v/>
      </c>
      <c r="CT190" s="8" t="str">
        <f>IF($B190="","",IF(COUNTIF('Competency Event Log'!$U$4:$U$803,$B190&amp;"|"&amp;CT$5)=0,"",SUMIF('Competency Event Log'!$U$4:$U$803,$B190&amp;"|"&amp;CT$5,'Competency Event Log'!$D$4:$D$803)))</f>
        <v/>
      </c>
      <c r="CU190" s="8" t="str">
        <f>IF($B190="","",IF(COUNTIF('Competency Event Log'!$U$4:$U$803,$B190&amp;"|"&amp;CU$5)=0,"",SUMIF('Competency Event Log'!$U$4:$U$803,$B190&amp;"|"&amp;CU$5,'Competency Event Log'!$D$4:$D$803)))</f>
        <v/>
      </c>
      <c r="CV190" s="8" t="str">
        <f>IF($B190="","",IF(COUNTIF('Competency Event Log'!$U$4:$U$803,$B190&amp;"|"&amp;CV$5)=0,"",SUMIF('Competency Event Log'!$U$4:$U$803,$B190&amp;"|"&amp;CV$5,'Competency Event Log'!$D$4:$D$803)))</f>
        <v/>
      </c>
      <c r="CW190" s="8" t="str">
        <f>IF($B190="","",IF(COUNTIF('Competency Event Log'!$U$4:$U$803,$B190&amp;"|"&amp;CW$5)=0,"",SUMIF('Competency Event Log'!$U$4:$U$803,$B190&amp;"|"&amp;CW$5,'Competency Event Log'!$D$4:$D$803)))</f>
        <v/>
      </c>
      <c r="CX190" s="8" t="str">
        <f>IF($B190="","",IF(COUNTIF('Competency Event Log'!$U$4:$U$803,$B190&amp;"|"&amp;CX$5)=0,"",SUMIF('Competency Event Log'!$U$4:$U$803,$B190&amp;"|"&amp;CX$5,'Competency Event Log'!$D$4:$D$803)))</f>
        <v/>
      </c>
      <c r="CY190" s="8" t="str">
        <f>IF($B190="","",IF(COUNTIF('Competency Event Log'!$U$4:$U$803,$B190&amp;"|"&amp;CY$5)=0,"",SUMIF('Competency Event Log'!$U$4:$U$803,$B190&amp;"|"&amp;CY$5,'Competency Event Log'!$D$4:$D$803)))</f>
        <v/>
      </c>
      <c r="CZ190" s="8" t="str">
        <f>IF($B190="","",IF(COUNTIF('Competency Event Log'!$U$4:$U$803,$B190&amp;"|"&amp;CZ$5)=0,"",SUMIF('Competency Event Log'!$U$4:$U$803,$B190&amp;"|"&amp;CZ$5,'Competency Event Log'!$D$4:$D$803)))</f>
        <v/>
      </c>
      <c r="DA190" s="8" t="str">
        <f>IF($B190="","",IF(COUNTIF('Competency Event Log'!$U$4:$U$803,$B190&amp;"|"&amp;DA$5)=0,"",SUMIF('Competency Event Log'!$U$4:$U$803,$B190&amp;"|"&amp;DA$5,'Competency Event Log'!$D$4:$D$803)))</f>
        <v/>
      </c>
      <c r="DB190" s="8" t="str">
        <f>IF($B190="","",IF(COUNTIF('Competency Event Log'!$U$4:$U$803,$B190&amp;"|"&amp;DB$5)=0,"",SUMIF('Competency Event Log'!$U$4:$U$803,$B190&amp;"|"&amp;DB$5,'Competency Event Log'!$D$4:$D$803)))</f>
        <v/>
      </c>
      <c r="DC190" s="8" t="str">
        <f>IF($B190="","",IF(COUNTIF('Competency Event Log'!$U$4:$U$803,$B190&amp;"|"&amp;DC$5)=0,"",SUMIF('Competency Event Log'!$U$4:$U$803,$B190&amp;"|"&amp;DC$5,'Competency Event Log'!$D$4:$D$803)))</f>
        <v/>
      </c>
      <c r="DD190" s="8" t="str">
        <f>IF($B190="","",IF(COUNTIF('Competency Event Log'!$U$4:$U$803,$B190&amp;"|"&amp;DD$5)=0,"",SUMIF('Competency Event Log'!$U$4:$U$803,$B190&amp;"|"&amp;DD$5,'Competency Event Log'!$D$4:$D$803)))</f>
        <v/>
      </c>
      <c r="DE190" s="8" t="str">
        <f>IF($B190="","",IF(COUNTIF('Competency Event Log'!$U$4:$U$803,$B190&amp;"|"&amp;DE$5)=0,"",SUMIF('Competency Event Log'!$U$4:$U$803,$B190&amp;"|"&amp;DE$5,'Competency Event Log'!$D$4:$D$803)))</f>
        <v/>
      </c>
      <c r="DF190" s="8" t="str">
        <f t="shared" si="20"/>
        <v/>
      </c>
      <c r="DG190" s="8" t="str">
        <f t="shared" si="21"/>
        <v/>
      </c>
      <c r="DH190" s="8" t="str">
        <f t="shared" si="22"/>
        <v/>
      </c>
      <c r="DI190" s="11" t="str">
        <f t="shared" si="23"/>
        <v/>
      </c>
    </row>
    <row r="191" spans="1:113">
      <c r="A191" s="7"/>
      <c r="B191" s="7"/>
      <c r="C191" s="8"/>
      <c r="D191" s="9"/>
      <c r="E191" s="10"/>
      <c r="F191" s="8"/>
      <c r="G191" s="8" t="str">
        <f>IF($B191="","",IF(COUNTIF('Competency Event Log'!$U$4:$U$803,$B191&amp;"|"&amp;G$5)=0,"",SUMIF('Competency Event Log'!$U$4:$U$803,$B191&amp;"|"&amp;G$5,'Competency Event Log'!$D$4:$D$803)))</f>
        <v/>
      </c>
      <c r="H191" s="8" t="str">
        <f>IF($B191="","",IF(COUNTIF('Competency Event Log'!$U$4:$U$803,$B191&amp;"|"&amp;H$5)=0,"",SUMIF('Competency Event Log'!$U$4:$U$803,$B191&amp;"|"&amp;H$5,'Competency Event Log'!$D$4:$D$803)))</f>
        <v/>
      </c>
      <c r="I191" s="8" t="str">
        <f>IF($B191="","",IF(COUNTIF('Competency Event Log'!$U$4:$U$803,$B191&amp;"|"&amp;I$5)=0,"",SUMIF('Competency Event Log'!$U$4:$U$803,$B191&amp;"|"&amp;I$5,'Competency Event Log'!$D$4:$D$803)))</f>
        <v/>
      </c>
      <c r="J191" s="8" t="str">
        <f>IF($B191="","",IF(COUNTIF('Competency Event Log'!$U$4:$U$803,$B191&amp;"|"&amp;J$5)=0,"",SUMIF('Competency Event Log'!$U$4:$U$803,$B191&amp;"|"&amp;J$5,'Competency Event Log'!$D$4:$D$803)))</f>
        <v/>
      </c>
      <c r="K191" s="8" t="str">
        <f>IF($B191="","",IF(COUNTIF('Competency Event Log'!$U$4:$U$803,$B191&amp;"|"&amp;K$5)=0,"",SUMIF('Competency Event Log'!$U$4:$U$803,$B191&amp;"|"&amp;K$5,'Competency Event Log'!$D$4:$D$803)))</f>
        <v/>
      </c>
      <c r="L191" s="8" t="str">
        <f>IF($B191="","",IF(COUNTIF('Competency Event Log'!$U$4:$U$803,$B191&amp;"|"&amp;L$5)=0,"",SUMIF('Competency Event Log'!$U$4:$U$803,$B191&amp;"|"&amp;L$5,'Competency Event Log'!$D$4:$D$803)))</f>
        <v/>
      </c>
      <c r="M191" s="8" t="str">
        <f>IF($B191="","",IF(COUNTIF('Competency Event Log'!$U$4:$U$803,$B191&amp;"|"&amp;M$5)=0,"",SUMIF('Competency Event Log'!$U$4:$U$803,$B191&amp;"|"&amp;M$5,'Competency Event Log'!$D$4:$D$803)))</f>
        <v/>
      </c>
      <c r="N191" s="8" t="str">
        <f>IF($B191="","",IF(COUNTIF('Competency Event Log'!$U$4:$U$803,$B191&amp;"|"&amp;N$5)=0,"",SUMIF('Competency Event Log'!$U$4:$U$803,$B191&amp;"|"&amp;N$5,'Competency Event Log'!$D$4:$D$803)))</f>
        <v/>
      </c>
      <c r="O191" s="8" t="str">
        <f>IF($B191="","",IF(COUNTIF('Competency Event Log'!$U$4:$U$803,$B191&amp;"|"&amp;O$5)=0,"",SUMIF('Competency Event Log'!$U$4:$U$803,$B191&amp;"|"&amp;O$5,'Competency Event Log'!$D$4:$D$803)))</f>
        <v/>
      </c>
      <c r="P191" s="8" t="str">
        <f>IF($B191="","",IF(COUNTIF('Competency Event Log'!$U$4:$U$803,$B191&amp;"|"&amp;P$5)=0,"",SUMIF('Competency Event Log'!$U$4:$U$803,$B191&amp;"|"&amp;P$5,'Competency Event Log'!$D$4:$D$803)))</f>
        <v/>
      </c>
      <c r="Q191" s="8" t="str">
        <f>IF($B191="","",IF(COUNTIF('Competency Event Log'!$U$4:$U$803,$B191&amp;"|"&amp;Q$5)=0,"",SUMIF('Competency Event Log'!$U$4:$U$803,$B191&amp;"|"&amp;Q$5,'Competency Event Log'!$D$4:$D$803)))</f>
        <v/>
      </c>
      <c r="R191" s="8" t="str">
        <f>IF($B191="","",IF(COUNTIF('Competency Event Log'!$U$4:$U$803,$B191&amp;"|"&amp;R$5)=0,"",SUMIF('Competency Event Log'!$U$4:$U$803,$B191&amp;"|"&amp;R$5,'Competency Event Log'!$D$4:$D$803)))</f>
        <v/>
      </c>
      <c r="S191" s="8" t="str">
        <f>IF($B191="","",IF(COUNTIF('Competency Event Log'!$U$4:$U$803,$B191&amp;"|"&amp;S$5)=0,"",SUMIF('Competency Event Log'!$U$4:$U$803,$B191&amp;"|"&amp;S$5,'Competency Event Log'!$D$4:$D$803)))</f>
        <v/>
      </c>
      <c r="T191" s="8" t="str">
        <f>IF($B191="","",IF(COUNTIF('Competency Event Log'!$U$4:$U$803,$B191&amp;"|"&amp;T$5)=0,"",SUMIF('Competency Event Log'!$U$4:$U$803,$B191&amp;"|"&amp;T$5,'Competency Event Log'!$D$4:$D$803)))</f>
        <v/>
      </c>
      <c r="U191" s="8" t="str">
        <f>IF($B191="","",IF(COUNTIF('Competency Event Log'!$U$4:$U$803,$B191&amp;"|"&amp;U$5)=0,"",SUMIF('Competency Event Log'!$U$4:$U$803,$B191&amp;"|"&amp;U$5,'Competency Event Log'!$D$4:$D$803)))</f>
        <v/>
      </c>
      <c r="V191" s="8" t="str">
        <f>IF($B191="","",IF(COUNTIF('Competency Event Log'!$U$4:$U$803,$B191&amp;"|"&amp;V$5)=0,"",SUMIF('Competency Event Log'!$U$4:$U$803,$B191&amp;"|"&amp;V$5,'Competency Event Log'!$D$4:$D$803)))</f>
        <v/>
      </c>
      <c r="W191" s="8" t="str">
        <f>IF($B191="","",IF(COUNTIF('Competency Event Log'!$U$4:$U$803,$B191&amp;"|"&amp;W$5)=0,"",SUMIF('Competency Event Log'!$U$4:$U$803,$B191&amp;"|"&amp;W$5,'Competency Event Log'!$D$4:$D$803)))</f>
        <v/>
      </c>
      <c r="X191" s="8" t="str">
        <f>IF($B191="","",IF(COUNTIF('Competency Event Log'!$U$4:$U$803,$B191&amp;"|"&amp;X$5)=0,"",SUMIF('Competency Event Log'!$U$4:$U$803,$B191&amp;"|"&amp;X$5,'Competency Event Log'!$D$4:$D$803)))</f>
        <v/>
      </c>
      <c r="Y191" s="8" t="str">
        <f>IF($B191="","",IF(COUNTIF('Competency Event Log'!$U$4:$U$803,$B191&amp;"|"&amp;Y$5)=0,"",SUMIF('Competency Event Log'!$U$4:$U$803,$B191&amp;"|"&amp;Y$5,'Competency Event Log'!$D$4:$D$803)))</f>
        <v/>
      </c>
      <c r="Z191" s="8" t="str">
        <f>IF($B191="","",IF(COUNTIF('Competency Event Log'!$U$4:$U$803,$B191&amp;"|"&amp;Z$5)=0,"",SUMIF('Competency Event Log'!$U$4:$U$803,$B191&amp;"|"&amp;Z$5,'Competency Event Log'!$D$4:$D$803)))</f>
        <v/>
      </c>
      <c r="AA191" s="8" t="str">
        <f>IF($B191="","",IF(COUNTIF('Competency Event Log'!$U$4:$U$803,$B191&amp;"|"&amp;AA$5)=0,"",SUMIF('Competency Event Log'!$U$4:$U$803,$B191&amp;"|"&amp;AA$5,'Competency Event Log'!$D$4:$D$803)))</f>
        <v/>
      </c>
      <c r="AB191" s="8" t="str">
        <f>IF($B191="","",IF(COUNTIF('Competency Event Log'!$U$4:$U$803,$B191&amp;"|"&amp;AB$5)=0,"",SUMIF('Competency Event Log'!$U$4:$U$803,$B191&amp;"|"&amp;AB$5,'Competency Event Log'!$D$4:$D$803)))</f>
        <v/>
      </c>
      <c r="AC191" s="8" t="str">
        <f>IF($B191="","",IF(COUNTIF('Competency Event Log'!$U$4:$U$803,$B191&amp;"|"&amp;AC$5)=0,"",SUMIF('Competency Event Log'!$U$4:$U$803,$B191&amp;"|"&amp;AC$5,'Competency Event Log'!$D$4:$D$803)))</f>
        <v/>
      </c>
      <c r="AD191" s="8" t="str">
        <f>IF($B191="","",IF(COUNTIF('Competency Event Log'!$U$4:$U$803,$B191&amp;"|"&amp;AD$5)=0,"",SUMIF('Competency Event Log'!$U$4:$U$803,$B191&amp;"|"&amp;AD$5,'Competency Event Log'!$D$4:$D$803)))</f>
        <v/>
      </c>
      <c r="AE191" s="8" t="str">
        <f>IF($B191="","",IF(COUNTIF('Competency Event Log'!$U$4:$U$803,$B191&amp;"|"&amp;AE$5)=0,"",SUMIF('Competency Event Log'!$U$4:$U$803,$B191&amp;"|"&amp;AE$5,'Competency Event Log'!$D$4:$D$803)))</f>
        <v/>
      </c>
      <c r="AF191" s="8" t="str">
        <f>IF($B191="","",IF(COUNTIF('Competency Event Log'!$U$4:$U$803,$B191&amp;"|"&amp;AF$5)=0,"",SUMIF('Competency Event Log'!$U$4:$U$803,$B191&amp;"|"&amp;AF$5,'Competency Event Log'!$D$4:$D$803)))</f>
        <v/>
      </c>
      <c r="AG191" s="8" t="str">
        <f>IF($B191="","",IF(COUNTIF('Competency Event Log'!$U$4:$U$803,$B191&amp;"|"&amp;AG$5)=0,"",SUMIF('Competency Event Log'!$U$4:$U$803,$B191&amp;"|"&amp;AG$5,'Competency Event Log'!$D$4:$D$803)))</f>
        <v/>
      </c>
      <c r="AH191" s="8" t="str">
        <f>IF($B191="","",IF(COUNTIF('Competency Event Log'!$U$4:$U$803,$B191&amp;"|"&amp;AH$5)=0,"",SUMIF('Competency Event Log'!$U$4:$U$803,$B191&amp;"|"&amp;AH$5,'Competency Event Log'!$D$4:$D$803)))</f>
        <v/>
      </c>
      <c r="AI191" s="8" t="str">
        <f>IF($B191="","",IF(COUNTIF('Competency Event Log'!$U$4:$U$803,$B191&amp;"|"&amp;AI$5)=0,"",SUMIF('Competency Event Log'!$U$4:$U$803,$B191&amp;"|"&amp;AI$5,'Competency Event Log'!$D$4:$D$803)))</f>
        <v/>
      </c>
      <c r="AJ191" s="8" t="str">
        <f>IF($B191="","",IF(COUNTIF('Competency Event Log'!$U$4:$U$803,$B191&amp;"|"&amp;AJ$5)=0,"",SUMIF('Competency Event Log'!$U$4:$U$803,$B191&amp;"|"&amp;AJ$5,'Competency Event Log'!$D$4:$D$803)))</f>
        <v/>
      </c>
      <c r="AK191" s="8" t="str">
        <f>IF($B191="","",IF(COUNTIF('Competency Event Log'!$U$4:$U$803,$B191&amp;"|"&amp;AK$5)=0,"",SUMIF('Competency Event Log'!$U$4:$U$803,$B191&amp;"|"&amp;AK$5,'Competency Event Log'!$D$4:$D$803)))</f>
        <v/>
      </c>
      <c r="AL191" s="8" t="str">
        <f>IF($B191="","",IF(COUNTIF('Competency Event Log'!$U$4:$U$803,$B191&amp;"|"&amp;AL$5)=0,"",SUMIF('Competency Event Log'!$U$4:$U$803,$B191&amp;"|"&amp;AL$5,'Competency Event Log'!$D$4:$D$803)))</f>
        <v/>
      </c>
      <c r="AM191" s="8" t="str">
        <f>IF($B191="","",IF(COUNTIF('Competency Event Log'!$U$4:$U$803,$B191&amp;"|"&amp;AM$5)=0,"",SUMIF('Competency Event Log'!$U$4:$U$803,$B191&amp;"|"&amp;AM$5,'Competency Event Log'!$D$4:$D$803)))</f>
        <v/>
      </c>
      <c r="AN191" s="8" t="str">
        <f>IF($B191="","",IF(COUNTIF('Competency Event Log'!$U$4:$U$803,$B191&amp;"|"&amp;AN$5)=0,"",SUMIF('Competency Event Log'!$U$4:$U$803,$B191&amp;"|"&amp;AN$5,'Competency Event Log'!$D$4:$D$803)))</f>
        <v/>
      </c>
      <c r="AO191" s="8" t="str">
        <f>IF($B191="","",IF(COUNTIF('Competency Event Log'!$U$4:$U$803,$B191&amp;"|"&amp;AO$5)=0,"",SUMIF('Competency Event Log'!$U$4:$U$803,$B191&amp;"|"&amp;AO$5,'Competency Event Log'!$D$4:$D$803)))</f>
        <v/>
      </c>
      <c r="AP191" s="8" t="str">
        <f>IF($B191="","",IF(COUNTIF('Competency Event Log'!$U$4:$U$803,$B191&amp;"|"&amp;AP$5)=0,"",SUMIF('Competency Event Log'!$U$4:$U$803,$B191&amp;"|"&amp;AP$5,'Competency Event Log'!$D$4:$D$803)))</f>
        <v/>
      </c>
      <c r="AQ191" s="8" t="str">
        <f>IF($B191="","",IF(COUNTIF('Competency Event Log'!$U$4:$U$803,$B191&amp;"|"&amp;AQ$5)=0,"",SUMIF('Competency Event Log'!$U$4:$U$803,$B191&amp;"|"&amp;AQ$5,'Competency Event Log'!$D$4:$D$803)))</f>
        <v/>
      </c>
      <c r="AR191" s="8" t="str">
        <f>IF($B191="","",IF(COUNTIF('Competency Event Log'!$U$4:$U$803,$B191&amp;"|"&amp;AR$5)=0,"",SUMIF('Competency Event Log'!$U$4:$U$803,$B191&amp;"|"&amp;AR$5,'Competency Event Log'!$D$4:$D$803)))</f>
        <v/>
      </c>
      <c r="AS191" s="8" t="str">
        <f>IF($B191="","",IF(COUNTIF('Competency Event Log'!$U$4:$U$803,$B191&amp;"|"&amp;AS$5)=0,"",SUMIF('Competency Event Log'!$U$4:$U$803,$B191&amp;"|"&amp;AS$5,'Competency Event Log'!$D$4:$D$803)))</f>
        <v/>
      </c>
      <c r="AT191" s="8" t="str">
        <f>IF($B191="","",IF(COUNTIF('Competency Event Log'!$U$4:$U$803,$B191&amp;"|"&amp;AT$5)=0,"",SUMIF('Competency Event Log'!$U$4:$U$803,$B191&amp;"|"&amp;AT$5,'Competency Event Log'!$D$4:$D$803)))</f>
        <v/>
      </c>
      <c r="AU191" s="8" t="str">
        <f>IF($B191="","",IF(COUNTIF('Competency Event Log'!$U$4:$U$803,$B191&amp;"|"&amp;AU$5)=0,"",SUMIF('Competency Event Log'!$U$4:$U$803,$B191&amp;"|"&amp;AU$5,'Competency Event Log'!$D$4:$D$803)))</f>
        <v/>
      </c>
      <c r="AV191" s="8" t="str">
        <f>IF($B191="","",IF(COUNTIF('Competency Event Log'!$U$4:$U$803,$B191&amp;"|"&amp;AV$5)=0,"",SUMIF('Competency Event Log'!$U$4:$U$803,$B191&amp;"|"&amp;AV$5,'Competency Event Log'!$D$4:$D$803)))</f>
        <v/>
      </c>
      <c r="AW191" s="8" t="str">
        <f>IF($B191="","",IF(COUNTIF('Competency Event Log'!$U$4:$U$803,$B191&amp;"|"&amp;AW$5)=0,"",SUMIF('Competency Event Log'!$U$4:$U$803,$B191&amp;"|"&amp;AW$5,'Competency Event Log'!$D$4:$D$803)))</f>
        <v/>
      </c>
      <c r="AX191" s="8" t="str">
        <f>IF($B191="","",IF(COUNTIF('Competency Event Log'!$U$4:$U$803,$B191&amp;"|"&amp;AX$5)=0,"",SUMIF('Competency Event Log'!$U$4:$U$803,$B191&amp;"|"&amp;AX$5,'Competency Event Log'!$D$4:$D$803)))</f>
        <v/>
      </c>
      <c r="AY191" s="8" t="str">
        <f>IF($B191="","",IF(COUNTIF('Competency Event Log'!$U$4:$U$803,$B191&amp;"|"&amp;AY$5)=0,"",SUMIF('Competency Event Log'!$U$4:$U$803,$B191&amp;"|"&amp;AY$5,'Competency Event Log'!$D$4:$D$803)))</f>
        <v/>
      </c>
      <c r="AZ191" s="8" t="str">
        <f>IF($B191="","",IF(COUNTIF('Competency Event Log'!$U$4:$U$803,$B191&amp;"|"&amp;AZ$5)=0,"",SUMIF('Competency Event Log'!$U$4:$U$803,$B191&amp;"|"&amp;AZ$5,'Competency Event Log'!$D$4:$D$803)))</f>
        <v/>
      </c>
      <c r="BA191" s="8" t="str">
        <f>IF($B191="","",IF(COUNTIF('Competency Event Log'!$U$4:$U$803,$B191&amp;"|"&amp;BA$5)=0,"",SUMIF('Competency Event Log'!$U$4:$U$803,$B191&amp;"|"&amp;BA$5,'Competency Event Log'!$D$4:$D$803)))</f>
        <v/>
      </c>
      <c r="BB191" s="8" t="str">
        <f>IF($B191="","",IF(COUNTIF('Competency Event Log'!$U$4:$U$803,$B191&amp;"|"&amp;BB$5)=0,"",SUMIF('Competency Event Log'!$U$4:$U$803,$B191&amp;"|"&amp;BB$5,'Competency Event Log'!$D$4:$D$803)))</f>
        <v/>
      </c>
      <c r="BC191" s="8" t="str">
        <f>IF($B191="","",IF(COUNTIF('Competency Event Log'!$U$4:$U$803,$B191&amp;"|"&amp;BC$5)=0,"",SUMIF('Competency Event Log'!$U$4:$U$803,$B191&amp;"|"&amp;BC$5,'Competency Event Log'!$D$4:$D$803)))</f>
        <v/>
      </c>
      <c r="BD191" s="8" t="str">
        <f>IF($B191="","",IF(COUNTIF('Competency Event Log'!$U$4:$U$803,$B191&amp;"|"&amp;BD$5)=0,"",SUMIF('Competency Event Log'!$U$4:$U$803,$B191&amp;"|"&amp;BD$5,'Competency Event Log'!$D$4:$D$803)))</f>
        <v/>
      </c>
      <c r="BE191" s="8" t="str">
        <f>IF($B191="","",IF(COUNTIF('Competency Event Log'!$U$4:$U$803,$B191&amp;"|"&amp;BE$5)=0,"",SUMIF('Competency Event Log'!$U$4:$U$803,$B191&amp;"|"&amp;BE$5,'Competency Event Log'!$D$4:$D$803)))</f>
        <v/>
      </c>
      <c r="BF191" s="8" t="str">
        <f>IF($B191="","",IF(COUNTIF('Competency Event Log'!$U$4:$U$803,$B191&amp;"|"&amp;BF$5)=0,"",SUMIF('Competency Event Log'!$U$4:$U$803,$B191&amp;"|"&amp;BF$5,'Competency Event Log'!$D$4:$D$803)))</f>
        <v/>
      </c>
      <c r="BG191" s="8" t="str">
        <f>IF($B191="","",IF(COUNTIF('Competency Event Log'!$U$4:$U$803,$B191&amp;"|"&amp;BG$5)=0,"",SUMIF('Competency Event Log'!$U$4:$U$803,$B191&amp;"|"&amp;BG$5,'Competency Event Log'!$D$4:$D$803)))</f>
        <v/>
      </c>
      <c r="BH191" s="8" t="str">
        <f>IF($B191="","",IF(COUNTIF('Competency Event Log'!$U$4:$U$803,$B191&amp;"|"&amp;BH$5)=0,"",SUMIF('Competency Event Log'!$U$4:$U$803,$B191&amp;"|"&amp;BH$5,'Competency Event Log'!$D$4:$D$803)))</f>
        <v/>
      </c>
      <c r="BI191" s="8" t="str">
        <f>IF($B191="","",IF(COUNTIF('Competency Event Log'!$U$4:$U$803,$B191&amp;"|"&amp;BI$5)=0,"",SUMIF('Competency Event Log'!$U$4:$U$803,$B191&amp;"|"&amp;BI$5,'Competency Event Log'!$D$4:$D$803)))</f>
        <v/>
      </c>
      <c r="BJ191" s="8" t="str">
        <f>IF($B191="","",IF(COUNTIF('Competency Event Log'!$U$4:$U$803,$B191&amp;"|"&amp;BJ$5)=0,"",SUMIF('Competency Event Log'!$U$4:$U$803,$B191&amp;"|"&amp;BJ$5,'Competency Event Log'!$D$4:$D$803)))</f>
        <v/>
      </c>
      <c r="BK191" s="8" t="str">
        <f>IF($B191="","",IF(COUNTIF('Competency Event Log'!$U$4:$U$803,$B191&amp;"|"&amp;BK$5)=0,"",SUMIF('Competency Event Log'!$U$4:$U$803,$B191&amp;"|"&amp;BK$5,'Competency Event Log'!$D$4:$D$803)))</f>
        <v/>
      </c>
      <c r="BL191" s="8" t="str">
        <f>IF($B191="","",IF(COUNTIF('Competency Event Log'!$U$4:$U$803,$B191&amp;"|"&amp;BL$5)=0,"",SUMIF('Competency Event Log'!$U$4:$U$803,$B191&amp;"|"&amp;BL$5,'Competency Event Log'!$D$4:$D$803)))</f>
        <v/>
      </c>
      <c r="BM191" s="8" t="str">
        <f>IF($B191="","",IF(COUNTIF('Competency Event Log'!$U$4:$U$803,$B191&amp;"|"&amp;BM$5)=0,"",SUMIF('Competency Event Log'!$U$4:$U$803,$B191&amp;"|"&amp;BM$5,'Competency Event Log'!$D$4:$D$803)))</f>
        <v/>
      </c>
      <c r="BN191" s="8" t="str">
        <f>IF($B191="","",IF(COUNTIF('Competency Event Log'!$U$4:$U$803,$B191&amp;"|"&amp;BN$5)=0,"",SUMIF('Competency Event Log'!$U$4:$U$803,$B191&amp;"|"&amp;BN$5,'Competency Event Log'!$D$4:$D$803)))</f>
        <v/>
      </c>
      <c r="BO191" s="8" t="str">
        <f>IF($B191="","",IF(COUNTIF('Competency Event Log'!$U$4:$U$803,$B191&amp;"|"&amp;BO$5)=0,"",SUMIF('Competency Event Log'!$U$4:$U$803,$B191&amp;"|"&amp;BO$5,'Competency Event Log'!$D$4:$D$803)))</f>
        <v/>
      </c>
      <c r="BP191" s="8" t="str">
        <f>IF($B191="","",IF(COUNTIF('Competency Event Log'!$U$4:$U$803,$B191&amp;"|"&amp;BP$5)=0,"",SUMIF('Competency Event Log'!$U$4:$U$803,$B191&amp;"|"&amp;BP$5,'Competency Event Log'!$D$4:$D$803)))</f>
        <v/>
      </c>
      <c r="BQ191" s="8" t="str">
        <f>IF($B191="","",IF(COUNTIF('Competency Event Log'!$U$4:$U$803,$B191&amp;"|"&amp;BQ$5)=0,"",SUMIF('Competency Event Log'!$U$4:$U$803,$B191&amp;"|"&amp;BQ$5,'Competency Event Log'!$D$4:$D$803)))</f>
        <v/>
      </c>
      <c r="BR191" s="8" t="str">
        <f>IF($B191="","",IF(COUNTIF('Competency Event Log'!$U$4:$U$803,$B191&amp;"|"&amp;BR$5)=0,"",SUMIF('Competency Event Log'!$U$4:$U$803,$B191&amp;"|"&amp;BR$5,'Competency Event Log'!$D$4:$D$803)))</f>
        <v/>
      </c>
      <c r="BS191" s="8" t="str">
        <f>IF($B191="","",IF(COUNTIF('Competency Event Log'!$U$4:$U$803,$B191&amp;"|"&amp;BS$5)=0,"",SUMIF('Competency Event Log'!$U$4:$U$803,$B191&amp;"|"&amp;BS$5,'Competency Event Log'!$D$4:$D$803)))</f>
        <v/>
      </c>
      <c r="BT191" s="8" t="str">
        <f>IF($B191="","",IF(COUNTIF('Competency Event Log'!$U$4:$U$803,$B191&amp;"|"&amp;BT$5)=0,"",SUMIF('Competency Event Log'!$U$4:$U$803,$B191&amp;"|"&amp;BT$5,'Competency Event Log'!$D$4:$D$803)))</f>
        <v/>
      </c>
      <c r="BU191" s="8" t="str">
        <f>IF($B191="","",IF(COUNTIF('Competency Event Log'!$U$4:$U$803,$B191&amp;"|"&amp;BU$5)=0,"",SUMIF('Competency Event Log'!$U$4:$U$803,$B191&amp;"|"&amp;BU$5,'Competency Event Log'!$D$4:$D$803)))</f>
        <v/>
      </c>
      <c r="BV191" s="8" t="str">
        <f>IF($B191="","",IF(COUNTIF('Competency Event Log'!$U$4:$U$803,$B191&amp;"|"&amp;BV$5)=0,"",SUMIF('Competency Event Log'!$U$4:$U$803,$B191&amp;"|"&amp;BV$5,'Competency Event Log'!$D$4:$D$803)))</f>
        <v/>
      </c>
      <c r="BW191" s="8" t="str">
        <f>IF($B191="","",IF(COUNTIF('Competency Event Log'!$U$4:$U$803,$B191&amp;"|"&amp;BW$5)=0,"",SUMIF('Competency Event Log'!$U$4:$U$803,$B191&amp;"|"&amp;BW$5,'Competency Event Log'!$D$4:$D$803)))</f>
        <v/>
      </c>
      <c r="BX191" s="8" t="str">
        <f>IF($B191="","",IF(COUNTIF('Competency Event Log'!$U$4:$U$803,$B191&amp;"|"&amp;BX$5)=0,"",SUMIF('Competency Event Log'!$U$4:$U$803,$B191&amp;"|"&amp;BX$5,'Competency Event Log'!$D$4:$D$803)))</f>
        <v/>
      </c>
      <c r="BY191" s="8" t="str">
        <f>IF($B191="","",IF(COUNTIF('Competency Event Log'!$U$4:$U$803,$B191&amp;"|"&amp;BY$5)=0,"",SUMIF('Competency Event Log'!$U$4:$U$803,$B191&amp;"|"&amp;BY$5,'Competency Event Log'!$D$4:$D$803)))</f>
        <v/>
      </c>
      <c r="BZ191" s="8" t="str">
        <f>IF($B191="","",IF(COUNTIF('Competency Event Log'!$U$4:$U$803,$B191&amp;"|"&amp;BZ$5)=0,"",SUMIF('Competency Event Log'!$U$4:$U$803,$B191&amp;"|"&amp;BZ$5,'Competency Event Log'!$D$4:$D$803)))</f>
        <v/>
      </c>
      <c r="CA191" s="8" t="str">
        <f>IF($B191="","",IF(COUNTIF('Competency Event Log'!$U$4:$U$803,$B191&amp;"|"&amp;CA$5)=0,"",SUMIF('Competency Event Log'!$U$4:$U$803,$B191&amp;"|"&amp;CA$5,'Competency Event Log'!$D$4:$D$803)))</f>
        <v/>
      </c>
      <c r="CB191" s="8" t="str">
        <f>IF($B191="","",IF(COUNTIF('Competency Event Log'!$U$4:$U$803,$B191&amp;"|"&amp;CB$5)=0,"",SUMIF('Competency Event Log'!$U$4:$U$803,$B191&amp;"|"&amp;CB$5,'Competency Event Log'!$D$4:$D$803)))</f>
        <v/>
      </c>
      <c r="CC191" s="8" t="str">
        <f>IF($B191="","",IF(COUNTIF('Competency Event Log'!$U$4:$U$803,$B191&amp;"|"&amp;CC$5)=0,"",SUMIF('Competency Event Log'!$U$4:$U$803,$B191&amp;"|"&amp;CC$5,'Competency Event Log'!$D$4:$D$803)))</f>
        <v/>
      </c>
      <c r="CD191" s="8" t="str">
        <f>IF($B191="","",IF(COUNTIF('Competency Event Log'!$U$4:$U$803,$B191&amp;"|"&amp;CD$5)=0,"",SUMIF('Competency Event Log'!$U$4:$U$803,$B191&amp;"|"&amp;CD$5,'Competency Event Log'!$D$4:$D$803)))</f>
        <v/>
      </c>
      <c r="CE191" s="8" t="str">
        <f>IF($B191="","",IF(COUNTIF('Competency Event Log'!$U$4:$U$803,$B191&amp;"|"&amp;CE$5)=0,"",SUMIF('Competency Event Log'!$U$4:$U$803,$B191&amp;"|"&amp;CE$5,'Competency Event Log'!$D$4:$D$803)))</f>
        <v/>
      </c>
      <c r="CF191" s="8" t="str">
        <f>IF($B191="","",IF(COUNTIF('Competency Event Log'!$U$4:$U$803,$B191&amp;"|"&amp;CF$5)=0,"",SUMIF('Competency Event Log'!$U$4:$U$803,$B191&amp;"|"&amp;CF$5,'Competency Event Log'!$D$4:$D$803)))</f>
        <v/>
      </c>
      <c r="CG191" s="8" t="str">
        <f>IF($B191="","",IF(COUNTIF('Competency Event Log'!$U$4:$U$803,$B191&amp;"|"&amp;CG$5)=0,"",SUMIF('Competency Event Log'!$U$4:$U$803,$B191&amp;"|"&amp;CG$5,'Competency Event Log'!$D$4:$D$803)))</f>
        <v/>
      </c>
      <c r="CH191" s="8" t="str">
        <f>IF($B191="","",IF(COUNTIF('Competency Event Log'!$U$4:$U$803,$B191&amp;"|"&amp;CH$5)=0,"",SUMIF('Competency Event Log'!$U$4:$U$803,$B191&amp;"|"&amp;CH$5,'Competency Event Log'!$D$4:$D$803)))</f>
        <v/>
      </c>
      <c r="CI191" s="8" t="str">
        <f>IF($B191="","",IF(COUNTIF('Competency Event Log'!$U$4:$U$803,$B191&amp;"|"&amp;CI$5)=0,"",SUMIF('Competency Event Log'!$U$4:$U$803,$B191&amp;"|"&amp;CI$5,'Competency Event Log'!$D$4:$D$803)))</f>
        <v/>
      </c>
      <c r="CJ191" s="8" t="str">
        <f>IF($B191="","",IF(COUNTIF('Competency Event Log'!$U$4:$U$803,$B191&amp;"|"&amp;CJ$5)=0,"",SUMIF('Competency Event Log'!$U$4:$U$803,$B191&amp;"|"&amp;CJ$5,'Competency Event Log'!$D$4:$D$803)))</f>
        <v/>
      </c>
      <c r="CK191" s="8" t="str">
        <f>IF($B191="","",IF(COUNTIF('Competency Event Log'!$U$4:$U$803,$B191&amp;"|"&amp;CK$5)=0,"",SUMIF('Competency Event Log'!$U$4:$U$803,$B191&amp;"|"&amp;CK$5,'Competency Event Log'!$D$4:$D$803)))</f>
        <v/>
      </c>
      <c r="CL191" s="8" t="str">
        <f>IF($B191="","",IF(COUNTIF('Competency Event Log'!$U$4:$U$803,$B191&amp;"|"&amp;CL$5)=0,"",SUMIF('Competency Event Log'!$U$4:$U$803,$B191&amp;"|"&amp;CL$5,'Competency Event Log'!$D$4:$D$803)))</f>
        <v/>
      </c>
      <c r="CM191" s="8" t="str">
        <f>IF($B191="","",IF(COUNTIF('Competency Event Log'!$U$4:$U$803,$B191&amp;"|"&amp;CM$5)=0,"",SUMIF('Competency Event Log'!$U$4:$U$803,$B191&amp;"|"&amp;CM$5,'Competency Event Log'!$D$4:$D$803)))</f>
        <v/>
      </c>
      <c r="CN191" s="8" t="str">
        <f>IF($B191="","",IF(COUNTIF('Competency Event Log'!$U$4:$U$803,$B191&amp;"|"&amp;CN$5)=0,"",SUMIF('Competency Event Log'!$U$4:$U$803,$B191&amp;"|"&amp;CN$5,'Competency Event Log'!$D$4:$D$803)))</f>
        <v/>
      </c>
      <c r="CO191" s="8" t="str">
        <f>IF($B191="","",IF(COUNTIF('Competency Event Log'!$U$4:$U$803,$B191&amp;"|"&amp;CO$5)=0,"",SUMIF('Competency Event Log'!$U$4:$U$803,$B191&amp;"|"&amp;CO$5,'Competency Event Log'!$D$4:$D$803)))</f>
        <v/>
      </c>
      <c r="CP191" s="8" t="str">
        <f>IF($B191="","",IF(COUNTIF('Competency Event Log'!$U$4:$U$803,$B191&amp;"|"&amp;CP$5)=0,"",SUMIF('Competency Event Log'!$U$4:$U$803,$B191&amp;"|"&amp;CP$5,'Competency Event Log'!$D$4:$D$803)))</f>
        <v/>
      </c>
      <c r="CQ191" s="8" t="str">
        <f>IF($B191="","",IF(COUNTIF('Competency Event Log'!$U$4:$U$803,$B191&amp;"|"&amp;CQ$5)=0,"",SUMIF('Competency Event Log'!$U$4:$U$803,$B191&amp;"|"&amp;CQ$5,'Competency Event Log'!$D$4:$D$803)))</f>
        <v/>
      </c>
      <c r="CR191" s="8" t="str">
        <f>IF($B191="","",IF(COUNTIF('Competency Event Log'!$U$4:$U$803,$B191&amp;"|"&amp;CR$5)=0,"",SUMIF('Competency Event Log'!$U$4:$U$803,$B191&amp;"|"&amp;CR$5,'Competency Event Log'!$D$4:$D$803)))</f>
        <v/>
      </c>
      <c r="CS191" s="8" t="str">
        <f>IF($B191="","",IF(COUNTIF('Competency Event Log'!$U$4:$U$803,$B191&amp;"|"&amp;CS$5)=0,"",SUMIF('Competency Event Log'!$U$4:$U$803,$B191&amp;"|"&amp;CS$5,'Competency Event Log'!$D$4:$D$803)))</f>
        <v/>
      </c>
      <c r="CT191" s="8" t="str">
        <f>IF($B191="","",IF(COUNTIF('Competency Event Log'!$U$4:$U$803,$B191&amp;"|"&amp;CT$5)=0,"",SUMIF('Competency Event Log'!$U$4:$U$803,$B191&amp;"|"&amp;CT$5,'Competency Event Log'!$D$4:$D$803)))</f>
        <v/>
      </c>
      <c r="CU191" s="8" t="str">
        <f>IF($B191="","",IF(COUNTIF('Competency Event Log'!$U$4:$U$803,$B191&amp;"|"&amp;CU$5)=0,"",SUMIF('Competency Event Log'!$U$4:$U$803,$B191&amp;"|"&amp;CU$5,'Competency Event Log'!$D$4:$D$803)))</f>
        <v/>
      </c>
      <c r="CV191" s="8" t="str">
        <f>IF($B191="","",IF(COUNTIF('Competency Event Log'!$U$4:$U$803,$B191&amp;"|"&amp;CV$5)=0,"",SUMIF('Competency Event Log'!$U$4:$U$803,$B191&amp;"|"&amp;CV$5,'Competency Event Log'!$D$4:$D$803)))</f>
        <v/>
      </c>
      <c r="CW191" s="8" t="str">
        <f>IF($B191="","",IF(COUNTIF('Competency Event Log'!$U$4:$U$803,$B191&amp;"|"&amp;CW$5)=0,"",SUMIF('Competency Event Log'!$U$4:$U$803,$B191&amp;"|"&amp;CW$5,'Competency Event Log'!$D$4:$D$803)))</f>
        <v/>
      </c>
      <c r="CX191" s="8" t="str">
        <f>IF($B191="","",IF(COUNTIF('Competency Event Log'!$U$4:$U$803,$B191&amp;"|"&amp;CX$5)=0,"",SUMIF('Competency Event Log'!$U$4:$U$803,$B191&amp;"|"&amp;CX$5,'Competency Event Log'!$D$4:$D$803)))</f>
        <v/>
      </c>
      <c r="CY191" s="8" t="str">
        <f>IF($B191="","",IF(COUNTIF('Competency Event Log'!$U$4:$U$803,$B191&amp;"|"&amp;CY$5)=0,"",SUMIF('Competency Event Log'!$U$4:$U$803,$B191&amp;"|"&amp;CY$5,'Competency Event Log'!$D$4:$D$803)))</f>
        <v/>
      </c>
      <c r="CZ191" s="8" t="str">
        <f>IF($B191="","",IF(COUNTIF('Competency Event Log'!$U$4:$U$803,$B191&amp;"|"&amp;CZ$5)=0,"",SUMIF('Competency Event Log'!$U$4:$U$803,$B191&amp;"|"&amp;CZ$5,'Competency Event Log'!$D$4:$D$803)))</f>
        <v/>
      </c>
      <c r="DA191" s="8" t="str">
        <f>IF($B191="","",IF(COUNTIF('Competency Event Log'!$U$4:$U$803,$B191&amp;"|"&amp;DA$5)=0,"",SUMIF('Competency Event Log'!$U$4:$U$803,$B191&amp;"|"&amp;DA$5,'Competency Event Log'!$D$4:$D$803)))</f>
        <v/>
      </c>
      <c r="DB191" s="8" t="str">
        <f>IF($B191="","",IF(COUNTIF('Competency Event Log'!$U$4:$U$803,$B191&amp;"|"&amp;DB$5)=0,"",SUMIF('Competency Event Log'!$U$4:$U$803,$B191&amp;"|"&amp;DB$5,'Competency Event Log'!$D$4:$D$803)))</f>
        <v/>
      </c>
      <c r="DC191" s="8" t="str">
        <f>IF($B191="","",IF(COUNTIF('Competency Event Log'!$U$4:$U$803,$B191&amp;"|"&amp;DC$5)=0,"",SUMIF('Competency Event Log'!$U$4:$U$803,$B191&amp;"|"&amp;DC$5,'Competency Event Log'!$D$4:$D$803)))</f>
        <v/>
      </c>
      <c r="DD191" s="8" t="str">
        <f>IF($B191="","",IF(COUNTIF('Competency Event Log'!$U$4:$U$803,$B191&amp;"|"&amp;DD$5)=0,"",SUMIF('Competency Event Log'!$U$4:$U$803,$B191&amp;"|"&amp;DD$5,'Competency Event Log'!$D$4:$D$803)))</f>
        <v/>
      </c>
      <c r="DE191" s="8" t="str">
        <f>IF($B191="","",IF(COUNTIF('Competency Event Log'!$U$4:$U$803,$B191&amp;"|"&amp;DE$5)=0,"",SUMIF('Competency Event Log'!$U$4:$U$803,$B191&amp;"|"&amp;DE$5,'Competency Event Log'!$D$4:$D$803)))</f>
        <v/>
      </c>
      <c r="DF191" s="8" t="str">
        <f t="shared" si="20"/>
        <v/>
      </c>
      <c r="DG191" s="8" t="str">
        <f t="shared" si="21"/>
        <v/>
      </c>
      <c r="DH191" s="8" t="str">
        <f t="shared" si="22"/>
        <v/>
      </c>
      <c r="DI191" s="11" t="str">
        <f t="shared" si="23"/>
        <v/>
      </c>
    </row>
    <row r="192" spans="1:113">
      <c r="A192" s="7"/>
      <c r="B192" s="7"/>
      <c r="C192" s="8"/>
      <c r="D192" s="9"/>
      <c r="E192" s="10"/>
      <c r="F192" s="8"/>
      <c r="G192" s="8" t="str">
        <f>IF($B192="","",IF(COUNTIF('Competency Event Log'!$U$4:$U$803,$B192&amp;"|"&amp;G$5)=0,"",SUMIF('Competency Event Log'!$U$4:$U$803,$B192&amp;"|"&amp;G$5,'Competency Event Log'!$D$4:$D$803)))</f>
        <v/>
      </c>
      <c r="H192" s="8" t="str">
        <f>IF($B192="","",IF(COUNTIF('Competency Event Log'!$U$4:$U$803,$B192&amp;"|"&amp;H$5)=0,"",SUMIF('Competency Event Log'!$U$4:$U$803,$B192&amp;"|"&amp;H$5,'Competency Event Log'!$D$4:$D$803)))</f>
        <v/>
      </c>
      <c r="I192" s="8" t="str">
        <f>IF($B192="","",IF(COUNTIF('Competency Event Log'!$U$4:$U$803,$B192&amp;"|"&amp;I$5)=0,"",SUMIF('Competency Event Log'!$U$4:$U$803,$B192&amp;"|"&amp;I$5,'Competency Event Log'!$D$4:$D$803)))</f>
        <v/>
      </c>
      <c r="J192" s="8" t="str">
        <f>IF($B192="","",IF(COUNTIF('Competency Event Log'!$U$4:$U$803,$B192&amp;"|"&amp;J$5)=0,"",SUMIF('Competency Event Log'!$U$4:$U$803,$B192&amp;"|"&amp;J$5,'Competency Event Log'!$D$4:$D$803)))</f>
        <v/>
      </c>
      <c r="K192" s="8" t="str">
        <f>IF($B192="","",IF(COUNTIF('Competency Event Log'!$U$4:$U$803,$B192&amp;"|"&amp;K$5)=0,"",SUMIF('Competency Event Log'!$U$4:$U$803,$B192&amp;"|"&amp;K$5,'Competency Event Log'!$D$4:$D$803)))</f>
        <v/>
      </c>
      <c r="L192" s="8" t="str">
        <f>IF($B192="","",IF(COUNTIF('Competency Event Log'!$U$4:$U$803,$B192&amp;"|"&amp;L$5)=0,"",SUMIF('Competency Event Log'!$U$4:$U$803,$B192&amp;"|"&amp;L$5,'Competency Event Log'!$D$4:$D$803)))</f>
        <v/>
      </c>
      <c r="M192" s="8" t="str">
        <f>IF($B192="","",IF(COUNTIF('Competency Event Log'!$U$4:$U$803,$B192&amp;"|"&amp;M$5)=0,"",SUMIF('Competency Event Log'!$U$4:$U$803,$B192&amp;"|"&amp;M$5,'Competency Event Log'!$D$4:$D$803)))</f>
        <v/>
      </c>
      <c r="N192" s="8" t="str">
        <f>IF($B192="","",IF(COUNTIF('Competency Event Log'!$U$4:$U$803,$B192&amp;"|"&amp;N$5)=0,"",SUMIF('Competency Event Log'!$U$4:$U$803,$B192&amp;"|"&amp;N$5,'Competency Event Log'!$D$4:$D$803)))</f>
        <v/>
      </c>
      <c r="O192" s="8" t="str">
        <f>IF($B192="","",IF(COUNTIF('Competency Event Log'!$U$4:$U$803,$B192&amp;"|"&amp;O$5)=0,"",SUMIF('Competency Event Log'!$U$4:$U$803,$B192&amp;"|"&amp;O$5,'Competency Event Log'!$D$4:$D$803)))</f>
        <v/>
      </c>
      <c r="P192" s="8" t="str">
        <f>IF($B192="","",IF(COUNTIF('Competency Event Log'!$U$4:$U$803,$B192&amp;"|"&amp;P$5)=0,"",SUMIF('Competency Event Log'!$U$4:$U$803,$B192&amp;"|"&amp;P$5,'Competency Event Log'!$D$4:$D$803)))</f>
        <v/>
      </c>
      <c r="Q192" s="8" t="str">
        <f>IF($B192="","",IF(COUNTIF('Competency Event Log'!$U$4:$U$803,$B192&amp;"|"&amp;Q$5)=0,"",SUMIF('Competency Event Log'!$U$4:$U$803,$B192&amp;"|"&amp;Q$5,'Competency Event Log'!$D$4:$D$803)))</f>
        <v/>
      </c>
      <c r="R192" s="8" t="str">
        <f>IF($B192="","",IF(COUNTIF('Competency Event Log'!$U$4:$U$803,$B192&amp;"|"&amp;R$5)=0,"",SUMIF('Competency Event Log'!$U$4:$U$803,$B192&amp;"|"&amp;R$5,'Competency Event Log'!$D$4:$D$803)))</f>
        <v/>
      </c>
      <c r="S192" s="8" t="str">
        <f>IF($B192="","",IF(COUNTIF('Competency Event Log'!$U$4:$U$803,$B192&amp;"|"&amp;S$5)=0,"",SUMIF('Competency Event Log'!$U$4:$U$803,$B192&amp;"|"&amp;S$5,'Competency Event Log'!$D$4:$D$803)))</f>
        <v/>
      </c>
      <c r="T192" s="8" t="str">
        <f>IF($B192="","",IF(COUNTIF('Competency Event Log'!$U$4:$U$803,$B192&amp;"|"&amp;T$5)=0,"",SUMIF('Competency Event Log'!$U$4:$U$803,$B192&amp;"|"&amp;T$5,'Competency Event Log'!$D$4:$D$803)))</f>
        <v/>
      </c>
      <c r="U192" s="8" t="str">
        <f>IF($B192="","",IF(COUNTIF('Competency Event Log'!$U$4:$U$803,$B192&amp;"|"&amp;U$5)=0,"",SUMIF('Competency Event Log'!$U$4:$U$803,$B192&amp;"|"&amp;U$5,'Competency Event Log'!$D$4:$D$803)))</f>
        <v/>
      </c>
      <c r="V192" s="8" t="str">
        <f>IF($B192="","",IF(COUNTIF('Competency Event Log'!$U$4:$U$803,$B192&amp;"|"&amp;V$5)=0,"",SUMIF('Competency Event Log'!$U$4:$U$803,$B192&amp;"|"&amp;V$5,'Competency Event Log'!$D$4:$D$803)))</f>
        <v/>
      </c>
      <c r="W192" s="8" t="str">
        <f>IF($B192="","",IF(COUNTIF('Competency Event Log'!$U$4:$U$803,$B192&amp;"|"&amp;W$5)=0,"",SUMIF('Competency Event Log'!$U$4:$U$803,$B192&amp;"|"&amp;W$5,'Competency Event Log'!$D$4:$D$803)))</f>
        <v/>
      </c>
      <c r="X192" s="8" t="str">
        <f>IF($B192="","",IF(COUNTIF('Competency Event Log'!$U$4:$U$803,$B192&amp;"|"&amp;X$5)=0,"",SUMIF('Competency Event Log'!$U$4:$U$803,$B192&amp;"|"&amp;X$5,'Competency Event Log'!$D$4:$D$803)))</f>
        <v/>
      </c>
      <c r="Y192" s="8" t="str">
        <f>IF($B192="","",IF(COUNTIF('Competency Event Log'!$U$4:$U$803,$B192&amp;"|"&amp;Y$5)=0,"",SUMIF('Competency Event Log'!$U$4:$U$803,$B192&amp;"|"&amp;Y$5,'Competency Event Log'!$D$4:$D$803)))</f>
        <v/>
      </c>
      <c r="Z192" s="8" t="str">
        <f>IF($B192="","",IF(COUNTIF('Competency Event Log'!$U$4:$U$803,$B192&amp;"|"&amp;Z$5)=0,"",SUMIF('Competency Event Log'!$U$4:$U$803,$B192&amp;"|"&amp;Z$5,'Competency Event Log'!$D$4:$D$803)))</f>
        <v/>
      </c>
      <c r="AA192" s="8" t="str">
        <f>IF($B192="","",IF(COUNTIF('Competency Event Log'!$U$4:$U$803,$B192&amp;"|"&amp;AA$5)=0,"",SUMIF('Competency Event Log'!$U$4:$U$803,$B192&amp;"|"&amp;AA$5,'Competency Event Log'!$D$4:$D$803)))</f>
        <v/>
      </c>
      <c r="AB192" s="8" t="str">
        <f>IF($B192="","",IF(COUNTIF('Competency Event Log'!$U$4:$U$803,$B192&amp;"|"&amp;AB$5)=0,"",SUMIF('Competency Event Log'!$U$4:$U$803,$B192&amp;"|"&amp;AB$5,'Competency Event Log'!$D$4:$D$803)))</f>
        <v/>
      </c>
      <c r="AC192" s="8" t="str">
        <f>IF($B192="","",IF(COUNTIF('Competency Event Log'!$U$4:$U$803,$B192&amp;"|"&amp;AC$5)=0,"",SUMIF('Competency Event Log'!$U$4:$U$803,$B192&amp;"|"&amp;AC$5,'Competency Event Log'!$D$4:$D$803)))</f>
        <v/>
      </c>
      <c r="AD192" s="8" t="str">
        <f>IF($B192="","",IF(COUNTIF('Competency Event Log'!$U$4:$U$803,$B192&amp;"|"&amp;AD$5)=0,"",SUMIF('Competency Event Log'!$U$4:$U$803,$B192&amp;"|"&amp;AD$5,'Competency Event Log'!$D$4:$D$803)))</f>
        <v/>
      </c>
      <c r="AE192" s="8" t="str">
        <f>IF($B192="","",IF(COUNTIF('Competency Event Log'!$U$4:$U$803,$B192&amp;"|"&amp;AE$5)=0,"",SUMIF('Competency Event Log'!$U$4:$U$803,$B192&amp;"|"&amp;AE$5,'Competency Event Log'!$D$4:$D$803)))</f>
        <v/>
      </c>
      <c r="AF192" s="8" t="str">
        <f>IF($B192="","",IF(COUNTIF('Competency Event Log'!$U$4:$U$803,$B192&amp;"|"&amp;AF$5)=0,"",SUMIF('Competency Event Log'!$U$4:$U$803,$B192&amp;"|"&amp;AF$5,'Competency Event Log'!$D$4:$D$803)))</f>
        <v/>
      </c>
      <c r="AG192" s="8" t="str">
        <f>IF($B192="","",IF(COUNTIF('Competency Event Log'!$U$4:$U$803,$B192&amp;"|"&amp;AG$5)=0,"",SUMIF('Competency Event Log'!$U$4:$U$803,$B192&amp;"|"&amp;AG$5,'Competency Event Log'!$D$4:$D$803)))</f>
        <v/>
      </c>
      <c r="AH192" s="8" t="str">
        <f>IF($B192="","",IF(COUNTIF('Competency Event Log'!$U$4:$U$803,$B192&amp;"|"&amp;AH$5)=0,"",SUMIF('Competency Event Log'!$U$4:$U$803,$B192&amp;"|"&amp;AH$5,'Competency Event Log'!$D$4:$D$803)))</f>
        <v/>
      </c>
      <c r="AI192" s="8" t="str">
        <f>IF($B192="","",IF(COUNTIF('Competency Event Log'!$U$4:$U$803,$B192&amp;"|"&amp;AI$5)=0,"",SUMIF('Competency Event Log'!$U$4:$U$803,$B192&amp;"|"&amp;AI$5,'Competency Event Log'!$D$4:$D$803)))</f>
        <v/>
      </c>
      <c r="AJ192" s="8" t="str">
        <f>IF($B192="","",IF(COUNTIF('Competency Event Log'!$U$4:$U$803,$B192&amp;"|"&amp;AJ$5)=0,"",SUMIF('Competency Event Log'!$U$4:$U$803,$B192&amp;"|"&amp;AJ$5,'Competency Event Log'!$D$4:$D$803)))</f>
        <v/>
      </c>
      <c r="AK192" s="8" t="str">
        <f>IF($B192="","",IF(COUNTIF('Competency Event Log'!$U$4:$U$803,$B192&amp;"|"&amp;AK$5)=0,"",SUMIF('Competency Event Log'!$U$4:$U$803,$B192&amp;"|"&amp;AK$5,'Competency Event Log'!$D$4:$D$803)))</f>
        <v/>
      </c>
      <c r="AL192" s="8" t="str">
        <f>IF($B192="","",IF(COUNTIF('Competency Event Log'!$U$4:$U$803,$B192&amp;"|"&amp;AL$5)=0,"",SUMIF('Competency Event Log'!$U$4:$U$803,$B192&amp;"|"&amp;AL$5,'Competency Event Log'!$D$4:$D$803)))</f>
        <v/>
      </c>
      <c r="AM192" s="8" t="str">
        <f>IF($B192="","",IF(COUNTIF('Competency Event Log'!$U$4:$U$803,$B192&amp;"|"&amp;AM$5)=0,"",SUMIF('Competency Event Log'!$U$4:$U$803,$B192&amp;"|"&amp;AM$5,'Competency Event Log'!$D$4:$D$803)))</f>
        <v/>
      </c>
      <c r="AN192" s="8" t="str">
        <f>IF($B192="","",IF(COUNTIF('Competency Event Log'!$U$4:$U$803,$B192&amp;"|"&amp;AN$5)=0,"",SUMIF('Competency Event Log'!$U$4:$U$803,$B192&amp;"|"&amp;AN$5,'Competency Event Log'!$D$4:$D$803)))</f>
        <v/>
      </c>
      <c r="AO192" s="8" t="str">
        <f>IF($B192="","",IF(COUNTIF('Competency Event Log'!$U$4:$U$803,$B192&amp;"|"&amp;AO$5)=0,"",SUMIF('Competency Event Log'!$U$4:$U$803,$B192&amp;"|"&amp;AO$5,'Competency Event Log'!$D$4:$D$803)))</f>
        <v/>
      </c>
      <c r="AP192" s="8" t="str">
        <f>IF($B192="","",IF(COUNTIF('Competency Event Log'!$U$4:$U$803,$B192&amp;"|"&amp;AP$5)=0,"",SUMIF('Competency Event Log'!$U$4:$U$803,$B192&amp;"|"&amp;AP$5,'Competency Event Log'!$D$4:$D$803)))</f>
        <v/>
      </c>
      <c r="AQ192" s="8" t="str">
        <f>IF($B192="","",IF(COUNTIF('Competency Event Log'!$U$4:$U$803,$B192&amp;"|"&amp;AQ$5)=0,"",SUMIF('Competency Event Log'!$U$4:$U$803,$B192&amp;"|"&amp;AQ$5,'Competency Event Log'!$D$4:$D$803)))</f>
        <v/>
      </c>
      <c r="AR192" s="8" t="str">
        <f>IF($B192="","",IF(COUNTIF('Competency Event Log'!$U$4:$U$803,$B192&amp;"|"&amp;AR$5)=0,"",SUMIF('Competency Event Log'!$U$4:$U$803,$B192&amp;"|"&amp;AR$5,'Competency Event Log'!$D$4:$D$803)))</f>
        <v/>
      </c>
      <c r="AS192" s="8" t="str">
        <f>IF($B192="","",IF(COUNTIF('Competency Event Log'!$U$4:$U$803,$B192&amp;"|"&amp;AS$5)=0,"",SUMIF('Competency Event Log'!$U$4:$U$803,$B192&amp;"|"&amp;AS$5,'Competency Event Log'!$D$4:$D$803)))</f>
        <v/>
      </c>
      <c r="AT192" s="8" t="str">
        <f>IF($B192="","",IF(COUNTIF('Competency Event Log'!$U$4:$U$803,$B192&amp;"|"&amp;AT$5)=0,"",SUMIF('Competency Event Log'!$U$4:$U$803,$B192&amp;"|"&amp;AT$5,'Competency Event Log'!$D$4:$D$803)))</f>
        <v/>
      </c>
      <c r="AU192" s="8" t="str">
        <f>IF($B192="","",IF(COUNTIF('Competency Event Log'!$U$4:$U$803,$B192&amp;"|"&amp;AU$5)=0,"",SUMIF('Competency Event Log'!$U$4:$U$803,$B192&amp;"|"&amp;AU$5,'Competency Event Log'!$D$4:$D$803)))</f>
        <v/>
      </c>
      <c r="AV192" s="8" t="str">
        <f>IF($B192="","",IF(COUNTIF('Competency Event Log'!$U$4:$U$803,$B192&amp;"|"&amp;AV$5)=0,"",SUMIF('Competency Event Log'!$U$4:$U$803,$B192&amp;"|"&amp;AV$5,'Competency Event Log'!$D$4:$D$803)))</f>
        <v/>
      </c>
      <c r="AW192" s="8" t="str">
        <f>IF($B192="","",IF(COUNTIF('Competency Event Log'!$U$4:$U$803,$B192&amp;"|"&amp;AW$5)=0,"",SUMIF('Competency Event Log'!$U$4:$U$803,$B192&amp;"|"&amp;AW$5,'Competency Event Log'!$D$4:$D$803)))</f>
        <v/>
      </c>
      <c r="AX192" s="8" t="str">
        <f>IF($B192="","",IF(COUNTIF('Competency Event Log'!$U$4:$U$803,$B192&amp;"|"&amp;AX$5)=0,"",SUMIF('Competency Event Log'!$U$4:$U$803,$B192&amp;"|"&amp;AX$5,'Competency Event Log'!$D$4:$D$803)))</f>
        <v/>
      </c>
      <c r="AY192" s="8" t="str">
        <f>IF($B192="","",IF(COUNTIF('Competency Event Log'!$U$4:$U$803,$B192&amp;"|"&amp;AY$5)=0,"",SUMIF('Competency Event Log'!$U$4:$U$803,$B192&amp;"|"&amp;AY$5,'Competency Event Log'!$D$4:$D$803)))</f>
        <v/>
      </c>
      <c r="AZ192" s="8" t="str">
        <f>IF($B192="","",IF(COUNTIF('Competency Event Log'!$U$4:$U$803,$B192&amp;"|"&amp;AZ$5)=0,"",SUMIF('Competency Event Log'!$U$4:$U$803,$B192&amp;"|"&amp;AZ$5,'Competency Event Log'!$D$4:$D$803)))</f>
        <v/>
      </c>
      <c r="BA192" s="8" t="str">
        <f>IF($B192="","",IF(COUNTIF('Competency Event Log'!$U$4:$U$803,$B192&amp;"|"&amp;BA$5)=0,"",SUMIF('Competency Event Log'!$U$4:$U$803,$B192&amp;"|"&amp;BA$5,'Competency Event Log'!$D$4:$D$803)))</f>
        <v/>
      </c>
      <c r="BB192" s="8" t="str">
        <f>IF($B192="","",IF(COUNTIF('Competency Event Log'!$U$4:$U$803,$B192&amp;"|"&amp;BB$5)=0,"",SUMIF('Competency Event Log'!$U$4:$U$803,$B192&amp;"|"&amp;BB$5,'Competency Event Log'!$D$4:$D$803)))</f>
        <v/>
      </c>
      <c r="BC192" s="8" t="str">
        <f>IF($B192="","",IF(COUNTIF('Competency Event Log'!$U$4:$U$803,$B192&amp;"|"&amp;BC$5)=0,"",SUMIF('Competency Event Log'!$U$4:$U$803,$B192&amp;"|"&amp;BC$5,'Competency Event Log'!$D$4:$D$803)))</f>
        <v/>
      </c>
      <c r="BD192" s="8" t="str">
        <f>IF($B192="","",IF(COUNTIF('Competency Event Log'!$U$4:$U$803,$B192&amp;"|"&amp;BD$5)=0,"",SUMIF('Competency Event Log'!$U$4:$U$803,$B192&amp;"|"&amp;BD$5,'Competency Event Log'!$D$4:$D$803)))</f>
        <v/>
      </c>
      <c r="BE192" s="8" t="str">
        <f>IF($B192="","",IF(COUNTIF('Competency Event Log'!$U$4:$U$803,$B192&amp;"|"&amp;BE$5)=0,"",SUMIF('Competency Event Log'!$U$4:$U$803,$B192&amp;"|"&amp;BE$5,'Competency Event Log'!$D$4:$D$803)))</f>
        <v/>
      </c>
      <c r="BF192" s="8" t="str">
        <f>IF($B192="","",IF(COUNTIF('Competency Event Log'!$U$4:$U$803,$B192&amp;"|"&amp;BF$5)=0,"",SUMIF('Competency Event Log'!$U$4:$U$803,$B192&amp;"|"&amp;BF$5,'Competency Event Log'!$D$4:$D$803)))</f>
        <v/>
      </c>
      <c r="BG192" s="8" t="str">
        <f>IF($B192="","",IF(COUNTIF('Competency Event Log'!$U$4:$U$803,$B192&amp;"|"&amp;BG$5)=0,"",SUMIF('Competency Event Log'!$U$4:$U$803,$B192&amp;"|"&amp;BG$5,'Competency Event Log'!$D$4:$D$803)))</f>
        <v/>
      </c>
      <c r="BH192" s="8" t="str">
        <f>IF($B192="","",IF(COUNTIF('Competency Event Log'!$U$4:$U$803,$B192&amp;"|"&amp;BH$5)=0,"",SUMIF('Competency Event Log'!$U$4:$U$803,$B192&amp;"|"&amp;BH$5,'Competency Event Log'!$D$4:$D$803)))</f>
        <v/>
      </c>
      <c r="BI192" s="8" t="str">
        <f>IF($B192="","",IF(COUNTIF('Competency Event Log'!$U$4:$U$803,$B192&amp;"|"&amp;BI$5)=0,"",SUMIF('Competency Event Log'!$U$4:$U$803,$B192&amp;"|"&amp;BI$5,'Competency Event Log'!$D$4:$D$803)))</f>
        <v/>
      </c>
      <c r="BJ192" s="8" t="str">
        <f>IF($B192="","",IF(COUNTIF('Competency Event Log'!$U$4:$U$803,$B192&amp;"|"&amp;BJ$5)=0,"",SUMIF('Competency Event Log'!$U$4:$U$803,$B192&amp;"|"&amp;BJ$5,'Competency Event Log'!$D$4:$D$803)))</f>
        <v/>
      </c>
      <c r="BK192" s="8" t="str">
        <f>IF($B192="","",IF(COUNTIF('Competency Event Log'!$U$4:$U$803,$B192&amp;"|"&amp;BK$5)=0,"",SUMIF('Competency Event Log'!$U$4:$U$803,$B192&amp;"|"&amp;BK$5,'Competency Event Log'!$D$4:$D$803)))</f>
        <v/>
      </c>
      <c r="BL192" s="8" t="str">
        <f>IF($B192="","",IF(COUNTIF('Competency Event Log'!$U$4:$U$803,$B192&amp;"|"&amp;BL$5)=0,"",SUMIF('Competency Event Log'!$U$4:$U$803,$B192&amp;"|"&amp;BL$5,'Competency Event Log'!$D$4:$D$803)))</f>
        <v/>
      </c>
      <c r="BM192" s="8" t="str">
        <f>IF($B192="","",IF(COUNTIF('Competency Event Log'!$U$4:$U$803,$B192&amp;"|"&amp;BM$5)=0,"",SUMIF('Competency Event Log'!$U$4:$U$803,$B192&amp;"|"&amp;BM$5,'Competency Event Log'!$D$4:$D$803)))</f>
        <v/>
      </c>
      <c r="BN192" s="8" t="str">
        <f>IF($B192="","",IF(COUNTIF('Competency Event Log'!$U$4:$U$803,$B192&amp;"|"&amp;BN$5)=0,"",SUMIF('Competency Event Log'!$U$4:$U$803,$B192&amp;"|"&amp;BN$5,'Competency Event Log'!$D$4:$D$803)))</f>
        <v/>
      </c>
      <c r="BO192" s="8" t="str">
        <f>IF($B192="","",IF(COUNTIF('Competency Event Log'!$U$4:$U$803,$B192&amp;"|"&amp;BO$5)=0,"",SUMIF('Competency Event Log'!$U$4:$U$803,$B192&amp;"|"&amp;BO$5,'Competency Event Log'!$D$4:$D$803)))</f>
        <v/>
      </c>
      <c r="BP192" s="8" t="str">
        <f>IF($B192="","",IF(COUNTIF('Competency Event Log'!$U$4:$U$803,$B192&amp;"|"&amp;BP$5)=0,"",SUMIF('Competency Event Log'!$U$4:$U$803,$B192&amp;"|"&amp;BP$5,'Competency Event Log'!$D$4:$D$803)))</f>
        <v/>
      </c>
      <c r="BQ192" s="8" t="str">
        <f>IF($B192="","",IF(COUNTIF('Competency Event Log'!$U$4:$U$803,$B192&amp;"|"&amp;BQ$5)=0,"",SUMIF('Competency Event Log'!$U$4:$U$803,$B192&amp;"|"&amp;BQ$5,'Competency Event Log'!$D$4:$D$803)))</f>
        <v/>
      </c>
      <c r="BR192" s="8" t="str">
        <f>IF($B192="","",IF(COUNTIF('Competency Event Log'!$U$4:$U$803,$B192&amp;"|"&amp;BR$5)=0,"",SUMIF('Competency Event Log'!$U$4:$U$803,$B192&amp;"|"&amp;BR$5,'Competency Event Log'!$D$4:$D$803)))</f>
        <v/>
      </c>
      <c r="BS192" s="8" t="str">
        <f>IF($B192="","",IF(COUNTIF('Competency Event Log'!$U$4:$U$803,$B192&amp;"|"&amp;BS$5)=0,"",SUMIF('Competency Event Log'!$U$4:$U$803,$B192&amp;"|"&amp;BS$5,'Competency Event Log'!$D$4:$D$803)))</f>
        <v/>
      </c>
      <c r="BT192" s="8" t="str">
        <f>IF($B192="","",IF(COUNTIF('Competency Event Log'!$U$4:$U$803,$B192&amp;"|"&amp;BT$5)=0,"",SUMIF('Competency Event Log'!$U$4:$U$803,$B192&amp;"|"&amp;BT$5,'Competency Event Log'!$D$4:$D$803)))</f>
        <v/>
      </c>
      <c r="BU192" s="8" t="str">
        <f>IF($B192="","",IF(COUNTIF('Competency Event Log'!$U$4:$U$803,$B192&amp;"|"&amp;BU$5)=0,"",SUMIF('Competency Event Log'!$U$4:$U$803,$B192&amp;"|"&amp;BU$5,'Competency Event Log'!$D$4:$D$803)))</f>
        <v/>
      </c>
      <c r="BV192" s="8" t="str">
        <f>IF($B192="","",IF(COUNTIF('Competency Event Log'!$U$4:$U$803,$B192&amp;"|"&amp;BV$5)=0,"",SUMIF('Competency Event Log'!$U$4:$U$803,$B192&amp;"|"&amp;BV$5,'Competency Event Log'!$D$4:$D$803)))</f>
        <v/>
      </c>
      <c r="BW192" s="8" t="str">
        <f>IF($B192="","",IF(COUNTIF('Competency Event Log'!$U$4:$U$803,$B192&amp;"|"&amp;BW$5)=0,"",SUMIF('Competency Event Log'!$U$4:$U$803,$B192&amp;"|"&amp;BW$5,'Competency Event Log'!$D$4:$D$803)))</f>
        <v/>
      </c>
      <c r="BX192" s="8" t="str">
        <f>IF($B192="","",IF(COUNTIF('Competency Event Log'!$U$4:$U$803,$B192&amp;"|"&amp;BX$5)=0,"",SUMIF('Competency Event Log'!$U$4:$U$803,$B192&amp;"|"&amp;BX$5,'Competency Event Log'!$D$4:$D$803)))</f>
        <v/>
      </c>
      <c r="BY192" s="8" t="str">
        <f>IF($B192="","",IF(COUNTIF('Competency Event Log'!$U$4:$U$803,$B192&amp;"|"&amp;BY$5)=0,"",SUMIF('Competency Event Log'!$U$4:$U$803,$B192&amp;"|"&amp;BY$5,'Competency Event Log'!$D$4:$D$803)))</f>
        <v/>
      </c>
      <c r="BZ192" s="8" t="str">
        <f>IF($B192="","",IF(COUNTIF('Competency Event Log'!$U$4:$U$803,$B192&amp;"|"&amp;BZ$5)=0,"",SUMIF('Competency Event Log'!$U$4:$U$803,$B192&amp;"|"&amp;BZ$5,'Competency Event Log'!$D$4:$D$803)))</f>
        <v/>
      </c>
      <c r="CA192" s="8" t="str">
        <f>IF($B192="","",IF(COUNTIF('Competency Event Log'!$U$4:$U$803,$B192&amp;"|"&amp;CA$5)=0,"",SUMIF('Competency Event Log'!$U$4:$U$803,$B192&amp;"|"&amp;CA$5,'Competency Event Log'!$D$4:$D$803)))</f>
        <v/>
      </c>
      <c r="CB192" s="8" t="str">
        <f>IF($B192="","",IF(COUNTIF('Competency Event Log'!$U$4:$U$803,$B192&amp;"|"&amp;CB$5)=0,"",SUMIF('Competency Event Log'!$U$4:$U$803,$B192&amp;"|"&amp;CB$5,'Competency Event Log'!$D$4:$D$803)))</f>
        <v/>
      </c>
      <c r="CC192" s="8" t="str">
        <f>IF($B192="","",IF(COUNTIF('Competency Event Log'!$U$4:$U$803,$B192&amp;"|"&amp;CC$5)=0,"",SUMIF('Competency Event Log'!$U$4:$U$803,$B192&amp;"|"&amp;CC$5,'Competency Event Log'!$D$4:$D$803)))</f>
        <v/>
      </c>
      <c r="CD192" s="8" t="str">
        <f>IF($B192="","",IF(COUNTIF('Competency Event Log'!$U$4:$U$803,$B192&amp;"|"&amp;CD$5)=0,"",SUMIF('Competency Event Log'!$U$4:$U$803,$B192&amp;"|"&amp;CD$5,'Competency Event Log'!$D$4:$D$803)))</f>
        <v/>
      </c>
      <c r="CE192" s="8" t="str">
        <f>IF($B192="","",IF(COUNTIF('Competency Event Log'!$U$4:$U$803,$B192&amp;"|"&amp;CE$5)=0,"",SUMIF('Competency Event Log'!$U$4:$U$803,$B192&amp;"|"&amp;CE$5,'Competency Event Log'!$D$4:$D$803)))</f>
        <v/>
      </c>
      <c r="CF192" s="8" t="str">
        <f>IF($B192="","",IF(COUNTIF('Competency Event Log'!$U$4:$U$803,$B192&amp;"|"&amp;CF$5)=0,"",SUMIF('Competency Event Log'!$U$4:$U$803,$B192&amp;"|"&amp;CF$5,'Competency Event Log'!$D$4:$D$803)))</f>
        <v/>
      </c>
      <c r="CG192" s="8" t="str">
        <f>IF($B192="","",IF(COUNTIF('Competency Event Log'!$U$4:$U$803,$B192&amp;"|"&amp;CG$5)=0,"",SUMIF('Competency Event Log'!$U$4:$U$803,$B192&amp;"|"&amp;CG$5,'Competency Event Log'!$D$4:$D$803)))</f>
        <v/>
      </c>
      <c r="CH192" s="8" t="str">
        <f>IF($B192="","",IF(COUNTIF('Competency Event Log'!$U$4:$U$803,$B192&amp;"|"&amp;CH$5)=0,"",SUMIF('Competency Event Log'!$U$4:$U$803,$B192&amp;"|"&amp;CH$5,'Competency Event Log'!$D$4:$D$803)))</f>
        <v/>
      </c>
      <c r="CI192" s="8" t="str">
        <f>IF($B192="","",IF(COUNTIF('Competency Event Log'!$U$4:$U$803,$B192&amp;"|"&amp;CI$5)=0,"",SUMIF('Competency Event Log'!$U$4:$U$803,$B192&amp;"|"&amp;CI$5,'Competency Event Log'!$D$4:$D$803)))</f>
        <v/>
      </c>
      <c r="CJ192" s="8" t="str">
        <f>IF($B192="","",IF(COUNTIF('Competency Event Log'!$U$4:$U$803,$B192&amp;"|"&amp;CJ$5)=0,"",SUMIF('Competency Event Log'!$U$4:$U$803,$B192&amp;"|"&amp;CJ$5,'Competency Event Log'!$D$4:$D$803)))</f>
        <v/>
      </c>
      <c r="CK192" s="8" t="str">
        <f>IF($B192="","",IF(COUNTIF('Competency Event Log'!$U$4:$U$803,$B192&amp;"|"&amp;CK$5)=0,"",SUMIF('Competency Event Log'!$U$4:$U$803,$B192&amp;"|"&amp;CK$5,'Competency Event Log'!$D$4:$D$803)))</f>
        <v/>
      </c>
      <c r="CL192" s="8" t="str">
        <f>IF($B192="","",IF(COUNTIF('Competency Event Log'!$U$4:$U$803,$B192&amp;"|"&amp;CL$5)=0,"",SUMIF('Competency Event Log'!$U$4:$U$803,$B192&amp;"|"&amp;CL$5,'Competency Event Log'!$D$4:$D$803)))</f>
        <v/>
      </c>
      <c r="CM192" s="8" t="str">
        <f>IF($B192="","",IF(COUNTIF('Competency Event Log'!$U$4:$U$803,$B192&amp;"|"&amp;CM$5)=0,"",SUMIF('Competency Event Log'!$U$4:$U$803,$B192&amp;"|"&amp;CM$5,'Competency Event Log'!$D$4:$D$803)))</f>
        <v/>
      </c>
      <c r="CN192" s="8" t="str">
        <f>IF($B192="","",IF(COUNTIF('Competency Event Log'!$U$4:$U$803,$B192&amp;"|"&amp;CN$5)=0,"",SUMIF('Competency Event Log'!$U$4:$U$803,$B192&amp;"|"&amp;CN$5,'Competency Event Log'!$D$4:$D$803)))</f>
        <v/>
      </c>
      <c r="CO192" s="8" t="str">
        <f>IF($B192="","",IF(COUNTIF('Competency Event Log'!$U$4:$U$803,$B192&amp;"|"&amp;CO$5)=0,"",SUMIF('Competency Event Log'!$U$4:$U$803,$B192&amp;"|"&amp;CO$5,'Competency Event Log'!$D$4:$D$803)))</f>
        <v/>
      </c>
      <c r="CP192" s="8" t="str">
        <f>IF($B192="","",IF(COUNTIF('Competency Event Log'!$U$4:$U$803,$B192&amp;"|"&amp;CP$5)=0,"",SUMIF('Competency Event Log'!$U$4:$U$803,$B192&amp;"|"&amp;CP$5,'Competency Event Log'!$D$4:$D$803)))</f>
        <v/>
      </c>
      <c r="CQ192" s="8" t="str">
        <f>IF($B192="","",IF(COUNTIF('Competency Event Log'!$U$4:$U$803,$B192&amp;"|"&amp;CQ$5)=0,"",SUMIF('Competency Event Log'!$U$4:$U$803,$B192&amp;"|"&amp;CQ$5,'Competency Event Log'!$D$4:$D$803)))</f>
        <v/>
      </c>
      <c r="CR192" s="8" t="str">
        <f>IF($B192="","",IF(COUNTIF('Competency Event Log'!$U$4:$U$803,$B192&amp;"|"&amp;CR$5)=0,"",SUMIF('Competency Event Log'!$U$4:$U$803,$B192&amp;"|"&amp;CR$5,'Competency Event Log'!$D$4:$D$803)))</f>
        <v/>
      </c>
      <c r="CS192" s="8" t="str">
        <f>IF($B192="","",IF(COUNTIF('Competency Event Log'!$U$4:$U$803,$B192&amp;"|"&amp;CS$5)=0,"",SUMIF('Competency Event Log'!$U$4:$U$803,$B192&amp;"|"&amp;CS$5,'Competency Event Log'!$D$4:$D$803)))</f>
        <v/>
      </c>
      <c r="CT192" s="8" t="str">
        <f>IF($B192="","",IF(COUNTIF('Competency Event Log'!$U$4:$U$803,$B192&amp;"|"&amp;CT$5)=0,"",SUMIF('Competency Event Log'!$U$4:$U$803,$B192&amp;"|"&amp;CT$5,'Competency Event Log'!$D$4:$D$803)))</f>
        <v/>
      </c>
      <c r="CU192" s="8" t="str">
        <f>IF($B192="","",IF(COUNTIF('Competency Event Log'!$U$4:$U$803,$B192&amp;"|"&amp;CU$5)=0,"",SUMIF('Competency Event Log'!$U$4:$U$803,$B192&amp;"|"&amp;CU$5,'Competency Event Log'!$D$4:$D$803)))</f>
        <v/>
      </c>
      <c r="CV192" s="8" t="str">
        <f>IF($B192="","",IF(COUNTIF('Competency Event Log'!$U$4:$U$803,$B192&amp;"|"&amp;CV$5)=0,"",SUMIF('Competency Event Log'!$U$4:$U$803,$B192&amp;"|"&amp;CV$5,'Competency Event Log'!$D$4:$D$803)))</f>
        <v/>
      </c>
      <c r="CW192" s="8" t="str">
        <f>IF($B192="","",IF(COUNTIF('Competency Event Log'!$U$4:$U$803,$B192&amp;"|"&amp;CW$5)=0,"",SUMIF('Competency Event Log'!$U$4:$U$803,$B192&amp;"|"&amp;CW$5,'Competency Event Log'!$D$4:$D$803)))</f>
        <v/>
      </c>
      <c r="CX192" s="8" t="str">
        <f>IF($B192="","",IF(COUNTIF('Competency Event Log'!$U$4:$U$803,$B192&amp;"|"&amp;CX$5)=0,"",SUMIF('Competency Event Log'!$U$4:$U$803,$B192&amp;"|"&amp;CX$5,'Competency Event Log'!$D$4:$D$803)))</f>
        <v/>
      </c>
      <c r="CY192" s="8" t="str">
        <f>IF($B192="","",IF(COUNTIF('Competency Event Log'!$U$4:$U$803,$B192&amp;"|"&amp;CY$5)=0,"",SUMIF('Competency Event Log'!$U$4:$U$803,$B192&amp;"|"&amp;CY$5,'Competency Event Log'!$D$4:$D$803)))</f>
        <v/>
      </c>
      <c r="CZ192" s="8" t="str">
        <f>IF($B192="","",IF(COUNTIF('Competency Event Log'!$U$4:$U$803,$B192&amp;"|"&amp;CZ$5)=0,"",SUMIF('Competency Event Log'!$U$4:$U$803,$B192&amp;"|"&amp;CZ$5,'Competency Event Log'!$D$4:$D$803)))</f>
        <v/>
      </c>
      <c r="DA192" s="8" t="str">
        <f>IF($B192="","",IF(COUNTIF('Competency Event Log'!$U$4:$U$803,$B192&amp;"|"&amp;DA$5)=0,"",SUMIF('Competency Event Log'!$U$4:$U$803,$B192&amp;"|"&amp;DA$5,'Competency Event Log'!$D$4:$D$803)))</f>
        <v/>
      </c>
      <c r="DB192" s="8" t="str">
        <f>IF($B192="","",IF(COUNTIF('Competency Event Log'!$U$4:$U$803,$B192&amp;"|"&amp;DB$5)=0,"",SUMIF('Competency Event Log'!$U$4:$U$803,$B192&amp;"|"&amp;DB$5,'Competency Event Log'!$D$4:$D$803)))</f>
        <v/>
      </c>
      <c r="DC192" s="8" t="str">
        <f>IF($B192="","",IF(COUNTIF('Competency Event Log'!$U$4:$U$803,$B192&amp;"|"&amp;DC$5)=0,"",SUMIF('Competency Event Log'!$U$4:$U$803,$B192&amp;"|"&amp;DC$5,'Competency Event Log'!$D$4:$D$803)))</f>
        <v/>
      </c>
      <c r="DD192" s="8" t="str">
        <f>IF($B192="","",IF(COUNTIF('Competency Event Log'!$U$4:$U$803,$B192&amp;"|"&amp;DD$5)=0,"",SUMIF('Competency Event Log'!$U$4:$U$803,$B192&amp;"|"&amp;DD$5,'Competency Event Log'!$D$4:$D$803)))</f>
        <v/>
      </c>
      <c r="DE192" s="8" t="str">
        <f>IF($B192="","",IF(COUNTIF('Competency Event Log'!$U$4:$U$803,$B192&amp;"|"&amp;DE$5)=0,"",SUMIF('Competency Event Log'!$U$4:$U$803,$B192&amp;"|"&amp;DE$5,'Competency Event Log'!$D$4:$D$803)))</f>
        <v/>
      </c>
      <c r="DF192" s="8" t="str">
        <f t="shared" si="20"/>
        <v/>
      </c>
      <c r="DG192" s="8" t="str">
        <f t="shared" si="21"/>
        <v/>
      </c>
      <c r="DH192" s="8" t="str">
        <f t="shared" si="22"/>
        <v/>
      </c>
      <c r="DI192" s="11" t="str">
        <f t="shared" si="23"/>
        <v/>
      </c>
    </row>
    <row r="193" spans="1:113">
      <c r="A193" s="7"/>
      <c r="B193" s="7"/>
      <c r="C193" s="8"/>
      <c r="D193" s="9"/>
      <c r="E193" s="10"/>
      <c r="F193" s="8"/>
      <c r="G193" s="8" t="str">
        <f>IF($B193="","",IF(COUNTIF('Competency Event Log'!$U$4:$U$803,$B193&amp;"|"&amp;G$5)=0,"",SUMIF('Competency Event Log'!$U$4:$U$803,$B193&amp;"|"&amp;G$5,'Competency Event Log'!$D$4:$D$803)))</f>
        <v/>
      </c>
      <c r="H193" s="8" t="str">
        <f>IF($B193="","",IF(COUNTIF('Competency Event Log'!$U$4:$U$803,$B193&amp;"|"&amp;H$5)=0,"",SUMIF('Competency Event Log'!$U$4:$U$803,$B193&amp;"|"&amp;H$5,'Competency Event Log'!$D$4:$D$803)))</f>
        <v/>
      </c>
      <c r="I193" s="8" t="str">
        <f>IF($B193="","",IF(COUNTIF('Competency Event Log'!$U$4:$U$803,$B193&amp;"|"&amp;I$5)=0,"",SUMIF('Competency Event Log'!$U$4:$U$803,$B193&amp;"|"&amp;I$5,'Competency Event Log'!$D$4:$D$803)))</f>
        <v/>
      </c>
      <c r="J193" s="8" t="str">
        <f>IF($B193="","",IF(COUNTIF('Competency Event Log'!$U$4:$U$803,$B193&amp;"|"&amp;J$5)=0,"",SUMIF('Competency Event Log'!$U$4:$U$803,$B193&amp;"|"&amp;J$5,'Competency Event Log'!$D$4:$D$803)))</f>
        <v/>
      </c>
      <c r="K193" s="8" t="str">
        <f>IF($B193="","",IF(COUNTIF('Competency Event Log'!$U$4:$U$803,$B193&amp;"|"&amp;K$5)=0,"",SUMIF('Competency Event Log'!$U$4:$U$803,$B193&amp;"|"&amp;K$5,'Competency Event Log'!$D$4:$D$803)))</f>
        <v/>
      </c>
      <c r="L193" s="8" t="str">
        <f>IF($B193="","",IF(COUNTIF('Competency Event Log'!$U$4:$U$803,$B193&amp;"|"&amp;L$5)=0,"",SUMIF('Competency Event Log'!$U$4:$U$803,$B193&amp;"|"&amp;L$5,'Competency Event Log'!$D$4:$D$803)))</f>
        <v/>
      </c>
      <c r="M193" s="8" t="str">
        <f>IF($B193="","",IF(COUNTIF('Competency Event Log'!$U$4:$U$803,$B193&amp;"|"&amp;M$5)=0,"",SUMIF('Competency Event Log'!$U$4:$U$803,$B193&amp;"|"&amp;M$5,'Competency Event Log'!$D$4:$D$803)))</f>
        <v/>
      </c>
      <c r="N193" s="8" t="str">
        <f>IF($B193="","",IF(COUNTIF('Competency Event Log'!$U$4:$U$803,$B193&amp;"|"&amp;N$5)=0,"",SUMIF('Competency Event Log'!$U$4:$U$803,$B193&amp;"|"&amp;N$5,'Competency Event Log'!$D$4:$D$803)))</f>
        <v/>
      </c>
      <c r="O193" s="8" t="str">
        <f>IF($B193="","",IF(COUNTIF('Competency Event Log'!$U$4:$U$803,$B193&amp;"|"&amp;O$5)=0,"",SUMIF('Competency Event Log'!$U$4:$U$803,$B193&amp;"|"&amp;O$5,'Competency Event Log'!$D$4:$D$803)))</f>
        <v/>
      </c>
      <c r="P193" s="8" t="str">
        <f>IF($B193="","",IF(COUNTIF('Competency Event Log'!$U$4:$U$803,$B193&amp;"|"&amp;P$5)=0,"",SUMIF('Competency Event Log'!$U$4:$U$803,$B193&amp;"|"&amp;P$5,'Competency Event Log'!$D$4:$D$803)))</f>
        <v/>
      </c>
      <c r="Q193" s="8" t="str">
        <f>IF($B193="","",IF(COUNTIF('Competency Event Log'!$U$4:$U$803,$B193&amp;"|"&amp;Q$5)=0,"",SUMIF('Competency Event Log'!$U$4:$U$803,$B193&amp;"|"&amp;Q$5,'Competency Event Log'!$D$4:$D$803)))</f>
        <v/>
      </c>
      <c r="R193" s="8" t="str">
        <f>IF($B193="","",IF(COUNTIF('Competency Event Log'!$U$4:$U$803,$B193&amp;"|"&amp;R$5)=0,"",SUMIF('Competency Event Log'!$U$4:$U$803,$B193&amp;"|"&amp;R$5,'Competency Event Log'!$D$4:$D$803)))</f>
        <v/>
      </c>
      <c r="S193" s="8" t="str">
        <f>IF($B193="","",IF(COUNTIF('Competency Event Log'!$U$4:$U$803,$B193&amp;"|"&amp;S$5)=0,"",SUMIF('Competency Event Log'!$U$4:$U$803,$B193&amp;"|"&amp;S$5,'Competency Event Log'!$D$4:$D$803)))</f>
        <v/>
      </c>
      <c r="T193" s="8" t="str">
        <f>IF($B193="","",IF(COUNTIF('Competency Event Log'!$U$4:$U$803,$B193&amp;"|"&amp;T$5)=0,"",SUMIF('Competency Event Log'!$U$4:$U$803,$B193&amp;"|"&amp;T$5,'Competency Event Log'!$D$4:$D$803)))</f>
        <v/>
      </c>
      <c r="U193" s="8" t="str">
        <f>IF($B193="","",IF(COUNTIF('Competency Event Log'!$U$4:$U$803,$B193&amp;"|"&amp;U$5)=0,"",SUMIF('Competency Event Log'!$U$4:$U$803,$B193&amp;"|"&amp;U$5,'Competency Event Log'!$D$4:$D$803)))</f>
        <v/>
      </c>
      <c r="V193" s="8" t="str">
        <f>IF($B193="","",IF(COUNTIF('Competency Event Log'!$U$4:$U$803,$B193&amp;"|"&amp;V$5)=0,"",SUMIF('Competency Event Log'!$U$4:$U$803,$B193&amp;"|"&amp;V$5,'Competency Event Log'!$D$4:$D$803)))</f>
        <v/>
      </c>
      <c r="W193" s="8" t="str">
        <f>IF($B193="","",IF(COUNTIF('Competency Event Log'!$U$4:$U$803,$B193&amp;"|"&amp;W$5)=0,"",SUMIF('Competency Event Log'!$U$4:$U$803,$B193&amp;"|"&amp;W$5,'Competency Event Log'!$D$4:$D$803)))</f>
        <v/>
      </c>
      <c r="X193" s="8" t="str">
        <f>IF($B193="","",IF(COUNTIF('Competency Event Log'!$U$4:$U$803,$B193&amp;"|"&amp;X$5)=0,"",SUMIF('Competency Event Log'!$U$4:$U$803,$B193&amp;"|"&amp;X$5,'Competency Event Log'!$D$4:$D$803)))</f>
        <v/>
      </c>
      <c r="Y193" s="8" t="str">
        <f>IF($B193="","",IF(COUNTIF('Competency Event Log'!$U$4:$U$803,$B193&amp;"|"&amp;Y$5)=0,"",SUMIF('Competency Event Log'!$U$4:$U$803,$B193&amp;"|"&amp;Y$5,'Competency Event Log'!$D$4:$D$803)))</f>
        <v/>
      </c>
      <c r="Z193" s="8" t="str">
        <f>IF($B193="","",IF(COUNTIF('Competency Event Log'!$U$4:$U$803,$B193&amp;"|"&amp;Z$5)=0,"",SUMIF('Competency Event Log'!$U$4:$U$803,$B193&amp;"|"&amp;Z$5,'Competency Event Log'!$D$4:$D$803)))</f>
        <v/>
      </c>
      <c r="AA193" s="8" t="str">
        <f>IF($B193="","",IF(COUNTIF('Competency Event Log'!$U$4:$U$803,$B193&amp;"|"&amp;AA$5)=0,"",SUMIF('Competency Event Log'!$U$4:$U$803,$B193&amp;"|"&amp;AA$5,'Competency Event Log'!$D$4:$D$803)))</f>
        <v/>
      </c>
      <c r="AB193" s="8" t="str">
        <f>IF($B193="","",IF(COUNTIF('Competency Event Log'!$U$4:$U$803,$B193&amp;"|"&amp;AB$5)=0,"",SUMIF('Competency Event Log'!$U$4:$U$803,$B193&amp;"|"&amp;AB$5,'Competency Event Log'!$D$4:$D$803)))</f>
        <v/>
      </c>
      <c r="AC193" s="8" t="str">
        <f>IF($B193="","",IF(COUNTIF('Competency Event Log'!$U$4:$U$803,$B193&amp;"|"&amp;AC$5)=0,"",SUMIF('Competency Event Log'!$U$4:$U$803,$B193&amp;"|"&amp;AC$5,'Competency Event Log'!$D$4:$D$803)))</f>
        <v/>
      </c>
      <c r="AD193" s="8" t="str">
        <f>IF($B193="","",IF(COUNTIF('Competency Event Log'!$U$4:$U$803,$B193&amp;"|"&amp;AD$5)=0,"",SUMIF('Competency Event Log'!$U$4:$U$803,$B193&amp;"|"&amp;AD$5,'Competency Event Log'!$D$4:$D$803)))</f>
        <v/>
      </c>
      <c r="AE193" s="8" t="str">
        <f>IF($B193="","",IF(COUNTIF('Competency Event Log'!$U$4:$U$803,$B193&amp;"|"&amp;AE$5)=0,"",SUMIF('Competency Event Log'!$U$4:$U$803,$B193&amp;"|"&amp;AE$5,'Competency Event Log'!$D$4:$D$803)))</f>
        <v/>
      </c>
      <c r="AF193" s="8" t="str">
        <f>IF($B193="","",IF(COUNTIF('Competency Event Log'!$U$4:$U$803,$B193&amp;"|"&amp;AF$5)=0,"",SUMIF('Competency Event Log'!$U$4:$U$803,$B193&amp;"|"&amp;AF$5,'Competency Event Log'!$D$4:$D$803)))</f>
        <v/>
      </c>
      <c r="AG193" s="8" t="str">
        <f>IF($B193="","",IF(COUNTIF('Competency Event Log'!$U$4:$U$803,$B193&amp;"|"&amp;AG$5)=0,"",SUMIF('Competency Event Log'!$U$4:$U$803,$B193&amp;"|"&amp;AG$5,'Competency Event Log'!$D$4:$D$803)))</f>
        <v/>
      </c>
      <c r="AH193" s="8" t="str">
        <f>IF($B193="","",IF(COUNTIF('Competency Event Log'!$U$4:$U$803,$B193&amp;"|"&amp;AH$5)=0,"",SUMIF('Competency Event Log'!$U$4:$U$803,$B193&amp;"|"&amp;AH$5,'Competency Event Log'!$D$4:$D$803)))</f>
        <v/>
      </c>
      <c r="AI193" s="8" t="str">
        <f>IF($B193="","",IF(COUNTIF('Competency Event Log'!$U$4:$U$803,$B193&amp;"|"&amp;AI$5)=0,"",SUMIF('Competency Event Log'!$U$4:$U$803,$B193&amp;"|"&amp;AI$5,'Competency Event Log'!$D$4:$D$803)))</f>
        <v/>
      </c>
      <c r="AJ193" s="8" t="str">
        <f>IF($B193="","",IF(COUNTIF('Competency Event Log'!$U$4:$U$803,$B193&amp;"|"&amp;AJ$5)=0,"",SUMIF('Competency Event Log'!$U$4:$U$803,$B193&amp;"|"&amp;AJ$5,'Competency Event Log'!$D$4:$D$803)))</f>
        <v/>
      </c>
      <c r="AK193" s="8" t="str">
        <f>IF($B193="","",IF(COUNTIF('Competency Event Log'!$U$4:$U$803,$B193&amp;"|"&amp;AK$5)=0,"",SUMIF('Competency Event Log'!$U$4:$U$803,$B193&amp;"|"&amp;AK$5,'Competency Event Log'!$D$4:$D$803)))</f>
        <v/>
      </c>
      <c r="AL193" s="8" t="str">
        <f>IF($B193="","",IF(COUNTIF('Competency Event Log'!$U$4:$U$803,$B193&amp;"|"&amp;AL$5)=0,"",SUMIF('Competency Event Log'!$U$4:$U$803,$B193&amp;"|"&amp;AL$5,'Competency Event Log'!$D$4:$D$803)))</f>
        <v/>
      </c>
      <c r="AM193" s="8" t="str">
        <f>IF($B193="","",IF(COUNTIF('Competency Event Log'!$U$4:$U$803,$B193&amp;"|"&amp;AM$5)=0,"",SUMIF('Competency Event Log'!$U$4:$U$803,$B193&amp;"|"&amp;AM$5,'Competency Event Log'!$D$4:$D$803)))</f>
        <v/>
      </c>
      <c r="AN193" s="8" t="str">
        <f>IF($B193="","",IF(COUNTIF('Competency Event Log'!$U$4:$U$803,$B193&amp;"|"&amp;AN$5)=0,"",SUMIF('Competency Event Log'!$U$4:$U$803,$B193&amp;"|"&amp;AN$5,'Competency Event Log'!$D$4:$D$803)))</f>
        <v/>
      </c>
      <c r="AO193" s="8" t="str">
        <f>IF($B193="","",IF(COUNTIF('Competency Event Log'!$U$4:$U$803,$B193&amp;"|"&amp;AO$5)=0,"",SUMIF('Competency Event Log'!$U$4:$U$803,$B193&amp;"|"&amp;AO$5,'Competency Event Log'!$D$4:$D$803)))</f>
        <v/>
      </c>
      <c r="AP193" s="8" t="str">
        <f>IF($B193="","",IF(COUNTIF('Competency Event Log'!$U$4:$U$803,$B193&amp;"|"&amp;AP$5)=0,"",SUMIF('Competency Event Log'!$U$4:$U$803,$B193&amp;"|"&amp;AP$5,'Competency Event Log'!$D$4:$D$803)))</f>
        <v/>
      </c>
      <c r="AQ193" s="8" t="str">
        <f>IF($B193="","",IF(COUNTIF('Competency Event Log'!$U$4:$U$803,$B193&amp;"|"&amp;AQ$5)=0,"",SUMIF('Competency Event Log'!$U$4:$U$803,$B193&amp;"|"&amp;AQ$5,'Competency Event Log'!$D$4:$D$803)))</f>
        <v/>
      </c>
      <c r="AR193" s="8" t="str">
        <f>IF($B193="","",IF(COUNTIF('Competency Event Log'!$U$4:$U$803,$B193&amp;"|"&amp;AR$5)=0,"",SUMIF('Competency Event Log'!$U$4:$U$803,$B193&amp;"|"&amp;AR$5,'Competency Event Log'!$D$4:$D$803)))</f>
        <v/>
      </c>
      <c r="AS193" s="8" t="str">
        <f>IF($B193="","",IF(COUNTIF('Competency Event Log'!$U$4:$U$803,$B193&amp;"|"&amp;AS$5)=0,"",SUMIF('Competency Event Log'!$U$4:$U$803,$B193&amp;"|"&amp;AS$5,'Competency Event Log'!$D$4:$D$803)))</f>
        <v/>
      </c>
      <c r="AT193" s="8" t="str">
        <f>IF($B193="","",IF(COUNTIF('Competency Event Log'!$U$4:$U$803,$B193&amp;"|"&amp;AT$5)=0,"",SUMIF('Competency Event Log'!$U$4:$U$803,$B193&amp;"|"&amp;AT$5,'Competency Event Log'!$D$4:$D$803)))</f>
        <v/>
      </c>
      <c r="AU193" s="8" t="str">
        <f>IF($B193="","",IF(COUNTIF('Competency Event Log'!$U$4:$U$803,$B193&amp;"|"&amp;AU$5)=0,"",SUMIF('Competency Event Log'!$U$4:$U$803,$B193&amp;"|"&amp;AU$5,'Competency Event Log'!$D$4:$D$803)))</f>
        <v/>
      </c>
      <c r="AV193" s="8" t="str">
        <f>IF($B193="","",IF(COUNTIF('Competency Event Log'!$U$4:$U$803,$B193&amp;"|"&amp;AV$5)=0,"",SUMIF('Competency Event Log'!$U$4:$U$803,$B193&amp;"|"&amp;AV$5,'Competency Event Log'!$D$4:$D$803)))</f>
        <v/>
      </c>
      <c r="AW193" s="8" t="str">
        <f>IF($B193="","",IF(COUNTIF('Competency Event Log'!$U$4:$U$803,$B193&amp;"|"&amp;AW$5)=0,"",SUMIF('Competency Event Log'!$U$4:$U$803,$B193&amp;"|"&amp;AW$5,'Competency Event Log'!$D$4:$D$803)))</f>
        <v/>
      </c>
      <c r="AX193" s="8" t="str">
        <f>IF($B193="","",IF(COUNTIF('Competency Event Log'!$U$4:$U$803,$B193&amp;"|"&amp;AX$5)=0,"",SUMIF('Competency Event Log'!$U$4:$U$803,$B193&amp;"|"&amp;AX$5,'Competency Event Log'!$D$4:$D$803)))</f>
        <v/>
      </c>
      <c r="AY193" s="8" t="str">
        <f>IF($B193="","",IF(COUNTIF('Competency Event Log'!$U$4:$U$803,$B193&amp;"|"&amp;AY$5)=0,"",SUMIF('Competency Event Log'!$U$4:$U$803,$B193&amp;"|"&amp;AY$5,'Competency Event Log'!$D$4:$D$803)))</f>
        <v/>
      </c>
      <c r="AZ193" s="8" t="str">
        <f>IF($B193="","",IF(COUNTIF('Competency Event Log'!$U$4:$U$803,$B193&amp;"|"&amp;AZ$5)=0,"",SUMIF('Competency Event Log'!$U$4:$U$803,$B193&amp;"|"&amp;AZ$5,'Competency Event Log'!$D$4:$D$803)))</f>
        <v/>
      </c>
      <c r="BA193" s="8" t="str">
        <f>IF($B193="","",IF(COUNTIF('Competency Event Log'!$U$4:$U$803,$B193&amp;"|"&amp;BA$5)=0,"",SUMIF('Competency Event Log'!$U$4:$U$803,$B193&amp;"|"&amp;BA$5,'Competency Event Log'!$D$4:$D$803)))</f>
        <v/>
      </c>
      <c r="BB193" s="8" t="str">
        <f>IF($B193="","",IF(COUNTIF('Competency Event Log'!$U$4:$U$803,$B193&amp;"|"&amp;BB$5)=0,"",SUMIF('Competency Event Log'!$U$4:$U$803,$B193&amp;"|"&amp;BB$5,'Competency Event Log'!$D$4:$D$803)))</f>
        <v/>
      </c>
      <c r="BC193" s="8" t="str">
        <f>IF($B193="","",IF(COUNTIF('Competency Event Log'!$U$4:$U$803,$B193&amp;"|"&amp;BC$5)=0,"",SUMIF('Competency Event Log'!$U$4:$U$803,$B193&amp;"|"&amp;BC$5,'Competency Event Log'!$D$4:$D$803)))</f>
        <v/>
      </c>
      <c r="BD193" s="8" t="str">
        <f>IF($B193="","",IF(COUNTIF('Competency Event Log'!$U$4:$U$803,$B193&amp;"|"&amp;BD$5)=0,"",SUMIF('Competency Event Log'!$U$4:$U$803,$B193&amp;"|"&amp;BD$5,'Competency Event Log'!$D$4:$D$803)))</f>
        <v/>
      </c>
      <c r="BE193" s="8" t="str">
        <f>IF($B193="","",IF(COUNTIF('Competency Event Log'!$U$4:$U$803,$B193&amp;"|"&amp;BE$5)=0,"",SUMIF('Competency Event Log'!$U$4:$U$803,$B193&amp;"|"&amp;BE$5,'Competency Event Log'!$D$4:$D$803)))</f>
        <v/>
      </c>
      <c r="BF193" s="8" t="str">
        <f>IF($B193="","",IF(COUNTIF('Competency Event Log'!$U$4:$U$803,$B193&amp;"|"&amp;BF$5)=0,"",SUMIF('Competency Event Log'!$U$4:$U$803,$B193&amp;"|"&amp;BF$5,'Competency Event Log'!$D$4:$D$803)))</f>
        <v/>
      </c>
      <c r="BG193" s="8" t="str">
        <f>IF($B193="","",IF(COUNTIF('Competency Event Log'!$U$4:$U$803,$B193&amp;"|"&amp;BG$5)=0,"",SUMIF('Competency Event Log'!$U$4:$U$803,$B193&amp;"|"&amp;BG$5,'Competency Event Log'!$D$4:$D$803)))</f>
        <v/>
      </c>
      <c r="BH193" s="8" t="str">
        <f>IF($B193="","",IF(COUNTIF('Competency Event Log'!$U$4:$U$803,$B193&amp;"|"&amp;BH$5)=0,"",SUMIF('Competency Event Log'!$U$4:$U$803,$B193&amp;"|"&amp;BH$5,'Competency Event Log'!$D$4:$D$803)))</f>
        <v/>
      </c>
      <c r="BI193" s="8" t="str">
        <f>IF($B193="","",IF(COUNTIF('Competency Event Log'!$U$4:$U$803,$B193&amp;"|"&amp;BI$5)=0,"",SUMIF('Competency Event Log'!$U$4:$U$803,$B193&amp;"|"&amp;BI$5,'Competency Event Log'!$D$4:$D$803)))</f>
        <v/>
      </c>
      <c r="BJ193" s="8" t="str">
        <f>IF($B193="","",IF(COUNTIF('Competency Event Log'!$U$4:$U$803,$B193&amp;"|"&amp;BJ$5)=0,"",SUMIF('Competency Event Log'!$U$4:$U$803,$B193&amp;"|"&amp;BJ$5,'Competency Event Log'!$D$4:$D$803)))</f>
        <v/>
      </c>
      <c r="BK193" s="8" t="str">
        <f>IF($B193="","",IF(COUNTIF('Competency Event Log'!$U$4:$U$803,$B193&amp;"|"&amp;BK$5)=0,"",SUMIF('Competency Event Log'!$U$4:$U$803,$B193&amp;"|"&amp;BK$5,'Competency Event Log'!$D$4:$D$803)))</f>
        <v/>
      </c>
      <c r="BL193" s="8" t="str">
        <f>IF($B193="","",IF(COUNTIF('Competency Event Log'!$U$4:$U$803,$B193&amp;"|"&amp;BL$5)=0,"",SUMIF('Competency Event Log'!$U$4:$U$803,$B193&amp;"|"&amp;BL$5,'Competency Event Log'!$D$4:$D$803)))</f>
        <v/>
      </c>
      <c r="BM193" s="8" t="str">
        <f>IF($B193="","",IF(COUNTIF('Competency Event Log'!$U$4:$U$803,$B193&amp;"|"&amp;BM$5)=0,"",SUMIF('Competency Event Log'!$U$4:$U$803,$B193&amp;"|"&amp;BM$5,'Competency Event Log'!$D$4:$D$803)))</f>
        <v/>
      </c>
      <c r="BN193" s="8" t="str">
        <f>IF($B193="","",IF(COUNTIF('Competency Event Log'!$U$4:$U$803,$B193&amp;"|"&amp;BN$5)=0,"",SUMIF('Competency Event Log'!$U$4:$U$803,$B193&amp;"|"&amp;BN$5,'Competency Event Log'!$D$4:$D$803)))</f>
        <v/>
      </c>
      <c r="BO193" s="8" t="str">
        <f>IF($B193="","",IF(COUNTIF('Competency Event Log'!$U$4:$U$803,$B193&amp;"|"&amp;BO$5)=0,"",SUMIF('Competency Event Log'!$U$4:$U$803,$B193&amp;"|"&amp;BO$5,'Competency Event Log'!$D$4:$D$803)))</f>
        <v/>
      </c>
      <c r="BP193" s="8" t="str">
        <f>IF($B193="","",IF(COUNTIF('Competency Event Log'!$U$4:$U$803,$B193&amp;"|"&amp;BP$5)=0,"",SUMIF('Competency Event Log'!$U$4:$U$803,$B193&amp;"|"&amp;BP$5,'Competency Event Log'!$D$4:$D$803)))</f>
        <v/>
      </c>
      <c r="BQ193" s="8" t="str">
        <f>IF($B193="","",IF(COUNTIF('Competency Event Log'!$U$4:$U$803,$B193&amp;"|"&amp;BQ$5)=0,"",SUMIF('Competency Event Log'!$U$4:$U$803,$B193&amp;"|"&amp;BQ$5,'Competency Event Log'!$D$4:$D$803)))</f>
        <v/>
      </c>
      <c r="BR193" s="8" t="str">
        <f>IF($B193="","",IF(COUNTIF('Competency Event Log'!$U$4:$U$803,$B193&amp;"|"&amp;BR$5)=0,"",SUMIF('Competency Event Log'!$U$4:$U$803,$B193&amp;"|"&amp;BR$5,'Competency Event Log'!$D$4:$D$803)))</f>
        <v/>
      </c>
      <c r="BS193" s="8" t="str">
        <f>IF($B193="","",IF(COUNTIF('Competency Event Log'!$U$4:$U$803,$B193&amp;"|"&amp;BS$5)=0,"",SUMIF('Competency Event Log'!$U$4:$U$803,$B193&amp;"|"&amp;BS$5,'Competency Event Log'!$D$4:$D$803)))</f>
        <v/>
      </c>
      <c r="BT193" s="8" t="str">
        <f>IF($B193="","",IF(COUNTIF('Competency Event Log'!$U$4:$U$803,$B193&amp;"|"&amp;BT$5)=0,"",SUMIF('Competency Event Log'!$U$4:$U$803,$B193&amp;"|"&amp;BT$5,'Competency Event Log'!$D$4:$D$803)))</f>
        <v/>
      </c>
      <c r="BU193" s="8" t="str">
        <f>IF($B193="","",IF(COUNTIF('Competency Event Log'!$U$4:$U$803,$B193&amp;"|"&amp;BU$5)=0,"",SUMIF('Competency Event Log'!$U$4:$U$803,$B193&amp;"|"&amp;BU$5,'Competency Event Log'!$D$4:$D$803)))</f>
        <v/>
      </c>
      <c r="BV193" s="8" t="str">
        <f>IF($B193="","",IF(COUNTIF('Competency Event Log'!$U$4:$U$803,$B193&amp;"|"&amp;BV$5)=0,"",SUMIF('Competency Event Log'!$U$4:$U$803,$B193&amp;"|"&amp;BV$5,'Competency Event Log'!$D$4:$D$803)))</f>
        <v/>
      </c>
      <c r="BW193" s="8" t="str">
        <f>IF($B193="","",IF(COUNTIF('Competency Event Log'!$U$4:$U$803,$B193&amp;"|"&amp;BW$5)=0,"",SUMIF('Competency Event Log'!$U$4:$U$803,$B193&amp;"|"&amp;BW$5,'Competency Event Log'!$D$4:$D$803)))</f>
        <v/>
      </c>
      <c r="BX193" s="8" t="str">
        <f>IF($B193="","",IF(COUNTIF('Competency Event Log'!$U$4:$U$803,$B193&amp;"|"&amp;BX$5)=0,"",SUMIF('Competency Event Log'!$U$4:$U$803,$B193&amp;"|"&amp;BX$5,'Competency Event Log'!$D$4:$D$803)))</f>
        <v/>
      </c>
      <c r="BY193" s="8" t="str">
        <f>IF($B193="","",IF(COUNTIF('Competency Event Log'!$U$4:$U$803,$B193&amp;"|"&amp;BY$5)=0,"",SUMIF('Competency Event Log'!$U$4:$U$803,$B193&amp;"|"&amp;BY$5,'Competency Event Log'!$D$4:$D$803)))</f>
        <v/>
      </c>
      <c r="BZ193" s="8" t="str">
        <f>IF($B193="","",IF(COUNTIF('Competency Event Log'!$U$4:$U$803,$B193&amp;"|"&amp;BZ$5)=0,"",SUMIF('Competency Event Log'!$U$4:$U$803,$B193&amp;"|"&amp;BZ$5,'Competency Event Log'!$D$4:$D$803)))</f>
        <v/>
      </c>
      <c r="CA193" s="8" t="str">
        <f>IF($B193="","",IF(COUNTIF('Competency Event Log'!$U$4:$U$803,$B193&amp;"|"&amp;CA$5)=0,"",SUMIF('Competency Event Log'!$U$4:$U$803,$B193&amp;"|"&amp;CA$5,'Competency Event Log'!$D$4:$D$803)))</f>
        <v/>
      </c>
      <c r="CB193" s="8" t="str">
        <f>IF($B193="","",IF(COUNTIF('Competency Event Log'!$U$4:$U$803,$B193&amp;"|"&amp;CB$5)=0,"",SUMIF('Competency Event Log'!$U$4:$U$803,$B193&amp;"|"&amp;CB$5,'Competency Event Log'!$D$4:$D$803)))</f>
        <v/>
      </c>
      <c r="CC193" s="8" t="str">
        <f>IF($B193="","",IF(COUNTIF('Competency Event Log'!$U$4:$U$803,$B193&amp;"|"&amp;CC$5)=0,"",SUMIF('Competency Event Log'!$U$4:$U$803,$B193&amp;"|"&amp;CC$5,'Competency Event Log'!$D$4:$D$803)))</f>
        <v/>
      </c>
      <c r="CD193" s="8" t="str">
        <f>IF($B193="","",IF(COUNTIF('Competency Event Log'!$U$4:$U$803,$B193&amp;"|"&amp;CD$5)=0,"",SUMIF('Competency Event Log'!$U$4:$U$803,$B193&amp;"|"&amp;CD$5,'Competency Event Log'!$D$4:$D$803)))</f>
        <v/>
      </c>
      <c r="CE193" s="8" t="str">
        <f>IF($B193="","",IF(COUNTIF('Competency Event Log'!$U$4:$U$803,$B193&amp;"|"&amp;CE$5)=0,"",SUMIF('Competency Event Log'!$U$4:$U$803,$B193&amp;"|"&amp;CE$5,'Competency Event Log'!$D$4:$D$803)))</f>
        <v/>
      </c>
      <c r="CF193" s="8" t="str">
        <f>IF($B193="","",IF(COUNTIF('Competency Event Log'!$U$4:$U$803,$B193&amp;"|"&amp;CF$5)=0,"",SUMIF('Competency Event Log'!$U$4:$U$803,$B193&amp;"|"&amp;CF$5,'Competency Event Log'!$D$4:$D$803)))</f>
        <v/>
      </c>
      <c r="CG193" s="8" t="str">
        <f>IF($B193="","",IF(COUNTIF('Competency Event Log'!$U$4:$U$803,$B193&amp;"|"&amp;CG$5)=0,"",SUMIF('Competency Event Log'!$U$4:$U$803,$B193&amp;"|"&amp;CG$5,'Competency Event Log'!$D$4:$D$803)))</f>
        <v/>
      </c>
      <c r="CH193" s="8" t="str">
        <f>IF($B193="","",IF(COUNTIF('Competency Event Log'!$U$4:$U$803,$B193&amp;"|"&amp;CH$5)=0,"",SUMIF('Competency Event Log'!$U$4:$U$803,$B193&amp;"|"&amp;CH$5,'Competency Event Log'!$D$4:$D$803)))</f>
        <v/>
      </c>
      <c r="CI193" s="8" t="str">
        <f>IF($B193="","",IF(COUNTIF('Competency Event Log'!$U$4:$U$803,$B193&amp;"|"&amp;CI$5)=0,"",SUMIF('Competency Event Log'!$U$4:$U$803,$B193&amp;"|"&amp;CI$5,'Competency Event Log'!$D$4:$D$803)))</f>
        <v/>
      </c>
      <c r="CJ193" s="8" t="str">
        <f>IF($B193="","",IF(COUNTIF('Competency Event Log'!$U$4:$U$803,$B193&amp;"|"&amp;CJ$5)=0,"",SUMIF('Competency Event Log'!$U$4:$U$803,$B193&amp;"|"&amp;CJ$5,'Competency Event Log'!$D$4:$D$803)))</f>
        <v/>
      </c>
      <c r="CK193" s="8" t="str">
        <f>IF($B193="","",IF(COUNTIF('Competency Event Log'!$U$4:$U$803,$B193&amp;"|"&amp;CK$5)=0,"",SUMIF('Competency Event Log'!$U$4:$U$803,$B193&amp;"|"&amp;CK$5,'Competency Event Log'!$D$4:$D$803)))</f>
        <v/>
      </c>
      <c r="CL193" s="8" t="str">
        <f>IF($B193="","",IF(COUNTIF('Competency Event Log'!$U$4:$U$803,$B193&amp;"|"&amp;CL$5)=0,"",SUMIF('Competency Event Log'!$U$4:$U$803,$B193&amp;"|"&amp;CL$5,'Competency Event Log'!$D$4:$D$803)))</f>
        <v/>
      </c>
      <c r="CM193" s="8" t="str">
        <f>IF($B193="","",IF(COUNTIF('Competency Event Log'!$U$4:$U$803,$B193&amp;"|"&amp;CM$5)=0,"",SUMIF('Competency Event Log'!$U$4:$U$803,$B193&amp;"|"&amp;CM$5,'Competency Event Log'!$D$4:$D$803)))</f>
        <v/>
      </c>
      <c r="CN193" s="8" t="str">
        <f>IF($B193="","",IF(COUNTIF('Competency Event Log'!$U$4:$U$803,$B193&amp;"|"&amp;CN$5)=0,"",SUMIF('Competency Event Log'!$U$4:$U$803,$B193&amp;"|"&amp;CN$5,'Competency Event Log'!$D$4:$D$803)))</f>
        <v/>
      </c>
      <c r="CO193" s="8" t="str">
        <f>IF($B193="","",IF(COUNTIF('Competency Event Log'!$U$4:$U$803,$B193&amp;"|"&amp;CO$5)=0,"",SUMIF('Competency Event Log'!$U$4:$U$803,$B193&amp;"|"&amp;CO$5,'Competency Event Log'!$D$4:$D$803)))</f>
        <v/>
      </c>
      <c r="CP193" s="8" t="str">
        <f>IF($B193="","",IF(COUNTIF('Competency Event Log'!$U$4:$U$803,$B193&amp;"|"&amp;CP$5)=0,"",SUMIF('Competency Event Log'!$U$4:$U$803,$B193&amp;"|"&amp;CP$5,'Competency Event Log'!$D$4:$D$803)))</f>
        <v/>
      </c>
      <c r="CQ193" s="8" t="str">
        <f>IF($B193="","",IF(COUNTIF('Competency Event Log'!$U$4:$U$803,$B193&amp;"|"&amp;CQ$5)=0,"",SUMIF('Competency Event Log'!$U$4:$U$803,$B193&amp;"|"&amp;CQ$5,'Competency Event Log'!$D$4:$D$803)))</f>
        <v/>
      </c>
      <c r="CR193" s="8" t="str">
        <f>IF($B193="","",IF(COUNTIF('Competency Event Log'!$U$4:$U$803,$B193&amp;"|"&amp;CR$5)=0,"",SUMIF('Competency Event Log'!$U$4:$U$803,$B193&amp;"|"&amp;CR$5,'Competency Event Log'!$D$4:$D$803)))</f>
        <v/>
      </c>
      <c r="CS193" s="8" t="str">
        <f>IF($B193="","",IF(COUNTIF('Competency Event Log'!$U$4:$U$803,$B193&amp;"|"&amp;CS$5)=0,"",SUMIF('Competency Event Log'!$U$4:$U$803,$B193&amp;"|"&amp;CS$5,'Competency Event Log'!$D$4:$D$803)))</f>
        <v/>
      </c>
      <c r="CT193" s="8" t="str">
        <f>IF($B193="","",IF(COUNTIF('Competency Event Log'!$U$4:$U$803,$B193&amp;"|"&amp;CT$5)=0,"",SUMIF('Competency Event Log'!$U$4:$U$803,$B193&amp;"|"&amp;CT$5,'Competency Event Log'!$D$4:$D$803)))</f>
        <v/>
      </c>
      <c r="CU193" s="8" t="str">
        <f>IF($B193="","",IF(COUNTIF('Competency Event Log'!$U$4:$U$803,$B193&amp;"|"&amp;CU$5)=0,"",SUMIF('Competency Event Log'!$U$4:$U$803,$B193&amp;"|"&amp;CU$5,'Competency Event Log'!$D$4:$D$803)))</f>
        <v/>
      </c>
      <c r="CV193" s="8" t="str">
        <f>IF($B193="","",IF(COUNTIF('Competency Event Log'!$U$4:$U$803,$B193&amp;"|"&amp;CV$5)=0,"",SUMIF('Competency Event Log'!$U$4:$U$803,$B193&amp;"|"&amp;CV$5,'Competency Event Log'!$D$4:$D$803)))</f>
        <v/>
      </c>
      <c r="CW193" s="8" t="str">
        <f>IF($B193="","",IF(COUNTIF('Competency Event Log'!$U$4:$U$803,$B193&amp;"|"&amp;CW$5)=0,"",SUMIF('Competency Event Log'!$U$4:$U$803,$B193&amp;"|"&amp;CW$5,'Competency Event Log'!$D$4:$D$803)))</f>
        <v/>
      </c>
      <c r="CX193" s="8" t="str">
        <f>IF($B193="","",IF(COUNTIF('Competency Event Log'!$U$4:$U$803,$B193&amp;"|"&amp;CX$5)=0,"",SUMIF('Competency Event Log'!$U$4:$U$803,$B193&amp;"|"&amp;CX$5,'Competency Event Log'!$D$4:$D$803)))</f>
        <v/>
      </c>
      <c r="CY193" s="8" t="str">
        <f>IF($B193="","",IF(COUNTIF('Competency Event Log'!$U$4:$U$803,$B193&amp;"|"&amp;CY$5)=0,"",SUMIF('Competency Event Log'!$U$4:$U$803,$B193&amp;"|"&amp;CY$5,'Competency Event Log'!$D$4:$D$803)))</f>
        <v/>
      </c>
      <c r="CZ193" s="8" t="str">
        <f>IF($B193="","",IF(COUNTIF('Competency Event Log'!$U$4:$U$803,$B193&amp;"|"&amp;CZ$5)=0,"",SUMIF('Competency Event Log'!$U$4:$U$803,$B193&amp;"|"&amp;CZ$5,'Competency Event Log'!$D$4:$D$803)))</f>
        <v/>
      </c>
      <c r="DA193" s="8" t="str">
        <f>IF($B193="","",IF(COUNTIF('Competency Event Log'!$U$4:$U$803,$B193&amp;"|"&amp;DA$5)=0,"",SUMIF('Competency Event Log'!$U$4:$U$803,$B193&amp;"|"&amp;DA$5,'Competency Event Log'!$D$4:$D$803)))</f>
        <v/>
      </c>
      <c r="DB193" s="8" t="str">
        <f>IF($B193="","",IF(COUNTIF('Competency Event Log'!$U$4:$U$803,$B193&amp;"|"&amp;DB$5)=0,"",SUMIF('Competency Event Log'!$U$4:$U$803,$B193&amp;"|"&amp;DB$5,'Competency Event Log'!$D$4:$D$803)))</f>
        <v/>
      </c>
      <c r="DC193" s="8" t="str">
        <f>IF($B193="","",IF(COUNTIF('Competency Event Log'!$U$4:$U$803,$B193&amp;"|"&amp;DC$5)=0,"",SUMIF('Competency Event Log'!$U$4:$U$803,$B193&amp;"|"&amp;DC$5,'Competency Event Log'!$D$4:$D$803)))</f>
        <v/>
      </c>
      <c r="DD193" s="8" t="str">
        <f>IF($B193="","",IF(COUNTIF('Competency Event Log'!$U$4:$U$803,$B193&amp;"|"&amp;DD$5)=0,"",SUMIF('Competency Event Log'!$U$4:$U$803,$B193&amp;"|"&amp;DD$5,'Competency Event Log'!$D$4:$D$803)))</f>
        <v/>
      </c>
      <c r="DE193" s="8" t="str">
        <f>IF($B193="","",IF(COUNTIF('Competency Event Log'!$U$4:$U$803,$B193&amp;"|"&amp;DE$5)=0,"",SUMIF('Competency Event Log'!$U$4:$U$803,$B193&amp;"|"&amp;DE$5,'Competency Event Log'!$D$4:$D$803)))</f>
        <v/>
      </c>
      <c r="DF193" s="8" t="str">
        <f t="shared" si="20"/>
        <v/>
      </c>
      <c r="DG193" s="8" t="str">
        <f t="shared" si="21"/>
        <v/>
      </c>
      <c r="DH193" s="8" t="str">
        <f t="shared" si="22"/>
        <v/>
      </c>
      <c r="DI193" s="11" t="str">
        <f t="shared" si="23"/>
        <v/>
      </c>
    </row>
    <row r="194" spans="1:113">
      <c r="A194" s="7"/>
      <c r="B194" s="7"/>
      <c r="C194" s="8"/>
      <c r="D194" s="9"/>
      <c r="E194" s="10"/>
      <c r="F194" s="8"/>
      <c r="G194" s="8" t="str">
        <f>IF($B194="","",IF(COUNTIF('Competency Event Log'!$U$4:$U$803,$B194&amp;"|"&amp;G$5)=0,"",SUMIF('Competency Event Log'!$U$4:$U$803,$B194&amp;"|"&amp;G$5,'Competency Event Log'!$D$4:$D$803)))</f>
        <v/>
      </c>
      <c r="H194" s="8" t="str">
        <f>IF($B194="","",IF(COUNTIF('Competency Event Log'!$U$4:$U$803,$B194&amp;"|"&amp;H$5)=0,"",SUMIF('Competency Event Log'!$U$4:$U$803,$B194&amp;"|"&amp;H$5,'Competency Event Log'!$D$4:$D$803)))</f>
        <v/>
      </c>
      <c r="I194" s="8" t="str">
        <f>IF($B194="","",IF(COUNTIF('Competency Event Log'!$U$4:$U$803,$B194&amp;"|"&amp;I$5)=0,"",SUMIF('Competency Event Log'!$U$4:$U$803,$B194&amp;"|"&amp;I$5,'Competency Event Log'!$D$4:$D$803)))</f>
        <v/>
      </c>
      <c r="J194" s="8" t="str">
        <f>IF($B194="","",IF(COUNTIF('Competency Event Log'!$U$4:$U$803,$B194&amp;"|"&amp;J$5)=0,"",SUMIF('Competency Event Log'!$U$4:$U$803,$B194&amp;"|"&amp;J$5,'Competency Event Log'!$D$4:$D$803)))</f>
        <v/>
      </c>
      <c r="K194" s="8" t="str">
        <f>IF($B194="","",IF(COUNTIF('Competency Event Log'!$U$4:$U$803,$B194&amp;"|"&amp;K$5)=0,"",SUMIF('Competency Event Log'!$U$4:$U$803,$B194&amp;"|"&amp;K$5,'Competency Event Log'!$D$4:$D$803)))</f>
        <v/>
      </c>
      <c r="L194" s="8" t="str">
        <f>IF($B194="","",IF(COUNTIF('Competency Event Log'!$U$4:$U$803,$B194&amp;"|"&amp;L$5)=0,"",SUMIF('Competency Event Log'!$U$4:$U$803,$B194&amp;"|"&amp;L$5,'Competency Event Log'!$D$4:$D$803)))</f>
        <v/>
      </c>
      <c r="M194" s="8" t="str">
        <f>IF($B194="","",IF(COUNTIF('Competency Event Log'!$U$4:$U$803,$B194&amp;"|"&amp;M$5)=0,"",SUMIF('Competency Event Log'!$U$4:$U$803,$B194&amp;"|"&amp;M$5,'Competency Event Log'!$D$4:$D$803)))</f>
        <v/>
      </c>
      <c r="N194" s="8" t="str">
        <f>IF($B194="","",IF(COUNTIF('Competency Event Log'!$U$4:$U$803,$B194&amp;"|"&amp;N$5)=0,"",SUMIF('Competency Event Log'!$U$4:$U$803,$B194&amp;"|"&amp;N$5,'Competency Event Log'!$D$4:$D$803)))</f>
        <v/>
      </c>
      <c r="O194" s="8" t="str">
        <f>IF($B194="","",IF(COUNTIF('Competency Event Log'!$U$4:$U$803,$B194&amp;"|"&amp;O$5)=0,"",SUMIF('Competency Event Log'!$U$4:$U$803,$B194&amp;"|"&amp;O$5,'Competency Event Log'!$D$4:$D$803)))</f>
        <v/>
      </c>
      <c r="P194" s="8" t="str">
        <f>IF($B194="","",IF(COUNTIF('Competency Event Log'!$U$4:$U$803,$B194&amp;"|"&amp;P$5)=0,"",SUMIF('Competency Event Log'!$U$4:$U$803,$B194&amp;"|"&amp;P$5,'Competency Event Log'!$D$4:$D$803)))</f>
        <v/>
      </c>
      <c r="Q194" s="8" t="str">
        <f>IF($B194="","",IF(COUNTIF('Competency Event Log'!$U$4:$U$803,$B194&amp;"|"&amp;Q$5)=0,"",SUMIF('Competency Event Log'!$U$4:$U$803,$B194&amp;"|"&amp;Q$5,'Competency Event Log'!$D$4:$D$803)))</f>
        <v/>
      </c>
      <c r="R194" s="8" t="str">
        <f>IF($B194="","",IF(COUNTIF('Competency Event Log'!$U$4:$U$803,$B194&amp;"|"&amp;R$5)=0,"",SUMIF('Competency Event Log'!$U$4:$U$803,$B194&amp;"|"&amp;R$5,'Competency Event Log'!$D$4:$D$803)))</f>
        <v/>
      </c>
      <c r="S194" s="8" t="str">
        <f>IF($B194="","",IF(COUNTIF('Competency Event Log'!$U$4:$U$803,$B194&amp;"|"&amp;S$5)=0,"",SUMIF('Competency Event Log'!$U$4:$U$803,$B194&amp;"|"&amp;S$5,'Competency Event Log'!$D$4:$D$803)))</f>
        <v/>
      </c>
      <c r="T194" s="8" t="str">
        <f>IF($B194="","",IF(COUNTIF('Competency Event Log'!$U$4:$U$803,$B194&amp;"|"&amp;T$5)=0,"",SUMIF('Competency Event Log'!$U$4:$U$803,$B194&amp;"|"&amp;T$5,'Competency Event Log'!$D$4:$D$803)))</f>
        <v/>
      </c>
      <c r="U194" s="8" t="str">
        <f>IF($B194="","",IF(COUNTIF('Competency Event Log'!$U$4:$U$803,$B194&amp;"|"&amp;U$5)=0,"",SUMIF('Competency Event Log'!$U$4:$U$803,$B194&amp;"|"&amp;U$5,'Competency Event Log'!$D$4:$D$803)))</f>
        <v/>
      </c>
      <c r="V194" s="8" t="str">
        <f>IF($B194="","",IF(COUNTIF('Competency Event Log'!$U$4:$U$803,$B194&amp;"|"&amp;V$5)=0,"",SUMIF('Competency Event Log'!$U$4:$U$803,$B194&amp;"|"&amp;V$5,'Competency Event Log'!$D$4:$D$803)))</f>
        <v/>
      </c>
      <c r="W194" s="8" t="str">
        <f>IF($B194="","",IF(COUNTIF('Competency Event Log'!$U$4:$U$803,$B194&amp;"|"&amp;W$5)=0,"",SUMIF('Competency Event Log'!$U$4:$U$803,$B194&amp;"|"&amp;W$5,'Competency Event Log'!$D$4:$D$803)))</f>
        <v/>
      </c>
      <c r="X194" s="8" t="str">
        <f>IF($B194="","",IF(COUNTIF('Competency Event Log'!$U$4:$U$803,$B194&amp;"|"&amp;X$5)=0,"",SUMIF('Competency Event Log'!$U$4:$U$803,$B194&amp;"|"&amp;X$5,'Competency Event Log'!$D$4:$D$803)))</f>
        <v/>
      </c>
      <c r="Y194" s="8" t="str">
        <f>IF($B194="","",IF(COUNTIF('Competency Event Log'!$U$4:$U$803,$B194&amp;"|"&amp;Y$5)=0,"",SUMIF('Competency Event Log'!$U$4:$U$803,$B194&amp;"|"&amp;Y$5,'Competency Event Log'!$D$4:$D$803)))</f>
        <v/>
      </c>
      <c r="Z194" s="8" t="str">
        <f>IF($B194="","",IF(COUNTIF('Competency Event Log'!$U$4:$U$803,$B194&amp;"|"&amp;Z$5)=0,"",SUMIF('Competency Event Log'!$U$4:$U$803,$B194&amp;"|"&amp;Z$5,'Competency Event Log'!$D$4:$D$803)))</f>
        <v/>
      </c>
      <c r="AA194" s="8" t="str">
        <f>IF($B194="","",IF(COUNTIF('Competency Event Log'!$U$4:$U$803,$B194&amp;"|"&amp;AA$5)=0,"",SUMIF('Competency Event Log'!$U$4:$U$803,$B194&amp;"|"&amp;AA$5,'Competency Event Log'!$D$4:$D$803)))</f>
        <v/>
      </c>
      <c r="AB194" s="8" t="str">
        <f>IF($B194="","",IF(COUNTIF('Competency Event Log'!$U$4:$U$803,$B194&amp;"|"&amp;AB$5)=0,"",SUMIF('Competency Event Log'!$U$4:$U$803,$B194&amp;"|"&amp;AB$5,'Competency Event Log'!$D$4:$D$803)))</f>
        <v/>
      </c>
      <c r="AC194" s="8" t="str">
        <f>IF($B194="","",IF(COUNTIF('Competency Event Log'!$U$4:$U$803,$B194&amp;"|"&amp;AC$5)=0,"",SUMIF('Competency Event Log'!$U$4:$U$803,$B194&amp;"|"&amp;AC$5,'Competency Event Log'!$D$4:$D$803)))</f>
        <v/>
      </c>
      <c r="AD194" s="8" t="str">
        <f>IF($B194="","",IF(COUNTIF('Competency Event Log'!$U$4:$U$803,$B194&amp;"|"&amp;AD$5)=0,"",SUMIF('Competency Event Log'!$U$4:$U$803,$B194&amp;"|"&amp;AD$5,'Competency Event Log'!$D$4:$D$803)))</f>
        <v/>
      </c>
      <c r="AE194" s="8" t="str">
        <f>IF($B194="","",IF(COUNTIF('Competency Event Log'!$U$4:$U$803,$B194&amp;"|"&amp;AE$5)=0,"",SUMIF('Competency Event Log'!$U$4:$U$803,$B194&amp;"|"&amp;AE$5,'Competency Event Log'!$D$4:$D$803)))</f>
        <v/>
      </c>
      <c r="AF194" s="8" t="str">
        <f>IF($B194="","",IF(COUNTIF('Competency Event Log'!$U$4:$U$803,$B194&amp;"|"&amp;AF$5)=0,"",SUMIF('Competency Event Log'!$U$4:$U$803,$B194&amp;"|"&amp;AF$5,'Competency Event Log'!$D$4:$D$803)))</f>
        <v/>
      </c>
      <c r="AG194" s="8" t="str">
        <f>IF($B194="","",IF(COUNTIF('Competency Event Log'!$U$4:$U$803,$B194&amp;"|"&amp;AG$5)=0,"",SUMIF('Competency Event Log'!$U$4:$U$803,$B194&amp;"|"&amp;AG$5,'Competency Event Log'!$D$4:$D$803)))</f>
        <v/>
      </c>
      <c r="AH194" s="8" t="str">
        <f>IF($B194="","",IF(COUNTIF('Competency Event Log'!$U$4:$U$803,$B194&amp;"|"&amp;AH$5)=0,"",SUMIF('Competency Event Log'!$U$4:$U$803,$B194&amp;"|"&amp;AH$5,'Competency Event Log'!$D$4:$D$803)))</f>
        <v/>
      </c>
      <c r="AI194" s="8" t="str">
        <f>IF($B194="","",IF(COUNTIF('Competency Event Log'!$U$4:$U$803,$B194&amp;"|"&amp;AI$5)=0,"",SUMIF('Competency Event Log'!$U$4:$U$803,$B194&amp;"|"&amp;AI$5,'Competency Event Log'!$D$4:$D$803)))</f>
        <v/>
      </c>
      <c r="AJ194" s="8" t="str">
        <f>IF($B194="","",IF(COUNTIF('Competency Event Log'!$U$4:$U$803,$B194&amp;"|"&amp;AJ$5)=0,"",SUMIF('Competency Event Log'!$U$4:$U$803,$B194&amp;"|"&amp;AJ$5,'Competency Event Log'!$D$4:$D$803)))</f>
        <v/>
      </c>
      <c r="AK194" s="8" t="str">
        <f>IF($B194="","",IF(COUNTIF('Competency Event Log'!$U$4:$U$803,$B194&amp;"|"&amp;AK$5)=0,"",SUMIF('Competency Event Log'!$U$4:$U$803,$B194&amp;"|"&amp;AK$5,'Competency Event Log'!$D$4:$D$803)))</f>
        <v/>
      </c>
      <c r="AL194" s="8" t="str">
        <f>IF($B194="","",IF(COUNTIF('Competency Event Log'!$U$4:$U$803,$B194&amp;"|"&amp;AL$5)=0,"",SUMIF('Competency Event Log'!$U$4:$U$803,$B194&amp;"|"&amp;AL$5,'Competency Event Log'!$D$4:$D$803)))</f>
        <v/>
      </c>
      <c r="AM194" s="8" t="str">
        <f>IF($B194="","",IF(COUNTIF('Competency Event Log'!$U$4:$U$803,$B194&amp;"|"&amp;AM$5)=0,"",SUMIF('Competency Event Log'!$U$4:$U$803,$B194&amp;"|"&amp;AM$5,'Competency Event Log'!$D$4:$D$803)))</f>
        <v/>
      </c>
      <c r="AN194" s="8" t="str">
        <f>IF($B194="","",IF(COUNTIF('Competency Event Log'!$U$4:$U$803,$B194&amp;"|"&amp;AN$5)=0,"",SUMIF('Competency Event Log'!$U$4:$U$803,$B194&amp;"|"&amp;AN$5,'Competency Event Log'!$D$4:$D$803)))</f>
        <v/>
      </c>
      <c r="AO194" s="8" t="str">
        <f>IF($B194="","",IF(COUNTIF('Competency Event Log'!$U$4:$U$803,$B194&amp;"|"&amp;AO$5)=0,"",SUMIF('Competency Event Log'!$U$4:$U$803,$B194&amp;"|"&amp;AO$5,'Competency Event Log'!$D$4:$D$803)))</f>
        <v/>
      </c>
      <c r="AP194" s="8" t="str">
        <f>IF($B194="","",IF(COUNTIF('Competency Event Log'!$U$4:$U$803,$B194&amp;"|"&amp;AP$5)=0,"",SUMIF('Competency Event Log'!$U$4:$U$803,$B194&amp;"|"&amp;AP$5,'Competency Event Log'!$D$4:$D$803)))</f>
        <v/>
      </c>
      <c r="AQ194" s="8" t="str">
        <f>IF($B194="","",IF(COUNTIF('Competency Event Log'!$U$4:$U$803,$B194&amp;"|"&amp;AQ$5)=0,"",SUMIF('Competency Event Log'!$U$4:$U$803,$B194&amp;"|"&amp;AQ$5,'Competency Event Log'!$D$4:$D$803)))</f>
        <v/>
      </c>
      <c r="AR194" s="8" t="str">
        <f>IF($B194="","",IF(COUNTIF('Competency Event Log'!$U$4:$U$803,$B194&amp;"|"&amp;AR$5)=0,"",SUMIF('Competency Event Log'!$U$4:$U$803,$B194&amp;"|"&amp;AR$5,'Competency Event Log'!$D$4:$D$803)))</f>
        <v/>
      </c>
      <c r="AS194" s="8" t="str">
        <f>IF($B194="","",IF(COUNTIF('Competency Event Log'!$U$4:$U$803,$B194&amp;"|"&amp;AS$5)=0,"",SUMIF('Competency Event Log'!$U$4:$U$803,$B194&amp;"|"&amp;AS$5,'Competency Event Log'!$D$4:$D$803)))</f>
        <v/>
      </c>
      <c r="AT194" s="8" t="str">
        <f>IF($B194="","",IF(COUNTIF('Competency Event Log'!$U$4:$U$803,$B194&amp;"|"&amp;AT$5)=0,"",SUMIF('Competency Event Log'!$U$4:$U$803,$B194&amp;"|"&amp;AT$5,'Competency Event Log'!$D$4:$D$803)))</f>
        <v/>
      </c>
      <c r="AU194" s="8" t="str">
        <f>IF($B194="","",IF(COUNTIF('Competency Event Log'!$U$4:$U$803,$B194&amp;"|"&amp;AU$5)=0,"",SUMIF('Competency Event Log'!$U$4:$U$803,$B194&amp;"|"&amp;AU$5,'Competency Event Log'!$D$4:$D$803)))</f>
        <v/>
      </c>
      <c r="AV194" s="8" t="str">
        <f>IF($B194="","",IF(COUNTIF('Competency Event Log'!$U$4:$U$803,$B194&amp;"|"&amp;AV$5)=0,"",SUMIF('Competency Event Log'!$U$4:$U$803,$B194&amp;"|"&amp;AV$5,'Competency Event Log'!$D$4:$D$803)))</f>
        <v/>
      </c>
      <c r="AW194" s="8" t="str">
        <f>IF($B194="","",IF(COUNTIF('Competency Event Log'!$U$4:$U$803,$B194&amp;"|"&amp;AW$5)=0,"",SUMIF('Competency Event Log'!$U$4:$U$803,$B194&amp;"|"&amp;AW$5,'Competency Event Log'!$D$4:$D$803)))</f>
        <v/>
      </c>
      <c r="AX194" s="8" t="str">
        <f>IF($B194="","",IF(COUNTIF('Competency Event Log'!$U$4:$U$803,$B194&amp;"|"&amp;AX$5)=0,"",SUMIF('Competency Event Log'!$U$4:$U$803,$B194&amp;"|"&amp;AX$5,'Competency Event Log'!$D$4:$D$803)))</f>
        <v/>
      </c>
      <c r="AY194" s="8" t="str">
        <f>IF($B194="","",IF(COUNTIF('Competency Event Log'!$U$4:$U$803,$B194&amp;"|"&amp;AY$5)=0,"",SUMIF('Competency Event Log'!$U$4:$U$803,$B194&amp;"|"&amp;AY$5,'Competency Event Log'!$D$4:$D$803)))</f>
        <v/>
      </c>
      <c r="AZ194" s="8" t="str">
        <f>IF($B194="","",IF(COUNTIF('Competency Event Log'!$U$4:$U$803,$B194&amp;"|"&amp;AZ$5)=0,"",SUMIF('Competency Event Log'!$U$4:$U$803,$B194&amp;"|"&amp;AZ$5,'Competency Event Log'!$D$4:$D$803)))</f>
        <v/>
      </c>
      <c r="BA194" s="8" t="str">
        <f>IF($B194="","",IF(COUNTIF('Competency Event Log'!$U$4:$U$803,$B194&amp;"|"&amp;BA$5)=0,"",SUMIF('Competency Event Log'!$U$4:$U$803,$B194&amp;"|"&amp;BA$5,'Competency Event Log'!$D$4:$D$803)))</f>
        <v/>
      </c>
      <c r="BB194" s="8" t="str">
        <f>IF($B194="","",IF(COUNTIF('Competency Event Log'!$U$4:$U$803,$B194&amp;"|"&amp;BB$5)=0,"",SUMIF('Competency Event Log'!$U$4:$U$803,$B194&amp;"|"&amp;BB$5,'Competency Event Log'!$D$4:$D$803)))</f>
        <v/>
      </c>
      <c r="BC194" s="8" t="str">
        <f>IF($B194="","",IF(COUNTIF('Competency Event Log'!$U$4:$U$803,$B194&amp;"|"&amp;BC$5)=0,"",SUMIF('Competency Event Log'!$U$4:$U$803,$B194&amp;"|"&amp;BC$5,'Competency Event Log'!$D$4:$D$803)))</f>
        <v/>
      </c>
      <c r="BD194" s="8" t="str">
        <f>IF($B194="","",IF(COUNTIF('Competency Event Log'!$U$4:$U$803,$B194&amp;"|"&amp;BD$5)=0,"",SUMIF('Competency Event Log'!$U$4:$U$803,$B194&amp;"|"&amp;BD$5,'Competency Event Log'!$D$4:$D$803)))</f>
        <v/>
      </c>
      <c r="BE194" s="8" t="str">
        <f>IF($B194="","",IF(COUNTIF('Competency Event Log'!$U$4:$U$803,$B194&amp;"|"&amp;BE$5)=0,"",SUMIF('Competency Event Log'!$U$4:$U$803,$B194&amp;"|"&amp;BE$5,'Competency Event Log'!$D$4:$D$803)))</f>
        <v/>
      </c>
      <c r="BF194" s="8" t="str">
        <f>IF($B194="","",IF(COUNTIF('Competency Event Log'!$U$4:$U$803,$B194&amp;"|"&amp;BF$5)=0,"",SUMIF('Competency Event Log'!$U$4:$U$803,$B194&amp;"|"&amp;BF$5,'Competency Event Log'!$D$4:$D$803)))</f>
        <v/>
      </c>
      <c r="BG194" s="8" t="str">
        <f>IF($B194="","",IF(COUNTIF('Competency Event Log'!$U$4:$U$803,$B194&amp;"|"&amp;BG$5)=0,"",SUMIF('Competency Event Log'!$U$4:$U$803,$B194&amp;"|"&amp;BG$5,'Competency Event Log'!$D$4:$D$803)))</f>
        <v/>
      </c>
      <c r="BH194" s="8" t="str">
        <f>IF($B194="","",IF(COUNTIF('Competency Event Log'!$U$4:$U$803,$B194&amp;"|"&amp;BH$5)=0,"",SUMIF('Competency Event Log'!$U$4:$U$803,$B194&amp;"|"&amp;BH$5,'Competency Event Log'!$D$4:$D$803)))</f>
        <v/>
      </c>
      <c r="BI194" s="8" t="str">
        <f>IF($B194="","",IF(COUNTIF('Competency Event Log'!$U$4:$U$803,$B194&amp;"|"&amp;BI$5)=0,"",SUMIF('Competency Event Log'!$U$4:$U$803,$B194&amp;"|"&amp;BI$5,'Competency Event Log'!$D$4:$D$803)))</f>
        <v/>
      </c>
      <c r="BJ194" s="8" t="str">
        <f>IF($B194="","",IF(COUNTIF('Competency Event Log'!$U$4:$U$803,$B194&amp;"|"&amp;BJ$5)=0,"",SUMIF('Competency Event Log'!$U$4:$U$803,$B194&amp;"|"&amp;BJ$5,'Competency Event Log'!$D$4:$D$803)))</f>
        <v/>
      </c>
      <c r="BK194" s="8" t="str">
        <f>IF($B194="","",IF(COUNTIF('Competency Event Log'!$U$4:$U$803,$B194&amp;"|"&amp;BK$5)=0,"",SUMIF('Competency Event Log'!$U$4:$U$803,$B194&amp;"|"&amp;BK$5,'Competency Event Log'!$D$4:$D$803)))</f>
        <v/>
      </c>
      <c r="BL194" s="8" t="str">
        <f>IF($B194="","",IF(COUNTIF('Competency Event Log'!$U$4:$U$803,$B194&amp;"|"&amp;BL$5)=0,"",SUMIF('Competency Event Log'!$U$4:$U$803,$B194&amp;"|"&amp;BL$5,'Competency Event Log'!$D$4:$D$803)))</f>
        <v/>
      </c>
      <c r="BM194" s="8" t="str">
        <f>IF($B194="","",IF(COUNTIF('Competency Event Log'!$U$4:$U$803,$B194&amp;"|"&amp;BM$5)=0,"",SUMIF('Competency Event Log'!$U$4:$U$803,$B194&amp;"|"&amp;BM$5,'Competency Event Log'!$D$4:$D$803)))</f>
        <v/>
      </c>
      <c r="BN194" s="8" t="str">
        <f>IF($B194="","",IF(COUNTIF('Competency Event Log'!$U$4:$U$803,$B194&amp;"|"&amp;BN$5)=0,"",SUMIF('Competency Event Log'!$U$4:$U$803,$B194&amp;"|"&amp;BN$5,'Competency Event Log'!$D$4:$D$803)))</f>
        <v/>
      </c>
      <c r="BO194" s="8" t="str">
        <f>IF($B194="","",IF(COUNTIF('Competency Event Log'!$U$4:$U$803,$B194&amp;"|"&amp;BO$5)=0,"",SUMIF('Competency Event Log'!$U$4:$U$803,$B194&amp;"|"&amp;BO$5,'Competency Event Log'!$D$4:$D$803)))</f>
        <v/>
      </c>
      <c r="BP194" s="8" t="str">
        <f>IF($B194="","",IF(COUNTIF('Competency Event Log'!$U$4:$U$803,$B194&amp;"|"&amp;BP$5)=0,"",SUMIF('Competency Event Log'!$U$4:$U$803,$B194&amp;"|"&amp;BP$5,'Competency Event Log'!$D$4:$D$803)))</f>
        <v/>
      </c>
      <c r="BQ194" s="8" t="str">
        <f>IF($B194="","",IF(COUNTIF('Competency Event Log'!$U$4:$U$803,$B194&amp;"|"&amp;BQ$5)=0,"",SUMIF('Competency Event Log'!$U$4:$U$803,$B194&amp;"|"&amp;BQ$5,'Competency Event Log'!$D$4:$D$803)))</f>
        <v/>
      </c>
      <c r="BR194" s="8" t="str">
        <f>IF($B194="","",IF(COUNTIF('Competency Event Log'!$U$4:$U$803,$B194&amp;"|"&amp;BR$5)=0,"",SUMIF('Competency Event Log'!$U$4:$U$803,$B194&amp;"|"&amp;BR$5,'Competency Event Log'!$D$4:$D$803)))</f>
        <v/>
      </c>
      <c r="BS194" s="8" t="str">
        <f>IF($B194="","",IF(COUNTIF('Competency Event Log'!$U$4:$U$803,$B194&amp;"|"&amp;BS$5)=0,"",SUMIF('Competency Event Log'!$U$4:$U$803,$B194&amp;"|"&amp;BS$5,'Competency Event Log'!$D$4:$D$803)))</f>
        <v/>
      </c>
      <c r="BT194" s="8" t="str">
        <f>IF($B194="","",IF(COUNTIF('Competency Event Log'!$U$4:$U$803,$B194&amp;"|"&amp;BT$5)=0,"",SUMIF('Competency Event Log'!$U$4:$U$803,$B194&amp;"|"&amp;BT$5,'Competency Event Log'!$D$4:$D$803)))</f>
        <v/>
      </c>
      <c r="BU194" s="8" t="str">
        <f>IF($B194="","",IF(COUNTIF('Competency Event Log'!$U$4:$U$803,$B194&amp;"|"&amp;BU$5)=0,"",SUMIF('Competency Event Log'!$U$4:$U$803,$B194&amp;"|"&amp;BU$5,'Competency Event Log'!$D$4:$D$803)))</f>
        <v/>
      </c>
      <c r="BV194" s="8" t="str">
        <f>IF($B194="","",IF(COUNTIF('Competency Event Log'!$U$4:$U$803,$B194&amp;"|"&amp;BV$5)=0,"",SUMIF('Competency Event Log'!$U$4:$U$803,$B194&amp;"|"&amp;BV$5,'Competency Event Log'!$D$4:$D$803)))</f>
        <v/>
      </c>
      <c r="BW194" s="8" t="str">
        <f>IF($B194="","",IF(COUNTIF('Competency Event Log'!$U$4:$U$803,$B194&amp;"|"&amp;BW$5)=0,"",SUMIF('Competency Event Log'!$U$4:$U$803,$B194&amp;"|"&amp;BW$5,'Competency Event Log'!$D$4:$D$803)))</f>
        <v/>
      </c>
      <c r="BX194" s="8" t="str">
        <f>IF($B194="","",IF(COUNTIF('Competency Event Log'!$U$4:$U$803,$B194&amp;"|"&amp;BX$5)=0,"",SUMIF('Competency Event Log'!$U$4:$U$803,$B194&amp;"|"&amp;BX$5,'Competency Event Log'!$D$4:$D$803)))</f>
        <v/>
      </c>
      <c r="BY194" s="8" t="str">
        <f>IF($B194="","",IF(COUNTIF('Competency Event Log'!$U$4:$U$803,$B194&amp;"|"&amp;BY$5)=0,"",SUMIF('Competency Event Log'!$U$4:$U$803,$B194&amp;"|"&amp;BY$5,'Competency Event Log'!$D$4:$D$803)))</f>
        <v/>
      </c>
      <c r="BZ194" s="8" t="str">
        <f>IF($B194="","",IF(COUNTIF('Competency Event Log'!$U$4:$U$803,$B194&amp;"|"&amp;BZ$5)=0,"",SUMIF('Competency Event Log'!$U$4:$U$803,$B194&amp;"|"&amp;BZ$5,'Competency Event Log'!$D$4:$D$803)))</f>
        <v/>
      </c>
      <c r="CA194" s="8" t="str">
        <f>IF($B194="","",IF(COUNTIF('Competency Event Log'!$U$4:$U$803,$B194&amp;"|"&amp;CA$5)=0,"",SUMIF('Competency Event Log'!$U$4:$U$803,$B194&amp;"|"&amp;CA$5,'Competency Event Log'!$D$4:$D$803)))</f>
        <v/>
      </c>
      <c r="CB194" s="8" t="str">
        <f>IF($B194="","",IF(COUNTIF('Competency Event Log'!$U$4:$U$803,$B194&amp;"|"&amp;CB$5)=0,"",SUMIF('Competency Event Log'!$U$4:$U$803,$B194&amp;"|"&amp;CB$5,'Competency Event Log'!$D$4:$D$803)))</f>
        <v/>
      </c>
      <c r="CC194" s="8" t="str">
        <f>IF($B194="","",IF(COUNTIF('Competency Event Log'!$U$4:$U$803,$B194&amp;"|"&amp;CC$5)=0,"",SUMIF('Competency Event Log'!$U$4:$U$803,$B194&amp;"|"&amp;CC$5,'Competency Event Log'!$D$4:$D$803)))</f>
        <v/>
      </c>
      <c r="CD194" s="8" t="str">
        <f>IF($B194="","",IF(COUNTIF('Competency Event Log'!$U$4:$U$803,$B194&amp;"|"&amp;CD$5)=0,"",SUMIF('Competency Event Log'!$U$4:$U$803,$B194&amp;"|"&amp;CD$5,'Competency Event Log'!$D$4:$D$803)))</f>
        <v/>
      </c>
      <c r="CE194" s="8" t="str">
        <f>IF($B194="","",IF(COUNTIF('Competency Event Log'!$U$4:$U$803,$B194&amp;"|"&amp;CE$5)=0,"",SUMIF('Competency Event Log'!$U$4:$U$803,$B194&amp;"|"&amp;CE$5,'Competency Event Log'!$D$4:$D$803)))</f>
        <v/>
      </c>
      <c r="CF194" s="8" t="str">
        <f>IF($B194="","",IF(COUNTIF('Competency Event Log'!$U$4:$U$803,$B194&amp;"|"&amp;CF$5)=0,"",SUMIF('Competency Event Log'!$U$4:$U$803,$B194&amp;"|"&amp;CF$5,'Competency Event Log'!$D$4:$D$803)))</f>
        <v/>
      </c>
      <c r="CG194" s="8" t="str">
        <f>IF($B194="","",IF(COUNTIF('Competency Event Log'!$U$4:$U$803,$B194&amp;"|"&amp;CG$5)=0,"",SUMIF('Competency Event Log'!$U$4:$U$803,$B194&amp;"|"&amp;CG$5,'Competency Event Log'!$D$4:$D$803)))</f>
        <v/>
      </c>
      <c r="CH194" s="8" t="str">
        <f>IF($B194="","",IF(COUNTIF('Competency Event Log'!$U$4:$U$803,$B194&amp;"|"&amp;CH$5)=0,"",SUMIF('Competency Event Log'!$U$4:$U$803,$B194&amp;"|"&amp;CH$5,'Competency Event Log'!$D$4:$D$803)))</f>
        <v/>
      </c>
      <c r="CI194" s="8" t="str">
        <f>IF($B194="","",IF(COUNTIF('Competency Event Log'!$U$4:$U$803,$B194&amp;"|"&amp;CI$5)=0,"",SUMIF('Competency Event Log'!$U$4:$U$803,$B194&amp;"|"&amp;CI$5,'Competency Event Log'!$D$4:$D$803)))</f>
        <v/>
      </c>
      <c r="CJ194" s="8" t="str">
        <f>IF($B194="","",IF(COUNTIF('Competency Event Log'!$U$4:$U$803,$B194&amp;"|"&amp;CJ$5)=0,"",SUMIF('Competency Event Log'!$U$4:$U$803,$B194&amp;"|"&amp;CJ$5,'Competency Event Log'!$D$4:$D$803)))</f>
        <v/>
      </c>
      <c r="CK194" s="8" t="str">
        <f>IF($B194="","",IF(COUNTIF('Competency Event Log'!$U$4:$U$803,$B194&amp;"|"&amp;CK$5)=0,"",SUMIF('Competency Event Log'!$U$4:$U$803,$B194&amp;"|"&amp;CK$5,'Competency Event Log'!$D$4:$D$803)))</f>
        <v/>
      </c>
      <c r="CL194" s="8" t="str">
        <f>IF($B194="","",IF(COUNTIF('Competency Event Log'!$U$4:$U$803,$B194&amp;"|"&amp;CL$5)=0,"",SUMIF('Competency Event Log'!$U$4:$U$803,$B194&amp;"|"&amp;CL$5,'Competency Event Log'!$D$4:$D$803)))</f>
        <v/>
      </c>
      <c r="CM194" s="8" t="str">
        <f>IF($B194="","",IF(COUNTIF('Competency Event Log'!$U$4:$U$803,$B194&amp;"|"&amp;CM$5)=0,"",SUMIF('Competency Event Log'!$U$4:$U$803,$B194&amp;"|"&amp;CM$5,'Competency Event Log'!$D$4:$D$803)))</f>
        <v/>
      </c>
      <c r="CN194" s="8" t="str">
        <f>IF($B194="","",IF(COUNTIF('Competency Event Log'!$U$4:$U$803,$B194&amp;"|"&amp;CN$5)=0,"",SUMIF('Competency Event Log'!$U$4:$U$803,$B194&amp;"|"&amp;CN$5,'Competency Event Log'!$D$4:$D$803)))</f>
        <v/>
      </c>
      <c r="CO194" s="8" t="str">
        <f>IF($B194="","",IF(COUNTIF('Competency Event Log'!$U$4:$U$803,$B194&amp;"|"&amp;CO$5)=0,"",SUMIF('Competency Event Log'!$U$4:$U$803,$B194&amp;"|"&amp;CO$5,'Competency Event Log'!$D$4:$D$803)))</f>
        <v/>
      </c>
      <c r="CP194" s="8" t="str">
        <f>IF($B194="","",IF(COUNTIF('Competency Event Log'!$U$4:$U$803,$B194&amp;"|"&amp;CP$5)=0,"",SUMIF('Competency Event Log'!$U$4:$U$803,$B194&amp;"|"&amp;CP$5,'Competency Event Log'!$D$4:$D$803)))</f>
        <v/>
      </c>
      <c r="CQ194" s="8" t="str">
        <f>IF($B194="","",IF(COUNTIF('Competency Event Log'!$U$4:$U$803,$B194&amp;"|"&amp;CQ$5)=0,"",SUMIF('Competency Event Log'!$U$4:$U$803,$B194&amp;"|"&amp;CQ$5,'Competency Event Log'!$D$4:$D$803)))</f>
        <v/>
      </c>
      <c r="CR194" s="8" t="str">
        <f>IF($B194="","",IF(COUNTIF('Competency Event Log'!$U$4:$U$803,$B194&amp;"|"&amp;CR$5)=0,"",SUMIF('Competency Event Log'!$U$4:$U$803,$B194&amp;"|"&amp;CR$5,'Competency Event Log'!$D$4:$D$803)))</f>
        <v/>
      </c>
      <c r="CS194" s="8" t="str">
        <f>IF($B194="","",IF(COUNTIF('Competency Event Log'!$U$4:$U$803,$B194&amp;"|"&amp;CS$5)=0,"",SUMIF('Competency Event Log'!$U$4:$U$803,$B194&amp;"|"&amp;CS$5,'Competency Event Log'!$D$4:$D$803)))</f>
        <v/>
      </c>
      <c r="CT194" s="8" t="str">
        <f>IF($B194="","",IF(COUNTIF('Competency Event Log'!$U$4:$U$803,$B194&amp;"|"&amp;CT$5)=0,"",SUMIF('Competency Event Log'!$U$4:$U$803,$B194&amp;"|"&amp;CT$5,'Competency Event Log'!$D$4:$D$803)))</f>
        <v/>
      </c>
      <c r="CU194" s="8" t="str">
        <f>IF($B194="","",IF(COUNTIF('Competency Event Log'!$U$4:$U$803,$B194&amp;"|"&amp;CU$5)=0,"",SUMIF('Competency Event Log'!$U$4:$U$803,$B194&amp;"|"&amp;CU$5,'Competency Event Log'!$D$4:$D$803)))</f>
        <v/>
      </c>
      <c r="CV194" s="8" t="str">
        <f>IF($B194="","",IF(COUNTIF('Competency Event Log'!$U$4:$U$803,$B194&amp;"|"&amp;CV$5)=0,"",SUMIF('Competency Event Log'!$U$4:$U$803,$B194&amp;"|"&amp;CV$5,'Competency Event Log'!$D$4:$D$803)))</f>
        <v/>
      </c>
      <c r="CW194" s="8" t="str">
        <f>IF($B194="","",IF(COUNTIF('Competency Event Log'!$U$4:$U$803,$B194&amp;"|"&amp;CW$5)=0,"",SUMIF('Competency Event Log'!$U$4:$U$803,$B194&amp;"|"&amp;CW$5,'Competency Event Log'!$D$4:$D$803)))</f>
        <v/>
      </c>
      <c r="CX194" s="8" t="str">
        <f>IF($B194="","",IF(COUNTIF('Competency Event Log'!$U$4:$U$803,$B194&amp;"|"&amp;CX$5)=0,"",SUMIF('Competency Event Log'!$U$4:$U$803,$B194&amp;"|"&amp;CX$5,'Competency Event Log'!$D$4:$D$803)))</f>
        <v/>
      </c>
      <c r="CY194" s="8" t="str">
        <f>IF($B194="","",IF(COUNTIF('Competency Event Log'!$U$4:$U$803,$B194&amp;"|"&amp;CY$5)=0,"",SUMIF('Competency Event Log'!$U$4:$U$803,$B194&amp;"|"&amp;CY$5,'Competency Event Log'!$D$4:$D$803)))</f>
        <v/>
      </c>
      <c r="CZ194" s="8" t="str">
        <f>IF($B194="","",IF(COUNTIF('Competency Event Log'!$U$4:$U$803,$B194&amp;"|"&amp;CZ$5)=0,"",SUMIF('Competency Event Log'!$U$4:$U$803,$B194&amp;"|"&amp;CZ$5,'Competency Event Log'!$D$4:$D$803)))</f>
        <v/>
      </c>
      <c r="DA194" s="8" t="str">
        <f>IF($B194="","",IF(COUNTIF('Competency Event Log'!$U$4:$U$803,$B194&amp;"|"&amp;DA$5)=0,"",SUMIF('Competency Event Log'!$U$4:$U$803,$B194&amp;"|"&amp;DA$5,'Competency Event Log'!$D$4:$D$803)))</f>
        <v/>
      </c>
      <c r="DB194" s="8" t="str">
        <f>IF($B194="","",IF(COUNTIF('Competency Event Log'!$U$4:$U$803,$B194&amp;"|"&amp;DB$5)=0,"",SUMIF('Competency Event Log'!$U$4:$U$803,$B194&amp;"|"&amp;DB$5,'Competency Event Log'!$D$4:$D$803)))</f>
        <v/>
      </c>
      <c r="DC194" s="8" t="str">
        <f>IF($B194="","",IF(COUNTIF('Competency Event Log'!$U$4:$U$803,$B194&amp;"|"&amp;DC$5)=0,"",SUMIF('Competency Event Log'!$U$4:$U$803,$B194&amp;"|"&amp;DC$5,'Competency Event Log'!$D$4:$D$803)))</f>
        <v/>
      </c>
      <c r="DD194" s="8" t="str">
        <f>IF($B194="","",IF(COUNTIF('Competency Event Log'!$U$4:$U$803,$B194&amp;"|"&amp;DD$5)=0,"",SUMIF('Competency Event Log'!$U$4:$U$803,$B194&amp;"|"&amp;DD$5,'Competency Event Log'!$D$4:$D$803)))</f>
        <v/>
      </c>
      <c r="DE194" s="8" t="str">
        <f>IF($B194="","",IF(COUNTIF('Competency Event Log'!$U$4:$U$803,$B194&amp;"|"&amp;DE$5)=0,"",SUMIF('Competency Event Log'!$U$4:$U$803,$B194&amp;"|"&amp;DE$5,'Competency Event Log'!$D$4:$D$803)))</f>
        <v/>
      </c>
      <c r="DF194" s="8" t="str">
        <f t="shared" si="20"/>
        <v/>
      </c>
      <c r="DG194" s="8" t="str">
        <f t="shared" si="21"/>
        <v/>
      </c>
      <c r="DH194" s="8" t="str">
        <f t="shared" si="22"/>
        <v/>
      </c>
      <c r="DI194" s="11" t="str">
        <f t="shared" si="23"/>
        <v/>
      </c>
    </row>
    <row r="195" spans="1:113">
      <c r="A195" s="7"/>
      <c r="B195" s="7"/>
      <c r="C195" s="8"/>
      <c r="D195" s="9"/>
      <c r="E195" s="10"/>
      <c r="F195" s="8"/>
      <c r="G195" s="8" t="str">
        <f>IF($B195="","",IF(COUNTIF('Competency Event Log'!$U$4:$U$803,$B195&amp;"|"&amp;G$5)=0,"",SUMIF('Competency Event Log'!$U$4:$U$803,$B195&amp;"|"&amp;G$5,'Competency Event Log'!$D$4:$D$803)))</f>
        <v/>
      </c>
      <c r="H195" s="8" t="str">
        <f>IF($B195="","",IF(COUNTIF('Competency Event Log'!$U$4:$U$803,$B195&amp;"|"&amp;H$5)=0,"",SUMIF('Competency Event Log'!$U$4:$U$803,$B195&amp;"|"&amp;H$5,'Competency Event Log'!$D$4:$D$803)))</f>
        <v/>
      </c>
      <c r="I195" s="8" t="str">
        <f>IF($B195="","",IF(COUNTIF('Competency Event Log'!$U$4:$U$803,$B195&amp;"|"&amp;I$5)=0,"",SUMIF('Competency Event Log'!$U$4:$U$803,$B195&amp;"|"&amp;I$5,'Competency Event Log'!$D$4:$D$803)))</f>
        <v/>
      </c>
      <c r="J195" s="8" t="str">
        <f>IF($B195="","",IF(COUNTIF('Competency Event Log'!$U$4:$U$803,$B195&amp;"|"&amp;J$5)=0,"",SUMIF('Competency Event Log'!$U$4:$U$803,$B195&amp;"|"&amp;J$5,'Competency Event Log'!$D$4:$D$803)))</f>
        <v/>
      </c>
      <c r="K195" s="8" t="str">
        <f>IF($B195="","",IF(COUNTIF('Competency Event Log'!$U$4:$U$803,$B195&amp;"|"&amp;K$5)=0,"",SUMIF('Competency Event Log'!$U$4:$U$803,$B195&amp;"|"&amp;K$5,'Competency Event Log'!$D$4:$D$803)))</f>
        <v/>
      </c>
      <c r="L195" s="8" t="str">
        <f>IF($B195="","",IF(COUNTIF('Competency Event Log'!$U$4:$U$803,$B195&amp;"|"&amp;L$5)=0,"",SUMIF('Competency Event Log'!$U$4:$U$803,$B195&amp;"|"&amp;L$5,'Competency Event Log'!$D$4:$D$803)))</f>
        <v/>
      </c>
      <c r="M195" s="8" t="str">
        <f>IF($B195="","",IF(COUNTIF('Competency Event Log'!$U$4:$U$803,$B195&amp;"|"&amp;M$5)=0,"",SUMIF('Competency Event Log'!$U$4:$U$803,$B195&amp;"|"&amp;M$5,'Competency Event Log'!$D$4:$D$803)))</f>
        <v/>
      </c>
      <c r="N195" s="8" t="str">
        <f>IF($B195="","",IF(COUNTIF('Competency Event Log'!$U$4:$U$803,$B195&amp;"|"&amp;N$5)=0,"",SUMIF('Competency Event Log'!$U$4:$U$803,$B195&amp;"|"&amp;N$5,'Competency Event Log'!$D$4:$D$803)))</f>
        <v/>
      </c>
      <c r="O195" s="8" t="str">
        <f>IF($B195="","",IF(COUNTIF('Competency Event Log'!$U$4:$U$803,$B195&amp;"|"&amp;O$5)=0,"",SUMIF('Competency Event Log'!$U$4:$U$803,$B195&amp;"|"&amp;O$5,'Competency Event Log'!$D$4:$D$803)))</f>
        <v/>
      </c>
      <c r="P195" s="8" t="str">
        <f>IF($B195="","",IF(COUNTIF('Competency Event Log'!$U$4:$U$803,$B195&amp;"|"&amp;P$5)=0,"",SUMIF('Competency Event Log'!$U$4:$U$803,$B195&amp;"|"&amp;P$5,'Competency Event Log'!$D$4:$D$803)))</f>
        <v/>
      </c>
      <c r="Q195" s="8" t="str">
        <f>IF($B195="","",IF(COUNTIF('Competency Event Log'!$U$4:$U$803,$B195&amp;"|"&amp;Q$5)=0,"",SUMIF('Competency Event Log'!$U$4:$U$803,$B195&amp;"|"&amp;Q$5,'Competency Event Log'!$D$4:$D$803)))</f>
        <v/>
      </c>
      <c r="R195" s="8" t="str">
        <f>IF($B195="","",IF(COUNTIF('Competency Event Log'!$U$4:$U$803,$B195&amp;"|"&amp;R$5)=0,"",SUMIF('Competency Event Log'!$U$4:$U$803,$B195&amp;"|"&amp;R$5,'Competency Event Log'!$D$4:$D$803)))</f>
        <v/>
      </c>
      <c r="S195" s="8" t="str">
        <f>IF($B195="","",IF(COUNTIF('Competency Event Log'!$U$4:$U$803,$B195&amp;"|"&amp;S$5)=0,"",SUMIF('Competency Event Log'!$U$4:$U$803,$B195&amp;"|"&amp;S$5,'Competency Event Log'!$D$4:$D$803)))</f>
        <v/>
      </c>
      <c r="T195" s="8" t="str">
        <f>IF($B195="","",IF(COUNTIF('Competency Event Log'!$U$4:$U$803,$B195&amp;"|"&amp;T$5)=0,"",SUMIF('Competency Event Log'!$U$4:$U$803,$B195&amp;"|"&amp;T$5,'Competency Event Log'!$D$4:$D$803)))</f>
        <v/>
      </c>
      <c r="U195" s="8" t="str">
        <f>IF($B195="","",IF(COUNTIF('Competency Event Log'!$U$4:$U$803,$B195&amp;"|"&amp;U$5)=0,"",SUMIF('Competency Event Log'!$U$4:$U$803,$B195&amp;"|"&amp;U$5,'Competency Event Log'!$D$4:$D$803)))</f>
        <v/>
      </c>
      <c r="V195" s="8" t="str">
        <f>IF($B195="","",IF(COUNTIF('Competency Event Log'!$U$4:$U$803,$B195&amp;"|"&amp;V$5)=0,"",SUMIF('Competency Event Log'!$U$4:$U$803,$B195&amp;"|"&amp;V$5,'Competency Event Log'!$D$4:$D$803)))</f>
        <v/>
      </c>
      <c r="W195" s="8" t="str">
        <f>IF($B195="","",IF(COUNTIF('Competency Event Log'!$U$4:$U$803,$B195&amp;"|"&amp;W$5)=0,"",SUMIF('Competency Event Log'!$U$4:$U$803,$B195&amp;"|"&amp;W$5,'Competency Event Log'!$D$4:$D$803)))</f>
        <v/>
      </c>
      <c r="X195" s="8" t="str">
        <f>IF($B195="","",IF(COUNTIF('Competency Event Log'!$U$4:$U$803,$B195&amp;"|"&amp;X$5)=0,"",SUMIF('Competency Event Log'!$U$4:$U$803,$B195&amp;"|"&amp;X$5,'Competency Event Log'!$D$4:$D$803)))</f>
        <v/>
      </c>
      <c r="Y195" s="8" t="str">
        <f>IF($B195="","",IF(COUNTIF('Competency Event Log'!$U$4:$U$803,$B195&amp;"|"&amp;Y$5)=0,"",SUMIF('Competency Event Log'!$U$4:$U$803,$B195&amp;"|"&amp;Y$5,'Competency Event Log'!$D$4:$D$803)))</f>
        <v/>
      </c>
      <c r="Z195" s="8" t="str">
        <f>IF($B195="","",IF(COUNTIF('Competency Event Log'!$U$4:$U$803,$B195&amp;"|"&amp;Z$5)=0,"",SUMIF('Competency Event Log'!$U$4:$U$803,$B195&amp;"|"&amp;Z$5,'Competency Event Log'!$D$4:$D$803)))</f>
        <v/>
      </c>
      <c r="AA195" s="8" t="str">
        <f>IF($B195="","",IF(COUNTIF('Competency Event Log'!$U$4:$U$803,$B195&amp;"|"&amp;AA$5)=0,"",SUMIF('Competency Event Log'!$U$4:$U$803,$B195&amp;"|"&amp;AA$5,'Competency Event Log'!$D$4:$D$803)))</f>
        <v/>
      </c>
      <c r="AB195" s="8" t="str">
        <f>IF($B195="","",IF(COUNTIF('Competency Event Log'!$U$4:$U$803,$B195&amp;"|"&amp;AB$5)=0,"",SUMIF('Competency Event Log'!$U$4:$U$803,$B195&amp;"|"&amp;AB$5,'Competency Event Log'!$D$4:$D$803)))</f>
        <v/>
      </c>
      <c r="AC195" s="8" t="str">
        <f>IF($B195="","",IF(COUNTIF('Competency Event Log'!$U$4:$U$803,$B195&amp;"|"&amp;AC$5)=0,"",SUMIF('Competency Event Log'!$U$4:$U$803,$B195&amp;"|"&amp;AC$5,'Competency Event Log'!$D$4:$D$803)))</f>
        <v/>
      </c>
      <c r="AD195" s="8" t="str">
        <f>IF($B195="","",IF(COUNTIF('Competency Event Log'!$U$4:$U$803,$B195&amp;"|"&amp;AD$5)=0,"",SUMIF('Competency Event Log'!$U$4:$U$803,$B195&amp;"|"&amp;AD$5,'Competency Event Log'!$D$4:$D$803)))</f>
        <v/>
      </c>
      <c r="AE195" s="8" t="str">
        <f>IF($B195="","",IF(COUNTIF('Competency Event Log'!$U$4:$U$803,$B195&amp;"|"&amp;AE$5)=0,"",SUMIF('Competency Event Log'!$U$4:$U$803,$B195&amp;"|"&amp;AE$5,'Competency Event Log'!$D$4:$D$803)))</f>
        <v/>
      </c>
      <c r="AF195" s="8" t="str">
        <f>IF($B195="","",IF(COUNTIF('Competency Event Log'!$U$4:$U$803,$B195&amp;"|"&amp;AF$5)=0,"",SUMIF('Competency Event Log'!$U$4:$U$803,$B195&amp;"|"&amp;AF$5,'Competency Event Log'!$D$4:$D$803)))</f>
        <v/>
      </c>
      <c r="AG195" s="8" t="str">
        <f>IF($B195="","",IF(COUNTIF('Competency Event Log'!$U$4:$U$803,$B195&amp;"|"&amp;AG$5)=0,"",SUMIF('Competency Event Log'!$U$4:$U$803,$B195&amp;"|"&amp;AG$5,'Competency Event Log'!$D$4:$D$803)))</f>
        <v/>
      </c>
      <c r="AH195" s="8" t="str">
        <f>IF($B195="","",IF(COUNTIF('Competency Event Log'!$U$4:$U$803,$B195&amp;"|"&amp;AH$5)=0,"",SUMIF('Competency Event Log'!$U$4:$U$803,$B195&amp;"|"&amp;AH$5,'Competency Event Log'!$D$4:$D$803)))</f>
        <v/>
      </c>
      <c r="AI195" s="8" t="str">
        <f>IF($B195="","",IF(COUNTIF('Competency Event Log'!$U$4:$U$803,$B195&amp;"|"&amp;AI$5)=0,"",SUMIF('Competency Event Log'!$U$4:$U$803,$B195&amp;"|"&amp;AI$5,'Competency Event Log'!$D$4:$D$803)))</f>
        <v/>
      </c>
      <c r="AJ195" s="8" t="str">
        <f>IF($B195="","",IF(COUNTIF('Competency Event Log'!$U$4:$U$803,$B195&amp;"|"&amp;AJ$5)=0,"",SUMIF('Competency Event Log'!$U$4:$U$803,$B195&amp;"|"&amp;AJ$5,'Competency Event Log'!$D$4:$D$803)))</f>
        <v/>
      </c>
      <c r="AK195" s="8" t="str">
        <f>IF($B195="","",IF(COUNTIF('Competency Event Log'!$U$4:$U$803,$B195&amp;"|"&amp;AK$5)=0,"",SUMIF('Competency Event Log'!$U$4:$U$803,$B195&amp;"|"&amp;AK$5,'Competency Event Log'!$D$4:$D$803)))</f>
        <v/>
      </c>
      <c r="AL195" s="8" t="str">
        <f>IF($B195="","",IF(COUNTIF('Competency Event Log'!$U$4:$U$803,$B195&amp;"|"&amp;AL$5)=0,"",SUMIF('Competency Event Log'!$U$4:$U$803,$B195&amp;"|"&amp;AL$5,'Competency Event Log'!$D$4:$D$803)))</f>
        <v/>
      </c>
      <c r="AM195" s="8" t="str">
        <f>IF($B195="","",IF(COUNTIF('Competency Event Log'!$U$4:$U$803,$B195&amp;"|"&amp;AM$5)=0,"",SUMIF('Competency Event Log'!$U$4:$U$803,$B195&amp;"|"&amp;AM$5,'Competency Event Log'!$D$4:$D$803)))</f>
        <v/>
      </c>
      <c r="AN195" s="8" t="str">
        <f>IF($B195="","",IF(COUNTIF('Competency Event Log'!$U$4:$U$803,$B195&amp;"|"&amp;AN$5)=0,"",SUMIF('Competency Event Log'!$U$4:$U$803,$B195&amp;"|"&amp;AN$5,'Competency Event Log'!$D$4:$D$803)))</f>
        <v/>
      </c>
      <c r="AO195" s="8" t="str">
        <f>IF($B195="","",IF(COUNTIF('Competency Event Log'!$U$4:$U$803,$B195&amp;"|"&amp;AO$5)=0,"",SUMIF('Competency Event Log'!$U$4:$U$803,$B195&amp;"|"&amp;AO$5,'Competency Event Log'!$D$4:$D$803)))</f>
        <v/>
      </c>
      <c r="AP195" s="8" t="str">
        <f>IF($B195="","",IF(COUNTIF('Competency Event Log'!$U$4:$U$803,$B195&amp;"|"&amp;AP$5)=0,"",SUMIF('Competency Event Log'!$U$4:$U$803,$B195&amp;"|"&amp;AP$5,'Competency Event Log'!$D$4:$D$803)))</f>
        <v/>
      </c>
      <c r="AQ195" s="8" t="str">
        <f>IF($B195="","",IF(COUNTIF('Competency Event Log'!$U$4:$U$803,$B195&amp;"|"&amp;AQ$5)=0,"",SUMIF('Competency Event Log'!$U$4:$U$803,$B195&amp;"|"&amp;AQ$5,'Competency Event Log'!$D$4:$D$803)))</f>
        <v/>
      </c>
      <c r="AR195" s="8" t="str">
        <f>IF($B195="","",IF(COUNTIF('Competency Event Log'!$U$4:$U$803,$B195&amp;"|"&amp;AR$5)=0,"",SUMIF('Competency Event Log'!$U$4:$U$803,$B195&amp;"|"&amp;AR$5,'Competency Event Log'!$D$4:$D$803)))</f>
        <v/>
      </c>
      <c r="AS195" s="8" t="str">
        <f>IF($B195="","",IF(COUNTIF('Competency Event Log'!$U$4:$U$803,$B195&amp;"|"&amp;AS$5)=0,"",SUMIF('Competency Event Log'!$U$4:$U$803,$B195&amp;"|"&amp;AS$5,'Competency Event Log'!$D$4:$D$803)))</f>
        <v/>
      </c>
      <c r="AT195" s="8" t="str">
        <f>IF($B195="","",IF(COUNTIF('Competency Event Log'!$U$4:$U$803,$B195&amp;"|"&amp;AT$5)=0,"",SUMIF('Competency Event Log'!$U$4:$U$803,$B195&amp;"|"&amp;AT$5,'Competency Event Log'!$D$4:$D$803)))</f>
        <v/>
      </c>
      <c r="AU195" s="8" t="str">
        <f>IF($B195="","",IF(COUNTIF('Competency Event Log'!$U$4:$U$803,$B195&amp;"|"&amp;AU$5)=0,"",SUMIF('Competency Event Log'!$U$4:$U$803,$B195&amp;"|"&amp;AU$5,'Competency Event Log'!$D$4:$D$803)))</f>
        <v/>
      </c>
      <c r="AV195" s="8" t="str">
        <f>IF($B195="","",IF(COUNTIF('Competency Event Log'!$U$4:$U$803,$B195&amp;"|"&amp;AV$5)=0,"",SUMIF('Competency Event Log'!$U$4:$U$803,$B195&amp;"|"&amp;AV$5,'Competency Event Log'!$D$4:$D$803)))</f>
        <v/>
      </c>
      <c r="AW195" s="8" t="str">
        <f>IF($B195="","",IF(COUNTIF('Competency Event Log'!$U$4:$U$803,$B195&amp;"|"&amp;AW$5)=0,"",SUMIF('Competency Event Log'!$U$4:$U$803,$B195&amp;"|"&amp;AW$5,'Competency Event Log'!$D$4:$D$803)))</f>
        <v/>
      </c>
      <c r="AX195" s="8" t="str">
        <f>IF($B195="","",IF(COUNTIF('Competency Event Log'!$U$4:$U$803,$B195&amp;"|"&amp;AX$5)=0,"",SUMIF('Competency Event Log'!$U$4:$U$803,$B195&amp;"|"&amp;AX$5,'Competency Event Log'!$D$4:$D$803)))</f>
        <v/>
      </c>
      <c r="AY195" s="8" t="str">
        <f>IF($B195="","",IF(COUNTIF('Competency Event Log'!$U$4:$U$803,$B195&amp;"|"&amp;AY$5)=0,"",SUMIF('Competency Event Log'!$U$4:$U$803,$B195&amp;"|"&amp;AY$5,'Competency Event Log'!$D$4:$D$803)))</f>
        <v/>
      </c>
      <c r="AZ195" s="8" t="str">
        <f>IF($B195="","",IF(COUNTIF('Competency Event Log'!$U$4:$U$803,$B195&amp;"|"&amp;AZ$5)=0,"",SUMIF('Competency Event Log'!$U$4:$U$803,$B195&amp;"|"&amp;AZ$5,'Competency Event Log'!$D$4:$D$803)))</f>
        <v/>
      </c>
      <c r="BA195" s="8" t="str">
        <f>IF($B195="","",IF(COUNTIF('Competency Event Log'!$U$4:$U$803,$B195&amp;"|"&amp;BA$5)=0,"",SUMIF('Competency Event Log'!$U$4:$U$803,$B195&amp;"|"&amp;BA$5,'Competency Event Log'!$D$4:$D$803)))</f>
        <v/>
      </c>
      <c r="BB195" s="8" t="str">
        <f>IF($B195="","",IF(COUNTIF('Competency Event Log'!$U$4:$U$803,$B195&amp;"|"&amp;BB$5)=0,"",SUMIF('Competency Event Log'!$U$4:$U$803,$B195&amp;"|"&amp;BB$5,'Competency Event Log'!$D$4:$D$803)))</f>
        <v/>
      </c>
      <c r="BC195" s="8" t="str">
        <f>IF($B195="","",IF(COUNTIF('Competency Event Log'!$U$4:$U$803,$B195&amp;"|"&amp;BC$5)=0,"",SUMIF('Competency Event Log'!$U$4:$U$803,$B195&amp;"|"&amp;BC$5,'Competency Event Log'!$D$4:$D$803)))</f>
        <v/>
      </c>
      <c r="BD195" s="8" t="str">
        <f>IF($B195="","",IF(COUNTIF('Competency Event Log'!$U$4:$U$803,$B195&amp;"|"&amp;BD$5)=0,"",SUMIF('Competency Event Log'!$U$4:$U$803,$B195&amp;"|"&amp;BD$5,'Competency Event Log'!$D$4:$D$803)))</f>
        <v/>
      </c>
      <c r="BE195" s="8" t="str">
        <f>IF($B195="","",IF(COUNTIF('Competency Event Log'!$U$4:$U$803,$B195&amp;"|"&amp;BE$5)=0,"",SUMIF('Competency Event Log'!$U$4:$U$803,$B195&amp;"|"&amp;BE$5,'Competency Event Log'!$D$4:$D$803)))</f>
        <v/>
      </c>
      <c r="BF195" s="8" t="str">
        <f>IF($B195="","",IF(COUNTIF('Competency Event Log'!$U$4:$U$803,$B195&amp;"|"&amp;BF$5)=0,"",SUMIF('Competency Event Log'!$U$4:$U$803,$B195&amp;"|"&amp;BF$5,'Competency Event Log'!$D$4:$D$803)))</f>
        <v/>
      </c>
      <c r="BG195" s="8" t="str">
        <f>IF($B195="","",IF(COUNTIF('Competency Event Log'!$U$4:$U$803,$B195&amp;"|"&amp;BG$5)=0,"",SUMIF('Competency Event Log'!$U$4:$U$803,$B195&amp;"|"&amp;BG$5,'Competency Event Log'!$D$4:$D$803)))</f>
        <v/>
      </c>
      <c r="BH195" s="8" t="str">
        <f>IF($B195="","",IF(COUNTIF('Competency Event Log'!$U$4:$U$803,$B195&amp;"|"&amp;BH$5)=0,"",SUMIF('Competency Event Log'!$U$4:$U$803,$B195&amp;"|"&amp;BH$5,'Competency Event Log'!$D$4:$D$803)))</f>
        <v/>
      </c>
      <c r="BI195" s="8" t="str">
        <f>IF($B195="","",IF(COUNTIF('Competency Event Log'!$U$4:$U$803,$B195&amp;"|"&amp;BI$5)=0,"",SUMIF('Competency Event Log'!$U$4:$U$803,$B195&amp;"|"&amp;BI$5,'Competency Event Log'!$D$4:$D$803)))</f>
        <v/>
      </c>
      <c r="BJ195" s="8" t="str">
        <f>IF($B195="","",IF(COUNTIF('Competency Event Log'!$U$4:$U$803,$B195&amp;"|"&amp;BJ$5)=0,"",SUMIF('Competency Event Log'!$U$4:$U$803,$B195&amp;"|"&amp;BJ$5,'Competency Event Log'!$D$4:$D$803)))</f>
        <v/>
      </c>
      <c r="BK195" s="8" t="str">
        <f>IF($B195="","",IF(COUNTIF('Competency Event Log'!$U$4:$U$803,$B195&amp;"|"&amp;BK$5)=0,"",SUMIF('Competency Event Log'!$U$4:$U$803,$B195&amp;"|"&amp;BK$5,'Competency Event Log'!$D$4:$D$803)))</f>
        <v/>
      </c>
      <c r="BL195" s="8" t="str">
        <f>IF($B195="","",IF(COUNTIF('Competency Event Log'!$U$4:$U$803,$B195&amp;"|"&amp;BL$5)=0,"",SUMIF('Competency Event Log'!$U$4:$U$803,$B195&amp;"|"&amp;BL$5,'Competency Event Log'!$D$4:$D$803)))</f>
        <v/>
      </c>
      <c r="BM195" s="8" t="str">
        <f>IF($B195="","",IF(COUNTIF('Competency Event Log'!$U$4:$U$803,$B195&amp;"|"&amp;BM$5)=0,"",SUMIF('Competency Event Log'!$U$4:$U$803,$B195&amp;"|"&amp;BM$5,'Competency Event Log'!$D$4:$D$803)))</f>
        <v/>
      </c>
      <c r="BN195" s="8" t="str">
        <f>IF($B195="","",IF(COUNTIF('Competency Event Log'!$U$4:$U$803,$B195&amp;"|"&amp;BN$5)=0,"",SUMIF('Competency Event Log'!$U$4:$U$803,$B195&amp;"|"&amp;BN$5,'Competency Event Log'!$D$4:$D$803)))</f>
        <v/>
      </c>
      <c r="BO195" s="8" t="str">
        <f>IF($B195="","",IF(COUNTIF('Competency Event Log'!$U$4:$U$803,$B195&amp;"|"&amp;BO$5)=0,"",SUMIF('Competency Event Log'!$U$4:$U$803,$B195&amp;"|"&amp;BO$5,'Competency Event Log'!$D$4:$D$803)))</f>
        <v/>
      </c>
      <c r="BP195" s="8" t="str">
        <f>IF($B195="","",IF(COUNTIF('Competency Event Log'!$U$4:$U$803,$B195&amp;"|"&amp;BP$5)=0,"",SUMIF('Competency Event Log'!$U$4:$U$803,$B195&amp;"|"&amp;BP$5,'Competency Event Log'!$D$4:$D$803)))</f>
        <v/>
      </c>
      <c r="BQ195" s="8" t="str">
        <f>IF($B195="","",IF(COUNTIF('Competency Event Log'!$U$4:$U$803,$B195&amp;"|"&amp;BQ$5)=0,"",SUMIF('Competency Event Log'!$U$4:$U$803,$B195&amp;"|"&amp;BQ$5,'Competency Event Log'!$D$4:$D$803)))</f>
        <v/>
      </c>
      <c r="BR195" s="8" t="str">
        <f>IF($B195="","",IF(COUNTIF('Competency Event Log'!$U$4:$U$803,$B195&amp;"|"&amp;BR$5)=0,"",SUMIF('Competency Event Log'!$U$4:$U$803,$B195&amp;"|"&amp;BR$5,'Competency Event Log'!$D$4:$D$803)))</f>
        <v/>
      </c>
      <c r="BS195" s="8" t="str">
        <f>IF($B195="","",IF(COUNTIF('Competency Event Log'!$U$4:$U$803,$B195&amp;"|"&amp;BS$5)=0,"",SUMIF('Competency Event Log'!$U$4:$U$803,$B195&amp;"|"&amp;BS$5,'Competency Event Log'!$D$4:$D$803)))</f>
        <v/>
      </c>
      <c r="BT195" s="8" t="str">
        <f>IF($B195="","",IF(COUNTIF('Competency Event Log'!$U$4:$U$803,$B195&amp;"|"&amp;BT$5)=0,"",SUMIF('Competency Event Log'!$U$4:$U$803,$B195&amp;"|"&amp;BT$5,'Competency Event Log'!$D$4:$D$803)))</f>
        <v/>
      </c>
      <c r="BU195" s="8" t="str">
        <f>IF($B195="","",IF(COUNTIF('Competency Event Log'!$U$4:$U$803,$B195&amp;"|"&amp;BU$5)=0,"",SUMIF('Competency Event Log'!$U$4:$U$803,$B195&amp;"|"&amp;BU$5,'Competency Event Log'!$D$4:$D$803)))</f>
        <v/>
      </c>
      <c r="BV195" s="8" t="str">
        <f>IF($B195="","",IF(COUNTIF('Competency Event Log'!$U$4:$U$803,$B195&amp;"|"&amp;BV$5)=0,"",SUMIF('Competency Event Log'!$U$4:$U$803,$B195&amp;"|"&amp;BV$5,'Competency Event Log'!$D$4:$D$803)))</f>
        <v/>
      </c>
      <c r="BW195" s="8" t="str">
        <f>IF($B195="","",IF(COUNTIF('Competency Event Log'!$U$4:$U$803,$B195&amp;"|"&amp;BW$5)=0,"",SUMIF('Competency Event Log'!$U$4:$U$803,$B195&amp;"|"&amp;BW$5,'Competency Event Log'!$D$4:$D$803)))</f>
        <v/>
      </c>
      <c r="BX195" s="8" t="str">
        <f>IF($B195="","",IF(COUNTIF('Competency Event Log'!$U$4:$U$803,$B195&amp;"|"&amp;BX$5)=0,"",SUMIF('Competency Event Log'!$U$4:$U$803,$B195&amp;"|"&amp;BX$5,'Competency Event Log'!$D$4:$D$803)))</f>
        <v/>
      </c>
      <c r="BY195" s="8" t="str">
        <f>IF($B195="","",IF(COUNTIF('Competency Event Log'!$U$4:$U$803,$B195&amp;"|"&amp;BY$5)=0,"",SUMIF('Competency Event Log'!$U$4:$U$803,$B195&amp;"|"&amp;BY$5,'Competency Event Log'!$D$4:$D$803)))</f>
        <v/>
      </c>
      <c r="BZ195" s="8" t="str">
        <f>IF($B195="","",IF(COUNTIF('Competency Event Log'!$U$4:$U$803,$B195&amp;"|"&amp;BZ$5)=0,"",SUMIF('Competency Event Log'!$U$4:$U$803,$B195&amp;"|"&amp;BZ$5,'Competency Event Log'!$D$4:$D$803)))</f>
        <v/>
      </c>
      <c r="CA195" s="8" t="str">
        <f>IF($B195="","",IF(COUNTIF('Competency Event Log'!$U$4:$U$803,$B195&amp;"|"&amp;CA$5)=0,"",SUMIF('Competency Event Log'!$U$4:$U$803,$B195&amp;"|"&amp;CA$5,'Competency Event Log'!$D$4:$D$803)))</f>
        <v/>
      </c>
      <c r="CB195" s="8" t="str">
        <f>IF($B195="","",IF(COUNTIF('Competency Event Log'!$U$4:$U$803,$B195&amp;"|"&amp;CB$5)=0,"",SUMIF('Competency Event Log'!$U$4:$U$803,$B195&amp;"|"&amp;CB$5,'Competency Event Log'!$D$4:$D$803)))</f>
        <v/>
      </c>
      <c r="CC195" s="8" t="str">
        <f>IF($B195="","",IF(COUNTIF('Competency Event Log'!$U$4:$U$803,$B195&amp;"|"&amp;CC$5)=0,"",SUMIF('Competency Event Log'!$U$4:$U$803,$B195&amp;"|"&amp;CC$5,'Competency Event Log'!$D$4:$D$803)))</f>
        <v/>
      </c>
      <c r="CD195" s="8" t="str">
        <f>IF($B195="","",IF(COUNTIF('Competency Event Log'!$U$4:$U$803,$B195&amp;"|"&amp;CD$5)=0,"",SUMIF('Competency Event Log'!$U$4:$U$803,$B195&amp;"|"&amp;CD$5,'Competency Event Log'!$D$4:$D$803)))</f>
        <v/>
      </c>
      <c r="CE195" s="8" t="str">
        <f>IF($B195="","",IF(COUNTIF('Competency Event Log'!$U$4:$U$803,$B195&amp;"|"&amp;CE$5)=0,"",SUMIF('Competency Event Log'!$U$4:$U$803,$B195&amp;"|"&amp;CE$5,'Competency Event Log'!$D$4:$D$803)))</f>
        <v/>
      </c>
      <c r="CF195" s="8" t="str">
        <f>IF($B195="","",IF(COUNTIF('Competency Event Log'!$U$4:$U$803,$B195&amp;"|"&amp;CF$5)=0,"",SUMIF('Competency Event Log'!$U$4:$U$803,$B195&amp;"|"&amp;CF$5,'Competency Event Log'!$D$4:$D$803)))</f>
        <v/>
      </c>
      <c r="CG195" s="8" t="str">
        <f>IF($B195="","",IF(COUNTIF('Competency Event Log'!$U$4:$U$803,$B195&amp;"|"&amp;CG$5)=0,"",SUMIF('Competency Event Log'!$U$4:$U$803,$B195&amp;"|"&amp;CG$5,'Competency Event Log'!$D$4:$D$803)))</f>
        <v/>
      </c>
      <c r="CH195" s="8" t="str">
        <f>IF($B195="","",IF(COUNTIF('Competency Event Log'!$U$4:$U$803,$B195&amp;"|"&amp;CH$5)=0,"",SUMIF('Competency Event Log'!$U$4:$U$803,$B195&amp;"|"&amp;CH$5,'Competency Event Log'!$D$4:$D$803)))</f>
        <v/>
      </c>
      <c r="CI195" s="8" t="str">
        <f>IF($B195="","",IF(COUNTIF('Competency Event Log'!$U$4:$U$803,$B195&amp;"|"&amp;CI$5)=0,"",SUMIF('Competency Event Log'!$U$4:$U$803,$B195&amp;"|"&amp;CI$5,'Competency Event Log'!$D$4:$D$803)))</f>
        <v/>
      </c>
      <c r="CJ195" s="8" t="str">
        <f>IF($B195="","",IF(COUNTIF('Competency Event Log'!$U$4:$U$803,$B195&amp;"|"&amp;CJ$5)=0,"",SUMIF('Competency Event Log'!$U$4:$U$803,$B195&amp;"|"&amp;CJ$5,'Competency Event Log'!$D$4:$D$803)))</f>
        <v/>
      </c>
      <c r="CK195" s="8" t="str">
        <f>IF($B195="","",IF(COUNTIF('Competency Event Log'!$U$4:$U$803,$B195&amp;"|"&amp;CK$5)=0,"",SUMIF('Competency Event Log'!$U$4:$U$803,$B195&amp;"|"&amp;CK$5,'Competency Event Log'!$D$4:$D$803)))</f>
        <v/>
      </c>
      <c r="CL195" s="8" t="str">
        <f>IF($B195="","",IF(COUNTIF('Competency Event Log'!$U$4:$U$803,$B195&amp;"|"&amp;CL$5)=0,"",SUMIF('Competency Event Log'!$U$4:$U$803,$B195&amp;"|"&amp;CL$5,'Competency Event Log'!$D$4:$D$803)))</f>
        <v/>
      </c>
      <c r="CM195" s="8" t="str">
        <f>IF($B195="","",IF(COUNTIF('Competency Event Log'!$U$4:$U$803,$B195&amp;"|"&amp;CM$5)=0,"",SUMIF('Competency Event Log'!$U$4:$U$803,$B195&amp;"|"&amp;CM$5,'Competency Event Log'!$D$4:$D$803)))</f>
        <v/>
      </c>
      <c r="CN195" s="8" t="str">
        <f>IF($B195="","",IF(COUNTIF('Competency Event Log'!$U$4:$U$803,$B195&amp;"|"&amp;CN$5)=0,"",SUMIF('Competency Event Log'!$U$4:$U$803,$B195&amp;"|"&amp;CN$5,'Competency Event Log'!$D$4:$D$803)))</f>
        <v/>
      </c>
      <c r="CO195" s="8" t="str">
        <f>IF($B195="","",IF(COUNTIF('Competency Event Log'!$U$4:$U$803,$B195&amp;"|"&amp;CO$5)=0,"",SUMIF('Competency Event Log'!$U$4:$U$803,$B195&amp;"|"&amp;CO$5,'Competency Event Log'!$D$4:$D$803)))</f>
        <v/>
      </c>
      <c r="CP195" s="8" t="str">
        <f>IF($B195="","",IF(COUNTIF('Competency Event Log'!$U$4:$U$803,$B195&amp;"|"&amp;CP$5)=0,"",SUMIF('Competency Event Log'!$U$4:$U$803,$B195&amp;"|"&amp;CP$5,'Competency Event Log'!$D$4:$D$803)))</f>
        <v/>
      </c>
      <c r="CQ195" s="8" t="str">
        <f>IF($B195="","",IF(COUNTIF('Competency Event Log'!$U$4:$U$803,$B195&amp;"|"&amp;CQ$5)=0,"",SUMIF('Competency Event Log'!$U$4:$U$803,$B195&amp;"|"&amp;CQ$5,'Competency Event Log'!$D$4:$D$803)))</f>
        <v/>
      </c>
      <c r="CR195" s="8" t="str">
        <f>IF($B195="","",IF(COUNTIF('Competency Event Log'!$U$4:$U$803,$B195&amp;"|"&amp;CR$5)=0,"",SUMIF('Competency Event Log'!$U$4:$U$803,$B195&amp;"|"&amp;CR$5,'Competency Event Log'!$D$4:$D$803)))</f>
        <v/>
      </c>
      <c r="CS195" s="8" t="str">
        <f>IF($B195="","",IF(COUNTIF('Competency Event Log'!$U$4:$U$803,$B195&amp;"|"&amp;CS$5)=0,"",SUMIF('Competency Event Log'!$U$4:$U$803,$B195&amp;"|"&amp;CS$5,'Competency Event Log'!$D$4:$D$803)))</f>
        <v/>
      </c>
      <c r="CT195" s="8" t="str">
        <f>IF($B195="","",IF(COUNTIF('Competency Event Log'!$U$4:$U$803,$B195&amp;"|"&amp;CT$5)=0,"",SUMIF('Competency Event Log'!$U$4:$U$803,$B195&amp;"|"&amp;CT$5,'Competency Event Log'!$D$4:$D$803)))</f>
        <v/>
      </c>
      <c r="CU195" s="8" t="str">
        <f>IF($B195="","",IF(COUNTIF('Competency Event Log'!$U$4:$U$803,$B195&amp;"|"&amp;CU$5)=0,"",SUMIF('Competency Event Log'!$U$4:$U$803,$B195&amp;"|"&amp;CU$5,'Competency Event Log'!$D$4:$D$803)))</f>
        <v/>
      </c>
      <c r="CV195" s="8" t="str">
        <f>IF($B195="","",IF(COUNTIF('Competency Event Log'!$U$4:$U$803,$B195&amp;"|"&amp;CV$5)=0,"",SUMIF('Competency Event Log'!$U$4:$U$803,$B195&amp;"|"&amp;CV$5,'Competency Event Log'!$D$4:$D$803)))</f>
        <v/>
      </c>
      <c r="CW195" s="8" t="str">
        <f>IF($B195="","",IF(COUNTIF('Competency Event Log'!$U$4:$U$803,$B195&amp;"|"&amp;CW$5)=0,"",SUMIF('Competency Event Log'!$U$4:$U$803,$B195&amp;"|"&amp;CW$5,'Competency Event Log'!$D$4:$D$803)))</f>
        <v/>
      </c>
      <c r="CX195" s="8" t="str">
        <f>IF($B195="","",IF(COUNTIF('Competency Event Log'!$U$4:$U$803,$B195&amp;"|"&amp;CX$5)=0,"",SUMIF('Competency Event Log'!$U$4:$U$803,$B195&amp;"|"&amp;CX$5,'Competency Event Log'!$D$4:$D$803)))</f>
        <v/>
      </c>
      <c r="CY195" s="8" t="str">
        <f>IF($B195="","",IF(COUNTIF('Competency Event Log'!$U$4:$U$803,$B195&amp;"|"&amp;CY$5)=0,"",SUMIF('Competency Event Log'!$U$4:$U$803,$B195&amp;"|"&amp;CY$5,'Competency Event Log'!$D$4:$D$803)))</f>
        <v/>
      </c>
      <c r="CZ195" s="8" t="str">
        <f>IF($B195="","",IF(COUNTIF('Competency Event Log'!$U$4:$U$803,$B195&amp;"|"&amp;CZ$5)=0,"",SUMIF('Competency Event Log'!$U$4:$U$803,$B195&amp;"|"&amp;CZ$5,'Competency Event Log'!$D$4:$D$803)))</f>
        <v/>
      </c>
      <c r="DA195" s="8" t="str">
        <f>IF($B195="","",IF(COUNTIF('Competency Event Log'!$U$4:$U$803,$B195&amp;"|"&amp;DA$5)=0,"",SUMIF('Competency Event Log'!$U$4:$U$803,$B195&amp;"|"&amp;DA$5,'Competency Event Log'!$D$4:$D$803)))</f>
        <v/>
      </c>
      <c r="DB195" s="8" t="str">
        <f>IF($B195="","",IF(COUNTIF('Competency Event Log'!$U$4:$U$803,$B195&amp;"|"&amp;DB$5)=0,"",SUMIF('Competency Event Log'!$U$4:$U$803,$B195&amp;"|"&amp;DB$5,'Competency Event Log'!$D$4:$D$803)))</f>
        <v/>
      </c>
      <c r="DC195" s="8" t="str">
        <f>IF($B195="","",IF(COUNTIF('Competency Event Log'!$U$4:$U$803,$B195&amp;"|"&amp;DC$5)=0,"",SUMIF('Competency Event Log'!$U$4:$U$803,$B195&amp;"|"&amp;DC$5,'Competency Event Log'!$D$4:$D$803)))</f>
        <v/>
      </c>
      <c r="DD195" s="8" t="str">
        <f>IF($B195="","",IF(COUNTIF('Competency Event Log'!$U$4:$U$803,$B195&amp;"|"&amp;DD$5)=0,"",SUMIF('Competency Event Log'!$U$4:$U$803,$B195&amp;"|"&amp;DD$5,'Competency Event Log'!$D$4:$D$803)))</f>
        <v/>
      </c>
      <c r="DE195" s="8" t="str">
        <f>IF($B195="","",IF(COUNTIF('Competency Event Log'!$U$4:$U$803,$B195&amp;"|"&amp;DE$5)=0,"",SUMIF('Competency Event Log'!$U$4:$U$803,$B195&amp;"|"&amp;DE$5,'Competency Event Log'!$D$4:$D$803)))</f>
        <v/>
      </c>
      <c r="DF195" s="8" t="str">
        <f t="shared" si="20"/>
        <v/>
      </c>
      <c r="DG195" s="8" t="str">
        <f t="shared" si="21"/>
        <v/>
      </c>
      <c r="DH195" s="8" t="str">
        <f t="shared" si="22"/>
        <v/>
      </c>
      <c r="DI195" s="11" t="str">
        <f t="shared" si="23"/>
        <v/>
      </c>
    </row>
    <row r="196" spans="1:113">
      <c r="A196" s="7"/>
      <c r="B196" s="7"/>
      <c r="C196" s="8"/>
      <c r="D196" s="9"/>
      <c r="E196" s="10"/>
      <c r="F196" s="8"/>
      <c r="G196" s="8" t="str">
        <f>IF($B196="","",IF(COUNTIF('Competency Event Log'!$U$4:$U$803,$B196&amp;"|"&amp;G$5)=0,"",SUMIF('Competency Event Log'!$U$4:$U$803,$B196&amp;"|"&amp;G$5,'Competency Event Log'!$D$4:$D$803)))</f>
        <v/>
      </c>
      <c r="H196" s="8" t="str">
        <f>IF($B196="","",IF(COUNTIF('Competency Event Log'!$U$4:$U$803,$B196&amp;"|"&amp;H$5)=0,"",SUMIF('Competency Event Log'!$U$4:$U$803,$B196&amp;"|"&amp;H$5,'Competency Event Log'!$D$4:$D$803)))</f>
        <v/>
      </c>
      <c r="I196" s="8" t="str">
        <f>IF($B196="","",IF(COUNTIF('Competency Event Log'!$U$4:$U$803,$B196&amp;"|"&amp;I$5)=0,"",SUMIF('Competency Event Log'!$U$4:$U$803,$B196&amp;"|"&amp;I$5,'Competency Event Log'!$D$4:$D$803)))</f>
        <v/>
      </c>
      <c r="J196" s="8" t="str">
        <f>IF($B196="","",IF(COUNTIF('Competency Event Log'!$U$4:$U$803,$B196&amp;"|"&amp;J$5)=0,"",SUMIF('Competency Event Log'!$U$4:$U$803,$B196&amp;"|"&amp;J$5,'Competency Event Log'!$D$4:$D$803)))</f>
        <v/>
      </c>
      <c r="K196" s="8" t="str">
        <f>IF($B196="","",IF(COUNTIF('Competency Event Log'!$U$4:$U$803,$B196&amp;"|"&amp;K$5)=0,"",SUMIF('Competency Event Log'!$U$4:$U$803,$B196&amp;"|"&amp;K$5,'Competency Event Log'!$D$4:$D$803)))</f>
        <v/>
      </c>
      <c r="L196" s="8" t="str">
        <f>IF($B196="","",IF(COUNTIF('Competency Event Log'!$U$4:$U$803,$B196&amp;"|"&amp;L$5)=0,"",SUMIF('Competency Event Log'!$U$4:$U$803,$B196&amp;"|"&amp;L$5,'Competency Event Log'!$D$4:$D$803)))</f>
        <v/>
      </c>
      <c r="M196" s="8" t="str">
        <f>IF($B196="","",IF(COUNTIF('Competency Event Log'!$U$4:$U$803,$B196&amp;"|"&amp;M$5)=0,"",SUMIF('Competency Event Log'!$U$4:$U$803,$B196&amp;"|"&amp;M$5,'Competency Event Log'!$D$4:$D$803)))</f>
        <v/>
      </c>
      <c r="N196" s="8" t="str">
        <f>IF($B196="","",IF(COUNTIF('Competency Event Log'!$U$4:$U$803,$B196&amp;"|"&amp;N$5)=0,"",SUMIF('Competency Event Log'!$U$4:$U$803,$B196&amp;"|"&amp;N$5,'Competency Event Log'!$D$4:$D$803)))</f>
        <v/>
      </c>
      <c r="O196" s="8" t="str">
        <f>IF($B196="","",IF(COUNTIF('Competency Event Log'!$U$4:$U$803,$B196&amp;"|"&amp;O$5)=0,"",SUMIF('Competency Event Log'!$U$4:$U$803,$B196&amp;"|"&amp;O$5,'Competency Event Log'!$D$4:$D$803)))</f>
        <v/>
      </c>
      <c r="P196" s="8" t="str">
        <f>IF($B196="","",IF(COUNTIF('Competency Event Log'!$U$4:$U$803,$B196&amp;"|"&amp;P$5)=0,"",SUMIF('Competency Event Log'!$U$4:$U$803,$B196&amp;"|"&amp;P$5,'Competency Event Log'!$D$4:$D$803)))</f>
        <v/>
      </c>
      <c r="Q196" s="8" t="str">
        <f>IF($B196="","",IF(COUNTIF('Competency Event Log'!$U$4:$U$803,$B196&amp;"|"&amp;Q$5)=0,"",SUMIF('Competency Event Log'!$U$4:$U$803,$B196&amp;"|"&amp;Q$5,'Competency Event Log'!$D$4:$D$803)))</f>
        <v/>
      </c>
      <c r="R196" s="8" t="str">
        <f>IF($B196="","",IF(COUNTIF('Competency Event Log'!$U$4:$U$803,$B196&amp;"|"&amp;R$5)=0,"",SUMIF('Competency Event Log'!$U$4:$U$803,$B196&amp;"|"&amp;R$5,'Competency Event Log'!$D$4:$D$803)))</f>
        <v/>
      </c>
      <c r="S196" s="8" t="str">
        <f>IF($B196="","",IF(COUNTIF('Competency Event Log'!$U$4:$U$803,$B196&amp;"|"&amp;S$5)=0,"",SUMIF('Competency Event Log'!$U$4:$U$803,$B196&amp;"|"&amp;S$5,'Competency Event Log'!$D$4:$D$803)))</f>
        <v/>
      </c>
      <c r="T196" s="8" t="str">
        <f>IF($B196="","",IF(COUNTIF('Competency Event Log'!$U$4:$U$803,$B196&amp;"|"&amp;T$5)=0,"",SUMIF('Competency Event Log'!$U$4:$U$803,$B196&amp;"|"&amp;T$5,'Competency Event Log'!$D$4:$D$803)))</f>
        <v/>
      </c>
      <c r="U196" s="8" t="str">
        <f>IF($B196="","",IF(COUNTIF('Competency Event Log'!$U$4:$U$803,$B196&amp;"|"&amp;U$5)=0,"",SUMIF('Competency Event Log'!$U$4:$U$803,$B196&amp;"|"&amp;U$5,'Competency Event Log'!$D$4:$D$803)))</f>
        <v/>
      </c>
      <c r="V196" s="8" t="str">
        <f>IF($B196="","",IF(COUNTIF('Competency Event Log'!$U$4:$U$803,$B196&amp;"|"&amp;V$5)=0,"",SUMIF('Competency Event Log'!$U$4:$U$803,$B196&amp;"|"&amp;V$5,'Competency Event Log'!$D$4:$D$803)))</f>
        <v/>
      </c>
      <c r="W196" s="8" t="str">
        <f>IF($B196="","",IF(COUNTIF('Competency Event Log'!$U$4:$U$803,$B196&amp;"|"&amp;W$5)=0,"",SUMIF('Competency Event Log'!$U$4:$U$803,$B196&amp;"|"&amp;W$5,'Competency Event Log'!$D$4:$D$803)))</f>
        <v/>
      </c>
      <c r="X196" s="8" t="str">
        <f>IF($B196="","",IF(COUNTIF('Competency Event Log'!$U$4:$U$803,$B196&amp;"|"&amp;X$5)=0,"",SUMIF('Competency Event Log'!$U$4:$U$803,$B196&amp;"|"&amp;X$5,'Competency Event Log'!$D$4:$D$803)))</f>
        <v/>
      </c>
      <c r="Y196" s="8" t="str">
        <f>IF($B196="","",IF(COUNTIF('Competency Event Log'!$U$4:$U$803,$B196&amp;"|"&amp;Y$5)=0,"",SUMIF('Competency Event Log'!$U$4:$U$803,$B196&amp;"|"&amp;Y$5,'Competency Event Log'!$D$4:$D$803)))</f>
        <v/>
      </c>
      <c r="Z196" s="8" t="str">
        <f>IF($B196="","",IF(COUNTIF('Competency Event Log'!$U$4:$U$803,$B196&amp;"|"&amp;Z$5)=0,"",SUMIF('Competency Event Log'!$U$4:$U$803,$B196&amp;"|"&amp;Z$5,'Competency Event Log'!$D$4:$D$803)))</f>
        <v/>
      </c>
      <c r="AA196" s="8" t="str">
        <f>IF($B196="","",IF(COUNTIF('Competency Event Log'!$U$4:$U$803,$B196&amp;"|"&amp;AA$5)=0,"",SUMIF('Competency Event Log'!$U$4:$U$803,$B196&amp;"|"&amp;AA$5,'Competency Event Log'!$D$4:$D$803)))</f>
        <v/>
      </c>
      <c r="AB196" s="8" t="str">
        <f>IF($B196="","",IF(COUNTIF('Competency Event Log'!$U$4:$U$803,$B196&amp;"|"&amp;AB$5)=0,"",SUMIF('Competency Event Log'!$U$4:$U$803,$B196&amp;"|"&amp;AB$5,'Competency Event Log'!$D$4:$D$803)))</f>
        <v/>
      </c>
      <c r="AC196" s="8" t="str">
        <f>IF($B196="","",IF(COUNTIF('Competency Event Log'!$U$4:$U$803,$B196&amp;"|"&amp;AC$5)=0,"",SUMIF('Competency Event Log'!$U$4:$U$803,$B196&amp;"|"&amp;AC$5,'Competency Event Log'!$D$4:$D$803)))</f>
        <v/>
      </c>
      <c r="AD196" s="8" t="str">
        <f>IF($B196="","",IF(COUNTIF('Competency Event Log'!$U$4:$U$803,$B196&amp;"|"&amp;AD$5)=0,"",SUMIF('Competency Event Log'!$U$4:$U$803,$B196&amp;"|"&amp;AD$5,'Competency Event Log'!$D$4:$D$803)))</f>
        <v/>
      </c>
      <c r="AE196" s="8" t="str">
        <f>IF($B196="","",IF(COUNTIF('Competency Event Log'!$U$4:$U$803,$B196&amp;"|"&amp;AE$5)=0,"",SUMIF('Competency Event Log'!$U$4:$U$803,$B196&amp;"|"&amp;AE$5,'Competency Event Log'!$D$4:$D$803)))</f>
        <v/>
      </c>
      <c r="AF196" s="8" t="str">
        <f>IF($B196="","",IF(COUNTIF('Competency Event Log'!$U$4:$U$803,$B196&amp;"|"&amp;AF$5)=0,"",SUMIF('Competency Event Log'!$U$4:$U$803,$B196&amp;"|"&amp;AF$5,'Competency Event Log'!$D$4:$D$803)))</f>
        <v/>
      </c>
      <c r="AG196" s="8" t="str">
        <f>IF($B196="","",IF(COUNTIF('Competency Event Log'!$U$4:$U$803,$B196&amp;"|"&amp;AG$5)=0,"",SUMIF('Competency Event Log'!$U$4:$U$803,$B196&amp;"|"&amp;AG$5,'Competency Event Log'!$D$4:$D$803)))</f>
        <v/>
      </c>
      <c r="AH196" s="8" t="str">
        <f>IF($B196="","",IF(COUNTIF('Competency Event Log'!$U$4:$U$803,$B196&amp;"|"&amp;AH$5)=0,"",SUMIF('Competency Event Log'!$U$4:$U$803,$B196&amp;"|"&amp;AH$5,'Competency Event Log'!$D$4:$D$803)))</f>
        <v/>
      </c>
      <c r="AI196" s="8" t="str">
        <f>IF($B196="","",IF(COUNTIF('Competency Event Log'!$U$4:$U$803,$B196&amp;"|"&amp;AI$5)=0,"",SUMIF('Competency Event Log'!$U$4:$U$803,$B196&amp;"|"&amp;AI$5,'Competency Event Log'!$D$4:$D$803)))</f>
        <v/>
      </c>
      <c r="AJ196" s="8" t="str">
        <f>IF($B196="","",IF(COUNTIF('Competency Event Log'!$U$4:$U$803,$B196&amp;"|"&amp;AJ$5)=0,"",SUMIF('Competency Event Log'!$U$4:$U$803,$B196&amp;"|"&amp;AJ$5,'Competency Event Log'!$D$4:$D$803)))</f>
        <v/>
      </c>
      <c r="AK196" s="8" t="str">
        <f>IF($B196="","",IF(COUNTIF('Competency Event Log'!$U$4:$U$803,$B196&amp;"|"&amp;AK$5)=0,"",SUMIF('Competency Event Log'!$U$4:$U$803,$B196&amp;"|"&amp;AK$5,'Competency Event Log'!$D$4:$D$803)))</f>
        <v/>
      </c>
      <c r="AL196" s="8" t="str">
        <f>IF($B196="","",IF(COUNTIF('Competency Event Log'!$U$4:$U$803,$B196&amp;"|"&amp;AL$5)=0,"",SUMIF('Competency Event Log'!$U$4:$U$803,$B196&amp;"|"&amp;AL$5,'Competency Event Log'!$D$4:$D$803)))</f>
        <v/>
      </c>
      <c r="AM196" s="8" t="str">
        <f>IF($B196="","",IF(COUNTIF('Competency Event Log'!$U$4:$U$803,$B196&amp;"|"&amp;AM$5)=0,"",SUMIF('Competency Event Log'!$U$4:$U$803,$B196&amp;"|"&amp;AM$5,'Competency Event Log'!$D$4:$D$803)))</f>
        <v/>
      </c>
      <c r="AN196" s="8" t="str">
        <f>IF($B196="","",IF(COUNTIF('Competency Event Log'!$U$4:$U$803,$B196&amp;"|"&amp;AN$5)=0,"",SUMIF('Competency Event Log'!$U$4:$U$803,$B196&amp;"|"&amp;AN$5,'Competency Event Log'!$D$4:$D$803)))</f>
        <v/>
      </c>
      <c r="AO196" s="8" t="str">
        <f>IF($B196="","",IF(COUNTIF('Competency Event Log'!$U$4:$U$803,$B196&amp;"|"&amp;AO$5)=0,"",SUMIF('Competency Event Log'!$U$4:$U$803,$B196&amp;"|"&amp;AO$5,'Competency Event Log'!$D$4:$D$803)))</f>
        <v/>
      </c>
      <c r="AP196" s="8" t="str">
        <f>IF($B196="","",IF(COUNTIF('Competency Event Log'!$U$4:$U$803,$B196&amp;"|"&amp;AP$5)=0,"",SUMIF('Competency Event Log'!$U$4:$U$803,$B196&amp;"|"&amp;AP$5,'Competency Event Log'!$D$4:$D$803)))</f>
        <v/>
      </c>
      <c r="AQ196" s="8" t="str">
        <f>IF($B196="","",IF(COUNTIF('Competency Event Log'!$U$4:$U$803,$B196&amp;"|"&amp;AQ$5)=0,"",SUMIF('Competency Event Log'!$U$4:$U$803,$B196&amp;"|"&amp;AQ$5,'Competency Event Log'!$D$4:$D$803)))</f>
        <v/>
      </c>
      <c r="AR196" s="8" t="str">
        <f>IF($B196="","",IF(COUNTIF('Competency Event Log'!$U$4:$U$803,$B196&amp;"|"&amp;AR$5)=0,"",SUMIF('Competency Event Log'!$U$4:$U$803,$B196&amp;"|"&amp;AR$5,'Competency Event Log'!$D$4:$D$803)))</f>
        <v/>
      </c>
      <c r="AS196" s="8" t="str">
        <f>IF($B196="","",IF(COUNTIF('Competency Event Log'!$U$4:$U$803,$B196&amp;"|"&amp;AS$5)=0,"",SUMIF('Competency Event Log'!$U$4:$U$803,$B196&amp;"|"&amp;AS$5,'Competency Event Log'!$D$4:$D$803)))</f>
        <v/>
      </c>
      <c r="AT196" s="8" t="str">
        <f>IF($B196="","",IF(COUNTIF('Competency Event Log'!$U$4:$U$803,$B196&amp;"|"&amp;AT$5)=0,"",SUMIF('Competency Event Log'!$U$4:$U$803,$B196&amp;"|"&amp;AT$5,'Competency Event Log'!$D$4:$D$803)))</f>
        <v/>
      </c>
      <c r="AU196" s="8" t="str">
        <f>IF($B196="","",IF(COUNTIF('Competency Event Log'!$U$4:$U$803,$B196&amp;"|"&amp;AU$5)=0,"",SUMIF('Competency Event Log'!$U$4:$U$803,$B196&amp;"|"&amp;AU$5,'Competency Event Log'!$D$4:$D$803)))</f>
        <v/>
      </c>
      <c r="AV196" s="8" t="str">
        <f>IF($B196="","",IF(COUNTIF('Competency Event Log'!$U$4:$U$803,$B196&amp;"|"&amp;AV$5)=0,"",SUMIF('Competency Event Log'!$U$4:$U$803,$B196&amp;"|"&amp;AV$5,'Competency Event Log'!$D$4:$D$803)))</f>
        <v/>
      </c>
      <c r="AW196" s="8" t="str">
        <f>IF($B196="","",IF(COUNTIF('Competency Event Log'!$U$4:$U$803,$B196&amp;"|"&amp;AW$5)=0,"",SUMIF('Competency Event Log'!$U$4:$U$803,$B196&amp;"|"&amp;AW$5,'Competency Event Log'!$D$4:$D$803)))</f>
        <v/>
      </c>
      <c r="AX196" s="8" t="str">
        <f>IF($B196="","",IF(COUNTIF('Competency Event Log'!$U$4:$U$803,$B196&amp;"|"&amp;AX$5)=0,"",SUMIF('Competency Event Log'!$U$4:$U$803,$B196&amp;"|"&amp;AX$5,'Competency Event Log'!$D$4:$D$803)))</f>
        <v/>
      </c>
      <c r="AY196" s="8" t="str">
        <f>IF($B196="","",IF(COUNTIF('Competency Event Log'!$U$4:$U$803,$B196&amp;"|"&amp;AY$5)=0,"",SUMIF('Competency Event Log'!$U$4:$U$803,$B196&amp;"|"&amp;AY$5,'Competency Event Log'!$D$4:$D$803)))</f>
        <v/>
      </c>
      <c r="AZ196" s="8" t="str">
        <f>IF($B196="","",IF(COUNTIF('Competency Event Log'!$U$4:$U$803,$B196&amp;"|"&amp;AZ$5)=0,"",SUMIF('Competency Event Log'!$U$4:$U$803,$B196&amp;"|"&amp;AZ$5,'Competency Event Log'!$D$4:$D$803)))</f>
        <v/>
      </c>
      <c r="BA196" s="8" t="str">
        <f>IF($B196="","",IF(COUNTIF('Competency Event Log'!$U$4:$U$803,$B196&amp;"|"&amp;BA$5)=0,"",SUMIF('Competency Event Log'!$U$4:$U$803,$B196&amp;"|"&amp;BA$5,'Competency Event Log'!$D$4:$D$803)))</f>
        <v/>
      </c>
      <c r="BB196" s="8" t="str">
        <f>IF($B196="","",IF(COUNTIF('Competency Event Log'!$U$4:$U$803,$B196&amp;"|"&amp;BB$5)=0,"",SUMIF('Competency Event Log'!$U$4:$U$803,$B196&amp;"|"&amp;BB$5,'Competency Event Log'!$D$4:$D$803)))</f>
        <v/>
      </c>
      <c r="BC196" s="8" t="str">
        <f>IF($B196="","",IF(COUNTIF('Competency Event Log'!$U$4:$U$803,$B196&amp;"|"&amp;BC$5)=0,"",SUMIF('Competency Event Log'!$U$4:$U$803,$B196&amp;"|"&amp;BC$5,'Competency Event Log'!$D$4:$D$803)))</f>
        <v/>
      </c>
      <c r="BD196" s="8" t="str">
        <f>IF($B196="","",IF(COUNTIF('Competency Event Log'!$U$4:$U$803,$B196&amp;"|"&amp;BD$5)=0,"",SUMIF('Competency Event Log'!$U$4:$U$803,$B196&amp;"|"&amp;BD$5,'Competency Event Log'!$D$4:$D$803)))</f>
        <v/>
      </c>
      <c r="BE196" s="8" t="str">
        <f>IF($B196="","",IF(COUNTIF('Competency Event Log'!$U$4:$U$803,$B196&amp;"|"&amp;BE$5)=0,"",SUMIF('Competency Event Log'!$U$4:$U$803,$B196&amp;"|"&amp;BE$5,'Competency Event Log'!$D$4:$D$803)))</f>
        <v/>
      </c>
      <c r="BF196" s="8" t="str">
        <f>IF($B196="","",IF(COUNTIF('Competency Event Log'!$U$4:$U$803,$B196&amp;"|"&amp;BF$5)=0,"",SUMIF('Competency Event Log'!$U$4:$U$803,$B196&amp;"|"&amp;BF$5,'Competency Event Log'!$D$4:$D$803)))</f>
        <v/>
      </c>
      <c r="BG196" s="8" t="str">
        <f>IF($B196="","",IF(COUNTIF('Competency Event Log'!$U$4:$U$803,$B196&amp;"|"&amp;BG$5)=0,"",SUMIF('Competency Event Log'!$U$4:$U$803,$B196&amp;"|"&amp;BG$5,'Competency Event Log'!$D$4:$D$803)))</f>
        <v/>
      </c>
      <c r="BH196" s="8" t="str">
        <f>IF($B196="","",IF(COUNTIF('Competency Event Log'!$U$4:$U$803,$B196&amp;"|"&amp;BH$5)=0,"",SUMIF('Competency Event Log'!$U$4:$U$803,$B196&amp;"|"&amp;BH$5,'Competency Event Log'!$D$4:$D$803)))</f>
        <v/>
      </c>
      <c r="BI196" s="8" t="str">
        <f>IF($B196="","",IF(COUNTIF('Competency Event Log'!$U$4:$U$803,$B196&amp;"|"&amp;BI$5)=0,"",SUMIF('Competency Event Log'!$U$4:$U$803,$B196&amp;"|"&amp;BI$5,'Competency Event Log'!$D$4:$D$803)))</f>
        <v/>
      </c>
      <c r="BJ196" s="8" t="str">
        <f>IF($B196="","",IF(COUNTIF('Competency Event Log'!$U$4:$U$803,$B196&amp;"|"&amp;BJ$5)=0,"",SUMIF('Competency Event Log'!$U$4:$U$803,$B196&amp;"|"&amp;BJ$5,'Competency Event Log'!$D$4:$D$803)))</f>
        <v/>
      </c>
      <c r="BK196" s="8" t="str">
        <f>IF($B196="","",IF(COUNTIF('Competency Event Log'!$U$4:$U$803,$B196&amp;"|"&amp;BK$5)=0,"",SUMIF('Competency Event Log'!$U$4:$U$803,$B196&amp;"|"&amp;BK$5,'Competency Event Log'!$D$4:$D$803)))</f>
        <v/>
      </c>
      <c r="BL196" s="8" t="str">
        <f>IF($B196="","",IF(COUNTIF('Competency Event Log'!$U$4:$U$803,$B196&amp;"|"&amp;BL$5)=0,"",SUMIF('Competency Event Log'!$U$4:$U$803,$B196&amp;"|"&amp;BL$5,'Competency Event Log'!$D$4:$D$803)))</f>
        <v/>
      </c>
      <c r="BM196" s="8" t="str">
        <f>IF($B196="","",IF(COUNTIF('Competency Event Log'!$U$4:$U$803,$B196&amp;"|"&amp;BM$5)=0,"",SUMIF('Competency Event Log'!$U$4:$U$803,$B196&amp;"|"&amp;BM$5,'Competency Event Log'!$D$4:$D$803)))</f>
        <v/>
      </c>
      <c r="BN196" s="8" t="str">
        <f>IF($B196="","",IF(COUNTIF('Competency Event Log'!$U$4:$U$803,$B196&amp;"|"&amp;BN$5)=0,"",SUMIF('Competency Event Log'!$U$4:$U$803,$B196&amp;"|"&amp;BN$5,'Competency Event Log'!$D$4:$D$803)))</f>
        <v/>
      </c>
      <c r="BO196" s="8" t="str">
        <f>IF($B196="","",IF(COUNTIF('Competency Event Log'!$U$4:$U$803,$B196&amp;"|"&amp;BO$5)=0,"",SUMIF('Competency Event Log'!$U$4:$U$803,$B196&amp;"|"&amp;BO$5,'Competency Event Log'!$D$4:$D$803)))</f>
        <v/>
      </c>
      <c r="BP196" s="8" t="str">
        <f>IF($B196="","",IF(COUNTIF('Competency Event Log'!$U$4:$U$803,$B196&amp;"|"&amp;BP$5)=0,"",SUMIF('Competency Event Log'!$U$4:$U$803,$B196&amp;"|"&amp;BP$5,'Competency Event Log'!$D$4:$D$803)))</f>
        <v/>
      </c>
      <c r="BQ196" s="8" t="str">
        <f>IF($B196="","",IF(COUNTIF('Competency Event Log'!$U$4:$U$803,$B196&amp;"|"&amp;BQ$5)=0,"",SUMIF('Competency Event Log'!$U$4:$U$803,$B196&amp;"|"&amp;BQ$5,'Competency Event Log'!$D$4:$D$803)))</f>
        <v/>
      </c>
      <c r="BR196" s="8" t="str">
        <f>IF($B196="","",IF(COUNTIF('Competency Event Log'!$U$4:$U$803,$B196&amp;"|"&amp;BR$5)=0,"",SUMIF('Competency Event Log'!$U$4:$U$803,$B196&amp;"|"&amp;BR$5,'Competency Event Log'!$D$4:$D$803)))</f>
        <v/>
      </c>
      <c r="BS196" s="8" t="str">
        <f>IF($B196="","",IF(COUNTIF('Competency Event Log'!$U$4:$U$803,$B196&amp;"|"&amp;BS$5)=0,"",SUMIF('Competency Event Log'!$U$4:$U$803,$B196&amp;"|"&amp;BS$5,'Competency Event Log'!$D$4:$D$803)))</f>
        <v/>
      </c>
      <c r="BT196" s="8" t="str">
        <f>IF($B196="","",IF(COUNTIF('Competency Event Log'!$U$4:$U$803,$B196&amp;"|"&amp;BT$5)=0,"",SUMIF('Competency Event Log'!$U$4:$U$803,$B196&amp;"|"&amp;BT$5,'Competency Event Log'!$D$4:$D$803)))</f>
        <v/>
      </c>
      <c r="BU196" s="8" t="str">
        <f>IF($B196="","",IF(COUNTIF('Competency Event Log'!$U$4:$U$803,$B196&amp;"|"&amp;BU$5)=0,"",SUMIF('Competency Event Log'!$U$4:$U$803,$B196&amp;"|"&amp;BU$5,'Competency Event Log'!$D$4:$D$803)))</f>
        <v/>
      </c>
      <c r="BV196" s="8" t="str">
        <f>IF($B196="","",IF(COUNTIF('Competency Event Log'!$U$4:$U$803,$B196&amp;"|"&amp;BV$5)=0,"",SUMIF('Competency Event Log'!$U$4:$U$803,$B196&amp;"|"&amp;BV$5,'Competency Event Log'!$D$4:$D$803)))</f>
        <v/>
      </c>
      <c r="BW196" s="8" t="str">
        <f>IF($B196="","",IF(COUNTIF('Competency Event Log'!$U$4:$U$803,$B196&amp;"|"&amp;BW$5)=0,"",SUMIF('Competency Event Log'!$U$4:$U$803,$B196&amp;"|"&amp;BW$5,'Competency Event Log'!$D$4:$D$803)))</f>
        <v/>
      </c>
      <c r="BX196" s="8" t="str">
        <f>IF($B196="","",IF(COUNTIF('Competency Event Log'!$U$4:$U$803,$B196&amp;"|"&amp;BX$5)=0,"",SUMIF('Competency Event Log'!$U$4:$U$803,$B196&amp;"|"&amp;BX$5,'Competency Event Log'!$D$4:$D$803)))</f>
        <v/>
      </c>
      <c r="BY196" s="8" t="str">
        <f>IF($B196="","",IF(COUNTIF('Competency Event Log'!$U$4:$U$803,$B196&amp;"|"&amp;BY$5)=0,"",SUMIF('Competency Event Log'!$U$4:$U$803,$B196&amp;"|"&amp;BY$5,'Competency Event Log'!$D$4:$D$803)))</f>
        <v/>
      </c>
      <c r="BZ196" s="8" t="str">
        <f>IF($B196="","",IF(COUNTIF('Competency Event Log'!$U$4:$U$803,$B196&amp;"|"&amp;BZ$5)=0,"",SUMIF('Competency Event Log'!$U$4:$U$803,$B196&amp;"|"&amp;BZ$5,'Competency Event Log'!$D$4:$D$803)))</f>
        <v/>
      </c>
      <c r="CA196" s="8" t="str">
        <f>IF($B196="","",IF(COUNTIF('Competency Event Log'!$U$4:$U$803,$B196&amp;"|"&amp;CA$5)=0,"",SUMIF('Competency Event Log'!$U$4:$U$803,$B196&amp;"|"&amp;CA$5,'Competency Event Log'!$D$4:$D$803)))</f>
        <v/>
      </c>
      <c r="CB196" s="8" t="str">
        <f>IF($B196="","",IF(COUNTIF('Competency Event Log'!$U$4:$U$803,$B196&amp;"|"&amp;CB$5)=0,"",SUMIF('Competency Event Log'!$U$4:$U$803,$B196&amp;"|"&amp;CB$5,'Competency Event Log'!$D$4:$D$803)))</f>
        <v/>
      </c>
      <c r="CC196" s="8" t="str">
        <f>IF($B196="","",IF(COUNTIF('Competency Event Log'!$U$4:$U$803,$B196&amp;"|"&amp;CC$5)=0,"",SUMIF('Competency Event Log'!$U$4:$U$803,$B196&amp;"|"&amp;CC$5,'Competency Event Log'!$D$4:$D$803)))</f>
        <v/>
      </c>
      <c r="CD196" s="8" t="str">
        <f>IF($B196="","",IF(COUNTIF('Competency Event Log'!$U$4:$U$803,$B196&amp;"|"&amp;CD$5)=0,"",SUMIF('Competency Event Log'!$U$4:$U$803,$B196&amp;"|"&amp;CD$5,'Competency Event Log'!$D$4:$D$803)))</f>
        <v/>
      </c>
      <c r="CE196" s="8" t="str">
        <f>IF($B196="","",IF(COUNTIF('Competency Event Log'!$U$4:$U$803,$B196&amp;"|"&amp;CE$5)=0,"",SUMIF('Competency Event Log'!$U$4:$U$803,$B196&amp;"|"&amp;CE$5,'Competency Event Log'!$D$4:$D$803)))</f>
        <v/>
      </c>
      <c r="CF196" s="8" t="str">
        <f>IF($B196="","",IF(COUNTIF('Competency Event Log'!$U$4:$U$803,$B196&amp;"|"&amp;CF$5)=0,"",SUMIF('Competency Event Log'!$U$4:$U$803,$B196&amp;"|"&amp;CF$5,'Competency Event Log'!$D$4:$D$803)))</f>
        <v/>
      </c>
      <c r="CG196" s="8" t="str">
        <f>IF($B196="","",IF(COUNTIF('Competency Event Log'!$U$4:$U$803,$B196&amp;"|"&amp;CG$5)=0,"",SUMIF('Competency Event Log'!$U$4:$U$803,$B196&amp;"|"&amp;CG$5,'Competency Event Log'!$D$4:$D$803)))</f>
        <v/>
      </c>
      <c r="CH196" s="8" t="str">
        <f>IF($B196="","",IF(COUNTIF('Competency Event Log'!$U$4:$U$803,$B196&amp;"|"&amp;CH$5)=0,"",SUMIF('Competency Event Log'!$U$4:$U$803,$B196&amp;"|"&amp;CH$5,'Competency Event Log'!$D$4:$D$803)))</f>
        <v/>
      </c>
      <c r="CI196" s="8" t="str">
        <f>IF($B196="","",IF(COUNTIF('Competency Event Log'!$U$4:$U$803,$B196&amp;"|"&amp;CI$5)=0,"",SUMIF('Competency Event Log'!$U$4:$U$803,$B196&amp;"|"&amp;CI$5,'Competency Event Log'!$D$4:$D$803)))</f>
        <v/>
      </c>
      <c r="CJ196" s="8" t="str">
        <f>IF($B196="","",IF(COUNTIF('Competency Event Log'!$U$4:$U$803,$B196&amp;"|"&amp;CJ$5)=0,"",SUMIF('Competency Event Log'!$U$4:$U$803,$B196&amp;"|"&amp;CJ$5,'Competency Event Log'!$D$4:$D$803)))</f>
        <v/>
      </c>
      <c r="CK196" s="8" t="str">
        <f>IF($B196="","",IF(COUNTIF('Competency Event Log'!$U$4:$U$803,$B196&amp;"|"&amp;CK$5)=0,"",SUMIF('Competency Event Log'!$U$4:$U$803,$B196&amp;"|"&amp;CK$5,'Competency Event Log'!$D$4:$D$803)))</f>
        <v/>
      </c>
      <c r="CL196" s="8" t="str">
        <f>IF($B196="","",IF(COUNTIF('Competency Event Log'!$U$4:$U$803,$B196&amp;"|"&amp;CL$5)=0,"",SUMIF('Competency Event Log'!$U$4:$U$803,$B196&amp;"|"&amp;CL$5,'Competency Event Log'!$D$4:$D$803)))</f>
        <v/>
      </c>
      <c r="CM196" s="8" t="str">
        <f>IF($B196="","",IF(COUNTIF('Competency Event Log'!$U$4:$U$803,$B196&amp;"|"&amp;CM$5)=0,"",SUMIF('Competency Event Log'!$U$4:$U$803,$B196&amp;"|"&amp;CM$5,'Competency Event Log'!$D$4:$D$803)))</f>
        <v/>
      </c>
      <c r="CN196" s="8" t="str">
        <f>IF($B196="","",IF(COUNTIF('Competency Event Log'!$U$4:$U$803,$B196&amp;"|"&amp;CN$5)=0,"",SUMIF('Competency Event Log'!$U$4:$U$803,$B196&amp;"|"&amp;CN$5,'Competency Event Log'!$D$4:$D$803)))</f>
        <v/>
      </c>
      <c r="CO196" s="8" t="str">
        <f>IF($B196="","",IF(COUNTIF('Competency Event Log'!$U$4:$U$803,$B196&amp;"|"&amp;CO$5)=0,"",SUMIF('Competency Event Log'!$U$4:$U$803,$B196&amp;"|"&amp;CO$5,'Competency Event Log'!$D$4:$D$803)))</f>
        <v/>
      </c>
      <c r="CP196" s="8" t="str">
        <f>IF($B196="","",IF(COUNTIF('Competency Event Log'!$U$4:$U$803,$B196&amp;"|"&amp;CP$5)=0,"",SUMIF('Competency Event Log'!$U$4:$U$803,$B196&amp;"|"&amp;CP$5,'Competency Event Log'!$D$4:$D$803)))</f>
        <v/>
      </c>
      <c r="CQ196" s="8" t="str">
        <f>IF($B196="","",IF(COUNTIF('Competency Event Log'!$U$4:$U$803,$B196&amp;"|"&amp;CQ$5)=0,"",SUMIF('Competency Event Log'!$U$4:$U$803,$B196&amp;"|"&amp;CQ$5,'Competency Event Log'!$D$4:$D$803)))</f>
        <v/>
      </c>
      <c r="CR196" s="8" t="str">
        <f>IF($B196="","",IF(COUNTIF('Competency Event Log'!$U$4:$U$803,$B196&amp;"|"&amp;CR$5)=0,"",SUMIF('Competency Event Log'!$U$4:$U$803,$B196&amp;"|"&amp;CR$5,'Competency Event Log'!$D$4:$D$803)))</f>
        <v/>
      </c>
      <c r="CS196" s="8" t="str">
        <f>IF($B196="","",IF(COUNTIF('Competency Event Log'!$U$4:$U$803,$B196&amp;"|"&amp;CS$5)=0,"",SUMIF('Competency Event Log'!$U$4:$U$803,$B196&amp;"|"&amp;CS$5,'Competency Event Log'!$D$4:$D$803)))</f>
        <v/>
      </c>
      <c r="CT196" s="8" t="str">
        <f>IF($B196="","",IF(COUNTIF('Competency Event Log'!$U$4:$U$803,$B196&amp;"|"&amp;CT$5)=0,"",SUMIF('Competency Event Log'!$U$4:$U$803,$B196&amp;"|"&amp;CT$5,'Competency Event Log'!$D$4:$D$803)))</f>
        <v/>
      </c>
      <c r="CU196" s="8" t="str">
        <f>IF($B196="","",IF(COUNTIF('Competency Event Log'!$U$4:$U$803,$B196&amp;"|"&amp;CU$5)=0,"",SUMIF('Competency Event Log'!$U$4:$U$803,$B196&amp;"|"&amp;CU$5,'Competency Event Log'!$D$4:$D$803)))</f>
        <v/>
      </c>
      <c r="CV196" s="8" t="str">
        <f>IF($B196="","",IF(COUNTIF('Competency Event Log'!$U$4:$U$803,$B196&amp;"|"&amp;CV$5)=0,"",SUMIF('Competency Event Log'!$U$4:$U$803,$B196&amp;"|"&amp;CV$5,'Competency Event Log'!$D$4:$D$803)))</f>
        <v/>
      </c>
      <c r="CW196" s="8" t="str">
        <f>IF($B196="","",IF(COUNTIF('Competency Event Log'!$U$4:$U$803,$B196&amp;"|"&amp;CW$5)=0,"",SUMIF('Competency Event Log'!$U$4:$U$803,$B196&amp;"|"&amp;CW$5,'Competency Event Log'!$D$4:$D$803)))</f>
        <v/>
      </c>
      <c r="CX196" s="8" t="str">
        <f>IF($B196="","",IF(COUNTIF('Competency Event Log'!$U$4:$U$803,$B196&amp;"|"&amp;CX$5)=0,"",SUMIF('Competency Event Log'!$U$4:$U$803,$B196&amp;"|"&amp;CX$5,'Competency Event Log'!$D$4:$D$803)))</f>
        <v/>
      </c>
      <c r="CY196" s="8" t="str">
        <f>IF($B196="","",IF(COUNTIF('Competency Event Log'!$U$4:$U$803,$B196&amp;"|"&amp;CY$5)=0,"",SUMIF('Competency Event Log'!$U$4:$U$803,$B196&amp;"|"&amp;CY$5,'Competency Event Log'!$D$4:$D$803)))</f>
        <v/>
      </c>
      <c r="CZ196" s="8" t="str">
        <f>IF($B196="","",IF(COUNTIF('Competency Event Log'!$U$4:$U$803,$B196&amp;"|"&amp;CZ$5)=0,"",SUMIF('Competency Event Log'!$U$4:$U$803,$B196&amp;"|"&amp;CZ$5,'Competency Event Log'!$D$4:$D$803)))</f>
        <v/>
      </c>
      <c r="DA196" s="8" t="str">
        <f>IF($B196="","",IF(COUNTIF('Competency Event Log'!$U$4:$U$803,$B196&amp;"|"&amp;DA$5)=0,"",SUMIF('Competency Event Log'!$U$4:$U$803,$B196&amp;"|"&amp;DA$5,'Competency Event Log'!$D$4:$D$803)))</f>
        <v/>
      </c>
      <c r="DB196" s="8" t="str">
        <f>IF($B196="","",IF(COUNTIF('Competency Event Log'!$U$4:$U$803,$B196&amp;"|"&amp;DB$5)=0,"",SUMIF('Competency Event Log'!$U$4:$U$803,$B196&amp;"|"&amp;DB$5,'Competency Event Log'!$D$4:$D$803)))</f>
        <v/>
      </c>
      <c r="DC196" s="8" t="str">
        <f>IF($B196="","",IF(COUNTIF('Competency Event Log'!$U$4:$U$803,$B196&amp;"|"&amp;DC$5)=0,"",SUMIF('Competency Event Log'!$U$4:$U$803,$B196&amp;"|"&amp;DC$5,'Competency Event Log'!$D$4:$D$803)))</f>
        <v/>
      </c>
      <c r="DD196" s="8" t="str">
        <f>IF($B196="","",IF(COUNTIF('Competency Event Log'!$U$4:$U$803,$B196&amp;"|"&amp;DD$5)=0,"",SUMIF('Competency Event Log'!$U$4:$U$803,$B196&amp;"|"&amp;DD$5,'Competency Event Log'!$D$4:$D$803)))</f>
        <v/>
      </c>
      <c r="DE196" s="8" t="str">
        <f>IF($B196="","",IF(COUNTIF('Competency Event Log'!$U$4:$U$803,$B196&amp;"|"&amp;DE$5)=0,"",SUMIF('Competency Event Log'!$U$4:$U$803,$B196&amp;"|"&amp;DE$5,'Competency Event Log'!$D$4:$D$803)))</f>
        <v/>
      </c>
      <c r="DF196" s="8" t="str">
        <f t="shared" si="20"/>
        <v/>
      </c>
      <c r="DG196" s="8" t="str">
        <f t="shared" si="21"/>
        <v/>
      </c>
      <c r="DH196" s="8" t="str">
        <f t="shared" si="22"/>
        <v/>
      </c>
      <c r="DI196" s="11" t="str">
        <f t="shared" si="23"/>
        <v/>
      </c>
    </row>
    <row r="197" spans="1:113">
      <c r="A197" s="7"/>
      <c r="B197" s="7"/>
      <c r="C197" s="8"/>
      <c r="D197" s="9"/>
      <c r="E197" s="10"/>
      <c r="F197" s="8"/>
      <c r="G197" s="8" t="str">
        <f>IF($B197="","",IF(COUNTIF('Competency Event Log'!$U$4:$U$803,$B197&amp;"|"&amp;G$5)=0,"",SUMIF('Competency Event Log'!$U$4:$U$803,$B197&amp;"|"&amp;G$5,'Competency Event Log'!$D$4:$D$803)))</f>
        <v/>
      </c>
      <c r="H197" s="8" t="str">
        <f>IF($B197="","",IF(COUNTIF('Competency Event Log'!$U$4:$U$803,$B197&amp;"|"&amp;H$5)=0,"",SUMIF('Competency Event Log'!$U$4:$U$803,$B197&amp;"|"&amp;H$5,'Competency Event Log'!$D$4:$D$803)))</f>
        <v/>
      </c>
      <c r="I197" s="8" t="str">
        <f>IF($B197="","",IF(COUNTIF('Competency Event Log'!$U$4:$U$803,$B197&amp;"|"&amp;I$5)=0,"",SUMIF('Competency Event Log'!$U$4:$U$803,$B197&amp;"|"&amp;I$5,'Competency Event Log'!$D$4:$D$803)))</f>
        <v/>
      </c>
      <c r="J197" s="8" t="str">
        <f>IF($B197="","",IF(COUNTIF('Competency Event Log'!$U$4:$U$803,$B197&amp;"|"&amp;J$5)=0,"",SUMIF('Competency Event Log'!$U$4:$U$803,$B197&amp;"|"&amp;J$5,'Competency Event Log'!$D$4:$D$803)))</f>
        <v/>
      </c>
      <c r="K197" s="8" t="str">
        <f>IF($B197="","",IF(COUNTIF('Competency Event Log'!$U$4:$U$803,$B197&amp;"|"&amp;K$5)=0,"",SUMIF('Competency Event Log'!$U$4:$U$803,$B197&amp;"|"&amp;K$5,'Competency Event Log'!$D$4:$D$803)))</f>
        <v/>
      </c>
      <c r="L197" s="8" t="str">
        <f>IF($B197="","",IF(COUNTIF('Competency Event Log'!$U$4:$U$803,$B197&amp;"|"&amp;L$5)=0,"",SUMIF('Competency Event Log'!$U$4:$U$803,$B197&amp;"|"&amp;L$5,'Competency Event Log'!$D$4:$D$803)))</f>
        <v/>
      </c>
      <c r="M197" s="8" t="str">
        <f>IF($B197="","",IF(COUNTIF('Competency Event Log'!$U$4:$U$803,$B197&amp;"|"&amp;M$5)=0,"",SUMIF('Competency Event Log'!$U$4:$U$803,$B197&amp;"|"&amp;M$5,'Competency Event Log'!$D$4:$D$803)))</f>
        <v/>
      </c>
      <c r="N197" s="8" t="str">
        <f>IF($B197="","",IF(COUNTIF('Competency Event Log'!$U$4:$U$803,$B197&amp;"|"&amp;N$5)=0,"",SUMIF('Competency Event Log'!$U$4:$U$803,$B197&amp;"|"&amp;N$5,'Competency Event Log'!$D$4:$D$803)))</f>
        <v/>
      </c>
      <c r="O197" s="8" t="str">
        <f>IF($B197="","",IF(COUNTIF('Competency Event Log'!$U$4:$U$803,$B197&amp;"|"&amp;O$5)=0,"",SUMIF('Competency Event Log'!$U$4:$U$803,$B197&amp;"|"&amp;O$5,'Competency Event Log'!$D$4:$D$803)))</f>
        <v/>
      </c>
      <c r="P197" s="8" t="str">
        <f>IF($B197="","",IF(COUNTIF('Competency Event Log'!$U$4:$U$803,$B197&amp;"|"&amp;P$5)=0,"",SUMIF('Competency Event Log'!$U$4:$U$803,$B197&amp;"|"&amp;P$5,'Competency Event Log'!$D$4:$D$803)))</f>
        <v/>
      </c>
      <c r="Q197" s="8" t="str">
        <f>IF($B197="","",IF(COUNTIF('Competency Event Log'!$U$4:$U$803,$B197&amp;"|"&amp;Q$5)=0,"",SUMIF('Competency Event Log'!$U$4:$U$803,$B197&amp;"|"&amp;Q$5,'Competency Event Log'!$D$4:$D$803)))</f>
        <v/>
      </c>
      <c r="R197" s="8" t="str">
        <f>IF($B197="","",IF(COUNTIF('Competency Event Log'!$U$4:$U$803,$B197&amp;"|"&amp;R$5)=0,"",SUMIF('Competency Event Log'!$U$4:$U$803,$B197&amp;"|"&amp;R$5,'Competency Event Log'!$D$4:$D$803)))</f>
        <v/>
      </c>
      <c r="S197" s="8" t="str">
        <f>IF($B197="","",IF(COUNTIF('Competency Event Log'!$U$4:$U$803,$B197&amp;"|"&amp;S$5)=0,"",SUMIF('Competency Event Log'!$U$4:$U$803,$B197&amp;"|"&amp;S$5,'Competency Event Log'!$D$4:$D$803)))</f>
        <v/>
      </c>
      <c r="T197" s="8" t="str">
        <f>IF($B197="","",IF(COUNTIF('Competency Event Log'!$U$4:$U$803,$B197&amp;"|"&amp;T$5)=0,"",SUMIF('Competency Event Log'!$U$4:$U$803,$B197&amp;"|"&amp;T$5,'Competency Event Log'!$D$4:$D$803)))</f>
        <v/>
      </c>
      <c r="U197" s="8" t="str">
        <f>IF($B197="","",IF(COUNTIF('Competency Event Log'!$U$4:$U$803,$B197&amp;"|"&amp;U$5)=0,"",SUMIF('Competency Event Log'!$U$4:$U$803,$B197&amp;"|"&amp;U$5,'Competency Event Log'!$D$4:$D$803)))</f>
        <v/>
      </c>
      <c r="V197" s="8" t="str">
        <f>IF($B197="","",IF(COUNTIF('Competency Event Log'!$U$4:$U$803,$B197&amp;"|"&amp;V$5)=0,"",SUMIF('Competency Event Log'!$U$4:$U$803,$B197&amp;"|"&amp;V$5,'Competency Event Log'!$D$4:$D$803)))</f>
        <v/>
      </c>
      <c r="W197" s="8" t="str">
        <f>IF($B197="","",IF(COUNTIF('Competency Event Log'!$U$4:$U$803,$B197&amp;"|"&amp;W$5)=0,"",SUMIF('Competency Event Log'!$U$4:$U$803,$B197&amp;"|"&amp;W$5,'Competency Event Log'!$D$4:$D$803)))</f>
        <v/>
      </c>
      <c r="X197" s="8" t="str">
        <f>IF($B197="","",IF(COUNTIF('Competency Event Log'!$U$4:$U$803,$B197&amp;"|"&amp;X$5)=0,"",SUMIF('Competency Event Log'!$U$4:$U$803,$B197&amp;"|"&amp;X$5,'Competency Event Log'!$D$4:$D$803)))</f>
        <v/>
      </c>
      <c r="Y197" s="8" t="str">
        <f>IF($B197="","",IF(COUNTIF('Competency Event Log'!$U$4:$U$803,$B197&amp;"|"&amp;Y$5)=0,"",SUMIF('Competency Event Log'!$U$4:$U$803,$B197&amp;"|"&amp;Y$5,'Competency Event Log'!$D$4:$D$803)))</f>
        <v/>
      </c>
      <c r="Z197" s="8" t="str">
        <f>IF($B197="","",IF(COUNTIF('Competency Event Log'!$U$4:$U$803,$B197&amp;"|"&amp;Z$5)=0,"",SUMIF('Competency Event Log'!$U$4:$U$803,$B197&amp;"|"&amp;Z$5,'Competency Event Log'!$D$4:$D$803)))</f>
        <v/>
      </c>
      <c r="AA197" s="8" t="str">
        <f>IF($B197="","",IF(COUNTIF('Competency Event Log'!$U$4:$U$803,$B197&amp;"|"&amp;AA$5)=0,"",SUMIF('Competency Event Log'!$U$4:$U$803,$B197&amp;"|"&amp;AA$5,'Competency Event Log'!$D$4:$D$803)))</f>
        <v/>
      </c>
      <c r="AB197" s="8" t="str">
        <f>IF($B197="","",IF(COUNTIF('Competency Event Log'!$U$4:$U$803,$B197&amp;"|"&amp;AB$5)=0,"",SUMIF('Competency Event Log'!$U$4:$U$803,$B197&amp;"|"&amp;AB$5,'Competency Event Log'!$D$4:$D$803)))</f>
        <v/>
      </c>
      <c r="AC197" s="8" t="str">
        <f>IF($B197="","",IF(COUNTIF('Competency Event Log'!$U$4:$U$803,$B197&amp;"|"&amp;AC$5)=0,"",SUMIF('Competency Event Log'!$U$4:$U$803,$B197&amp;"|"&amp;AC$5,'Competency Event Log'!$D$4:$D$803)))</f>
        <v/>
      </c>
      <c r="AD197" s="8" t="str">
        <f>IF($B197="","",IF(COUNTIF('Competency Event Log'!$U$4:$U$803,$B197&amp;"|"&amp;AD$5)=0,"",SUMIF('Competency Event Log'!$U$4:$U$803,$B197&amp;"|"&amp;AD$5,'Competency Event Log'!$D$4:$D$803)))</f>
        <v/>
      </c>
      <c r="AE197" s="8" t="str">
        <f>IF($B197="","",IF(COUNTIF('Competency Event Log'!$U$4:$U$803,$B197&amp;"|"&amp;AE$5)=0,"",SUMIF('Competency Event Log'!$U$4:$U$803,$B197&amp;"|"&amp;AE$5,'Competency Event Log'!$D$4:$D$803)))</f>
        <v/>
      </c>
      <c r="AF197" s="8" t="str">
        <f>IF($B197="","",IF(COUNTIF('Competency Event Log'!$U$4:$U$803,$B197&amp;"|"&amp;AF$5)=0,"",SUMIF('Competency Event Log'!$U$4:$U$803,$B197&amp;"|"&amp;AF$5,'Competency Event Log'!$D$4:$D$803)))</f>
        <v/>
      </c>
      <c r="AG197" s="8" t="str">
        <f>IF($B197="","",IF(COUNTIF('Competency Event Log'!$U$4:$U$803,$B197&amp;"|"&amp;AG$5)=0,"",SUMIF('Competency Event Log'!$U$4:$U$803,$B197&amp;"|"&amp;AG$5,'Competency Event Log'!$D$4:$D$803)))</f>
        <v/>
      </c>
      <c r="AH197" s="8" t="str">
        <f>IF($B197="","",IF(COUNTIF('Competency Event Log'!$U$4:$U$803,$B197&amp;"|"&amp;AH$5)=0,"",SUMIF('Competency Event Log'!$U$4:$U$803,$B197&amp;"|"&amp;AH$5,'Competency Event Log'!$D$4:$D$803)))</f>
        <v/>
      </c>
      <c r="AI197" s="8" t="str">
        <f>IF($B197="","",IF(COUNTIF('Competency Event Log'!$U$4:$U$803,$B197&amp;"|"&amp;AI$5)=0,"",SUMIF('Competency Event Log'!$U$4:$U$803,$B197&amp;"|"&amp;AI$5,'Competency Event Log'!$D$4:$D$803)))</f>
        <v/>
      </c>
      <c r="AJ197" s="8" t="str">
        <f>IF($B197="","",IF(COUNTIF('Competency Event Log'!$U$4:$U$803,$B197&amp;"|"&amp;AJ$5)=0,"",SUMIF('Competency Event Log'!$U$4:$U$803,$B197&amp;"|"&amp;AJ$5,'Competency Event Log'!$D$4:$D$803)))</f>
        <v/>
      </c>
      <c r="AK197" s="8" t="str">
        <f>IF($B197="","",IF(COUNTIF('Competency Event Log'!$U$4:$U$803,$B197&amp;"|"&amp;AK$5)=0,"",SUMIF('Competency Event Log'!$U$4:$U$803,$B197&amp;"|"&amp;AK$5,'Competency Event Log'!$D$4:$D$803)))</f>
        <v/>
      </c>
      <c r="AL197" s="8" t="str">
        <f>IF($B197="","",IF(COUNTIF('Competency Event Log'!$U$4:$U$803,$B197&amp;"|"&amp;AL$5)=0,"",SUMIF('Competency Event Log'!$U$4:$U$803,$B197&amp;"|"&amp;AL$5,'Competency Event Log'!$D$4:$D$803)))</f>
        <v/>
      </c>
      <c r="AM197" s="8" t="str">
        <f>IF($B197="","",IF(COUNTIF('Competency Event Log'!$U$4:$U$803,$B197&amp;"|"&amp;AM$5)=0,"",SUMIF('Competency Event Log'!$U$4:$U$803,$B197&amp;"|"&amp;AM$5,'Competency Event Log'!$D$4:$D$803)))</f>
        <v/>
      </c>
      <c r="AN197" s="8" t="str">
        <f>IF($B197="","",IF(COUNTIF('Competency Event Log'!$U$4:$U$803,$B197&amp;"|"&amp;AN$5)=0,"",SUMIF('Competency Event Log'!$U$4:$U$803,$B197&amp;"|"&amp;AN$5,'Competency Event Log'!$D$4:$D$803)))</f>
        <v/>
      </c>
      <c r="AO197" s="8" t="str">
        <f>IF($B197="","",IF(COUNTIF('Competency Event Log'!$U$4:$U$803,$B197&amp;"|"&amp;AO$5)=0,"",SUMIF('Competency Event Log'!$U$4:$U$803,$B197&amp;"|"&amp;AO$5,'Competency Event Log'!$D$4:$D$803)))</f>
        <v/>
      </c>
      <c r="AP197" s="8" t="str">
        <f>IF($B197="","",IF(COUNTIF('Competency Event Log'!$U$4:$U$803,$B197&amp;"|"&amp;AP$5)=0,"",SUMIF('Competency Event Log'!$U$4:$U$803,$B197&amp;"|"&amp;AP$5,'Competency Event Log'!$D$4:$D$803)))</f>
        <v/>
      </c>
      <c r="AQ197" s="8" t="str">
        <f>IF($B197="","",IF(COUNTIF('Competency Event Log'!$U$4:$U$803,$B197&amp;"|"&amp;AQ$5)=0,"",SUMIF('Competency Event Log'!$U$4:$U$803,$B197&amp;"|"&amp;AQ$5,'Competency Event Log'!$D$4:$D$803)))</f>
        <v/>
      </c>
      <c r="AR197" s="8" t="str">
        <f>IF($B197="","",IF(COUNTIF('Competency Event Log'!$U$4:$U$803,$B197&amp;"|"&amp;AR$5)=0,"",SUMIF('Competency Event Log'!$U$4:$U$803,$B197&amp;"|"&amp;AR$5,'Competency Event Log'!$D$4:$D$803)))</f>
        <v/>
      </c>
      <c r="AS197" s="8" t="str">
        <f>IF($B197="","",IF(COUNTIF('Competency Event Log'!$U$4:$U$803,$B197&amp;"|"&amp;AS$5)=0,"",SUMIF('Competency Event Log'!$U$4:$U$803,$B197&amp;"|"&amp;AS$5,'Competency Event Log'!$D$4:$D$803)))</f>
        <v/>
      </c>
      <c r="AT197" s="8" t="str">
        <f>IF($B197="","",IF(COUNTIF('Competency Event Log'!$U$4:$U$803,$B197&amp;"|"&amp;AT$5)=0,"",SUMIF('Competency Event Log'!$U$4:$U$803,$B197&amp;"|"&amp;AT$5,'Competency Event Log'!$D$4:$D$803)))</f>
        <v/>
      </c>
      <c r="AU197" s="8" t="str">
        <f>IF($B197="","",IF(COUNTIF('Competency Event Log'!$U$4:$U$803,$B197&amp;"|"&amp;AU$5)=0,"",SUMIF('Competency Event Log'!$U$4:$U$803,$B197&amp;"|"&amp;AU$5,'Competency Event Log'!$D$4:$D$803)))</f>
        <v/>
      </c>
      <c r="AV197" s="8" t="str">
        <f>IF($B197="","",IF(COUNTIF('Competency Event Log'!$U$4:$U$803,$B197&amp;"|"&amp;AV$5)=0,"",SUMIF('Competency Event Log'!$U$4:$U$803,$B197&amp;"|"&amp;AV$5,'Competency Event Log'!$D$4:$D$803)))</f>
        <v/>
      </c>
      <c r="AW197" s="8" t="str">
        <f>IF($B197="","",IF(COUNTIF('Competency Event Log'!$U$4:$U$803,$B197&amp;"|"&amp;AW$5)=0,"",SUMIF('Competency Event Log'!$U$4:$U$803,$B197&amp;"|"&amp;AW$5,'Competency Event Log'!$D$4:$D$803)))</f>
        <v/>
      </c>
      <c r="AX197" s="8" t="str">
        <f>IF($B197="","",IF(COUNTIF('Competency Event Log'!$U$4:$U$803,$B197&amp;"|"&amp;AX$5)=0,"",SUMIF('Competency Event Log'!$U$4:$U$803,$B197&amp;"|"&amp;AX$5,'Competency Event Log'!$D$4:$D$803)))</f>
        <v/>
      </c>
      <c r="AY197" s="8" t="str">
        <f>IF($B197="","",IF(COUNTIF('Competency Event Log'!$U$4:$U$803,$B197&amp;"|"&amp;AY$5)=0,"",SUMIF('Competency Event Log'!$U$4:$U$803,$B197&amp;"|"&amp;AY$5,'Competency Event Log'!$D$4:$D$803)))</f>
        <v/>
      </c>
      <c r="AZ197" s="8" t="str">
        <f>IF($B197="","",IF(COUNTIF('Competency Event Log'!$U$4:$U$803,$B197&amp;"|"&amp;AZ$5)=0,"",SUMIF('Competency Event Log'!$U$4:$U$803,$B197&amp;"|"&amp;AZ$5,'Competency Event Log'!$D$4:$D$803)))</f>
        <v/>
      </c>
      <c r="BA197" s="8" t="str">
        <f>IF($B197="","",IF(COUNTIF('Competency Event Log'!$U$4:$U$803,$B197&amp;"|"&amp;BA$5)=0,"",SUMIF('Competency Event Log'!$U$4:$U$803,$B197&amp;"|"&amp;BA$5,'Competency Event Log'!$D$4:$D$803)))</f>
        <v/>
      </c>
      <c r="BB197" s="8" t="str">
        <f>IF($B197="","",IF(COUNTIF('Competency Event Log'!$U$4:$U$803,$B197&amp;"|"&amp;BB$5)=0,"",SUMIF('Competency Event Log'!$U$4:$U$803,$B197&amp;"|"&amp;BB$5,'Competency Event Log'!$D$4:$D$803)))</f>
        <v/>
      </c>
      <c r="BC197" s="8" t="str">
        <f>IF($B197="","",IF(COUNTIF('Competency Event Log'!$U$4:$U$803,$B197&amp;"|"&amp;BC$5)=0,"",SUMIF('Competency Event Log'!$U$4:$U$803,$B197&amp;"|"&amp;BC$5,'Competency Event Log'!$D$4:$D$803)))</f>
        <v/>
      </c>
      <c r="BD197" s="8" t="str">
        <f>IF($B197="","",IF(COUNTIF('Competency Event Log'!$U$4:$U$803,$B197&amp;"|"&amp;BD$5)=0,"",SUMIF('Competency Event Log'!$U$4:$U$803,$B197&amp;"|"&amp;BD$5,'Competency Event Log'!$D$4:$D$803)))</f>
        <v/>
      </c>
      <c r="BE197" s="8" t="str">
        <f>IF($B197="","",IF(COUNTIF('Competency Event Log'!$U$4:$U$803,$B197&amp;"|"&amp;BE$5)=0,"",SUMIF('Competency Event Log'!$U$4:$U$803,$B197&amp;"|"&amp;BE$5,'Competency Event Log'!$D$4:$D$803)))</f>
        <v/>
      </c>
      <c r="BF197" s="8" t="str">
        <f>IF($B197="","",IF(COUNTIF('Competency Event Log'!$U$4:$U$803,$B197&amp;"|"&amp;BF$5)=0,"",SUMIF('Competency Event Log'!$U$4:$U$803,$B197&amp;"|"&amp;BF$5,'Competency Event Log'!$D$4:$D$803)))</f>
        <v/>
      </c>
      <c r="BG197" s="8" t="str">
        <f>IF($B197="","",IF(COUNTIF('Competency Event Log'!$U$4:$U$803,$B197&amp;"|"&amp;BG$5)=0,"",SUMIF('Competency Event Log'!$U$4:$U$803,$B197&amp;"|"&amp;BG$5,'Competency Event Log'!$D$4:$D$803)))</f>
        <v/>
      </c>
      <c r="BH197" s="8" t="str">
        <f>IF($B197="","",IF(COUNTIF('Competency Event Log'!$U$4:$U$803,$B197&amp;"|"&amp;BH$5)=0,"",SUMIF('Competency Event Log'!$U$4:$U$803,$B197&amp;"|"&amp;BH$5,'Competency Event Log'!$D$4:$D$803)))</f>
        <v/>
      </c>
      <c r="BI197" s="8" t="str">
        <f>IF($B197="","",IF(COUNTIF('Competency Event Log'!$U$4:$U$803,$B197&amp;"|"&amp;BI$5)=0,"",SUMIF('Competency Event Log'!$U$4:$U$803,$B197&amp;"|"&amp;BI$5,'Competency Event Log'!$D$4:$D$803)))</f>
        <v/>
      </c>
      <c r="BJ197" s="8" t="str">
        <f>IF($B197="","",IF(COUNTIF('Competency Event Log'!$U$4:$U$803,$B197&amp;"|"&amp;BJ$5)=0,"",SUMIF('Competency Event Log'!$U$4:$U$803,$B197&amp;"|"&amp;BJ$5,'Competency Event Log'!$D$4:$D$803)))</f>
        <v/>
      </c>
      <c r="BK197" s="8" t="str">
        <f>IF($B197="","",IF(COUNTIF('Competency Event Log'!$U$4:$U$803,$B197&amp;"|"&amp;BK$5)=0,"",SUMIF('Competency Event Log'!$U$4:$U$803,$B197&amp;"|"&amp;BK$5,'Competency Event Log'!$D$4:$D$803)))</f>
        <v/>
      </c>
      <c r="BL197" s="8" t="str">
        <f>IF($B197="","",IF(COUNTIF('Competency Event Log'!$U$4:$U$803,$B197&amp;"|"&amp;BL$5)=0,"",SUMIF('Competency Event Log'!$U$4:$U$803,$B197&amp;"|"&amp;BL$5,'Competency Event Log'!$D$4:$D$803)))</f>
        <v/>
      </c>
      <c r="BM197" s="8" t="str">
        <f>IF($B197="","",IF(COUNTIF('Competency Event Log'!$U$4:$U$803,$B197&amp;"|"&amp;BM$5)=0,"",SUMIF('Competency Event Log'!$U$4:$U$803,$B197&amp;"|"&amp;BM$5,'Competency Event Log'!$D$4:$D$803)))</f>
        <v/>
      </c>
      <c r="BN197" s="8" t="str">
        <f>IF($B197="","",IF(COUNTIF('Competency Event Log'!$U$4:$U$803,$B197&amp;"|"&amp;BN$5)=0,"",SUMIF('Competency Event Log'!$U$4:$U$803,$B197&amp;"|"&amp;BN$5,'Competency Event Log'!$D$4:$D$803)))</f>
        <v/>
      </c>
      <c r="BO197" s="8" t="str">
        <f>IF($B197="","",IF(COUNTIF('Competency Event Log'!$U$4:$U$803,$B197&amp;"|"&amp;BO$5)=0,"",SUMIF('Competency Event Log'!$U$4:$U$803,$B197&amp;"|"&amp;BO$5,'Competency Event Log'!$D$4:$D$803)))</f>
        <v/>
      </c>
      <c r="BP197" s="8" t="str">
        <f>IF($B197="","",IF(COUNTIF('Competency Event Log'!$U$4:$U$803,$B197&amp;"|"&amp;BP$5)=0,"",SUMIF('Competency Event Log'!$U$4:$U$803,$B197&amp;"|"&amp;BP$5,'Competency Event Log'!$D$4:$D$803)))</f>
        <v/>
      </c>
      <c r="BQ197" s="8" t="str">
        <f>IF($B197="","",IF(COUNTIF('Competency Event Log'!$U$4:$U$803,$B197&amp;"|"&amp;BQ$5)=0,"",SUMIF('Competency Event Log'!$U$4:$U$803,$B197&amp;"|"&amp;BQ$5,'Competency Event Log'!$D$4:$D$803)))</f>
        <v/>
      </c>
      <c r="BR197" s="8" t="str">
        <f>IF($B197="","",IF(COUNTIF('Competency Event Log'!$U$4:$U$803,$B197&amp;"|"&amp;BR$5)=0,"",SUMIF('Competency Event Log'!$U$4:$U$803,$B197&amp;"|"&amp;BR$5,'Competency Event Log'!$D$4:$D$803)))</f>
        <v/>
      </c>
      <c r="BS197" s="8" t="str">
        <f>IF($B197="","",IF(COUNTIF('Competency Event Log'!$U$4:$U$803,$B197&amp;"|"&amp;BS$5)=0,"",SUMIF('Competency Event Log'!$U$4:$U$803,$B197&amp;"|"&amp;BS$5,'Competency Event Log'!$D$4:$D$803)))</f>
        <v/>
      </c>
      <c r="BT197" s="8" t="str">
        <f>IF($B197="","",IF(COUNTIF('Competency Event Log'!$U$4:$U$803,$B197&amp;"|"&amp;BT$5)=0,"",SUMIF('Competency Event Log'!$U$4:$U$803,$B197&amp;"|"&amp;BT$5,'Competency Event Log'!$D$4:$D$803)))</f>
        <v/>
      </c>
      <c r="BU197" s="8" t="str">
        <f>IF($B197="","",IF(COUNTIF('Competency Event Log'!$U$4:$U$803,$B197&amp;"|"&amp;BU$5)=0,"",SUMIF('Competency Event Log'!$U$4:$U$803,$B197&amp;"|"&amp;BU$5,'Competency Event Log'!$D$4:$D$803)))</f>
        <v/>
      </c>
      <c r="BV197" s="8" t="str">
        <f>IF($B197="","",IF(COUNTIF('Competency Event Log'!$U$4:$U$803,$B197&amp;"|"&amp;BV$5)=0,"",SUMIF('Competency Event Log'!$U$4:$U$803,$B197&amp;"|"&amp;BV$5,'Competency Event Log'!$D$4:$D$803)))</f>
        <v/>
      </c>
      <c r="BW197" s="8" t="str">
        <f>IF($B197="","",IF(COUNTIF('Competency Event Log'!$U$4:$U$803,$B197&amp;"|"&amp;BW$5)=0,"",SUMIF('Competency Event Log'!$U$4:$U$803,$B197&amp;"|"&amp;BW$5,'Competency Event Log'!$D$4:$D$803)))</f>
        <v/>
      </c>
      <c r="BX197" s="8" t="str">
        <f>IF($B197="","",IF(COUNTIF('Competency Event Log'!$U$4:$U$803,$B197&amp;"|"&amp;BX$5)=0,"",SUMIF('Competency Event Log'!$U$4:$U$803,$B197&amp;"|"&amp;BX$5,'Competency Event Log'!$D$4:$D$803)))</f>
        <v/>
      </c>
      <c r="BY197" s="8" t="str">
        <f>IF($B197="","",IF(COUNTIF('Competency Event Log'!$U$4:$U$803,$B197&amp;"|"&amp;BY$5)=0,"",SUMIF('Competency Event Log'!$U$4:$U$803,$B197&amp;"|"&amp;BY$5,'Competency Event Log'!$D$4:$D$803)))</f>
        <v/>
      </c>
      <c r="BZ197" s="8" t="str">
        <f>IF($B197="","",IF(COUNTIF('Competency Event Log'!$U$4:$U$803,$B197&amp;"|"&amp;BZ$5)=0,"",SUMIF('Competency Event Log'!$U$4:$U$803,$B197&amp;"|"&amp;BZ$5,'Competency Event Log'!$D$4:$D$803)))</f>
        <v/>
      </c>
      <c r="CA197" s="8" t="str">
        <f>IF($B197="","",IF(COUNTIF('Competency Event Log'!$U$4:$U$803,$B197&amp;"|"&amp;CA$5)=0,"",SUMIF('Competency Event Log'!$U$4:$U$803,$B197&amp;"|"&amp;CA$5,'Competency Event Log'!$D$4:$D$803)))</f>
        <v/>
      </c>
      <c r="CB197" s="8" t="str">
        <f>IF($B197="","",IF(COUNTIF('Competency Event Log'!$U$4:$U$803,$B197&amp;"|"&amp;CB$5)=0,"",SUMIF('Competency Event Log'!$U$4:$U$803,$B197&amp;"|"&amp;CB$5,'Competency Event Log'!$D$4:$D$803)))</f>
        <v/>
      </c>
      <c r="CC197" s="8" t="str">
        <f>IF($B197="","",IF(COUNTIF('Competency Event Log'!$U$4:$U$803,$B197&amp;"|"&amp;CC$5)=0,"",SUMIF('Competency Event Log'!$U$4:$U$803,$B197&amp;"|"&amp;CC$5,'Competency Event Log'!$D$4:$D$803)))</f>
        <v/>
      </c>
      <c r="CD197" s="8" t="str">
        <f>IF($B197="","",IF(COUNTIF('Competency Event Log'!$U$4:$U$803,$B197&amp;"|"&amp;CD$5)=0,"",SUMIF('Competency Event Log'!$U$4:$U$803,$B197&amp;"|"&amp;CD$5,'Competency Event Log'!$D$4:$D$803)))</f>
        <v/>
      </c>
      <c r="CE197" s="8" t="str">
        <f>IF($B197="","",IF(COUNTIF('Competency Event Log'!$U$4:$U$803,$B197&amp;"|"&amp;CE$5)=0,"",SUMIF('Competency Event Log'!$U$4:$U$803,$B197&amp;"|"&amp;CE$5,'Competency Event Log'!$D$4:$D$803)))</f>
        <v/>
      </c>
      <c r="CF197" s="8" t="str">
        <f>IF($B197="","",IF(COUNTIF('Competency Event Log'!$U$4:$U$803,$B197&amp;"|"&amp;CF$5)=0,"",SUMIF('Competency Event Log'!$U$4:$U$803,$B197&amp;"|"&amp;CF$5,'Competency Event Log'!$D$4:$D$803)))</f>
        <v/>
      </c>
      <c r="CG197" s="8" t="str">
        <f>IF($B197="","",IF(COUNTIF('Competency Event Log'!$U$4:$U$803,$B197&amp;"|"&amp;CG$5)=0,"",SUMIF('Competency Event Log'!$U$4:$U$803,$B197&amp;"|"&amp;CG$5,'Competency Event Log'!$D$4:$D$803)))</f>
        <v/>
      </c>
      <c r="CH197" s="8" t="str">
        <f>IF($B197="","",IF(COUNTIF('Competency Event Log'!$U$4:$U$803,$B197&amp;"|"&amp;CH$5)=0,"",SUMIF('Competency Event Log'!$U$4:$U$803,$B197&amp;"|"&amp;CH$5,'Competency Event Log'!$D$4:$D$803)))</f>
        <v/>
      </c>
      <c r="CI197" s="8" t="str">
        <f>IF($B197="","",IF(COUNTIF('Competency Event Log'!$U$4:$U$803,$B197&amp;"|"&amp;CI$5)=0,"",SUMIF('Competency Event Log'!$U$4:$U$803,$B197&amp;"|"&amp;CI$5,'Competency Event Log'!$D$4:$D$803)))</f>
        <v/>
      </c>
      <c r="CJ197" s="8" t="str">
        <f>IF($B197="","",IF(COUNTIF('Competency Event Log'!$U$4:$U$803,$B197&amp;"|"&amp;CJ$5)=0,"",SUMIF('Competency Event Log'!$U$4:$U$803,$B197&amp;"|"&amp;CJ$5,'Competency Event Log'!$D$4:$D$803)))</f>
        <v/>
      </c>
      <c r="CK197" s="8" t="str">
        <f>IF($B197="","",IF(COUNTIF('Competency Event Log'!$U$4:$U$803,$B197&amp;"|"&amp;CK$5)=0,"",SUMIF('Competency Event Log'!$U$4:$U$803,$B197&amp;"|"&amp;CK$5,'Competency Event Log'!$D$4:$D$803)))</f>
        <v/>
      </c>
      <c r="CL197" s="8" t="str">
        <f>IF($B197="","",IF(COUNTIF('Competency Event Log'!$U$4:$U$803,$B197&amp;"|"&amp;CL$5)=0,"",SUMIF('Competency Event Log'!$U$4:$U$803,$B197&amp;"|"&amp;CL$5,'Competency Event Log'!$D$4:$D$803)))</f>
        <v/>
      </c>
      <c r="CM197" s="8" t="str">
        <f>IF($B197="","",IF(COUNTIF('Competency Event Log'!$U$4:$U$803,$B197&amp;"|"&amp;CM$5)=0,"",SUMIF('Competency Event Log'!$U$4:$U$803,$B197&amp;"|"&amp;CM$5,'Competency Event Log'!$D$4:$D$803)))</f>
        <v/>
      </c>
      <c r="CN197" s="8" t="str">
        <f>IF($B197="","",IF(COUNTIF('Competency Event Log'!$U$4:$U$803,$B197&amp;"|"&amp;CN$5)=0,"",SUMIF('Competency Event Log'!$U$4:$U$803,$B197&amp;"|"&amp;CN$5,'Competency Event Log'!$D$4:$D$803)))</f>
        <v/>
      </c>
      <c r="CO197" s="8" t="str">
        <f>IF($B197="","",IF(COUNTIF('Competency Event Log'!$U$4:$U$803,$B197&amp;"|"&amp;CO$5)=0,"",SUMIF('Competency Event Log'!$U$4:$U$803,$B197&amp;"|"&amp;CO$5,'Competency Event Log'!$D$4:$D$803)))</f>
        <v/>
      </c>
      <c r="CP197" s="8" t="str">
        <f>IF($B197="","",IF(COUNTIF('Competency Event Log'!$U$4:$U$803,$B197&amp;"|"&amp;CP$5)=0,"",SUMIF('Competency Event Log'!$U$4:$U$803,$B197&amp;"|"&amp;CP$5,'Competency Event Log'!$D$4:$D$803)))</f>
        <v/>
      </c>
      <c r="CQ197" s="8" t="str">
        <f>IF($B197="","",IF(COUNTIF('Competency Event Log'!$U$4:$U$803,$B197&amp;"|"&amp;CQ$5)=0,"",SUMIF('Competency Event Log'!$U$4:$U$803,$B197&amp;"|"&amp;CQ$5,'Competency Event Log'!$D$4:$D$803)))</f>
        <v/>
      </c>
      <c r="CR197" s="8" t="str">
        <f>IF($B197="","",IF(COUNTIF('Competency Event Log'!$U$4:$U$803,$B197&amp;"|"&amp;CR$5)=0,"",SUMIF('Competency Event Log'!$U$4:$U$803,$B197&amp;"|"&amp;CR$5,'Competency Event Log'!$D$4:$D$803)))</f>
        <v/>
      </c>
      <c r="CS197" s="8" t="str">
        <f>IF($B197="","",IF(COUNTIF('Competency Event Log'!$U$4:$U$803,$B197&amp;"|"&amp;CS$5)=0,"",SUMIF('Competency Event Log'!$U$4:$U$803,$B197&amp;"|"&amp;CS$5,'Competency Event Log'!$D$4:$D$803)))</f>
        <v/>
      </c>
      <c r="CT197" s="8" t="str">
        <f>IF($B197="","",IF(COUNTIF('Competency Event Log'!$U$4:$U$803,$B197&amp;"|"&amp;CT$5)=0,"",SUMIF('Competency Event Log'!$U$4:$U$803,$B197&amp;"|"&amp;CT$5,'Competency Event Log'!$D$4:$D$803)))</f>
        <v/>
      </c>
      <c r="CU197" s="8" t="str">
        <f>IF($B197="","",IF(COUNTIF('Competency Event Log'!$U$4:$U$803,$B197&amp;"|"&amp;CU$5)=0,"",SUMIF('Competency Event Log'!$U$4:$U$803,$B197&amp;"|"&amp;CU$5,'Competency Event Log'!$D$4:$D$803)))</f>
        <v/>
      </c>
      <c r="CV197" s="8" t="str">
        <f>IF($B197="","",IF(COUNTIF('Competency Event Log'!$U$4:$U$803,$B197&amp;"|"&amp;CV$5)=0,"",SUMIF('Competency Event Log'!$U$4:$U$803,$B197&amp;"|"&amp;CV$5,'Competency Event Log'!$D$4:$D$803)))</f>
        <v/>
      </c>
      <c r="CW197" s="8" t="str">
        <f>IF($B197="","",IF(COUNTIF('Competency Event Log'!$U$4:$U$803,$B197&amp;"|"&amp;CW$5)=0,"",SUMIF('Competency Event Log'!$U$4:$U$803,$B197&amp;"|"&amp;CW$5,'Competency Event Log'!$D$4:$D$803)))</f>
        <v/>
      </c>
      <c r="CX197" s="8" t="str">
        <f>IF($B197="","",IF(COUNTIF('Competency Event Log'!$U$4:$U$803,$B197&amp;"|"&amp;CX$5)=0,"",SUMIF('Competency Event Log'!$U$4:$U$803,$B197&amp;"|"&amp;CX$5,'Competency Event Log'!$D$4:$D$803)))</f>
        <v/>
      </c>
      <c r="CY197" s="8" t="str">
        <f>IF($B197="","",IF(COUNTIF('Competency Event Log'!$U$4:$U$803,$B197&amp;"|"&amp;CY$5)=0,"",SUMIF('Competency Event Log'!$U$4:$U$803,$B197&amp;"|"&amp;CY$5,'Competency Event Log'!$D$4:$D$803)))</f>
        <v/>
      </c>
      <c r="CZ197" s="8" t="str">
        <f>IF($B197="","",IF(COUNTIF('Competency Event Log'!$U$4:$U$803,$B197&amp;"|"&amp;CZ$5)=0,"",SUMIF('Competency Event Log'!$U$4:$U$803,$B197&amp;"|"&amp;CZ$5,'Competency Event Log'!$D$4:$D$803)))</f>
        <v/>
      </c>
      <c r="DA197" s="8" t="str">
        <f>IF($B197="","",IF(COUNTIF('Competency Event Log'!$U$4:$U$803,$B197&amp;"|"&amp;DA$5)=0,"",SUMIF('Competency Event Log'!$U$4:$U$803,$B197&amp;"|"&amp;DA$5,'Competency Event Log'!$D$4:$D$803)))</f>
        <v/>
      </c>
      <c r="DB197" s="8" t="str">
        <f>IF($B197="","",IF(COUNTIF('Competency Event Log'!$U$4:$U$803,$B197&amp;"|"&amp;DB$5)=0,"",SUMIF('Competency Event Log'!$U$4:$U$803,$B197&amp;"|"&amp;DB$5,'Competency Event Log'!$D$4:$D$803)))</f>
        <v/>
      </c>
      <c r="DC197" s="8" t="str">
        <f>IF($B197="","",IF(COUNTIF('Competency Event Log'!$U$4:$U$803,$B197&amp;"|"&amp;DC$5)=0,"",SUMIF('Competency Event Log'!$U$4:$U$803,$B197&amp;"|"&amp;DC$5,'Competency Event Log'!$D$4:$D$803)))</f>
        <v/>
      </c>
      <c r="DD197" s="8" t="str">
        <f>IF($B197="","",IF(COUNTIF('Competency Event Log'!$U$4:$U$803,$B197&amp;"|"&amp;DD$5)=0,"",SUMIF('Competency Event Log'!$U$4:$U$803,$B197&amp;"|"&amp;DD$5,'Competency Event Log'!$D$4:$D$803)))</f>
        <v/>
      </c>
      <c r="DE197" s="8" t="str">
        <f>IF($B197="","",IF(COUNTIF('Competency Event Log'!$U$4:$U$803,$B197&amp;"|"&amp;DE$5)=0,"",SUMIF('Competency Event Log'!$U$4:$U$803,$B197&amp;"|"&amp;DE$5,'Competency Event Log'!$D$4:$D$803)))</f>
        <v/>
      </c>
      <c r="DF197" s="8" t="str">
        <f t="shared" si="20"/>
        <v/>
      </c>
      <c r="DG197" s="8" t="str">
        <f t="shared" si="21"/>
        <v/>
      </c>
      <c r="DH197" s="8" t="str">
        <f t="shared" si="22"/>
        <v/>
      </c>
      <c r="DI197" s="11" t="str">
        <f t="shared" si="23"/>
        <v/>
      </c>
    </row>
    <row r="198" spans="1:113">
      <c r="A198" s="7"/>
      <c r="B198" s="7"/>
      <c r="C198" s="8"/>
      <c r="D198" s="9"/>
      <c r="E198" s="10"/>
      <c r="F198" s="8"/>
      <c r="G198" s="8" t="str">
        <f>IF($B198="","",IF(COUNTIF('Competency Event Log'!$U$4:$U$803,$B198&amp;"|"&amp;G$5)=0,"",SUMIF('Competency Event Log'!$U$4:$U$803,$B198&amp;"|"&amp;G$5,'Competency Event Log'!$D$4:$D$803)))</f>
        <v/>
      </c>
      <c r="H198" s="8" t="str">
        <f>IF($B198="","",IF(COUNTIF('Competency Event Log'!$U$4:$U$803,$B198&amp;"|"&amp;H$5)=0,"",SUMIF('Competency Event Log'!$U$4:$U$803,$B198&amp;"|"&amp;H$5,'Competency Event Log'!$D$4:$D$803)))</f>
        <v/>
      </c>
      <c r="I198" s="8" t="str">
        <f>IF($B198="","",IF(COUNTIF('Competency Event Log'!$U$4:$U$803,$B198&amp;"|"&amp;I$5)=0,"",SUMIF('Competency Event Log'!$U$4:$U$803,$B198&amp;"|"&amp;I$5,'Competency Event Log'!$D$4:$D$803)))</f>
        <v/>
      </c>
      <c r="J198" s="8" t="str">
        <f>IF($B198="","",IF(COUNTIF('Competency Event Log'!$U$4:$U$803,$B198&amp;"|"&amp;J$5)=0,"",SUMIF('Competency Event Log'!$U$4:$U$803,$B198&amp;"|"&amp;J$5,'Competency Event Log'!$D$4:$D$803)))</f>
        <v/>
      </c>
      <c r="K198" s="8" t="str">
        <f>IF($B198="","",IF(COUNTIF('Competency Event Log'!$U$4:$U$803,$B198&amp;"|"&amp;K$5)=0,"",SUMIF('Competency Event Log'!$U$4:$U$803,$B198&amp;"|"&amp;K$5,'Competency Event Log'!$D$4:$D$803)))</f>
        <v/>
      </c>
      <c r="L198" s="8" t="str">
        <f>IF($B198="","",IF(COUNTIF('Competency Event Log'!$U$4:$U$803,$B198&amp;"|"&amp;L$5)=0,"",SUMIF('Competency Event Log'!$U$4:$U$803,$B198&amp;"|"&amp;L$5,'Competency Event Log'!$D$4:$D$803)))</f>
        <v/>
      </c>
      <c r="M198" s="8" t="str">
        <f>IF($B198="","",IF(COUNTIF('Competency Event Log'!$U$4:$U$803,$B198&amp;"|"&amp;M$5)=0,"",SUMIF('Competency Event Log'!$U$4:$U$803,$B198&amp;"|"&amp;M$5,'Competency Event Log'!$D$4:$D$803)))</f>
        <v/>
      </c>
      <c r="N198" s="8" t="str">
        <f>IF($B198="","",IF(COUNTIF('Competency Event Log'!$U$4:$U$803,$B198&amp;"|"&amp;N$5)=0,"",SUMIF('Competency Event Log'!$U$4:$U$803,$B198&amp;"|"&amp;N$5,'Competency Event Log'!$D$4:$D$803)))</f>
        <v/>
      </c>
      <c r="O198" s="8" t="str">
        <f>IF($B198="","",IF(COUNTIF('Competency Event Log'!$U$4:$U$803,$B198&amp;"|"&amp;O$5)=0,"",SUMIF('Competency Event Log'!$U$4:$U$803,$B198&amp;"|"&amp;O$5,'Competency Event Log'!$D$4:$D$803)))</f>
        <v/>
      </c>
      <c r="P198" s="8" t="str">
        <f>IF($B198="","",IF(COUNTIF('Competency Event Log'!$U$4:$U$803,$B198&amp;"|"&amp;P$5)=0,"",SUMIF('Competency Event Log'!$U$4:$U$803,$B198&amp;"|"&amp;P$5,'Competency Event Log'!$D$4:$D$803)))</f>
        <v/>
      </c>
      <c r="Q198" s="8" t="str">
        <f>IF($B198="","",IF(COUNTIF('Competency Event Log'!$U$4:$U$803,$B198&amp;"|"&amp;Q$5)=0,"",SUMIF('Competency Event Log'!$U$4:$U$803,$B198&amp;"|"&amp;Q$5,'Competency Event Log'!$D$4:$D$803)))</f>
        <v/>
      </c>
      <c r="R198" s="8" t="str">
        <f>IF($B198="","",IF(COUNTIF('Competency Event Log'!$U$4:$U$803,$B198&amp;"|"&amp;R$5)=0,"",SUMIF('Competency Event Log'!$U$4:$U$803,$B198&amp;"|"&amp;R$5,'Competency Event Log'!$D$4:$D$803)))</f>
        <v/>
      </c>
      <c r="S198" s="8" t="str">
        <f>IF($B198="","",IF(COUNTIF('Competency Event Log'!$U$4:$U$803,$B198&amp;"|"&amp;S$5)=0,"",SUMIF('Competency Event Log'!$U$4:$U$803,$B198&amp;"|"&amp;S$5,'Competency Event Log'!$D$4:$D$803)))</f>
        <v/>
      </c>
      <c r="T198" s="8" t="str">
        <f>IF($B198="","",IF(COUNTIF('Competency Event Log'!$U$4:$U$803,$B198&amp;"|"&amp;T$5)=0,"",SUMIF('Competency Event Log'!$U$4:$U$803,$B198&amp;"|"&amp;T$5,'Competency Event Log'!$D$4:$D$803)))</f>
        <v/>
      </c>
      <c r="U198" s="8" t="str">
        <f>IF($B198="","",IF(COUNTIF('Competency Event Log'!$U$4:$U$803,$B198&amp;"|"&amp;U$5)=0,"",SUMIF('Competency Event Log'!$U$4:$U$803,$B198&amp;"|"&amp;U$5,'Competency Event Log'!$D$4:$D$803)))</f>
        <v/>
      </c>
      <c r="V198" s="8" t="str">
        <f>IF($B198="","",IF(COUNTIF('Competency Event Log'!$U$4:$U$803,$B198&amp;"|"&amp;V$5)=0,"",SUMIF('Competency Event Log'!$U$4:$U$803,$B198&amp;"|"&amp;V$5,'Competency Event Log'!$D$4:$D$803)))</f>
        <v/>
      </c>
      <c r="W198" s="8" t="str">
        <f>IF($B198="","",IF(COUNTIF('Competency Event Log'!$U$4:$U$803,$B198&amp;"|"&amp;W$5)=0,"",SUMIF('Competency Event Log'!$U$4:$U$803,$B198&amp;"|"&amp;W$5,'Competency Event Log'!$D$4:$D$803)))</f>
        <v/>
      </c>
      <c r="X198" s="8" t="str">
        <f>IF($B198="","",IF(COUNTIF('Competency Event Log'!$U$4:$U$803,$B198&amp;"|"&amp;X$5)=0,"",SUMIF('Competency Event Log'!$U$4:$U$803,$B198&amp;"|"&amp;X$5,'Competency Event Log'!$D$4:$D$803)))</f>
        <v/>
      </c>
      <c r="Y198" s="8" t="str">
        <f>IF($B198="","",IF(COUNTIF('Competency Event Log'!$U$4:$U$803,$B198&amp;"|"&amp;Y$5)=0,"",SUMIF('Competency Event Log'!$U$4:$U$803,$B198&amp;"|"&amp;Y$5,'Competency Event Log'!$D$4:$D$803)))</f>
        <v/>
      </c>
      <c r="Z198" s="8" t="str">
        <f>IF($B198="","",IF(COUNTIF('Competency Event Log'!$U$4:$U$803,$B198&amp;"|"&amp;Z$5)=0,"",SUMIF('Competency Event Log'!$U$4:$U$803,$B198&amp;"|"&amp;Z$5,'Competency Event Log'!$D$4:$D$803)))</f>
        <v/>
      </c>
      <c r="AA198" s="8" t="str">
        <f>IF($B198="","",IF(COUNTIF('Competency Event Log'!$U$4:$U$803,$B198&amp;"|"&amp;AA$5)=0,"",SUMIF('Competency Event Log'!$U$4:$U$803,$B198&amp;"|"&amp;AA$5,'Competency Event Log'!$D$4:$D$803)))</f>
        <v/>
      </c>
      <c r="AB198" s="8" t="str">
        <f>IF($B198="","",IF(COUNTIF('Competency Event Log'!$U$4:$U$803,$B198&amp;"|"&amp;AB$5)=0,"",SUMIF('Competency Event Log'!$U$4:$U$803,$B198&amp;"|"&amp;AB$5,'Competency Event Log'!$D$4:$D$803)))</f>
        <v/>
      </c>
      <c r="AC198" s="8" t="str">
        <f>IF($B198="","",IF(COUNTIF('Competency Event Log'!$U$4:$U$803,$B198&amp;"|"&amp;AC$5)=0,"",SUMIF('Competency Event Log'!$U$4:$U$803,$B198&amp;"|"&amp;AC$5,'Competency Event Log'!$D$4:$D$803)))</f>
        <v/>
      </c>
      <c r="AD198" s="8" t="str">
        <f>IF($B198="","",IF(COUNTIF('Competency Event Log'!$U$4:$U$803,$B198&amp;"|"&amp;AD$5)=0,"",SUMIF('Competency Event Log'!$U$4:$U$803,$B198&amp;"|"&amp;AD$5,'Competency Event Log'!$D$4:$D$803)))</f>
        <v/>
      </c>
      <c r="AE198" s="8" t="str">
        <f>IF($B198="","",IF(COUNTIF('Competency Event Log'!$U$4:$U$803,$B198&amp;"|"&amp;AE$5)=0,"",SUMIF('Competency Event Log'!$U$4:$U$803,$B198&amp;"|"&amp;AE$5,'Competency Event Log'!$D$4:$D$803)))</f>
        <v/>
      </c>
      <c r="AF198" s="8" t="str">
        <f>IF($B198="","",IF(COUNTIF('Competency Event Log'!$U$4:$U$803,$B198&amp;"|"&amp;AF$5)=0,"",SUMIF('Competency Event Log'!$U$4:$U$803,$B198&amp;"|"&amp;AF$5,'Competency Event Log'!$D$4:$D$803)))</f>
        <v/>
      </c>
      <c r="AG198" s="8" t="str">
        <f>IF($B198="","",IF(COUNTIF('Competency Event Log'!$U$4:$U$803,$B198&amp;"|"&amp;AG$5)=0,"",SUMIF('Competency Event Log'!$U$4:$U$803,$B198&amp;"|"&amp;AG$5,'Competency Event Log'!$D$4:$D$803)))</f>
        <v/>
      </c>
      <c r="AH198" s="8" t="str">
        <f>IF($B198="","",IF(COUNTIF('Competency Event Log'!$U$4:$U$803,$B198&amp;"|"&amp;AH$5)=0,"",SUMIF('Competency Event Log'!$U$4:$U$803,$B198&amp;"|"&amp;AH$5,'Competency Event Log'!$D$4:$D$803)))</f>
        <v/>
      </c>
      <c r="AI198" s="8" t="str">
        <f>IF($B198="","",IF(COUNTIF('Competency Event Log'!$U$4:$U$803,$B198&amp;"|"&amp;AI$5)=0,"",SUMIF('Competency Event Log'!$U$4:$U$803,$B198&amp;"|"&amp;AI$5,'Competency Event Log'!$D$4:$D$803)))</f>
        <v/>
      </c>
      <c r="AJ198" s="8" t="str">
        <f>IF($B198="","",IF(COUNTIF('Competency Event Log'!$U$4:$U$803,$B198&amp;"|"&amp;AJ$5)=0,"",SUMIF('Competency Event Log'!$U$4:$U$803,$B198&amp;"|"&amp;AJ$5,'Competency Event Log'!$D$4:$D$803)))</f>
        <v/>
      </c>
      <c r="AK198" s="8" t="str">
        <f>IF($B198="","",IF(COUNTIF('Competency Event Log'!$U$4:$U$803,$B198&amp;"|"&amp;AK$5)=0,"",SUMIF('Competency Event Log'!$U$4:$U$803,$B198&amp;"|"&amp;AK$5,'Competency Event Log'!$D$4:$D$803)))</f>
        <v/>
      </c>
      <c r="AL198" s="8" t="str">
        <f>IF($B198="","",IF(COUNTIF('Competency Event Log'!$U$4:$U$803,$B198&amp;"|"&amp;AL$5)=0,"",SUMIF('Competency Event Log'!$U$4:$U$803,$B198&amp;"|"&amp;AL$5,'Competency Event Log'!$D$4:$D$803)))</f>
        <v/>
      </c>
      <c r="AM198" s="8" t="str">
        <f>IF($B198="","",IF(COUNTIF('Competency Event Log'!$U$4:$U$803,$B198&amp;"|"&amp;AM$5)=0,"",SUMIF('Competency Event Log'!$U$4:$U$803,$B198&amp;"|"&amp;AM$5,'Competency Event Log'!$D$4:$D$803)))</f>
        <v/>
      </c>
      <c r="AN198" s="8" t="str">
        <f>IF($B198="","",IF(COUNTIF('Competency Event Log'!$U$4:$U$803,$B198&amp;"|"&amp;AN$5)=0,"",SUMIF('Competency Event Log'!$U$4:$U$803,$B198&amp;"|"&amp;AN$5,'Competency Event Log'!$D$4:$D$803)))</f>
        <v/>
      </c>
      <c r="AO198" s="8" t="str">
        <f>IF($B198="","",IF(COUNTIF('Competency Event Log'!$U$4:$U$803,$B198&amp;"|"&amp;AO$5)=0,"",SUMIF('Competency Event Log'!$U$4:$U$803,$B198&amp;"|"&amp;AO$5,'Competency Event Log'!$D$4:$D$803)))</f>
        <v/>
      </c>
      <c r="AP198" s="8" t="str">
        <f>IF($B198="","",IF(COUNTIF('Competency Event Log'!$U$4:$U$803,$B198&amp;"|"&amp;AP$5)=0,"",SUMIF('Competency Event Log'!$U$4:$U$803,$B198&amp;"|"&amp;AP$5,'Competency Event Log'!$D$4:$D$803)))</f>
        <v/>
      </c>
      <c r="AQ198" s="8" t="str">
        <f>IF($B198="","",IF(COUNTIF('Competency Event Log'!$U$4:$U$803,$B198&amp;"|"&amp;AQ$5)=0,"",SUMIF('Competency Event Log'!$U$4:$U$803,$B198&amp;"|"&amp;AQ$5,'Competency Event Log'!$D$4:$D$803)))</f>
        <v/>
      </c>
      <c r="AR198" s="8" t="str">
        <f>IF($B198="","",IF(COUNTIF('Competency Event Log'!$U$4:$U$803,$B198&amp;"|"&amp;AR$5)=0,"",SUMIF('Competency Event Log'!$U$4:$U$803,$B198&amp;"|"&amp;AR$5,'Competency Event Log'!$D$4:$D$803)))</f>
        <v/>
      </c>
      <c r="AS198" s="8" t="str">
        <f>IF($B198="","",IF(COUNTIF('Competency Event Log'!$U$4:$U$803,$B198&amp;"|"&amp;AS$5)=0,"",SUMIF('Competency Event Log'!$U$4:$U$803,$B198&amp;"|"&amp;AS$5,'Competency Event Log'!$D$4:$D$803)))</f>
        <v/>
      </c>
      <c r="AT198" s="8" t="str">
        <f>IF($B198="","",IF(COUNTIF('Competency Event Log'!$U$4:$U$803,$B198&amp;"|"&amp;AT$5)=0,"",SUMIF('Competency Event Log'!$U$4:$U$803,$B198&amp;"|"&amp;AT$5,'Competency Event Log'!$D$4:$D$803)))</f>
        <v/>
      </c>
      <c r="AU198" s="8" t="str">
        <f>IF($B198="","",IF(COUNTIF('Competency Event Log'!$U$4:$U$803,$B198&amp;"|"&amp;AU$5)=0,"",SUMIF('Competency Event Log'!$U$4:$U$803,$B198&amp;"|"&amp;AU$5,'Competency Event Log'!$D$4:$D$803)))</f>
        <v/>
      </c>
      <c r="AV198" s="8" t="str">
        <f>IF($B198="","",IF(COUNTIF('Competency Event Log'!$U$4:$U$803,$B198&amp;"|"&amp;AV$5)=0,"",SUMIF('Competency Event Log'!$U$4:$U$803,$B198&amp;"|"&amp;AV$5,'Competency Event Log'!$D$4:$D$803)))</f>
        <v/>
      </c>
      <c r="AW198" s="8" t="str">
        <f>IF($B198="","",IF(COUNTIF('Competency Event Log'!$U$4:$U$803,$B198&amp;"|"&amp;AW$5)=0,"",SUMIF('Competency Event Log'!$U$4:$U$803,$B198&amp;"|"&amp;AW$5,'Competency Event Log'!$D$4:$D$803)))</f>
        <v/>
      </c>
      <c r="AX198" s="8" t="str">
        <f>IF($B198="","",IF(COUNTIF('Competency Event Log'!$U$4:$U$803,$B198&amp;"|"&amp;AX$5)=0,"",SUMIF('Competency Event Log'!$U$4:$U$803,$B198&amp;"|"&amp;AX$5,'Competency Event Log'!$D$4:$D$803)))</f>
        <v/>
      </c>
      <c r="AY198" s="8" t="str">
        <f>IF($B198="","",IF(COUNTIF('Competency Event Log'!$U$4:$U$803,$B198&amp;"|"&amp;AY$5)=0,"",SUMIF('Competency Event Log'!$U$4:$U$803,$B198&amp;"|"&amp;AY$5,'Competency Event Log'!$D$4:$D$803)))</f>
        <v/>
      </c>
      <c r="AZ198" s="8" t="str">
        <f>IF($B198="","",IF(COUNTIF('Competency Event Log'!$U$4:$U$803,$B198&amp;"|"&amp;AZ$5)=0,"",SUMIF('Competency Event Log'!$U$4:$U$803,$B198&amp;"|"&amp;AZ$5,'Competency Event Log'!$D$4:$D$803)))</f>
        <v/>
      </c>
      <c r="BA198" s="8" t="str">
        <f>IF($B198="","",IF(COUNTIF('Competency Event Log'!$U$4:$U$803,$B198&amp;"|"&amp;BA$5)=0,"",SUMIF('Competency Event Log'!$U$4:$U$803,$B198&amp;"|"&amp;BA$5,'Competency Event Log'!$D$4:$D$803)))</f>
        <v/>
      </c>
      <c r="BB198" s="8" t="str">
        <f>IF($B198="","",IF(COUNTIF('Competency Event Log'!$U$4:$U$803,$B198&amp;"|"&amp;BB$5)=0,"",SUMIF('Competency Event Log'!$U$4:$U$803,$B198&amp;"|"&amp;BB$5,'Competency Event Log'!$D$4:$D$803)))</f>
        <v/>
      </c>
      <c r="BC198" s="8" t="str">
        <f>IF($B198="","",IF(COUNTIF('Competency Event Log'!$U$4:$U$803,$B198&amp;"|"&amp;BC$5)=0,"",SUMIF('Competency Event Log'!$U$4:$U$803,$B198&amp;"|"&amp;BC$5,'Competency Event Log'!$D$4:$D$803)))</f>
        <v/>
      </c>
      <c r="BD198" s="8" t="str">
        <f>IF($B198="","",IF(COUNTIF('Competency Event Log'!$U$4:$U$803,$B198&amp;"|"&amp;BD$5)=0,"",SUMIF('Competency Event Log'!$U$4:$U$803,$B198&amp;"|"&amp;BD$5,'Competency Event Log'!$D$4:$D$803)))</f>
        <v/>
      </c>
      <c r="BE198" s="8" t="str">
        <f>IF($B198="","",IF(COUNTIF('Competency Event Log'!$U$4:$U$803,$B198&amp;"|"&amp;BE$5)=0,"",SUMIF('Competency Event Log'!$U$4:$U$803,$B198&amp;"|"&amp;BE$5,'Competency Event Log'!$D$4:$D$803)))</f>
        <v/>
      </c>
      <c r="BF198" s="8" t="str">
        <f>IF($B198="","",IF(COUNTIF('Competency Event Log'!$U$4:$U$803,$B198&amp;"|"&amp;BF$5)=0,"",SUMIF('Competency Event Log'!$U$4:$U$803,$B198&amp;"|"&amp;BF$5,'Competency Event Log'!$D$4:$D$803)))</f>
        <v/>
      </c>
      <c r="BG198" s="8" t="str">
        <f>IF($B198="","",IF(COUNTIF('Competency Event Log'!$U$4:$U$803,$B198&amp;"|"&amp;BG$5)=0,"",SUMIF('Competency Event Log'!$U$4:$U$803,$B198&amp;"|"&amp;BG$5,'Competency Event Log'!$D$4:$D$803)))</f>
        <v/>
      </c>
      <c r="BH198" s="8" t="str">
        <f>IF($B198="","",IF(COUNTIF('Competency Event Log'!$U$4:$U$803,$B198&amp;"|"&amp;BH$5)=0,"",SUMIF('Competency Event Log'!$U$4:$U$803,$B198&amp;"|"&amp;BH$5,'Competency Event Log'!$D$4:$D$803)))</f>
        <v/>
      </c>
      <c r="BI198" s="8" t="str">
        <f>IF($B198="","",IF(COUNTIF('Competency Event Log'!$U$4:$U$803,$B198&amp;"|"&amp;BI$5)=0,"",SUMIF('Competency Event Log'!$U$4:$U$803,$B198&amp;"|"&amp;BI$5,'Competency Event Log'!$D$4:$D$803)))</f>
        <v/>
      </c>
      <c r="BJ198" s="8" t="str">
        <f>IF($B198="","",IF(COUNTIF('Competency Event Log'!$U$4:$U$803,$B198&amp;"|"&amp;BJ$5)=0,"",SUMIF('Competency Event Log'!$U$4:$U$803,$B198&amp;"|"&amp;BJ$5,'Competency Event Log'!$D$4:$D$803)))</f>
        <v/>
      </c>
      <c r="BK198" s="8" t="str">
        <f>IF($B198="","",IF(COUNTIF('Competency Event Log'!$U$4:$U$803,$B198&amp;"|"&amp;BK$5)=0,"",SUMIF('Competency Event Log'!$U$4:$U$803,$B198&amp;"|"&amp;BK$5,'Competency Event Log'!$D$4:$D$803)))</f>
        <v/>
      </c>
      <c r="BL198" s="8" t="str">
        <f>IF($B198="","",IF(COUNTIF('Competency Event Log'!$U$4:$U$803,$B198&amp;"|"&amp;BL$5)=0,"",SUMIF('Competency Event Log'!$U$4:$U$803,$B198&amp;"|"&amp;BL$5,'Competency Event Log'!$D$4:$D$803)))</f>
        <v/>
      </c>
      <c r="BM198" s="8" t="str">
        <f>IF($B198="","",IF(COUNTIF('Competency Event Log'!$U$4:$U$803,$B198&amp;"|"&amp;BM$5)=0,"",SUMIF('Competency Event Log'!$U$4:$U$803,$B198&amp;"|"&amp;BM$5,'Competency Event Log'!$D$4:$D$803)))</f>
        <v/>
      </c>
      <c r="BN198" s="8" t="str">
        <f>IF($B198="","",IF(COUNTIF('Competency Event Log'!$U$4:$U$803,$B198&amp;"|"&amp;BN$5)=0,"",SUMIF('Competency Event Log'!$U$4:$U$803,$B198&amp;"|"&amp;BN$5,'Competency Event Log'!$D$4:$D$803)))</f>
        <v/>
      </c>
      <c r="BO198" s="8" t="str">
        <f>IF($B198="","",IF(COUNTIF('Competency Event Log'!$U$4:$U$803,$B198&amp;"|"&amp;BO$5)=0,"",SUMIF('Competency Event Log'!$U$4:$U$803,$B198&amp;"|"&amp;BO$5,'Competency Event Log'!$D$4:$D$803)))</f>
        <v/>
      </c>
      <c r="BP198" s="8" t="str">
        <f>IF($B198="","",IF(COUNTIF('Competency Event Log'!$U$4:$U$803,$B198&amp;"|"&amp;BP$5)=0,"",SUMIF('Competency Event Log'!$U$4:$U$803,$B198&amp;"|"&amp;BP$5,'Competency Event Log'!$D$4:$D$803)))</f>
        <v/>
      </c>
      <c r="BQ198" s="8" t="str">
        <f>IF($B198="","",IF(COUNTIF('Competency Event Log'!$U$4:$U$803,$B198&amp;"|"&amp;BQ$5)=0,"",SUMIF('Competency Event Log'!$U$4:$U$803,$B198&amp;"|"&amp;BQ$5,'Competency Event Log'!$D$4:$D$803)))</f>
        <v/>
      </c>
      <c r="BR198" s="8" t="str">
        <f>IF($B198="","",IF(COUNTIF('Competency Event Log'!$U$4:$U$803,$B198&amp;"|"&amp;BR$5)=0,"",SUMIF('Competency Event Log'!$U$4:$U$803,$B198&amp;"|"&amp;BR$5,'Competency Event Log'!$D$4:$D$803)))</f>
        <v/>
      </c>
      <c r="BS198" s="8" t="str">
        <f>IF($B198="","",IF(COUNTIF('Competency Event Log'!$U$4:$U$803,$B198&amp;"|"&amp;BS$5)=0,"",SUMIF('Competency Event Log'!$U$4:$U$803,$B198&amp;"|"&amp;BS$5,'Competency Event Log'!$D$4:$D$803)))</f>
        <v/>
      </c>
      <c r="BT198" s="8" t="str">
        <f>IF($B198="","",IF(COUNTIF('Competency Event Log'!$U$4:$U$803,$B198&amp;"|"&amp;BT$5)=0,"",SUMIF('Competency Event Log'!$U$4:$U$803,$B198&amp;"|"&amp;BT$5,'Competency Event Log'!$D$4:$D$803)))</f>
        <v/>
      </c>
      <c r="BU198" s="8" t="str">
        <f>IF($B198="","",IF(COUNTIF('Competency Event Log'!$U$4:$U$803,$B198&amp;"|"&amp;BU$5)=0,"",SUMIF('Competency Event Log'!$U$4:$U$803,$B198&amp;"|"&amp;BU$5,'Competency Event Log'!$D$4:$D$803)))</f>
        <v/>
      </c>
      <c r="BV198" s="8" t="str">
        <f>IF($B198="","",IF(COUNTIF('Competency Event Log'!$U$4:$U$803,$B198&amp;"|"&amp;BV$5)=0,"",SUMIF('Competency Event Log'!$U$4:$U$803,$B198&amp;"|"&amp;BV$5,'Competency Event Log'!$D$4:$D$803)))</f>
        <v/>
      </c>
      <c r="BW198" s="8" t="str">
        <f>IF($B198="","",IF(COUNTIF('Competency Event Log'!$U$4:$U$803,$B198&amp;"|"&amp;BW$5)=0,"",SUMIF('Competency Event Log'!$U$4:$U$803,$B198&amp;"|"&amp;BW$5,'Competency Event Log'!$D$4:$D$803)))</f>
        <v/>
      </c>
      <c r="BX198" s="8" t="str">
        <f>IF($B198="","",IF(COUNTIF('Competency Event Log'!$U$4:$U$803,$B198&amp;"|"&amp;BX$5)=0,"",SUMIF('Competency Event Log'!$U$4:$U$803,$B198&amp;"|"&amp;BX$5,'Competency Event Log'!$D$4:$D$803)))</f>
        <v/>
      </c>
      <c r="BY198" s="8" t="str">
        <f>IF($B198="","",IF(COUNTIF('Competency Event Log'!$U$4:$U$803,$B198&amp;"|"&amp;BY$5)=0,"",SUMIF('Competency Event Log'!$U$4:$U$803,$B198&amp;"|"&amp;BY$5,'Competency Event Log'!$D$4:$D$803)))</f>
        <v/>
      </c>
      <c r="BZ198" s="8" t="str">
        <f>IF($B198="","",IF(COUNTIF('Competency Event Log'!$U$4:$U$803,$B198&amp;"|"&amp;BZ$5)=0,"",SUMIF('Competency Event Log'!$U$4:$U$803,$B198&amp;"|"&amp;BZ$5,'Competency Event Log'!$D$4:$D$803)))</f>
        <v/>
      </c>
      <c r="CA198" s="8" t="str">
        <f>IF($B198="","",IF(COUNTIF('Competency Event Log'!$U$4:$U$803,$B198&amp;"|"&amp;CA$5)=0,"",SUMIF('Competency Event Log'!$U$4:$U$803,$B198&amp;"|"&amp;CA$5,'Competency Event Log'!$D$4:$D$803)))</f>
        <v/>
      </c>
      <c r="CB198" s="8" t="str">
        <f>IF($B198="","",IF(COUNTIF('Competency Event Log'!$U$4:$U$803,$B198&amp;"|"&amp;CB$5)=0,"",SUMIF('Competency Event Log'!$U$4:$U$803,$B198&amp;"|"&amp;CB$5,'Competency Event Log'!$D$4:$D$803)))</f>
        <v/>
      </c>
      <c r="CC198" s="8" t="str">
        <f>IF($B198="","",IF(COUNTIF('Competency Event Log'!$U$4:$U$803,$B198&amp;"|"&amp;CC$5)=0,"",SUMIF('Competency Event Log'!$U$4:$U$803,$B198&amp;"|"&amp;CC$5,'Competency Event Log'!$D$4:$D$803)))</f>
        <v/>
      </c>
      <c r="CD198" s="8" t="str">
        <f>IF($B198="","",IF(COUNTIF('Competency Event Log'!$U$4:$U$803,$B198&amp;"|"&amp;CD$5)=0,"",SUMIF('Competency Event Log'!$U$4:$U$803,$B198&amp;"|"&amp;CD$5,'Competency Event Log'!$D$4:$D$803)))</f>
        <v/>
      </c>
      <c r="CE198" s="8" t="str">
        <f>IF($B198="","",IF(COUNTIF('Competency Event Log'!$U$4:$U$803,$B198&amp;"|"&amp;CE$5)=0,"",SUMIF('Competency Event Log'!$U$4:$U$803,$B198&amp;"|"&amp;CE$5,'Competency Event Log'!$D$4:$D$803)))</f>
        <v/>
      </c>
      <c r="CF198" s="8" t="str">
        <f>IF($B198="","",IF(COUNTIF('Competency Event Log'!$U$4:$U$803,$B198&amp;"|"&amp;CF$5)=0,"",SUMIF('Competency Event Log'!$U$4:$U$803,$B198&amp;"|"&amp;CF$5,'Competency Event Log'!$D$4:$D$803)))</f>
        <v/>
      </c>
      <c r="CG198" s="8" t="str">
        <f>IF($B198="","",IF(COUNTIF('Competency Event Log'!$U$4:$U$803,$B198&amp;"|"&amp;CG$5)=0,"",SUMIF('Competency Event Log'!$U$4:$U$803,$B198&amp;"|"&amp;CG$5,'Competency Event Log'!$D$4:$D$803)))</f>
        <v/>
      </c>
      <c r="CH198" s="8" t="str">
        <f>IF($B198="","",IF(COUNTIF('Competency Event Log'!$U$4:$U$803,$B198&amp;"|"&amp;CH$5)=0,"",SUMIF('Competency Event Log'!$U$4:$U$803,$B198&amp;"|"&amp;CH$5,'Competency Event Log'!$D$4:$D$803)))</f>
        <v/>
      </c>
      <c r="CI198" s="8" t="str">
        <f>IF($B198="","",IF(COUNTIF('Competency Event Log'!$U$4:$U$803,$B198&amp;"|"&amp;CI$5)=0,"",SUMIF('Competency Event Log'!$U$4:$U$803,$B198&amp;"|"&amp;CI$5,'Competency Event Log'!$D$4:$D$803)))</f>
        <v/>
      </c>
      <c r="CJ198" s="8" t="str">
        <f>IF($B198="","",IF(COUNTIF('Competency Event Log'!$U$4:$U$803,$B198&amp;"|"&amp;CJ$5)=0,"",SUMIF('Competency Event Log'!$U$4:$U$803,$B198&amp;"|"&amp;CJ$5,'Competency Event Log'!$D$4:$D$803)))</f>
        <v/>
      </c>
      <c r="CK198" s="8" t="str">
        <f>IF($B198="","",IF(COUNTIF('Competency Event Log'!$U$4:$U$803,$B198&amp;"|"&amp;CK$5)=0,"",SUMIF('Competency Event Log'!$U$4:$U$803,$B198&amp;"|"&amp;CK$5,'Competency Event Log'!$D$4:$D$803)))</f>
        <v/>
      </c>
      <c r="CL198" s="8" t="str">
        <f>IF($B198="","",IF(COUNTIF('Competency Event Log'!$U$4:$U$803,$B198&amp;"|"&amp;CL$5)=0,"",SUMIF('Competency Event Log'!$U$4:$U$803,$B198&amp;"|"&amp;CL$5,'Competency Event Log'!$D$4:$D$803)))</f>
        <v/>
      </c>
      <c r="CM198" s="8" t="str">
        <f>IF($B198="","",IF(COUNTIF('Competency Event Log'!$U$4:$U$803,$B198&amp;"|"&amp;CM$5)=0,"",SUMIF('Competency Event Log'!$U$4:$U$803,$B198&amp;"|"&amp;CM$5,'Competency Event Log'!$D$4:$D$803)))</f>
        <v/>
      </c>
      <c r="CN198" s="8" t="str">
        <f>IF($B198="","",IF(COUNTIF('Competency Event Log'!$U$4:$U$803,$B198&amp;"|"&amp;CN$5)=0,"",SUMIF('Competency Event Log'!$U$4:$U$803,$B198&amp;"|"&amp;CN$5,'Competency Event Log'!$D$4:$D$803)))</f>
        <v/>
      </c>
      <c r="CO198" s="8" t="str">
        <f>IF($B198="","",IF(COUNTIF('Competency Event Log'!$U$4:$U$803,$B198&amp;"|"&amp;CO$5)=0,"",SUMIF('Competency Event Log'!$U$4:$U$803,$B198&amp;"|"&amp;CO$5,'Competency Event Log'!$D$4:$D$803)))</f>
        <v/>
      </c>
      <c r="CP198" s="8" t="str">
        <f>IF($B198="","",IF(COUNTIF('Competency Event Log'!$U$4:$U$803,$B198&amp;"|"&amp;CP$5)=0,"",SUMIF('Competency Event Log'!$U$4:$U$803,$B198&amp;"|"&amp;CP$5,'Competency Event Log'!$D$4:$D$803)))</f>
        <v/>
      </c>
      <c r="CQ198" s="8" t="str">
        <f>IF($B198="","",IF(COUNTIF('Competency Event Log'!$U$4:$U$803,$B198&amp;"|"&amp;CQ$5)=0,"",SUMIF('Competency Event Log'!$U$4:$U$803,$B198&amp;"|"&amp;CQ$5,'Competency Event Log'!$D$4:$D$803)))</f>
        <v/>
      </c>
      <c r="CR198" s="8" t="str">
        <f>IF($B198="","",IF(COUNTIF('Competency Event Log'!$U$4:$U$803,$B198&amp;"|"&amp;CR$5)=0,"",SUMIF('Competency Event Log'!$U$4:$U$803,$B198&amp;"|"&amp;CR$5,'Competency Event Log'!$D$4:$D$803)))</f>
        <v/>
      </c>
      <c r="CS198" s="8" t="str">
        <f>IF($B198="","",IF(COUNTIF('Competency Event Log'!$U$4:$U$803,$B198&amp;"|"&amp;CS$5)=0,"",SUMIF('Competency Event Log'!$U$4:$U$803,$B198&amp;"|"&amp;CS$5,'Competency Event Log'!$D$4:$D$803)))</f>
        <v/>
      </c>
      <c r="CT198" s="8" t="str">
        <f>IF($B198="","",IF(COUNTIF('Competency Event Log'!$U$4:$U$803,$B198&amp;"|"&amp;CT$5)=0,"",SUMIF('Competency Event Log'!$U$4:$U$803,$B198&amp;"|"&amp;CT$5,'Competency Event Log'!$D$4:$D$803)))</f>
        <v/>
      </c>
      <c r="CU198" s="8" t="str">
        <f>IF($B198="","",IF(COUNTIF('Competency Event Log'!$U$4:$U$803,$B198&amp;"|"&amp;CU$5)=0,"",SUMIF('Competency Event Log'!$U$4:$U$803,$B198&amp;"|"&amp;CU$5,'Competency Event Log'!$D$4:$D$803)))</f>
        <v/>
      </c>
      <c r="CV198" s="8" t="str">
        <f>IF($B198="","",IF(COUNTIF('Competency Event Log'!$U$4:$U$803,$B198&amp;"|"&amp;CV$5)=0,"",SUMIF('Competency Event Log'!$U$4:$U$803,$B198&amp;"|"&amp;CV$5,'Competency Event Log'!$D$4:$D$803)))</f>
        <v/>
      </c>
      <c r="CW198" s="8" t="str">
        <f>IF($B198="","",IF(COUNTIF('Competency Event Log'!$U$4:$U$803,$B198&amp;"|"&amp;CW$5)=0,"",SUMIF('Competency Event Log'!$U$4:$U$803,$B198&amp;"|"&amp;CW$5,'Competency Event Log'!$D$4:$D$803)))</f>
        <v/>
      </c>
      <c r="CX198" s="8" t="str">
        <f>IF($B198="","",IF(COUNTIF('Competency Event Log'!$U$4:$U$803,$B198&amp;"|"&amp;CX$5)=0,"",SUMIF('Competency Event Log'!$U$4:$U$803,$B198&amp;"|"&amp;CX$5,'Competency Event Log'!$D$4:$D$803)))</f>
        <v/>
      </c>
      <c r="CY198" s="8" t="str">
        <f>IF($B198="","",IF(COUNTIF('Competency Event Log'!$U$4:$U$803,$B198&amp;"|"&amp;CY$5)=0,"",SUMIF('Competency Event Log'!$U$4:$U$803,$B198&amp;"|"&amp;CY$5,'Competency Event Log'!$D$4:$D$803)))</f>
        <v/>
      </c>
      <c r="CZ198" s="8" t="str">
        <f>IF($B198="","",IF(COUNTIF('Competency Event Log'!$U$4:$U$803,$B198&amp;"|"&amp;CZ$5)=0,"",SUMIF('Competency Event Log'!$U$4:$U$803,$B198&amp;"|"&amp;CZ$5,'Competency Event Log'!$D$4:$D$803)))</f>
        <v/>
      </c>
      <c r="DA198" s="8" t="str">
        <f>IF($B198="","",IF(COUNTIF('Competency Event Log'!$U$4:$U$803,$B198&amp;"|"&amp;DA$5)=0,"",SUMIF('Competency Event Log'!$U$4:$U$803,$B198&amp;"|"&amp;DA$5,'Competency Event Log'!$D$4:$D$803)))</f>
        <v/>
      </c>
      <c r="DB198" s="8" t="str">
        <f>IF($B198="","",IF(COUNTIF('Competency Event Log'!$U$4:$U$803,$B198&amp;"|"&amp;DB$5)=0,"",SUMIF('Competency Event Log'!$U$4:$U$803,$B198&amp;"|"&amp;DB$5,'Competency Event Log'!$D$4:$D$803)))</f>
        <v/>
      </c>
      <c r="DC198" s="8" t="str">
        <f>IF($B198="","",IF(COUNTIF('Competency Event Log'!$U$4:$U$803,$B198&amp;"|"&amp;DC$5)=0,"",SUMIF('Competency Event Log'!$U$4:$U$803,$B198&amp;"|"&amp;DC$5,'Competency Event Log'!$D$4:$D$803)))</f>
        <v/>
      </c>
      <c r="DD198" s="8" t="str">
        <f>IF($B198="","",IF(COUNTIF('Competency Event Log'!$U$4:$U$803,$B198&amp;"|"&amp;DD$5)=0,"",SUMIF('Competency Event Log'!$U$4:$U$803,$B198&amp;"|"&amp;DD$5,'Competency Event Log'!$D$4:$D$803)))</f>
        <v/>
      </c>
      <c r="DE198" s="8" t="str">
        <f>IF($B198="","",IF(COUNTIF('Competency Event Log'!$U$4:$U$803,$B198&amp;"|"&amp;DE$5)=0,"",SUMIF('Competency Event Log'!$U$4:$U$803,$B198&amp;"|"&amp;DE$5,'Competency Event Log'!$D$4:$D$803)))</f>
        <v/>
      </c>
      <c r="DF198" s="8" t="str">
        <f t="shared" ref="DF198:DF205" si="24">IF($B198="","",SUM($G198:$DE198))</f>
        <v/>
      </c>
      <c r="DG198" s="8" t="str">
        <f t="shared" ref="DG198:DG205" si="25">IF($B198="","",COUNT($G198:$DE198))</f>
        <v/>
      </c>
      <c r="DH198" s="8" t="str">
        <f t="shared" ref="DH198:DH205" si="26">IF($B198="","",COUNTIF($G198:$DE198,3))</f>
        <v/>
      </c>
      <c r="DI198" s="11" t="str">
        <f t="shared" ref="DI198:DI205" si="27">IF($B198="","",IFERROR(SUMPRODUCT(--(($G$4:$DE$4=$A198)+($G$4:$DE$4="All Departments")&gt;0),--($G198:$DE198&lt;&gt;""))/(COUNTIF($G$4:$DE$4,$A198)+COUNTIF($G$4:$DE$4,"All Departments")),0))</f>
        <v/>
      </c>
    </row>
    <row r="199" spans="1:113">
      <c r="A199" s="7"/>
      <c r="B199" s="7"/>
      <c r="C199" s="8"/>
      <c r="D199" s="9"/>
      <c r="E199" s="10"/>
      <c r="F199" s="8"/>
      <c r="G199" s="8" t="str">
        <f>IF($B199="","",IF(COUNTIF('Competency Event Log'!$U$4:$U$803,$B199&amp;"|"&amp;G$5)=0,"",SUMIF('Competency Event Log'!$U$4:$U$803,$B199&amp;"|"&amp;G$5,'Competency Event Log'!$D$4:$D$803)))</f>
        <v/>
      </c>
      <c r="H199" s="8" t="str">
        <f>IF($B199="","",IF(COUNTIF('Competency Event Log'!$U$4:$U$803,$B199&amp;"|"&amp;H$5)=0,"",SUMIF('Competency Event Log'!$U$4:$U$803,$B199&amp;"|"&amp;H$5,'Competency Event Log'!$D$4:$D$803)))</f>
        <v/>
      </c>
      <c r="I199" s="8" t="str">
        <f>IF($B199="","",IF(COUNTIF('Competency Event Log'!$U$4:$U$803,$B199&amp;"|"&amp;I$5)=0,"",SUMIF('Competency Event Log'!$U$4:$U$803,$B199&amp;"|"&amp;I$5,'Competency Event Log'!$D$4:$D$803)))</f>
        <v/>
      </c>
      <c r="J199" s="8" t="str">
        <f>IF($B199="","",IF(COUNTIF('Competency Event Log'!$U$4:$U$803,$B199&amp;"|"&amp;J$5)=0,"",SUMIF('Competency Event Log'!$U$4:$U$803,$B199&amp;"|"&amp;J$5,'Competency Event Log'!$D$4:$D$803)))</f>
        <v/>
      </c>
      <c r="K199" s="8" t="str">
        <f>IF($B199="","",IF(COUNTIF('Competency Event Log'!$U$4:$U$803,$B199&amp;"|"&amp;K$5)=0,"",SUMIF('Competency Event Log'!$U$4:$U$803,$B199&amp;"|"&amp;K$5,'Competency Event Log'!$D$4:$D$803)))</f>
        <v/>
      </c>
      <c r="L199" s="8" t="str">
        <f>IF($B199="","",IF(COUNTIF('Competency Event Log'!$U$4:$U$803,$B199&amp;"|"&amp;L$5)=0,"",SUMIF('Competency Event Log'!$U$4:$U$803,$B199&amp;"|"&amp;L$5,'Competency Event Log'!$D$4:$D$803)))</f>
        <v/>
      </c>
      <c r="M199" s="8" t="str">
        <f>IF($B199="","",IF(COUNTIF('Competency Event Log'!$U$4:$U$803,$B199&amp;"|"&amp;M$5)=0,"",SUMIF('Competency Event Log'!$U$4:$U$803,$B199&amp;"|"&amp;M$5,'Competency Event Log'!$D$4:$D$803)))</f>
        <v/>
      </c>
      <c r="N199" s="8" t="str">
        <f>IF($B199="","",IF(COUNTIF('Competency Event Log'!$U$4:$U$803,$B199&amp;"|"&amp;N$5)=0,"",SUMIF('Competency Event Log'!$U$4:$U$803,$B199&amp;"|"&amp;N$5,'Competency Event Log'!$D$4:$D$803)))</f>
        <v/>
      </c>
      <c r="O199" s="8" t="str">
        <f>IF($B199="","",IF(COUNTIF('Competency Event Log'!$U$4:$U$803,$B199&amp;"|"&amp;O$5)=0,"",SUMIF('Competency Event Log'!$U$4:$U$803,$B199&amp;"|"&amp;O$5,'Competency Event Log'!$D$4:$D$803)))</f>
        <v/>
      </c>
      <c r="P199" s="8" t="str">
        <f>IF($B199="","",IF(COUNTIF('Competency Event Log'!$U$4:$U$803,$B199&amp;"|"&amp;P$5)=0,"",SUMIF('Competency Event Log'!$U$4:$U$803,$B199&amp;"|"&amp;P$5,'Competency Event Log'!$D$4:$D$803)))</f>
        <v/>
      </c>
      <c r="Q199" s="8" t="str">
        <f>IF($B199="","",IF(COUNTIF('Competency Event Log'!$U$4:$U$803,$B199&amp;"|"&amp;Q$5)=0,"",SUMIF('Competency Event Log'!$U$4:$U$803,$B199&amp;"|"&amp;Q$5,'Competency Event Log'!$D$4:$D$803)))</f>
        <v/>
      </c>
      <c r="R199" s="8" t="str">
        <f>IF($B199="","",IF(COUNTIF('Competency Event Log'!$U$4:$U$803,$B199&amp;"|"&amp;R$5)=0,"",SUMIF('Competency Event Log'!$U$4:$U$803,$B199&amp;"|"&amp;R$5,'Competency Event Log'!$D$4:$D$803)))</f>
        <v/>
      </c>
      <c r="S199" s="8" t="str">
        <f>IF($B199="","",IF(COUNTIF('Competency Event Log'!$U$4:$U$803,$B199&amp;"|"&amp;S$5)=0,"",SUMIF('Competency Event Log'!$U$4:$U$803,$B199&amp;"|"&amp;S$5,'Competency Event Log'!$D$4:$D$803)))</f>
        <v/>
      </c>
      <c r="T199" s="8" t="str">
        <f>IF($B199="","",IF(COUNTIF('Competency Event Log'!$U$4:$U$803,$B199&amp;"|"&amp;T$5)=0,"",SUMIF('Competency Event Log'!$U$4:$U$803,$B199&amp;"|"&amp;T$5,'Competency Event Log'!$D$4:$D$803)))</f>
        <v/>
      </c>
      <c r="U199" s="8" t="str">
        <f>IF($B199="","",IF(COUNTIF('Competency Event Log'!$U$4:$U$803,$B199&amp;"|"&amp;U$5)=0,"",SUMIF('Competency Event Log'!$U$4:$U$803,$B199&amp;"|"&amp;U$5,'Competency Event Log'!$D$4:$D$803)))</f>
        <v/>
      </c>
      <c r="V199" s="8" t="str">
        <f>IF($B199="","",IF(COUNTIF('Competency Event Log'!$U$4:$U$803,$B199&amp;"|"&amp;V$5)=0,"",SUMIF('Competency Event Log'!$U$4:$U$803,$B199&amp;"|"&amp;V$5,'Competency Event Log'!$D$4:$D$803)))</f>
        <v/>
      </c>
      <c r="W199" s="8" t="str">
        <f>IF($B199="","",IF(COUNTIF('Competency Event Log'!$U$4:$U$803,$B199&amp;"|"&amp;W$5)=0,"",SUMIF('Competency Event Log'!$U$4:$U$803,$B199&amp;"|"&amp;W$5,'Competency Event Log'!$D$4:$D$803)))</f>
        <v/>
      </c>
      <c r="X199" s="8" t="str">
        <f>IF($B199="","",IF(COUNTIF('Competency Event Log'!$U$4:$U$803,$B199&amp;"|"&amp;X$5)=0,"",SUMIF('Competency Event Log'!$U$4:$U$803,$B199&amp;"|"&amp;X$5,'Competency Event Log'!$D$4:$D$803)))</f>
        <v/>
      </c>
      <c r="Y199" s="8" t="str">
        <f>IF($B199="","",IF(COUNTIF('Competency Event Log'!$U$4:$U$803,$B199&amp;"|"&amp;Y$5)=0,"",SUMIF('Competency Event Log'!$U$4:$U$803,$B199&amp;"|"&amp;Y$5,'Competency Event Log'!$D$4:$D$803)))</f>
        <v/>
      </c>
      <c r="Z199" s="8" t="str">
        <f>IF($B199="","",IF(COUNTIF('Competency Event Log'!$U$4:$U$803,$B199&amp;"|"&amp;Z$5)=0,"",SUMIF('Competency Event Log'!$U$4:$U$803,$B199&amp;"|"&amp;Z$5,'Competency Event Log'!$D$4:$D$803)))</f>
        <v/>
      </c>
      <c r="AA199" s="8" t="str">
        <f>IF($B199="","",IF(COUNTIF('Competency Event Log'!$U$4:$U$803,$B199&amp;"|"&amp;AA$5)=0,"",SUMIF('Competency Event Log'!$U$4:$U$803,$B199&amp;"|"&amp;AA$5,'Competency Event Log'!$D$4:$D$803)))</f>
        <v/>
      </c>
      <c r="AB199" s="8" t="str">
        <f>IF($B199="","",IF(COUNTIF('Competency Event Log'!$U$4:$U$803,$B199&amp;"|"&amp;AB$5)=0,"",SUMIF('Competency Event Log'!$U$4:$U$803,$B199&amp;"|"&amp;AB$5,'Competency Event Log'!$D$4:$D$803)))</f>
        <v/>
      </c>
      <c r="AC199" s="8" t="str">
        <f>IF($B199="","",IF(COUNTIF('Competency Event Log'!$U$4:$U$803,$B199&amp;"|"&amp;AC$5)=0,"",SUMIF('Competency Event Log'!$U$4:$U$803,$B199&amp;"|"&amp;AC$5,'Competency Event Log'!$D$4:$D$803)))</f>
        <v/>
      </c>
      <c r="AD199" s="8" t="str">
        <f>IF($B199="","",IF(COUNTIF('Competency Event Log'!$U$4:$U$803,$B199&amp;"|"&amp;AD$5)=0,"",SUMIF('Competency Event Log'!$U$4:$U$803,$B199&amp;"|"&amp;AD$5,'Competency Event Log'!$D$4:$D$803)))</f>
        <v/>
      </c>
      <c r="AE199" s="8" t="str">
        <f>IF($B199="","",IF(COUNTIF('Competency Event Log'!$U$4:$U$803,$B199&amp;"|"&amp;AE$5)=0,"",SUMIF('Competency Event Log'!$U$4:$U$803,$B199&amp;"|"&amp;AE$5,'Competency Event Log'!$D$4:$D$803)))</f>
        <v/>
      </c>
      <c r="AF199" s="8" t="str">
        <f>IF($B199="","",IF(COUNTIF('Competency Event Log'!$U$4:$U$803,$B199&amp;"|"&amp;AF$5)=0,"",SUMIF('Competency Event Log'!$U$4:$U$803,$B199&amp;"|"&amp;AF$5,'Competency Event Log'!$D$4:$D$803)))</f>
        <v/>
      </c>
      <c r="AG199" s="8" t="str">
        <f>IF($B199="","",IF(COUNTIF('Competency Event Log'!$U$4:$U$803,$B199&amp;"|"&amp;AG$5)=0,"",SUMIF('Competency Event Log'!$U$4:$U$803,$B199&amp;"|"&amp;AG$5,'Competency Event Log'!$D$4:$D$803)))</f>
        <v/>
      </c>
      <c r="AH199" s="8" t="str">
        <f>IF($B199="","",IF(COUNTIF('Competency Event Log'!$U$4:$U$803,$B199&amp;"|"&amp;AH$5)=0,"",SUMIF('Competency Event Log'!$U$4:$U$803,$B199&amp;"|"&amp;AH$5,'Competency Event Log'!$D$4:$D$803)))</f>
        <v/>
      </c>
      <c r="AI199" s="8" t="str">
        <f>IF($B199="","",IF(COUNTIF('Competency Event Log'!$U$4:$U$803,$B199&amp;"|"&amp;AI$5)=0,"",SUMIF('Competency Event Log'!$U$4:$U$803,$B199&amp;"|"&amp;AI$5,'Competency Event Log'!$D$4:$D$803)))</f>
        <v/>
      </c>
      <c r="AJ199" s="8" t="str">
        <f>IF($B199="","",IF(COUNTIF('Competency Event Log'!$U$4:$U$803,$B199&amp;"|"&amp;AJ$5)=0,"",SUMIF('Competency Event Log'!$U$4:$U$803,$B199&amp;"|"&amp;AJ$5,'Competency Event Log'!$D$4:$D$803)))</f>
        <v/>
      </c>
      <c r="AK199" s="8" t="str">
        <f>IF($B199="","",IF(COUNTIF('Competency Event Log'!$U$4:$U$803,$B199&amp;"|"&amp;AK$5)=0,"",SUMIF('Competency Event Log'!$U$4:$U$803,$B199&amp;"|"&amp;AK$5,'Competency Event Log'!$D$4:$D$803)))</f>
        <v/>
      </c>
      <c r="AL199" s="8" t="str">
        <f>IF($B199="","",IF(COUNTIF('Competency Event Log'!$U$4:$U$803,$B199&amp;"|"&amp;AL$5)=0,"",SUMIF('Competency Event Log'!$U$4:$U$803,$B199&amp;"|"&amp;AL$5,'Competency Event Log'!$D$4:$D$803)))</f>
        <v/>
      </c>
      <c r="AM199" s="8" t="str">
        <f>IF($B199="","",IF(COUNTIF('Competency Event Log'!$U$4:$U$803,$B199&amp;"|"&amp;AM$5)=0,"",SUMIF('Competency Event Log'!$U$4:$U$803,$B199&amp;"|"&amp;AM$5,'Competency Event Log'!$D$4:$D$803)))</f>
        <v/>
      </c>
      <c r="AN199" s="8" t="str">
        <f>IF($B199="","",IF(COUNTIF('Competency Event Log'!$U$4:$U$803,$B199&amp;"|"&amp;AN$5)=0,"",SUMIF('Competency Event Log'!$U$4:$U$803,$B199&amp;"|"&amp;AN$5,'Competency Event Log'!$D$4:$D$803)))</f>
        <v/>
      </c>
      <c r="AO199" s="8" t="str">
        <f>IF($B199="","",IF(COUNTIF('Competency Event Log'!$U$4:$U$803,$B199&amp;"|"&amp;AO$5)=0,"",SUMIF('Competency Event Log'!$U$4:$U$803,$B199&amp;"|"&amp;AO$5,'Competency Event Log'!$D$4:$D$803)))</f>
        <v/>
      </c>
      <c r="AP199" s="8" t="str">
        <f>IF($B199="","",IF(COUNTIF('Competency Event Log'!$U$4:$U$803,$B199&amp;"|"&amp;AP$5)=0,"",SUMIF('Competency Event Log'!$U$4:$U$803,$B199&amp;"|"&amp;AP$5,'Competency Event Log'!$D$4:$D$803)))</f>
        <v/>
      </c>
      <c r="AQ199" s="8" t="str">
        <f>IF($B199="","",IF(COUNTIF('Competency Event Log'!$U$4:$U$803,$B199&amp;"|"&amp;AQ$5)=0,"",SUMIF('Competency Event Log'!$U$4:$U$803,$B199&amp;"|"&amp;AQ$5,'Competency Event Log'!$D$4:$D$803)))</f>
        <v/>
      </c>
      <c r="AR199" s="8" t="str">
        <f>IF($B199="","",IF(COUNTIF('Competency Event Log'!$U$4:$U$803,$B199&amp;"|"&amp;AR$5)=0,"",SUMIF('Competency Event Log'!$U$4:$U$803,$B199&amp;"|"&amp;AR$5,'Competency Event Log'!$D$4:$D$803)))</f>
        <v/>
      </c>
      <c r="AS199" s="8" t="str">
        <f>IF($B199="","",IF(COUNTIF('Competency Event Log'!$U$4:$U$803,$B199&amp;"|"&amp;AS$5)=0,"",SUMIF('Competency Event Log'!$U$4:$U$803,$B199&amp;"|"&amp;AS$5,'Competency Event Log'!$D$4:$D$803)))</f>
        <v/>
      </c>
      <c r="AT199" s="8" t="str">
        <f>IF($B199="","",IF(COUNTIF('Competency Event Log'!$U$4:$U$803,$B199&amp;"|"&amp;AT$5)=0,"",SUMIF('Competency Event Log'!$U$4:$U$803,$B199&amp;"|"&amp;AT$5,'Competency Event Log'!$D$4:$D$803)))</f>
        <v/>
      </c>
      <c r="AU199" s="8" t="str">
        <f>IF($B199="","",IF(COUNTIF('Competency Event Log'!$U$4:$U$803,$B199&amp;"|"&amp;AU$5)=0,"",SUMIF('Competency Event Log'!$U$4:$U$803,$B199&amp;"|"&amp;AU$5,'Competency Event Log'!$D$4:$D$803)))</f>
        <v/>
      </c>
      <c r="AV199" s="8" t="str">
        <f>IF($B199="","",IF(COUNTIF('Competency Event Log'!$U$4:$U$803,$B199&amp;"|"&amp;AV$5)=0,"",SUMIF('Competency Event Log'!$U$4:$U$803,$B199&amp;"|"&amp;AV$5,'Competency Event Log'!$D$4:$D$803)))</f>
        <v/>
      </c>
      <c r="AW199" s="8" t="str">
        <f>IF($B199="","",IF(COUNTIF('Competency Event Log'!$U$4:$U$803,$B199&amp;"|"&amp;AW$5)=0,"",SUMIF('Competency Event Log'!$U$4:$U$803,$B199&amp;"|"&amp;AW$5,'Competency Event Log'!$D$4:$D$803)))</f>
        <v/>
      </c>
      <c r="AX199" s="8" t="str">
        <f>IF($B199="","",IF(COUNTIF('Competency Event Log'!$U$4:$U$803,$B199&amp;"|"&amp;AX$5)=0,"",SUMIF('Competency Event Log'!$U$4:$U$803,$B199&amp;"|"&amp;AX$5,'Competency Event Log'!$D$4:$D$803)))</f>
        <v/>
      </c>
      <c r="AY199" s="8" t="str">
        <f>IF($B199="","",IF(COUNTIF('Competency Event Log'!$U$4:$U$803,$B199&amp;"|"&amp;AY$5)=0,"",SUMIF('Competency Event Log'!$U$4:$U$803,$B199&amp;"|"&amp;AY$5,'Competency Event Log'!$D$4:$D$803)))</f>
        <v/>
      </c>
      <c r="AZ199" s="8" t="str">
        <f>IF($B199="","",IF(COUNTIF('Competency Event Log'!$U$4:$U$803,$B199&amp;"|"&amp;AZ$5)=0,"",SUMIF('Competency Event Log'!$U$4:$U$803,$B199&amp;"|"&amp;AZ$5,'Competency Event Log'!$D$4:$D$803)))</f>
        <v/>
      </c>
      <c r="BA199" s="8" t="str">
        <f>IF($B199="","",IF(COUNTIF('Competency Event Log'!$U$4:$U$803,$B199&amp;"|"&amp;BA$5)=0,"",SUMIF('Competency Event Log'!$U$4:$U$803,$B199&amp;"|"&amp;BA$5,'Competency Event Log'!$D$4:$D$803)))</f>
        <v/>
      </c>
      <c r="BB199" s="8" t="str">
        <f>IF($B199="","",IF(COUNTIF('Competency Event Log'!$U$4:$U$803,$B199&amp;"|"&amp;BB$5)=0,"",SUMIF('Competency Event Log'!$U$4:$U$803,$B199&amp;"|"&amp;BB$5,'Competency Event Log'!$D$4:$D$803)))</f>
        <v/>
      </c>
      <c r="BC199" s="8" t="str">
        <f>IF($B199="","",IF(COUNTIF('Competency Event Log'!$U$4:$U$803,$B199&amp;"|"&amp;BC$5)=0,"",SUMIF('Competency Event Log'!$U$4:$U$803,$B199&amp;"|"&amp;BC$5,'Competency Event Log'!$D$4:$D$803)))</f>
        <v/>
      </c>
      <c r="BD199" s="8" t="str">
        <f>IF($B199="","",IF(COUNTIF('Competency Event Log'!$U$4:$U$803,$B199&amp;"|"&amp;BD$5)=0,"",SUMIF('Competency Event Log'!$U$4:$U$803,$B199&amp;"|"&amp;BD$5,'Competency Event Log'!$D$4:$D$803)))</f>
        <v/>
      </c>
      <c r="BE199" s="8" t="str">
        <f>IF($B199="","",IF(COUNTIF('Competency Event Log'!$U$4:$U$803,$B199&amp;"|"&amp;BE$5)=0,"",SUMIF('Competency Event Log'!$U$4:$U$803,$B199&amp;"|"&amp;BE$5,'Competency Event Log'!$D$4:$D$803)))</f>
        <v/>
      </c>
      <c r="BF199" s="8" t="str">
        <f>IF($B199="","",IF(COUNTIF('Competency Event Log'!$U$4:$U$803,$B199&amp;"|"&amp;BF$5)=0,"",SUMIF('Competency Event Log'!$U$4:$U$803,$B199&amp;"|"&amp;BF$5,'Competency Event Log'!$D$4:$D$803)))</f>
        <v/>
      </c>
      <c r="BG199" s="8" t="str">
        <f>IF($B199="","",IF(COUNTIF('Competency Event Log'!$U$4:$U$803,$B199&amp;"|"&amp;BG$5)=0,"",SUMIF('Competency Event Log'!$U$4:$U$803,$B199&amp;"|"&amp;BG$5,'Competency Event Log'!$D$4:$D$803)))</f>
        <v/>
      </c>
      <c r="BH199" s="8" t="str">
        <f>IF($B199="","",IF(COUNTIF('Competency Event Log'!$U$4:$U$803,$B199&amp;"|"&amp;BH$5)=0,"",SUMIF('Competency Event Log'!$U$4:$U$803,$B199&amp;"|"&amp;BH$5,'Competency Event Log'!$D$4:$D$803)))</f>
        <v/>
      </c>
      <c r="BI199" s="8" t="str">
        <f>IF($B199="","",IF(COUNTIF('Competency Event Log'!$U$4:$U$803,$B199&amp;"|"&amp;BI$5)=0,"",SUMIF('Competency Event Log'!$U$4:$U$803,$B199&amp;"|"&amp;BI$5,'Competency Event Log'!$D$4:$D$803)))</f>
        <v/>
      </c>
      <c r="BJ199" s="8" t="str">
        <f>IF($B199="","",IF(COUNTIF('Competency Event Log'!$U$4:$U$803,$B199&amp;"|"&amp;BJ$5)=0,"",SUMIF('Competency Event Log'!$U$4:$U$803,$B199&amp;"|"&amp;BJ$5,'Competency Event Log'!$D$4:$D$803)))</f>
        <v/>
      </c>
      <c r="BK199" s="8" t="str">
        <f>IF($B199="","",IF(COUNTIF('Competency Event Log'!$U$4:$U$803,$B199&amp;"|"&amp;BK$5)=0,"",SUMIF('Competency Event Log'!$U$4:$U$803,$B199&amp;"|"&amp;BK$5,'Competency Event Log'!$D$4:$D$803)))</f>
        <v/>
      </c>
      <c r="BL199" s="8" t="str">
        <f>IF($B199="","",IF(COUNTIF('Competency Event Log'!$U$4:$U$803,$B199&amp;"|"&amp;BL$5)=0,"",SUMIF('Competency Event Log'!$U$4:$U$803,$B199&amp;"|"&amp;BL$5,'Competency Event Log'!$D$4:$D$803)))</f>
        <v/>
      </c>
      <c r="BM199" s="8" t="str">
        <f>IF($B199="","",IF(COUNTIF('Competency Event Log'!$U$4:$U$803,$B199&amp;"|"&amp;BM$5)=0,"",SUMIF('Competency Event Log'!$U$4:$U$803,$B199&amp;"|"&amp;BM$5,'Competency Event Log'!$D$4:$D$803)))</f>
        <v/>
      </c>
      <c r="BN199" s="8" t="str">
        <f>IF($B199="","",IF(COUNTIF('Competency Event Log'!$U$4:$U$803,$B199&amp;"|"&amp;BN$5)=0,"",SUMIF('Competency Event Log'!$U$4:$U$803,$B199&amp;"|"&amp;BN$5,'Competency Event Log'!$D$4:$D$803)))</f>
        <v/>
      </c>
      <c r="BO199" s="8" t="str">
        <f>IF($B199="","",IF(COUNTIF('Competency Event Log'!$U$4:$U$803,$B199&amp;"|"&amp;BO$5)=0,"",SUMIF('Competency Event Log'!$U$4:$U$803,$B199&amp;"|"&amp;BO$5,'Competency Event Log'!$D$4:$D$803)))</f>
        <v/>
      </c>
      <c r="BP199" s="8" t="str">
        <f>IF($B199="","",IF(COUNTIF('Competency Event Log'!$U$4:$U$803,$B199&amp;"|"&amp;BP$5)=0,"",SUMIF('Competency Event Log'!$U$4:$U$803,$B199&amp;"|"&amp;BP$5,'Competency Event Log'!$D$4:$D$803)))</f>
        <v/>
      </c>
      <c r="BQ199" s="8" t="str">
        <f>IF($B199="","",IF(COUNTIF('Competency Event Log'!$U$4:$U$803,$B199&amp;"|"&amp;BQ$5)=0,"",SUMIF('Competency Event Log'!$U$4:$U$803,$B199&amp;"|"&amp;BQ$5,'Competency Event Log'!$D$4:$D$803)))</f>
        <v/>
      </c>
      <c r="BR199" s="8" t="str">
        <f>IF($B199="","",IF(COUNTIF('Competency Event Log'!$U$4:$U$803,$B199&amp;"|"&amp;BR$5)=0,"",SUMIF('Competency Event Log'!$U$4:$U$803,$B199&amp;"|"&amp;BR$5,'Competency Event Log'!$D$4:$D$803)))</f>
        <v/>
      </c>
      <c r="BS199" s="8" t="str">
        <f>IF($B199="","",IF(COUNTIF('Competency Event Log'!$U$4:$U$803,$B199&amp;"|"&amp;BS$5)=0,"",SUMIF('Competency Event Log'!$U$4:$U$803,$B199&amp;"|"&amp;BS$5,'Competency Event Log'!$D$4:$D$803)))</f>
        <v/>
      </c>
      <c r="BT199" s="8" t="str">
        <f>IF($B199="","",IF(COUNTIF('Competency Event Log'!$U$4:$U$803,$B199&amp;"|"&amp;BT$5)=0,"",SUMIF('Competency Event Log'!$U$4:$U$803,$B199&amp;"|"&amp;BT$5,'Competency Event Log'!$D$4:$D$803)))</f>
        <v/>
      </c>
      <c r="BU199" s="8" t="str">
        <f>IF($B199="","",IF(COUNTIF('Competency Event Log'!$U$4:$U$803,$B199&amp;"|"&amp;BU$5)=0,"",SUMIF('Competency Event Log'!$U$4:$U$803,$B199&amp;"|"&amp;BU$5,'Competency Event Log'!$D$4:$D$803)))</f>
        <v/>
      </c>
      <c r="BV199" s="8" t="str">
        <f>IF($B199="","",IF(COUNTIF('Competency Event Log'!$U$4:$U$803,$B199&amp;"|"&amp;BV$5)=0,"",SUMIF('Competency Event Log'!$U$4:$U$803,$B199&amp;"|"&amp;BV$5,'Competency Event Log'!$D$4:$D$803)))</f>
        <v/>
      </c>
      <c r="BW199" s="8" t="str">
        <f>IF($B199="","",IF(COUNTIF('Competency Event Log'!$U$4:$U$803,$B199&amp;"|"&amp;BW$5)=0,"",SUMIF('Competency Event Log'!$U$4:$U$803,$B199&amp;"|"&amp;BW$5,'Competency Event Log'!$D$4:$D$803)))</f>
        <v/>
      </c>
      <c r="BX199" s="8" t="str">
        <f>IF($B199="","",IF(COUNTIF('Competency Event Log'!$U$4:$U$803,$B199&amp;"|"&amp;BX$5)=0,"",SUMIF('Competency Event Log'!$U$4:$U$803,$B199&amp;"|"&amp;BX$5,'Competency Event Log'!$D$4:$D$803)))</f>
        <v/>
      </c>
      <c r="BY199" s="8" t="str">
        <f>IF($B199="","",IF(COUNTIF('Competency Event Log'!$U$4:$U$803,$B199&amp;"|"&amp;BY$5)=0,"",SUMIF('Competency Event Log'!$U$4:$U$803,$B199&amp;"|"&amp;BY$5,'Competency Event Log'!$D$4:$D$803)))</f>
        <v/>
      </c>
      <c r="BZ199" s="8" t="str">
        <f>IF($B199="","",IF(COUNTIF('Competency Event Log'!$U$4:$U$803,$B199&amp;"|"&amp;BZ$5)=0,"",SUMIF('Competency Event Log'!$U$4:$U$803,$B199&amp;"|"&amp;BZ$5,'Competency Event Log'!$D$4:$D$803)))</f>
        <v/>
      </c>
      <c r="CA199" s="8" t="str">
        <f>IF($B199="","",IF(COUNTIF('Competency Event Log'!$U$4:$U$803,$B199&amp;"|"&amp;CA$5)=0,"",SUMIF('Competency Event Log'!$U$4:$U$803,$B199&amp;"|"&amp;CA$5,'Competency Event Log'!$D$4:$D$803)))</f>
        <v/>
      </c>
      <c r="CB199" s="8" t="str">
        <f>IF($B199="","",IF(COUNTIF('Competency Event Log'!$U$4:$U$803,$B199&amp;"|"&amp;CB$5)=0,"",SUMIF('Competency Event Log'!$U$4:$U$803,$B199&amp;"|"&amp;CB$5,'Competency Event Log'!$D$4:$D$803)))</f>
        <v/>
      </c>
      <c r="CC199" s="8" t="str">
        <f>IF($B199="","",IF(COUNTIF('Competency Event Log'!$U$4:$U$803,$B199&amp;"|"&amp;CC$5)=0,"",SUMIF('Competency Event Log'!$U$4:$U$803,$B199&amp;"|"&amp;CC$5,'Competency Event Log'!$D$4:$D$803)))</f>
        <v/>
      </c>
      <c r="CD199" s="8" t="str">
        <f>IF($B199="","",IF(COUNTIF('Competency Event Log'!$U$4:$U$803,$B199&amp;"|"&amp;CD$5)=0,"",SUMIF('Competency Event Log'!$U$4:$U$803,$B199&amp;"|"&amp;CD$5,'Competency Event Log'!$D$4:$D$803)))</f>
        <v/>
      </c>
      <c r="CE199" s="8" t="str">
        <f>IF($B199="","",IF(COUNTIF('Competency Event Log'!$U$4:$U$803,$B199&amp;"|"&amp;CE$5)=0,"",SUMIF('Competency Event Log'!$U$4:$U$803,$B199&amp;"|"&amp;CE$5,'Competency Event Log'!$D$4:$D$803)))</f>
        <v/>
      </c>
      <c r="CF199" s="8" t="str">
        <f>IF($B199="","",IF(COUNTIF('Competency Event Log'!$U$4:$U$803,$B199&amp;"|"&amp;CF$5)=0,"",SUMIF('Competency Event Log'!$U$4:$U$803,$B199&amp;"|"&amp;CF$5,'Competency Event Log'!$D$4:$D$803)))</f>
        <v/>
      </c>
      <c r="CG199" s="8" t="str">
        <f>IF($B199="","",IF(COUNTIF('Competency Event Log'!$U$4:$U$803,$B199&amp;"|"&amp;CG$5)=0,"",SUMIF('Competency Event Log'!$U$4:$U$803,$B199&amp;"|"&amp;CG$5,'Competency Event Log'!$D$4:$D$803)))</f>
        <v/>
      </c>
      <c r="CH199" s="8" t="str">
        <f>IF($B199="","",IF(COUNTIF('Competency Event Log'!$U$4:$U$803,$B199&amp;"|"&amp;CH$5)=0,"",SUMIF('Competency Event Log'!$U$4:$U$803,$B199&amp;"|"&amp;CH$5,'Competency Event Log'!$D$4:$D$803)))</f>
        <v/>
      </c>
      <c r="CI199" s="8" t="str">
        <f>IF($B199="","",IF(COUNTIF('Competency Event Log'!$U$4:$U$803,$B199&amp;"|"&amp;CI$5)=0,"",SUMIF('Competency Event Log'!$U$4:$U$803,$B199&amp;"|"&amp;CI$5,'Competency Event Log'!$D$4:$D$803)))</f>
        <v/>
      </c>
      <c r="CJ199" s="8" t="str">
        <f>IF($B199="","",IF(COUNTIF('Competency Event Log'!$U$4:$U$803,$B199&amp;"|"&amp;CJ$5)=0,"",SUMIF('Competency Event Log'!$U$4:$U$803,$B199&amp;"|"&amp;CJ$5,'Competency Event Log'!$D$4:$D$803)))</f>
        <v/>
      </c>
      <c r="CK199" s="8" t="str">
        <f>IF($B199="","",IF(COUNTIF('Competency Event Log'!$U$4:$U$803,$B199&amp;"|"&amp;CK$5)=0,"",SUMIF('Competency Event Log'!$U$4:$U$803,$B199&amp;"|"&amp;CK$5,'Competency Event Log'!$D$4:$D$803)))</f>
        <v/>
      </c>
      <c r="CL199" s="8" t="str">
        <f>IF($B199="","",IF(COUNTIF('Competency Event Log'!$U$4:$U$803,$B199&amp;"|"&amp;CL$5)=0,"",SUMIF('Competency Event Log'!$U$4:$U$803,$B199&amp;"|"&amp;CL$5,'Competency Event Log'!$D$4:$D$803)))</f>
        <v/>
      </c>
      <c r="CM199" s="8" t="str">
        <f>IF($B199="","",IF(COUNTIF('Competency Event Log'!$U$4:$U$803,$B199&amp;"|"&amp;CM$5)=0,"",SUMIF('Competency Event Log'!$U$4:$U$803,$B199&amp;"|"&amp;CM$5,'Competency Event Log'!$D$4:$D$803)))</f>
        <v/>
      </c>
      <c r="CN199" s="8" t="str">
        <f>IF($B199="","",IF(COUNTIF('Competency Event Log'!$U$4:$U$803,$B199&amp;"|"&amp;CN$5)=0,"",SUMIF('Competency Event Log'!$U$4:$U$803,$B199&amp;"|"&amp;CN$5,'Competency Event Log'!$D$4:$D$803)))</f>
        <v/>
      </c>
      <c r="CO199" s="8" t="str">
        <f>IF($B199="","",IF(COUNTIF('Competency Event Log'!$U$4:$U$803,$B199&amp;"|"&amp;CO$5)=0,"",SUMIF('Competency Event Log'!$U$4:$U$803,$B199&amp;"|"&amp;CO$5,'Competency Event Log'!$D$4:$D$803)))</f>
        <v/>
      </c>
      <c r="CP199" s="8" t="str">
        <f>IF($B199="","",IF(COUNTIF('Competency Event Log'!$U$4:$U$803,$B199&amp;"|"&amp;CP$5)=0,"",SUMIF('Competency Event Log'!$U$4:$U$803,$B199&amp;"|"&amp;CP$5,'Competency Event Log'!$D$4:$D$803)))</f>
        <v/>
      </c>
      <c r="CQ199" s="8" t="str">
        <f>IF($B199="","",IF(COUNTIF('Competency Event Log'!$U$4:$U$803,$B199&amp;"|"&amp;CQ$5)=0,"",SUMIF('Competency Event Log'!$U$4:$U$803,$B199&amp;"|"&amp;CQ$5,'Competency Event Log'!$D$4:$D$803)))</f>
        <v/>
      </c>
      <c r="CR199" s="8" t="str">
        <f>IF($B199="","",IF(COUNTIF('Competency Event Log'!$U$4:$U$803,$B199&amp;"|"&amp;CR$5)=0,"",SUMIF('Competency Event Log'!$U$4:$U$803,$B199&amp;"|"&amp;CR$5,'Competency Event Log'!$D$4:$D$803)))</f>
        <v/>
      </c>
      <c r="CS199" s="8" t="str">
        <f>IF($B199="","",IF(COUNTIF('Competency Event Log'!$U$4:$U$803,$B199&amp;"|"&amp;CS$5)=0,"",SUMIF('Competency Event Log'!$U$4:$U$803,$B199&amp;"|"&amp;CS$5,'Competency Event Log'!$D$4:$D$803)))</f>
        <v/>
      </c>
      <c r="CT199" s="8" t="str">
        <f>IF($B199="","",IF(COUNTIF('Competency Event Log'!$U$4:$U$803,$B199&amp;"|"&amp;CT$5)=0,"",SUMIF('Competency Event Log'!$U$4:$U$803,$B199&amp;"|"&amp;CT$5,'Competency Event Log'!$D$4:$D$803)))</f>
        <v/>
      </c>
      <c r="CU199" s="8" t="str">
        <f>IF($B199="","",IF(COUNTIF('Competency Event Log'!$U$4:$U$803,$B199&amp;"|"&amp;CU$5)=0,"",SUMIF('Competency Event Log'!$U$4:$U$803,$B199&amp;"|"&amp;CU$5,'Competency Event Log'!$D$4:$D$803)))</f>
        <v/>
      </c>
      <c r="CV199" s="8" t="str">
        <f>IF($B199="","",IF(COUNTIF('Competency Event Log'!$U$4:$U$803,$B199&amp;"|"&amp;CV$5)=0,"",SUMIF('Competency Event Log'!$U$4:$U$803,$B199&amp;"|"&amp;CV$5,'Competency Event Log'!$D$4:$D$803)))</f>
        <v/>
      </c>
      <c r="CW199" s="8" t="str">
        <f>IF($B199="","",IF(COUNTIF('Competency Event Log'!$U$4:$U$803,$B199&amp;"|"&amp;CW$5)=0,"",SUMIF('Competency Event Log'!$U$4:$U$803,$B199&amp;"|"&amp;CW$5,'Competency Event Log'!$D$4:$D$803)))</f>
        <v/>
      </c>
      <c r="CX199" s="8" t="str">
        <f>IF($B199="","",IF(COUNTIF('Competency Event Log'!$U$4:$U$803,$B199&amp;"|"&amp;CX$5)=0,"",SUMIF('Competency Event Log'!$U$4:$U$803,$B199&amp;"|"&amp;CX$5,'Competency Event Log'!$D$4:$D$803)))</f>
        <v/>
      </c>
      <c r="CY199" s="8" t="str">
        <f>IF($B199="","",IF(COUNTIF('Competency Event Log'!$U$4:$U$803,$B199&amp;"|"&amp;CY$5)=0,"",SUMIF('Competency Event Log'!$U$4:$U$803,$B199&amp;"|"&amp;CY$5,'Competency Event Log'!$D$4:$D$803)))</f>
        <v/>
      </c>
      <c r="CZ199" s="8" t="str">
        <f>IF($B199="","",IF(COUNTIF('Competency Event Log'!$U$4:$U$803,$B199&amp;"|"&amp;CZ$5)=0,"",SUMIF('Competency Event Log'!$U$4:$U$803,$B199&amp;"|"&amp;CZ$5,'Competency Event Log'!$D$4:$D$803)))</f>
        <v/>
      </c>
      <c r="DA199" s="8" t="str">
        <f>IF($B199="","",IF(COUNTIF('Competency Event Log'!$U$4:$U$803,$B199&amp;"|"&amp;DA$5)=0,"",SUMIF('Competency Event Log'!$U$4:$U$803,$B199&amp;"|"&amp;DA$5,'Competency Event Log'!$D$4:$D$803)))</f>
        <v/>
      </c>
      <c r="DB199" s="8" t="str">
        <f>IF($B199="","",IF(COUNTIF('Competency Event Log'!$U$4:$U$803,$B199&amp;"|"&amp;DB$5)=0,"",SUMIF('Competency Event Log'!$U$4:$U$803,$B199&amp;"|"&amp;DB$5,'Competency Event Log'!$D$4:$D$803)))</f>
        <v/>
      </c>
      <c r="DC199" s="8" t="str">
        <f>IF($B199="","",IF(COUNTIF('Competency Event Log'!$U$4:$U$803,$B199&amp;"|"&amp;DC$5)=0,"",SUMIF('Competency Event Log'!$U$4:$U$803,$B199&amp;"|"&amp;DC$5,'Competency Event Log'!$D$4:$D$803)))</f>
        <v/>
      </c>
      <c r="DD199" s="8" t="str">
        <f>IF($B199="","",IF(COUNTIF('Competency Event Log'!$U$4:$U$803,$B199&amp;"|"&amp;DD$5)=0,"",SUMIF('Competency Event Log'!$U$4:$U$803,$B199&amp;"|"&amp;DD$5,'Competency Event Log'!$D$4:$D$803)))</f>
        <v/>
      </c>
      <c r="DE199" s="8" t="str">
        <f>IF($B199="","",IF(COUNTIF('Competency Event Log'!$U$4:$U$803,$B199&amp;"|"&amp;DE$5)=0,"",SUMIF('Competency Event Log'!$U$4:$U$803,$B199&amp;"|"&amp;DE$5,'Competency Event Log'!$D$4:$D$803)))</f>
        <v/>
      </c>
      <c r="DF199" s="8" t="str">
        <f t="shared" si="24"/>
        <v/>
      </c>
      <c r="DG199" s="8" t="str">
        <f t="shared" si="25"/>
        <v/>
      </c>
      <c r="DH199" s="8" t="str">
        <f t="shared" si="26"/>
        <v/>
      </c>
      <c r="DI199" s="11" t="str">
        <f t="shared" si="27"/>
        <v/>
      </c>
    </row>
    <row r="200" spans="1:113">
      <c r="A200" s="7"/>
      <c r="B200" s="7"/>
      <c r="C200" s="8"/>
      <c r="D200" s="9"/>
      <c r="E200" s="10"/>
      <c r="F200" s="8"/>
      <c r="G200" s="8" t="str">
        <f>IF($B200="","",IF(COUNTIF('Competency Event Log'!$U$4:$U$803,$B200&amp;"|"&amp;G$5)=0,"",SUMIF('Competency Event Log'!$U$4:$U$803,$B200&amp;"|"&amp;G$5,'Competency Event Log'!$D$4:$D$803)))</f>
        <v/>
      </c>
      <c r="H200" s="8" t="str">
        <f>IF($B200="","",IF(COUNTIF('Competency Event Log'!$U$4:$U$803,$B200&amp;"|"&amp;H$5)=0,"",SUMIF('Competency Event Log'!$U$4:$U$803,$B200&amp;"|"&amp;H$5,'Competency Event Log'!$D$4:$D$803)))</f>
        <v/>
      </c>
      <c r="I200" s="8" t="str">
        <f>IF($B200="","",IF(COUNTIF('Competency Event Log'!$U$4:$U$803,$B200&amp;"|"&amp;I$5)=0,"",SUMIF('Competency Event Log'!$U$4:$U$803,$B200&amp;"|"&amp;I$5,'Competency Event Log'!$D$4:$D$803)))</f>
        <v/>
      </c>
      <c r="J200" s="8" t="str">
        <f>IF($B200="","",IF(COUNTIF('Competency Event Log'!$U$4:$U$803,$B200&amp;"|"&amp;J$5)=0,"",SUMIF('Competency Event Log'!$U$4:$U$803,$B200&amp;"|"&amp;J$5,'Competency Event Log'!$D$4:$D$803)))</f>
        <v/>
      </c>
      <c r="K200" s="8" t="str">
        <f>IF($B200="","",IF(COUNTIF('Competency Event Log'!$U$4:$U$803,$B200&amp;"|"&amp;K$5)=0,"",SUMIF('Competency Event Log'!$U$4:$U$803,$B200&amp;"|"&amp;K$5,'Competency Event Log'!$D$4:$D$803)))</f>
        <v/>
      </c>
      <c r="L200" s="8" t="str">
        <f>IF($B200="","",IF(COUNTIF('Competency Event Log'!$U$4:$U$803,$B200&amp;"|"&amp;L$5)=0,"",SUMIF('Competency Event Log'!$U$4:$U$803,$B200&amp;"|"&amp;L$5,'Competency Event Log'!$D$4:$D$803)))</f>
        <v/>
      </c>
      <c r="M200" s="8" t="str">
        <f>IF($B200="","",IF(COUNTIF('Competency Event Log'!$U$4:$U$803,$B200&amp;"|"&amp;M$5)=0,"",SUMIF('Competency Event Log'!$U$4:$U$803,$B200&amp;"|"&amp;M$5,'Competency Event Log'!$D$4:$D$803)))</f>
        <v/>
      </c>
      <c r="N200" s="8" t="str">
        <f>IF($B200="","",IF(COUNTIF('Competency Event Log'!$U$4:$U$803,$B200&amp;"|"&amp;N$5)=0,"",SUMIF('Competency Event Log'!$U$4:$U$803,$B200&amp;"|"&amp;N$5,'Competency Event Log'!$D$4:$D$803)))</f>
        <v/>
      </c>
      <c r="O200" s="8" t="str">
        <f>IF($B200="","",IF(COUNTIF('Competency Event Log'!$U$4:$U$803,$B200&amp;"|"&amp;O$5)=0,"",SUMIF('Competency Event Log'!$U$4:$U$803,$B200&amp;"|"&amp;O$5,'Competency Event Log'!$D$4:$D$803)))</f>
        <v/>
      </c>
      <c r="P200" s="8" t="str">
        <f>IF($B200="","",IF(COUNTIF('Competency Event Log'!$U$4:$U$803,$B200&amp;"|"&amp;P$5)=0,"",SUMIF('Competency Event Log'!$U$4:$U$803,$B200&amp;"|"&amp;P$5,'Competency Event Log'!$D$4:$D$803)))</f>
        <v/>
      </c>
      <c r="Q200" s="8" t="str">
        <f>IF($B200="","",IF(COUNTIF('Competency Event Log'!$U$4:$U$803,$B200&amp;"|"&amp;Q$5)=0,"",SUMIF('Competency Event Log'!$U$4:$U$803,$B200&amp;"|"&amp;Q$5,'Competency Event Log'!$D$4:$D$803)))</f>
        <v/>
      </c>
      <c r="R200" s="8" t="str">
        <f>IF($B200="","",IF(COUNTIF('Competency Event Log'!$U$4:$U$803,$B200&amp;"|"&amp;R$5)=0,"",SUMIF('Competency Event Log'!$U$4:$U$803,$B200&amp;"|"&amp;R$5,'Competency Event Log'!$D$4:$D$803)))</f>
        <v/>
      </c>
      <c r="S200" s="8" t="str">
        <f>IF($B200="","",IF(COUNTIF('Competency Event Log'!$U$4:$U$803,$B200&amp;"|"&amp;S$5)=0,"",SUMIF('Competency Event Log'!$U$4:$U$803,$B200&amp;"|"&amp;S$5,'Competency Event Log'!$D$4:$D$803)))</f>
        <v/>
      </c>
      <c r="T200" s="8" t="str">
        <f>IF($B200="","",IF(COUNTIF('Competency Event Log'!$U$4:$U$803,$B200&amp;"|"&amp;T$5)=0,"",SUMIF('Competency Event Log'!$U$4:$U$803,$B200&amp;"|"&amp;T$5,'Competency Event Log'!$D$4:$D$803)))</f>
        <v/>
      </c>
      <c r="U200" s="8" t="str">
        <f>IF($B200="","",IF(COUNTIF('Competency Event Log'!$U$4:$U$803,$B200&amp;"|"&amp;U$5)=0,"",SUMIF('Competency Event Log'!$U$4:$U$803,$B200&amp;"|"&amp;U$5,'Competency Event Log'!$D$4:$D$803)))</f>
        <v/>
      </c>
      <c r="V200" s="8" t="str">
        <f>IF($B200="","",IF(COUNTIF('Competency Event Log'!$U$4:$U$803,$B200&amp;"|"&amp;V$5)=0,"",SUMIF('Competency Event Log'!$U$4:$U$803,$B200&amp;"|"&amp;V$5,'Competency Event Log'!$D$4:$D$803)))</f>
        <v/>
      </c>
      <c r="W200" s="8" t="str">
        <f>IF($B200="","",IF(COUNTIF('Competency Event Log'!$U$4:$U$803,$B200&amp;"|"&amp;W$5)=0,"",SUMIF('Competency Event Log'!$U$4:$U$803,$B200&amp;"|"&amp;W$5,'Competency Event Log'!$D$4:$D$803)))</f>
        <v/>
      </c>
      <c r="X200" s="8" t="str">
        <f>IF($B200="","",IF(COUNTIF('Competency Event Log'!$U$4:$U$803,$B200&amp;"|"&amp;X$5)=0,"",SUMIF('Competency Event Log'!$U$4:$U$803,$B200&amp;"|"&amp;X$5,'Competency Event Log'!$D$4:$D$803)))</f>
        <v/>
      </c>
      <c r="Y200" s="8" t="str">
        <f>IF($B200="","",IF(COUNTIF('Competency Event Log'!$U$4:$U$803,$B200&amp;"|"&amp;Y$5)=0,"",SUMIF('Competency Event Log'!$U$4:$U$803,$B200&amp;"|"&amp;Y$5,'Competency Event Log'!$D$4:$D$803)))</f>
        <v/>
      </c>
      <c r="Z200" s="8" t="str">
        <f>IF($B200="","",IF(COUNTIF('Competency Event Log'!$U$4:$U$803,$B200&amp;"|"&amp;Z$5)=0,"",SUMIF('Competency Event Log'!$U$4:$U$803,$B200&amp;"|"&amp;Z$5,'Competency Event Log'!$D$4:$D$803)))</f>
        <v/>
      </c>
      <c r="AA200" s="8" t="str">
        <f>IF($B200="","",IF(COUNTIF('Competency Event Log'!$U$4:$U$803,$B200&amp;"|"&amp;AA$5)=0,"",SUMIF('Competency Event Log'!$U$4:$U$803,$B200&amp;"|"&amp;AA$5,'Competency Event Log'!$D$4:$D$803)))</f>
        <v/>
      </c>
      <c r="AB200" s="8" t="str">
        <f>IF($B200="","",IF(COUNTIF('Competency Event Log'!$U$4:$U$803,$B200&amp;"|"&amp;AB$5)=0,"",SUMIF('Competency Event Log'!$U$4:$U$803,$B200&amp;"|"&amp;AB$5,'Competency Event Log'!$D$4:$D$803)))</f>
        <v/>
      </c>
      <c r="AC200" s="8" t="str">
        <f>IF($B200="","",IF(COUNTIF('Competency Event Log'!$U$4:$U$803,$B200&amp;"|"&amp;AC$5)=0,"",SUMIF('Competency Event Log'!$U$4:$U$803,$B200&amp;"|"&amp;AC$5,'Competency Event Log'!$D$4:$D$803)))</f>
        <v/>
      </c>
      <c r="AD200" s="8" t="str">
        <f>IF($B200="","",IF(COUNTIF('Competency Event Log'!$U$4:$U$803,$B200&amp;"|"&amp;AD$5)=0,"",SUMIF('Competency Event Log'!$U$4:$U$803,$B200&amp;"|"&amp;AD$5,'Competency Event Log'!$D$4:$D$803)))</f>
        <v/>
      </c>
      <c r="AE200" s="8" t="str">
        <f>IF($B200="","",IF(COUNTIF('Competency Event Log'!$U$4:$U$803,$B200&amp;"|"&amp;AE$5)=0,"",SUMIF('Competency Event Log'!$U$4:$U$803,$B200&amp;"|"&amp;AE$5,'Competency Event Log'!$D$4:$D$803)))</f>
        <v/>
      </c>
      <c r="AF200" s="8" t="str">
        <f>IF($B200="","",IF(COUNTIF('Competency Event Log'!$U$4:$U$803,$B200&amp;"|"&amp;AF$5)=0,"",SUMIF('Competency Event Log'!$U$4:$U$803,$B200&amp;"|"&amp;AF$5,'Competency Event Log'!$D$4:$D$803)))</f>
        <v/>
      </c>
      <c r="AG200" s="8" t="str">
        <f>IF($B200="","",IF(COUNTIF('Competency Event Log'!$U$4:$U$803,$B200&amp;"|"&amp;AG$5)=0,"",SUMIF('Competency Event Log'!$U$4:$U$803,$B200&amp;"|"&amp;AG$5,'Competency Event Log'!$D$4:$D$803)))</f>
        <v/>
      </c>
      <c r="AH200" s="8" t="str">
        <f>IF($B200="","",IF(COUNTIF('Competency Event Log'!$U$4:$U$803,$B200&amp;"|"&amp;AH$5)=0,"",SUMIF('Competency Event Log'!$U$4:$U$803,$B200&amp;"|"&amp;AH$5,'Competency Event Log'!$D$4:$D$803)))</f>
        <v/>
      </c>
      <c r="AI200" s="8" t="str">
        <f>IF($B200="","",IF(COUNTIF('Competency Event Log'!$U$4:$U$803,$B200&amp;"|"&amp;AI$5)=0,"",SUMIF('Competency Event Log'!$U$4:$U$803,$B200&amp;"|"&amp;AI$5,'Competency Event Log'!$D$4:$D$803)))</f>
        <v/>
      </c>
      <c r="AJ200" s="8" t="str">
        <f>IF($B200="","",IF(COUNTIF('Competency Event Log'!$U$4:$U$803,$B200&amp;"|"&amp;AJ$5)=0,"",SUMIF('Competency Event Log'!$U$4:$U$803,$B200&amp;"|"&amp;AJ$5,'Competency Event Log'!$D$4:$D$803)))</f>
        <v/>
      </c>
      <c r="AK200" s="8" t="str">
        <f>IF($B200="","",IF(COUNTIF('Competency Event Log'!$U$4:$U$803,$B200&amp;"|"&amp;AK$5)=0,"",SUMIF('Competency Event Log'!$U$4:$U$803,$B200&amp;"|"&amp;AK$5,'Competency Event Log'!$D$4:$D$803)))</f>
        <v/>
      </c>
      <c r="AL200" s="8" t="str">
        <f>IF($B200="","",IF(COUNTIF('Competency Event Log'!$U$4:$U$803,$B200&amp;"|"&amp;AL$5)=0,"",SUMIF('Competency Event Log'!$U$4:$U$803,$B200&amp;"|"&amp;AL$5,'Competency Event Log'!$D$4:$D$803)))</f>
        <v/>
      </c>
      <c r="AM200" s="8" t="str">
        <f>IF($B200="","",IF(COUNTIF('Competency Event Log'!$U$4:$U$803,$B200&amp;"|"&amp;AM$5)=0,"",SUMIF('Competency Event Log'!$U$4:$U$803,$B200&amp;"|"&amp;AM$5,'Competency Event Log'!$D$4:$D$803)))</f>
        <v/>
      </c>
      <c r="AN200" s="8" t="str">
        <f>IF($B200="","",IF(COUNTIF('Competency Event Log'!$U$4:$U$803,$B200&amp;"|"&amp;AN$5)=0,"",SUMIF('Competency Event Log'!$U$4:$U$803,$B200&amp;"|"&amp;AN$5,'Competency Event Log'!$D$4:$D$803)))</f>
        <v/>
      </c>
      <c r="AO200" s="8" t="str">
        <f>IF($B200="","",IF(COUNTIF('Competency Event Log'!$U$4:$U$803,$B200&amp;"|"&amp;AO$5)=0,"",SUMIF('Competency Event Log'!$U$4:$U$803,$B200&amp;"|"&amp;AO$5,'Competency Event Log'!$D$4:$D$803)))</f>
        <v/>
      </c>
      <c r="AP200" s="8" t="str">
        <f>IF($B200="","",IF(COUNTIF('Competency Event Log'!$U$4:$U$803,$B200&amp;"|"&amp;AP$5)=0,"",SUMIF('Competency Event Log'!$U$4:$U$803,$B200&amp;"|"&amp;AP$5,'Competency Event Log'!$D$4:$D$803)))</f>
        <v/>
      </c>
      <c r="AQ200" s="8" t="str">
        <f>IF($B200="","",IF(COUNTIF('Competency Event Log'!$U$4:$U$803,$B200&amp;"|"&amp;AQ$5)=0,"",SUMIF('Competency Event Log'!$U$4:$U$803,$B200&amp;"|"&amp;AQ$5,'Competency Event Log'!$D$4:$D$803)))</f>
        <v/>
      </c>
      <c r="AR200" s="8" t="str">
        <f>IF($B200="","",IF(COUNTIF('Competency Event Log'!$U$4:$U$803,$B200&amp;"|"&amp;AR$5)=0,"",SUMIF('Competency Event Log'!$U$4:$U$803,$B200&amp;"|"&amp;AR$5,'Competency Event Log'!$D$4:$D$803)))</f>
        <v/>
      </c>
      <c r="AS200" s="8" t="str">
        <f>IF($B200="","",IF(COUNTIF('Competency Event Log'!$U$4:$U$803,$B200&amp;"|"&amp;AS$5)=0,"",SUMIF('Competency Event Log'!$U$4:$U$803,$B200&amp;"|"&amp;AS$5,'Competency Event Log'!$D$4:$D$803)))</f>
        <v/>
      </c>
      <c r="AT200" s="8" t="str">
        <f>IF($B200="","",IF(COUNTIF('Competency Event Log'!$U$4:$U$803,$B200&amp;"|"&amp;AT$5)=0,"",SUMIF('Competency Event Log'!$U$4:$U$803,$B200&amp;"|"&amp;AT$5,'Competency Event Log'!$D$4:$D$803)))</f>
        <v/>
      </c>
      <c r="AU200" s="8" t="str">
        <f>IF($B200="","",IF(COUNTIF('Competency Event Log'!$U$4:$U$803,$B200&amp;"|"&amp;AU$5)=0,"",SUMIF('Competency Event Log'!$U$4:$U$803,$B200&amp;"|"&amp;AU$5,'Competency Event Log'!$D$4:$D$803)))</f>
        <v/>
      </c>
      <c r="AV200" s="8" t="str">
        <f>IF($B200="","",IF(COUNTIF('Competency Event Log'!$U$4:$U$803,$B200&amp;"|"&amp;AV$5)=0,"",SUMIF('Competency Event Log'!$U$4:$U$803,$B200&amp;"|"&amp;AV$5,'Competency Event Log'!$D$4:$D$803)))</f>
        <v/>
      </c>
      <c r="AW200" s="8" t="str">
        <f>IF($B200="","",IF(COUNTIF('Competency Event Log'!$U$4:$U$803,$B200&amp;"|"&amp;AW$5)=0,"",SUMIF('Competency Event Log'!$U$4:$U$803,$B200&amp;"|"&amp;AW$5,'Competency Event Log'!$D$4:$D$803)))</f>
        <v/>
      </c>
      <c r="AX200" s="8" t="str">
        <f>IF($B200="","",IF(COUNTIF('Competency Event Log'!$U$4:$U$803,$B200&amp;"|"&amp;AX$5)=0,"",SUMIF('Competency Event Log'!$U$4:$U$803,$B200&amp;"|"&amp;AX$5,'Competency Event Log'!$D$4:$D$803)))</f>
        <v/>
      </c>
      <c r="AY200" s="8" t="str">
        <f>IF($B200="","",IF(COUNTIF('Competency Event Log'!$U$4:$U$803,$B200&amp;"|"&amp;AY$5)=0,"",SUMIF('Competency Event Log'!$U$4:$U$803,$B200&amp;"|"&amp;AY$5,'Competency Event Log'!$D$4:$D$803)))</f>
        <v/>
      </c>
      <c r="AZ200" s="8" t="str">
        <f>IF($B200="","",IF(COUNTIF('Competency Event Log'!$U$4:$U$803,$B200&amp;"|"&amp;AZ$5)=0,"",SUMIF('Competency Event Log'!$U$4:$U$803,$B200&amp;"|"&amp;AZ$5,'Competency Event Log'!$D$4:$D$803)))</f>
        <v/>
      </c>
      <c r="BA200" s="8" t="str">
        <f>IF($B200="","",IF(COUNTIF('Competency Event Log'!$U$4:$U$803,$B200&amp;"|"&amp;BA$5)=0,"",SUMIF('Competency Event Log'!$U$4:$U$803,$B200&amp;"|"&amp;BA$5,'Competency Event Log'!$D$4:$D$803)))</f>
        <v/>
      </c>
      <c r="BB200" s="8" t="str">
        <f>IF($B200="","",IF(COUNTIF('Competency Event Log'!$U$4:$U$803,$B200&amp;"|"&amp;BB$5)=0,"",SUMIF('Competency Event Log'!$U$4:$U$803,$B200&amp;"|"&amp;BB$5,'Competency Event Log'!$D$4:$D$803)))</f>
        <v/>
      </c>
      <c r="BC200" s="8" t="str">
        <f>IF($B200="","",IF(COUNTIF('Competency Event Log'!$U$4:$U$803,$B200&amp;"|"&amp;BC$5)=0,"",SUMIF('Competency Event Log'!$U$4:$U$803,$B200&amp;"|"&amp;BC$5,'Competency Event Log'!$D$4:$D$803)))</f>
        <v/>
      </c>
      <c r="BD200" s="8" t="str">
        <f>IF($B200="","",IF(COUNTIF('Competency Event Log'!$U$4:$U$803,$B200&amp;"|"&amp;BD$5)=0,"",SUMIF('Competency Event Log'!$U$4:$U$803,$B200&amp;"|"&amp;BD$5,'Competency Event Log'!$D$4:$D$803)))</f>
        <v/>
      </c>
      <c r="BE200" s="8" t="str">
        <f>IF($B200="","",IF(COUNTIF('Competency Event Log'!$U$4:$U$803,$B200&amp;"|"&amp;BE$5)=0,"",SUMIF('Competency Event Log'!$U$4:$U$803,$B200&amp;"|"&amp;BE$5,'Competency Event Log'!$D$4:$D$803)))</f>
        <v/>
      </c>
      <c r="BF200" s="8" t="str">
        <f>IF($B200="","",IF(COUNTIF('Competency Event Log'!$U$4:$U$803,$B200&amp;"|"&amp;BF$5)=0,"",SUMIF('Competency Event Log'!$U$4:$U$803,$B200&amp;"|"&amp;BF$5,'Competency Event Log'!$D$4:$D$803)))</f>
        <v/>
      </c>
      <c r="BG200" s="8" t="str">
        <f>IF($B200="","",IF(COUNTIF('Competency Event Log'!$U$4:$U$803,$B200&amp;"|"&amp;BG$5)=0,"",SUMIF('Competency Event Log'!$U$4:$U$803,$B200&amp;"|"&amp;BG$5,'Competency Event Log'!$D$4:$D$803)))</f>
        <v/>
      </c>
      <c r="BH200" s="8" t="str">
        <f>IF($B200="","",IF(COUNTIF('Competency Event Log'!$U$4:$U$803,$B200&amp;"|"&amp;BH$5)=0,"",SUMIF('Competency Event Log'!$U$4:$U$803,$B200&amp;"|"&amp;BH$5,'Competency Event Log'!$D$4:$D$803)))</f>
        <v/>
      </c>
      <c r="BI200" s="8" t="str">
        <f>IF($B200="","",IF(COUNTIF('Competency Event Log'!$U$4:$U$803,$B200&amp;"|"&amp;BI$5)=0,"",SUMIF('Competency Event Log'!$U$4:$U$803,$B200&amp;"|"&amp;BI$5,'Competency Event Log'!$D$4:$D$803)))</f>
        <v/>
      </c>
      <c r="BJ200" s="8" t="str">
        <f>IF($B200="","",IF(COUNTIF('Competency Event Log'!$U$4:$U$803,$B200&amp;"|"&amp;BJ$5)=0,"",SUMIF('Competency Event Log'!$U$4:$U$803,$B200&amp;"|"&amp;BJ$5,'Competency Event Log'!$D$4:$D$803)))</f>
        <v/>
      </c>
      <c r="BK200" s="8" t="str">
        <f>IF($B200="","",IF(COUNTIF('Competency Event Log'!$U$4:$U$803,$B200&amp;"|"&amp;BK$5)=0,"",SUMIF('Competency Event Log'!$U$4:$U$803,$B200&amp;"|"&amp;BK$5,'Competency Event Log'!$D$4:$D$803)))</f>
        <v/>
      </c>
      <c r="BL200" s="8" t="str">
        <f>IF($B200="","",IF(COUNTIF('Competency Event Log'!$U$4:$U$803,$B200&amp;"|"&amp;BL$5)=0,"",SUMIF('Competency Event Log'!$U$4:$U$803,$B200&amp;"|"&amp;BL$5,'Competency Event Log'!$D$4:$D$803)))</f>
        <v/>
      </c>
      <c r="BM200" s="8" t="str">
        <f>IF($B200="","",IF(COUNTIF('Competency Event Log'!$U$4:$U$803,$B200&amp;"|"&amp;BM$5)=0,"",SUMIF('Competency Event Log'!$U$4:$U$803,$B200&amp;"|"&amp;BM$5,'Competency Event Log'!$D$4:$D$803)))</f>
        <v/>
      </c>
      <c r="BN200" s="8" t="str">
        <f>IF($B200="","",IF(COUNTIF('Competency Event Log'!$U$4:$U$803,$B200&amp;"|"&amp;BN$5)=0,"",SUMIF('Competency Event Log'!$U$4:$U$803,$B200&amp;"|"&amp;BN$5,'Competency Event Log'!$D$4:$D$803)))</f>
        <v/>
      </c>
      <c r="BO200" s="8" t="str">
        <f>IF($B200="","",IF(COUNTIF('Competency Event Log'!$U$4:$U$803,$B200&amp;"|"&amp;BO$5)=0,"",SUMIF('Competency Event Log'!$U$4:$U$803,$B200&amp;"|"&amp;BO$5,'Competency Event Log'!$D$4:$D$803)))</f>
        <v/>
      </c>
      <c r="BP200" s="8" t="str">
        <f>IF($B200="","",IF(COUNTIF('Competency Event Log'!$U$4:$U$803,$B200&amp;"|"&amp;BP$5)=0,"",SUMIF('Competency Event Log'!$U$4:$U$803,$B200&amp;"|"&amp;BP$5,'Competency Event Log'!$D$4:$D$803)))</f>
        <v/>
      </c>
      <c r="BQ200" s="8" t="str">
        <f>IF($B200="","",IF(COUNTIF('Competency Event Log'!$U$4:$U$803,$B200&amp;"|"&amp;BQ$5)=0,"",SUMIF('Competency Event Log'!$U$4:$U$803,$B200&amp;"|"&amp;BQ$5,'Competency Event Log'!$D$4:$D$803)))</f>
        <v/>
      </c>
      <c r="BR200" s="8" t="str">
        <f>IF($B200="","",IF(COUNTIF('Competency Event Log'!$U$4:$U$803,$B200&amp;"|"&amp;BR$5)=0,"",SUMIF('Competency Event Log'!$U$4:$U$803,$B200&amp;"|"&amp;BR$5,'Competency Event Log'!$D$4:$D$803)))</f>
        <v/>
      </c>
      <c r="BS200" s="8" t="str">
        <f>IF($B200="","",IF(COUNTIF('Competency Event Log'!$U$4:$U$803,$B200&amp;"|"&amp;BS$5)=0,"",SUMIF('Competency Event Log'!$U$4:$U$803,$B200&amp;"|"&amp;BS$5,'Competency Event Log'!$D$4:$D$803)))</f>
        <v/>
      </c>
      <c r="BT200" s="8" t="str">
        <f>IF($B200="","",IF(COUNTIF('Competency Event Log'!$U$4:$U$803,$B200&amp;"|"&amp;BT$5)=0,"",SUMIF('Competency Event Log'!$U$4:$U$803,$B200&amp;"|"&amp;BT$5,'Competency Event Log'!$D$4:$D$803)))</f>
        <v/>
      </c>
      <c r="BU200" s="8" t="str">
        <f>IF($B200="","",IF(COUNTIF('Competency Event Log'!$U$4:$U$803,$B200&amp;"|"&amp;BU$5)=0,"",SUMIF('Competency Event Log'!$U$4:$U$803,$B200&amp;"|"&amp;BU$5,'Competency Event Log'!$D$4:$D$803)))</f>
        <v/>
      </c>
      <c r="BV200" s="8" t="str">
        <f>IF($B200="","",IF(COUNTIF('Competency Event Log'!$U$4:$U$803,$B200&amp;"|"&amp;BV$5)=0,"",SUMIF('Competency Event Log'!$U$4:$U$803,$B200&amp;"|"&amp;BV$5,'Competency Event Log'!$D$4:$D$803)))</f>
        <v/>
      </c>
      <c r="BW200" s="8" t="str">
        <f>IF($B200="","",IF(COUNTIF('Competency Event Log'!$U$4:$U$803,$B200&amp;"|"&amp;BW$5)=0,"",SUMIF('Competency Event Log'!$U$4:$U$803,$B200&amp;"|"&amp;BW$5,'Competency Event Log'!$D$4:$D$803)))</f>
        <v/>
      </c>
      <c r="BX200" s="8" t="str">
        <f>IF($B200="","",IF(COUNTIF('Competency Event Log'!$U$4:$U$803,$B200&amp;"|"&amp;BX$5)=0,"",SUMIF('Competency Event Log'!$U$4:$U$803,$B200&amp;"|"&amp;BX$5,'Competency Event Log'!$D$4:$D$803)))</f>
        <v/>
      </c>
      <c r="BY200" s="8" t="str">
        <f>IF($B200="","",IF(COUNTIF('Competency Event Log'!$U$4:$U$803,$B200&amp;"|"&amp;BY$5)=0,"",SUMIF('Competency Event Log'!$U$4:$U$803,$B200&amp;"|"&amp;BY$5,'Competency Event Log'!$D$4:$D$803)))</f>
        <v/>
      </c>
      <c r="BZ200" s="8" t="str">
        <f>IF($B200="","",IF(COUNTIF('Competency Event Log'!$U$4:$U$803,$B200&amp;"|"&amp;BZ$5)=0,"",SUMIF('Competency Event Log'!$U$4:$U$803,$B200&amp;"|"&amp;BZ$5,'Competency Event Log'!$D$4:$D$803)))</f>
        <v/>
      </c>
      <c r="CA200" s="8" t="str">
        <f>IF($B200="","",IF(COUNTIF('Competency Event Log'!$U$4:$U$803,$B200&amp;"|"&amp;CA$5)=0,"",SUMIF('Competency Event Log'!$U$4:$U$803,$B200&amp;"|"&amp;CA$5,'Competency Event Log'!$D$4:$D$803)))</f>
        <v/>
      </c>
      <c r="CB200" s="8" t="str">
        <f>IF($B200="","",IF(COUNTIF('Competency Event Log'!$U$4:$U$803,$B200&amp;"|"&amp;CB$5)=0,"",SUMIF('Competency Event Log'!$U$4:$U$803,$B200&amp;"|"&amp;CB$5,'Competency Event Log'!$D$4:$D$803)))</f>
        <v/>
      </c>
      <c r="CC200" s="8" t="str">
        <f>IF($B200="","",IF(COUNTIF('Competency Event Log'!$U$4:$U$803,$B200&amp;"|"&amp;CC$5)=0,"",SUMIF('Competency Event Log'!$U$4:$U$803,$B200&amp;"|"&amp;CC$5,'Competency Event Log'!$D$4:$D$803)))</f>
        <v/>
      </c>
      <c r="CD200" s="8" t="str">
        <f>IF($B200="","",IF(COUNTIF('Competency Event Log'!$U$4:$U$803,$B200&amp;"|"&amp;CD$5)=0,"",SUMIF('Competency Event Log'!$U$4:$U$803,$B200&amp;"|"&amp;CD$5,'Competency Event Log'!$D$4:$D$803)))</f>
        <v/>
      </c>
      <c r="CE200" s="8" t="str">
        <f>IF($B200="","",IF(COUNTIF('Competency Event Log'!$U$4:$U$803,$B200&amp;"|"&amp;CE$5)=0,"",SUMIF('Competency Event Log'!$U$4:$U$803,$B200&amp;"|"&amp;CE$5,'Competency Event Log'!$D$4:$D$803)))</f>
        <v/>
      </c>
      <c r="CF200" s="8" t="str">
        <f>IF($B200="","",IF(COUNTIF('Competency Event Log'!$U$4:$U$803,$B200&amp;"|"&amp;CF$5)=0,"",SUMIF('Competency Event Log'!$U$4:$U$803,$B200&amp;"|"&amp;CF$5,'Competency Event Log'!$D$4:$D$803)))</f>
        <v/>
      </c>
      <c r="CG200" s="8" t="str">
        <f>IF($B200="","",IF(COUNTIF('Competency Event Log'!$U$4:$U$803,$B200&amp;"|"&amp;CG$5)=0,"",SUMIF('Competency Event Log'!$U$4:$U$803,$B200&amp;"|"&amp;CG$5,'Competency Event Log'!$D$4:$D$803)))</f>
        <v/>
      </c>
      <c r="CH200" s="8" t="str">
        <f>IF($B200="","",IF(COUNTIF('Competency Event Log'!$U$4:$U$803,$B200&amp;"|"&amp;CH$5)=0,"",SUMIF('Competency Event Log'!$U$4:$U$803,$B200&amp;"|"&amp;CH$5,'Competency Event Log'!$D$4:$D$803)))</f>
        <v/>
      </c>
      <c r="CI200" s="8" t="str">
        <f>IF($B200="","",IF(COUNTIF('Competency Event Log'!$U$4:$U$803,$B200&amp;"|"&amp;CI$5)=0,"",SUMIF('Competency Event Log'!$U$4:$U$803,$B200&amp;"|"&amp;CI$5,'Competency Event Log'!$D$4:$D$803)))</f>
        <v/>
      </c>
      <c r="CJ200" s="8" t="str">
        <f>IF($B200="","",IF(COUNTIF('Competency Event Log'!$U$4:$U$803,$B200&amp;"|"&amp;CJ$5)=0,"",SUMIF('Competency Event Log'!$U$4:$U$803,$B200&amp;"|"&amp;CJ$5,'Competency Event Log'!$D$4:$D$803)))</f>
        <v/>
      </c>
      <c r="CK200" s="8" t="str">
        <f>IF($B200="","",IF(COUNTIF('Competency Event Log'!$U$4:$U$803,$B200&amp;"|"&amp;CK$5)=0,"",SUMIF('Competency Event Log'!$U$4:$U$803,$B200&amp;"|"&amp;CK$5,'Competency Event Log'!$D$4:$D$803)))</f>
        <v/>
      </c>
      <c r="CL200" s="8" t="str">
        <f>IF($B200="","",IF(COUNTIF('Competency Event Log'!$U$4:$U$803,$B200&amp;"|"&amp;CL$5)=0,"",SUMIF('Competency Event Log'!$U$4:$U$803,$B200&amp;"|"&amp;CL$5,'Competency Event Log'!$D$4:$D$803)))</f>
        <v/>
      </c>
      <c r="CM200" s="8" t="str">
        <f>IF($B200="","",IF(COUNTIF('Competency Event Log'!$U$4:$U$803,$B200&amp;"|"&amp;CM$5)=0,"",SUMIF('Competency Event Log'!$U$4:$U$803,$B200&amp;"|"&amp;CM$5,'Competency Event Log'!$D$4:$D$803)))</f>
        <v/>
      </c>
      <c r="CN200" s="8" t="str">
        <f>IF($B200="","",IF(COUNTIF('Competency Event Log'!$U$4:$U$803,$B200&amp;"|"&amp;CN$5)=0,"",SUMIF('Competency Event Log'!$U$4:$U$803,$B200&amp;"|"&amp;CN$5,'Competency Event Log'!$D$4:$D$803)))</f>
        <v/>
      </c>
      <c r="CO200" s="8" t="str">
        <f>IF($B200="","",IF(COUNTIF('Competency Event Log'!$U$4:$U$803,$B200&amp;"|"&amp;CO$5)=0,"",SUMIF('Competency Event Log'!$U$4:$U$803,$B200&amp;"|"&amp;CO$5,'Competency Event Log'!$D$4:$D$803)))</f>
        <v/>
      </c>
      <c r="CP200" s="8" t="str">
        <f>IF($B200="","",IF(COUNTIF('Competency Event Log'!$U$4:$U$803,$B200&amp;"|"&amp;CP$5)=0,"",SUMIF('Competency Event Log'!$U$4:$U$803,$B200&amp;"|"&amp;CP$5,'Competency Event Log'!$D$4:$D$803)))</f>
        <v/>
      </c>
      <c r="CQ200" s="8" t="str">
        <f>IF($B200="","",IF(COUNTIF('Competency Event Log'!$U$4:$U$803,$B200&amp;"|"&amp;CQ$5)=0,"",SUMIF('Competency Event Log'!$U$4:$U$803,$B200&amp;"|"&amp;CQ$5,'Competency Event Log'!$D$4:$D$803)))</f>
        <v/>
      </c>
      <c r="CR200" s="8" t="str">
        <f>IF($B200="","",IF(COUNTIF('Competency Event Log'!$U$4:$U$803,$B200&amp;"|"&amp;CR$5)=0,"",SUMIF('Competency Event Log'!$U$4:$U$803,$B200&amp;"|"&amp;CR$5,'Competency Event Log'!$D$4:$D$803)))</f>
        <v/>
      </c>
      <c r="CS200" s="8" t="str">
        <f>IF($B200="","",IF(COUNTIF('Competency Event Log'!$U$4:$U$803,$B200&amp;"|"&amp;CS$5)=0,"",SUMIF('Competency Event Log'!$U$4:$U$803,$B200&amp;"|"&amp;CS$5,'Competency Event Log'!$D$4:$D$803)))</f>
        <v/>
      </c>
      <c r="CT200" s="8" t="str">
        <f>IF($B200="","",IF(COUNTIF('Competency Event Log'!$U$4:$U$803,$B200&amp;"|"&amp;CT$5)=0,"",SUMIF('Competency Event Log'!$U$4:$U$803,$B200&amp;"|"&amp;CT$5,'Competency Event Log'!$D$4:$D$803)))</f>
        <v/>
      </c>
      <c r="CU200" s="8" t="str">
        <f>IF($B200="","",IF(COUNTIF('Competency Event Log'!$U$4:$U$803,$B200&amp;"|"&amp;CU$5)=0,"",SUMIF('Competency Event Log'!$U$4:$U$803,$B200&amp;"|"&amp;CU$5,'Competency Event Log'!$D$4:$D$803)))</f>
        <v/>
      </c>
      <c r="CV200" s="8" t="str">
        <f>IF($B200="","",IF(COUNTIF('Competency Event Log'!$U$4:$U$803,$B200&amp;"|"&amp;CV$5)=0,"",SUMIF('Competency Event Log'!$U$4:$U$803,$B200&amp;"|"&amp;CV$5,'Competency Event Log'!$D$4:$D$803)))</f>
        <v/>
      </c>
      <c r="CW200" s="8" t="str">
        <f>IF($B200="","",IF(COUNTIF('Competency Event Log'!$U$4:$U$803,$B200&amp;"|"&amp;CW$5)=0,"",SUMIF('Competency Event Log'!$U$4:$U$803,$B200&amp;"|"&amp;CW$5,'Competency Event Log'!$D$4:$D$803)))</f>
        <v/>
      </c>
      <c r="CX200" s="8" t="str">
        <f>IF($B200="","",IF(COUNTIF('Competency Event Log'!$U$4:$U$803,$B200&amp;"|"&amp;CX$5)=0,"",SUMIF('Competency Event Log'!$U$4:$U$803,$B200&amp;"|"&amp;CX$5,'Competency Event Log'!$D$4:$D$803)))</f>
        <v/>
      </c>
      <c r="CY200" s="8" t="str">
        <f>IF($B200="","",IF(COUNTIF('Competency Event Log'!$U$4:$U$803,$B200&amp;"|"&amp;CY$5)=0,"",SUMIF('Competency Event Log'!$U$4:$U$803,$B200&amp;"|"&amp;CY$5,'Competency Event Log'!$D$4:$D$803)))</f>
        <v/>
      </c>
      <c r="CZ200" s="8" t="str">
        <f>IF($B200="","",IF(COUNTIF('Competency Event Log'!$U$4:$U$803,$B200&amp;"|"&amp;CZ$5)=0,"",SUMIF('Competency Event Log'!$U$4:$U$803,$B200&amp;"|"&amp;CZ$5,'Competency Event Log'!$D$4:$D$803)))</f>
        <v/>
      </c>
      <c r="DA200" s="8" t="str">
        <f>IF($B200="","",IF(COUNTIF('Competency Event Log'!$U$4:$U$803,$B200&amp;"|"&amp;DA$5)=0,"",SUMIF('Competency Event Log'!$U$4:$U$803,$B200&amp;"|"&amp;DA$5,'Competency Event Log'!$D$4:$D$803)))</f>
        <v/>
      </c>
      <c r="DB200" s="8" t="str">
        <f>IF($B200="","",IF(COUNTIF('Competency Event Log'!$U$4:$U$803,$B200&amp;"|"&amp;DB$5)=0,"",SUMIF('Competency Event Log'!$U$4:$U$803,$B200&amp;"|"&amp;DB$5,'Competency Event Log'!$D$4:$D$803)))</f>
        <v/>
      </c>
      <c r="DC200" s="8" t="str">
        <f>IF($B200="","",IF(COUNTIF('Competency Event Log'!$U$4:$U$803,$B200&amp;"|"&amp;DC$5)=0,"",SUMIF('Competency Event Log'!$U$4:$U$803,$B200&amp;"|"&amp;DC$5,'Competency Event Log'!$D$4:$D$803)))</f>
        <v/>
      </c>
      <c r="DD200" s="8" t="str">
        <f>IF($B200="","",IF(COUNTIF('Competency Event Log'!$U$4:$U$803,$B200&amp;"|"&amp;DD$5)=0,"",SUMIF('Competency Event Log'!$U$4:$U$803,$B200&amp;"|"&amp;DD$5,'Competency Event Log'!$D$4:$D$803)))</f>
        <v/>
      </c>
      <c r="DE200" s="8" t="str">
        <f>IF($B200="","",IF(COUNTIF('Competency Event Log'!$U$4:$U$803,$B200&amp;"|"&amp;DE$5)=0,"",SUMIF('Competency Event Log'!$U$4:$U$803,$B200&amp;"|"&amp;DE$5,'Competency Event Log'!$D$4:$D$803)))</f>
        <v/>
      </c>
      <c r="DF200" s="8" t="str">
        <f t="shared" si="24"/>
        <v/>
      </c>
      <c r="DG200" s="8" t="str">
        <f t="shared" si="25"/>
        <v/>
      </c>
      <c r="DH200" s="8" t="str">
        <f t="shared" si="26"/>
        <v/>
      </c>
      <c r="DI200" s="11" t="str">
        <f t="shared" si="27"/>
        <v/>
      </c>
    </row>
    <row r="201" spans="1:113">
      <c r="A201" s="7"/>
      <c r="B201" s="7"/>
      <c r="C201" s="8"/>
      <c r="D201" s="9"/>
      <c r="E201" s="10"/>
      <c r="F201" s="8"/>
      <c r="G201" s="8" t="str">
        <f>IF($B201="","",IF(COUNTIF('Competency Event Log'!$U$4:$U$803,$B201&amp;"|"&amp;G$5)=0,"",SUMIF('Competency Event Log'!$U$4:$U$803,$B201&amp;"|"&amp;G$5,'Competency Event Log'!$D$4:$D$803)))</f>
        <v/>
      </c>
      <c r="H201" s="8" t="str">
        <f>IF($B201="","",IF(COUNTIF('Competency Event Log'!$U$4:$U$803,$B201&amp;"|"&amp;H$5)=0,"",SUMIF('Competency Event Log'!$U$4:$U$803,$B201&amp;"|"&amp;H$5,'Competency Event Log'!$D$4:$D$803)))</f>
        <v/>
      </c>
      <c r="I201" s="8" t="str">
        <f>IF($B201="","",IF(COUNTIF('Competency Event Log'!$U$4:$U$803,$B201&amp;"|"&amp;I$5)=0,"",SUMIF('Competency Event Log'!$U$4:$U$803,$B201&amp;"|"&amp;I$5,'Competency Event Log'!$D$4:$D$803)))</f>
        <v/>
      </c>
      <c r="J201" s="8" t="str">
        <f>IF($B201="","",IF(COUNTIF('Competency Event Log'!$U$4:$U$803,$B201&amp;"|"&amp;J$5)=0,"",SUMIF('Competency Event Log'!$U$4:$U$803,$B201&amp;"|"&amp;J$5,'Competency Event Log'!$D$4:$D$803)))</f>
        <v/>
      </c>
      <c r="K201" s="8" t="str">
        <f>IF($B201="","",IF(COUNTIF('Competency Event Log'!$U$4:$U$803,$B201&amp;"|"&amp;K$5)=0,"",SUMIF('Competency Event Log'!$U$4:$U$803,$B201&amp;"|"&amp;K$5,'Competency Event Log'!$D$4:$D$803)))</f>
        <v/>
      </c>
      <c r="L201" s="8" t="str">
        <f>IF($B201="","",IF(COUNTIF('Competency Event Log'!$U$4:$U$803,$B201&amp;"|"&amp;L$5)=0,"",SUMIF('Competency Event Log'!$U$4:$U$803,$B201&amp;"|"&amp;L$5,'Competency Event Log'!$D$4:$D$803)))</f>
        <v/>
      </c>
      <c r="M201" s="8" t="str">
        <f>IF($B201="","",IF(COUNTIF('Competency Event Log'!$U$4:$U$803,$B201&amp;"|"&amp;M$5)=0,"",SUMIF('Competency Event Log'!$U$4:$U$803,$B201&amp;"|"&amp;M$5,'Competency Event Log'!$D$4:$D$803)))</f>
        <v/>
      </c>
      <c r="N201" s="8" t="str">
        <f>IF($B201="","",IF(COUNTIF('Competency Event Log'!$U$4:$U$803,$B201&amp;"|"&amp;N$5)=0,"",SUMIF('Competency Event Log'!$U$4:$U$803,$B201&amp;"|"&amp;N$5,'Competency Event Log'!$D$4:$D$803)))</f>
        <v/>
      </c>
      <c r="O201" s="8" t="str">
        <f>IF($B201="","",IF(COUNTIF('Competency Event Log'!$U$4:$U$803,$B201&amp;"|"&amp;O$5)=0,"",SUMIF('Competency Event Log'!$U$4:$U$803,$B201&amp;"|"&amp;O$5,'Competency Event Log'!$D$4:$D$803)))</f>
        <v/>
      </c>
      <c r="P201" s="8" t="str">
        <f>IF($B201="","",IF(COUNTIF('Competency Event Log'!$U$4:$U$803,$B201&amp;"|"&amp;P$5)=0,"",SUMIF('Competency Event Log'!$U$4:$U$803,$B201&amp;"|"&amp;P$5,'Competency Event Log'!$D$4:$D$803)))</f>
        <v/>
      </c>
      <c r="Q201" s="8" t="str">
        <f>IF($B201="","",IF(COUNTIF('Competency Event Log'!$U$4:$U$803,$B201&amp;"|"&amp;Q$5)=0,"",SUMIF('Competency Event Log'!$U$4:$U$803,$B201&amp;"|"&amp;Q$5,'Competency Event Log'!$D$4:$D$803)))</f>
        <v/>
      </c>
      <c r="R201" s="8" t="str">
        <f>IF($B201="","",IF(COUNTIF('Competency Event Log'!$U$4:$U$803,$B201&amp;"|"&amp;R$5)=0,"",SUMIF('Competency Event Log'!$U$4:$U$803,$B201&amp;"|"&amp;R$5,'Competency Event Log'!$D$4:$D$803)))</f>
        <v/>
      </c>
      <c r="S201" s="8" t="str">
        <f>IF($B201="","",IF(COUNTIF('Competency Event Log'!$U$4:$U$803,$B201&amp;"|"&amp;S$5)=0,"",SUMIF('Competency Event Log'!$U$4:$U$803,$B201&amp;"|"&amp;S$5,'Competency Event Log'!$D$4:$D$803)))</f>
        <v/>
      </c>
      <c r="T201" s="8" t="str">
        <f>IF($B201="","",IF(COUNTIF('Competency Event Log'!$U$4:$U$803,$B201&amp;"|"&amp;T$5)=0,"",SUMIF('Competency Event Log'!$U$4:$U$803,$B201&amp;"|"&amp;T$5,'Competency Event Log'!$D$4:$D$803)))</f>
        <v/>
      </c>
      <c r="U201" s="8" t="str">
        <f>IF($B201="","",IF(COUNTIF('Competency Event Log'!$U$4:$U$803,$B201&amp;"|"&amp;U$5)=0,"",SUMIF('Competency Event Log'!$U$4:$U$803,$B201&amp;"|"&amp;U$5,'Competency Event Log'!$D$4:$D$803)))</f>
        <v/>
      </c>
      <c r="V201" s="8" t="str">
        <f>IF($B201="","",IF(COUNTIF('Competency Event Log'!$U$4:$U$803,$B201&amp;"|"&amp;V$5)=0,"",SUMIF('Competency Event Log'!$U$4:$U$803,$B201&amp;"|"&amp;V$5,'Competency Event Log'!$D$4:$D$803)))</f>
        <v/>
      </c>
      <c r="W201" s="8" t="str">
        <f>IF($B201="","",IF(COUNTIF('Competency Event Log'!$U$4:$U$803,$B201&amp;"|"&amp;W$5)=0,"",SUMIF('Competency Event Log'!$U$4:$U$803,$B201&amp;"|"&amp;W$5,'Competency Event Log'!$D$4:$D$803)))</f>
        <v/>
      </c>
      <c r="X201" s="8" t="str">
        <f>IF($B201="","",IF(COUNTIF('Competency Event Log'!$U$4:$U$803,$B201&amp;"|"&amp;X$5)=0,"",SUMIF('Competency Event Log'!$U$4:$U$803,$B201&amp;"|"&amp;X$5,'Competency Event Log'!$D$4:$D$803)))</f>
        <v/>
      </c>
      <c r="Y201" s="8" t="str">
        <f>IF($B201="","",IF(COUNTIF('Competency Event Log'!$U$4:$U$803,$B201&amp;"|"&amp;Y$5)=0,"",SUMIF('Competency Event Log'!$U$4:$U$803,$B201&amp;"|"&amp;Y$5,'Competency Event Log'!$D$4:$D$803)))</f>
        <v/>
      </c>
      <c r="Z201" s="8" t="str">
        <f>IF($B201="","",IF(COUNTIF('Competency Event Log'!$U$4:$U$803,$B201&amp;"|"&amp;Z$5)=0,"",SUMIF('Competency Event Log'!$U$4:$U$803,$B201&amp;"|"&amp;Z$5,'Competency Event Log'!$D$4:$D$803)))</f>
        <v/>
      </c>
      <c r="AA201" s="8" t="str">
        <f>IF($B201="","",IF(COUNTIF('Competency Event Log'!$U$4:$U$803,$B201&amp;"|"&amp;AA$5)=0,"",SUMIF('Competency Event Log'!$U$4:$U$803,$B201&amp;"|"&amp;AA$5,'Competency Event Log'!$D$4:$D$803)))</f>
        <v/>
      </c>
      <c r="AB201" s="8" t="str">
        <f>IF($B201="","",IF(COUNTIF('Competency Event Log'!$U$4:$U$803,$B201&amp;"|"&amp;AB$5)=0,"",SUMIF('Competency Event Log'!$U$4:$U$803,$B201&amp;"|"&amp;AB$5,'Competency Event Log'!$D$4:$D$803)))</f>
        <v/>
      </c>
      <c r="AC201" s="8" t="str">
        <f>IF($B201="","",IF(COUNTIF('Competency Event Log'!$U$4:$U$803,$B201&amp;"|"&amp;AC$5)=0,"",SUMIF('Competency Event Log'!$U$4:$U$803,$B201&amp;"|"&amp;AC$5,'Competency Event Log'!$D$4:$D$803)))</f>
        <v/>
      </c>
      <c r="AD201" s="8" t="str">
        <f>IF($B201="","",IF(COUNTIF('Competency Event Log'!$U$4:$U$803,$B201&amp;"|"&amp;AD$5)=0,"",SUMIF('Competency Event Log'!$U$4:$U$803,$B201&amp;"|"&amp;AD$5,'Competency Event Log'!$D$4:$D$803)))</f>
        <v/>
      </c>
      <c r="AE201" s="8" t="str">
        <f>IF($B201="","",IF(COUNTIF('Competency Event Log'!$U$4:$U$803,$B201&amp;"|"&amp;AE$5)=0,"",SUMIF('Competency Event Log'!$U$4:$U$803,$B201&amp;"|"&amp;AE$5,'Competency Event Log'!$D$4:$D$803)))</f>
        <v/>
      </c>
      <c r="AF201" s="8" t="str">
        <f>IF($B201="","",IF(COUNTIF('Competency Event Log'!$U$4:$U$803,$B201&amp;"|"&amp;AF$5)=0,"",SUMIF('Competency Event Log'!$U$4:$U$803,$B201&amp;"|"&amp;AF$5,'Competency Event Log'!$D$4:$D$803)))</f>
        <v/>
      </c>
      <c r="AG201" s="8" t="str">
        <f>IF($B201="","",IF(COUNTIF('Competency Event Log'!$U$4:$U$803,$B201&amp;"|"&amp;AG$5)=0,"",SUMIF('Competency Event Log'!$U$4:$U$803,$B201&amp;"|"&amp;AG$5,'Competency Event Log'!$D$4:$D$803)))</f>
        <v/>
      </c>
      <c r="AH201" s="8" t="str">
        <f>IF($B201="","",IF(COUNTIF('Competency Event Log'!$U$4:$U$803,$B201&amp;"|"&amp;AH$5)=0,"",SUMIF('Competency Event Log'!$U$4:$U$803,$B201&amp;"|"&amp;AH$5,'Competency Event Log'!$D$4:$D$803)))</f>
        <v/>
      </c>
      <c r="AI201" s="8" t="str">
        <f>IF($B201="","",IF(COUNTIF('Competency Event Log'!$U$4:$U$803,$B201&amp;"|"&amp;AI$5)=0,"",SUMIF('Competency Event Log'!$U$4:$U$803,$B201&amp;"|"&amp;AI$5,'Competency Event Log'!$D$4:$D$803)))</f>
        <v/>
      </c>
      <c r="AJ201" s="8" t="str">
        <f>IF($B201="","",IF(COUNTIF('Competency Event Log'!$U$4:$U$803,$B201&amp;"|"&amp;AJ$5)=0,"",SUMIF('Competency Event Log'!$U$4:$U$803,$B201&amp;"|"&amp;AJ$5,'Competency Event Log'!$D$4:$D$803)))</f>
        <v/>
      </c>
      <c r="AK201" s="8" t="str">
        <f>IF($B201="","",IF(COUNTIF('Competency Event Log'!$U$4:$U$803,$B201&amp;"|"&amp;AK$5)=0,"",SUMIF('Competency Event Log'!$U$4:$U$803,$B201&amp;"|"&amp;AK$5,'Competency Event Log'!$D$4:$D$803)))</f>
        <v/>
      </c>
      <c r="AL201" s="8" t="str">
        <f>IF($B201="","",IF(COUNTIF('Competency Event Log'!$U$4:$U$803,$B201&amp;"|"&amp;AL$5)=0,"",SUMIF('Competency Event Log'!$U$4:$U$803,$B201&amp;"|"&amp;AL$5,'Competency Event Log'!$D$4:$D$803)))</f>
        <v/>
      </c>
      <c r="AM201" s="8" t="str">
        <f>IF($B201="","",IF(COUNTIF('Competency Event Log'!$U$4:$U$803,$B201&amp;"|"&amp;AM$5)=0,"",SUMIF('Competency Event Log'!$U$4:$U$803,$B201&amp;"|"&amp;AM$5,'Competency Event Log'!$D$4:$D$803)))</f>
        <v/>
      </c>
      <c r="AN201" s="8" t="str">
        <f>IF($B201="","",IF(COUNTIF('Competency Event Log'!$U$4:$U$803,$B201&amp;"|"&amp;AN$5)=0,"",SUMIF('Competency Event Log'!$U$4:$U$803,$B201&amp;"|"&amp;AN$5,'Competency Event Log'!$D$4:$D$803)))</f>
        <v/>
      </c>
      <c r="AO201" s="8" t="str">
        <f>IF($B201="","",IF(COUNTIF('Competency Event Log'!$U$4:$U$803,$B201&amp;"|"&amp;AO$5)=0,"",SUMIF('Competency Event Log'!$U$4:$U$803,$B201&amp;"|"&amp;AO$5,'Competency Event Log'!$D$4:$D$803)))</f>
        <v/>
      </c>
      <c r="AP201" s="8" t="str">
        <f>IF($B201="","",IF(COUNTIF('Competency Event Log'!$U$4:$U$803,$B201&amp;"|"&amp;AP$5)=0,"",SUMIF('Competency Event Log'!$U$4:$U$803,$B201&amp;"|"&amp;AP$5,'Competency Event Log'!$D$4:$D$803)))</f>
        <v/>
      </c>
      <c r="AQ201" s="8" t="str">
        <f>IF($B201="","",IF(COUNTIF('Competency Event Log'!$U$4:$U$803,$B201&amp;"|"&amp;AQ$5)=0,"",SUMIF('Competency Event Log'!$U$4:$U$803,$B201&amp;"|"&amp;AQ$5,'Competency Event Log'!$D$4:$D$803)))</f>
        <v/>
      </c>
      <c r="AR201" s="8" t="str">
        <f>IF($B201="","",IF(COUNTIF('Competency Event Log'!$U$4:$U$803,$B201&amp;"|"&amp;AR$5)=0,"",SUMIF('Competency Event Log'!$U$4:$U$803,$B201&amp;"|"&amp;AR$5,'Competency Event Log'!$D$4:$D$803)))</f>
        <v/>
      </c>
      <c r="AS201" s="8" t="str">
        <f>IF($B201="","",IF(COUNTIF('Competency Event Log'!$U$4:$U$803,$B201&amp;"|"&amp;AS$5)=0,"",SUMIF('Competency Event Log'!$U$4:$U$803,$B201&amp;"|"&amp;AS$5,'Competency Event Log'!$D$4:$D$803)))</f>
        <v/>
      </c>
      <c r="AT201" s="8" t="str">
        <f>IF($B201="","",IF(COUNTIF('Competency Event Log'!$U$4:$U$803,$B201&amp;"|"&amp;AT$5)=0,"",SUMIF('Competency Event Log'!$U$4:$U$803,$B201&amp;"|"&amp;AT$5,'Competency Event Log'!$D$4:$D$803)))</f>
        <v/>
      </c>
      <c r="AU201" s="8" t="str">
        <f>IF($B201="","",IF(COUNTIF('Competency Event Log'!$U$4:$U$803,$B201&amp;"|"&amp;AU$5)=0,"",SUMIF('Competency Event Log'!$U$4:$U$803,$B201&amp;"|"&amp;AU$5,'Competency Event Log'!$D$4:$D$803)))</f>
        <v/>
      </c>
      <c r="AV201" s="8" t="str">
        <f>IF($B201="","",IF(COUNTIF('Competency Event Log'!$U$4:$U$803,$B201&amp;"|"&amp;AV$5)=0,"",SUMIF('Competency Event Log'!$U$4:$U$803,$B201&amp;"|"&amp;AV$5,'Competency Event Log'!$D$4:$D$803)))</f>
        <v/>
      </c>
      <c r="AW201" s="8" t="str">
        <f>IF($B201="","",IF(COUNTIF('Competency Event Log'!$U$4:$U$803,$B201&amp;"|"&amp;AW$5)=0,"",SUMIF('Competency Event Log'!$U$4:$U$803,$B201&amp;"|"&amp;AW$5,'Competency Event Log'!$D$4:$D$803)))</f>
        <v/>
      </c>
      <c r="AX201" s="8" t="str">
        <f>IF($B201="","",IF(COUNTIF('Competency Event Log'!$U$4:$U$803,$B201&amp;"|"&amp;AX$5)=0,"",SUMIF('Competency Event Log'!$U$4:$U$803,$B201&amp;"|"&amp;AX$5,'Competency Event Log'!$D$4:$D$803)))</f>
        <v/>
      </c>
      <c r="AY201" s="8" t="str">
        <f>IF($B201="","",IF(COUNTIF('Competency Event Log'!$U$4:$U$803,$B201&amp;"|"&amp;AY$5)=0,"",SUMIF('Competency Event Log'!$U$4:$U$803,$B201&amp;"|"&amp;AY$5,'Competency Event Log'!$D$4:$D$803)))</f>
        <v/>
      </c>
      <c r="AZ201" s="8" t="str">
        <f>IF($B201="","",IF(COUNTIF('Competency Event Log'!$U$4:$U$803,$B201&amp;"|"&amp;AZ$5)=0,"",SUMIF('Competency Event Log'!$U$4:$U$803,$B201&amp;"|"&amp;AZ$5,'Competency Event Log'!$D$4:$D$803)))</f>
        <v/>
      </c>
      <c r="BA201" s="8" t="str">
        <f>IF($B201="","",IF(COUNTIF('Competency Event Log'!$U$4:$U$803,$B201&amp;"|"&amp;BA$5)=0,"",SUMIF('Competency Event Log'!$U$4:$U$803,$B201&amp;"|"&amp;BA$5,'Competency Event Log'!$D$4:$D$803)))</f>
        <v/>
      </c>
      <c r="BB201" s="8" t="str">
        <f>IF($B201="","",IF(COUNTIF('Competency Event Log'!$U$4:$U$803,$B201&amp;"|"&amp;BB$5)=0,"",SUMIF('Competency Event Log'!$U$4:$U$803,$B201&amp;"|"&amp;BB$5,'Competency Event Log'!$D$4:$D$803)))</f>
        <v/>
      </c>
      <c r="BC201" s="8" t="str">
        <f>IF($B201="","",IF(COUNTIF('Competency Event Log'!$U$4:$U$803,$B201&amp;"|"&amp;BC$5)=0,"",SUMIF('Competency Event Log'!$U$4:$U$803,$B201&amp;"|"&amp;BC$5,'Competency Event Log'!$D$4:$D$803)))</f>
        <v/>
      </c>
      <c r="BD201" s="8" t="str">
        <f>IF($B201="","",IF(COUNTIF('Competency Event Log'!$U$4:$U$803,$B201&amp;"|"&amp;BD$5)=0,"",SUMIF('Competency Event Log'!$U$4:$U$803,$B201&amp;"|"&amp;BD$5,'Competency Event Log'!$D$4:$D$803)))</f>
        <v/>
      </c>
      <c r="BE201" s="8" t="str">
        <f>IF($B201="","",IF(COUNTIF('Competency Event Log'!$U$4:$U$803,$B201&amp;"|"&amp;BE$5)=0,"",SUMIF('Competency Event Log'!$U$4:$U$803,$B201&amp;"|"&amp;BE$5,'Competency Event Log'!$D$4:$D$803)))</f>
        <v/>
      </c>
      <c r="BF201" s="8" t="str">
        <f>IF($B201="","",IF(COUNTIF('Competency Event Log'!$U$4:$U$803,$B201&amp;"|"&amp;BF$5)=0,"",SUMIF('Competency Event Log'!$U$4:$U$803,$B201&amp;"|"&amp;BF$5,'Competency Event Log'!$D$4:$D$803)))</f>
        <v/>
      </c>
      <c r="BG201" s="8" t="str">
        <f>IF($B201="","",IF(COUNTIF('Competency Event Log'!$U$4:$U$803,$B201&amp;"|"&amp;BG$5)=0,"",SUMIF('Competency Event Log'!$U$4:$U$803,$B201&amp;"|"&amp;BG$5,'Competency Event Log'!$D$4:$D$803)))</f>
        <v/>
      </c>
      <c r="BH201" s="8" t="str">
        <f>IF($B201="","",IF(COUNTIF('Competency Event Log'!$U$4:$U$803,$B201&amp;"|"&amp;BH$5)=0,"",SUMIF('Competency Event Log'!$U$4:$U$803,$B201&amp;"|"&amp;BH$5,'Competency Event Log'!$D$4:$D$803)))</f>
        <v/>
      </c>
      <c r="BI201" s="8" t="str">
        <f>IF($B201="","",IF(COUNTIF('Competency Event Log'!$U$4:$U$803,$B201&amp;"|"&amp;BI$5)=0,"",SUMIF('Competency Event Log'!$U$4:$U$803,$B201&amp;"|"&amp;BI$5,'Competency Event Log'!$D$4:$D$803)))</f>
        <v/>
      </c>
      <c r="BJ201" s="8" t="str">
        <f>IF($B201="","",IF(COUNTIF('Competency Event Log'!$U$4:$U$803,$B201&amp;"|"&amp;BJ$5)=0,"",SUMIF('Competency Event Log'!$U$4:$U$803,$B201&amp;"|"&amp;BJ$5,'Competency Event Log'!$D$4:$D$803)))</f>
        <v/>
      </c>
      <c r="BK201" s="8" t="str">
        <f>IF($B201="","",IF(COUNTIF('Competency Event Log'!$U$4:$U$803,$B201&amp;"|"&amp;BK$5)=0,"",SUMIF('Competency Event Log'!$U$4:$U$803,$B201&amp;"|"&amp;BK$5,'Competency Event Log'!$D$4:$D$803)))</f>
        <v/>
      </c>
      <c r="BL201" s="8" t="str">
        <f>IF($B201="","",IF(COUNTIF('Competency Event Log'!$U$4:$U$803,$B201&amp;"|"&amp;BL$5)=0,"",SUMIF('Competency Event Log'!$U$4:$U$803,$B201&amp;"|"&amp;BL$5,'Competency Event Log'!$D$4:$D$803)))</f>
        <v/>
      </c>
      <c r="BM201" s="8" t="str">
        <f>IF($B201="","",IF(COUNTIF('Competency Event Log'!$U$4:$U$803,$B201&amp;"|"&amp;BM$5)=0,"",SUMIF('Competency Event Log'!$U$4:$U$803,$B201&amp;"|"&amp;BM$5,'Competency Event Log'!$D$4:$D$803)))</f>
        <v/>
      </c>
      <c r="BN201" s="8" t="str">
        <f>IF($B201="","",IF(COUNTIF('Competency Event Log'!$U$4:$U$803,$B201&amp;"|"&amp;BN$5)=0,"",SUMIF('Competency Event Log'!$U$4:$U$803,$B201&amp;"|"&amp;BN$5,'Competency Event Log'!$D$4:$D$803)))</f>
        <v/>
      </c>
      <c r="BO201" s="8" t="str">
        <f>IF($B201="","",IF(COUNTIF('Competency Event Log'!$U$4:$U$803,$B201&amp;"|"&amp;BO$5)=0,"",SUMIF('Competency Event Log'!$U$4:$U$803,$B201&amp;"|"&amp;BO$5,'Competency Event Log'!$D$4:$D$803)))</f>
        <v/>
      </c>
      <c r="BP201" s="8" t="str">
        <f>IF($B201="","",IF(COUNTIF('Competency Event Log'!$U$4:$U$803,$B201&amp;"|"&amp;BP$5)=0,"",SUMIF('Competency Event Log'!$U$4:$U$803,$B201&amp;"|"&amp;BP$5,'Competency Event Log'!$D$4:$D$803)))</f>
        <v/>
      </c>
      <c r="BQ201" s="8" t="str">
        <f>IF($B201="","",IF(COUNTIF('Competency Event Log'!$U$4:$U$803,$B201&amp;"|"&amp;BQ$5)=0,"",SUMIF('Competency Event Log'!$U$4:$U$803,$B201&amp;"|"&amp;BQ$5,'Competency Event Log'!$D$4:$D$803)))</f>
        <v/>
      </c>
      <c r="BR201" s="8" t="str">
        <f>IF($B201="","",IF(COUNTIF('Competency Event Log'!$U$4:$U$803,$B201&amp;"|"&amp;BR$5)=0,"",SUMIF('Competency Event Log'!$U$4:$U$803,$B201&amp;"|"&amp;BR$5,'Competency Event Log'!$D$4:$D$803)))</f>
        <v/>
      </c>
      <c r="BS201" s="8" t="str">
        <f>IF($B201="","",IF(COUNTIF('Competency Event Log'!$U$4:$U$803,$B201&amp;"|"&amp;BS$5)=0,"",SUMIF('Competency Event Log'!$U$4:$U$803,$B201&amp;"|"&amp;BS$5,'Competency Event Log'!$D$4:$D$803)))</f>
        <v/>
      </c>
      <c r="BT201" s="8" t="str">
        <f>IF($B201="","",IF(COUNTIF('Competency Event Log'!$U$4:$U$803,$B201&amp;"|"&amp;BT$5)=0,"",SUMIF('Competency Event Log'!$U$4:$U$803,$B201&amp;"|"&amp;BT$5,'Competency Event Log'!$D$4:$D$803)))</f>
        <v/>
      </c>
      <c r="BU201" s="8" t="str">
        <f>IF($B201="","",IF(COUNTIF('Competency Event Log'!$U$4:$U$803,$B201&amp;"|"&amp;BU$5)=0,"",SUMIF('Competency Event Log'!$U$4:$U$803,$B201&amp;"|"&amp;BU$5,'Competency Event Log'!$D$4:$D$803)))</f>
        <v/>
      </c>
      <c r="BV201" s="8" t="str">
        <f>IF($B201="","",IF(COUNTIF('Competency Event Log'!$U$4:$U$803,$B201&amp;"|"&amp;BV$5)=0,"",SUMIF('Competency Event Log'!$U$4:$U$803,$B201&amp;"|"&amp;BV$5,'Competency Event Log'!$D$4:$D$803)))</f>
        <v/>
      </c>
      <c r="BW201" s="8" t="str">
        <f>IF($B201="","",IF(COUNTIF('Competency Event Log'!$U$4:$U$803,$B201&amp;"|"&amp;BW$5)=0,"",SUMIF('Competency Event Log'!$U$4:$U$803,$B201&amp;"|"&amp;BW$5,'Competency Event Log'!$D$4:$D$803)))</f>
        <v/>
      </c>
      <c r="BX201" s="8" t="str">
        <f>IF($B201="","",IF(COUNTIF('Competency Event Log'!$U$4:$U$803,$B201&amp;"|"&amp;BX$5)=0,"",SUMIF('Competency Event Log'!$U$4:$U$803,$B201&amp;"|"&amp;BX$5,'Competency Event Log'!$D$4:$D$803)))</f>
        <v/>
      </c>
      <c r="BY201" s="8" t="str">
        <f>IF($B201="","",IF(COUNTIF('Competency Event Log'!$U$4:$U$803,$B201&amp;"|"&amp;BY$5)=0,"",SUMIF('Competency Event Log'!$U$4:$U$803,$B201&amp;"|"&amp;BY$5,'Competency Event Log'!$D$4:$D$803)))</f>
        <v/>
      </c>
      <c r="BZ201" s="8" t="str">
        <f>IF($B201="","",IF(COUNTIF('Competency Event Log'!$U$4:$U$803,$B201&amp;"|"&amp;BZ$5)=0,"",SUMIF('Competency Event Log'!$U$4:$U$803,$B201&amp;"|"&amp;BZ$5,'Competency Event Log'!$D$4:$D$803)))</f>
        <v/>
      </c>
      <c r="CA201" s="8" t="str">
        <f>IF($B201="","",IF(COUNTIF('Competency Event Log'!$U$4:$U$803,$B201&amp;"|"&amp;CA$5)=0,"",SUMIF('Competency Event Log'!$U$4:$U$803,$B201&amp;"|"&amp;CA$5,'Competency Event Log'!$D$4:$D$803)))</f>
        <v/>
      </c>
      <c r="CB201" s="8" t="str">
        <f>IF($B201="","",IF(COUNTIF('Competency Event Log'!$U$4:$U$803,$B201&amp;"|"&amp;CB$5)=0,"",SUMIF('Competency Event Log'!$U$4:$U$803,$B201&amp;"|"&amp;CB$5,'Competency Event Log'!$D$4:$D$803)))</f>
        <v/>
      </c>
      <c r="CC201" s="8" t="str">
        <f>IF($B201="","",IF(COUNTIF('Competency Event Log'!$U$4:$U$803,$B201&amp;"|"&amp;CC$5)=0,"",SUMIF('Competency Event Log'!$U$4:$U$803,$B201&amp;"|"&amp;CC$5,'Competency Event Log'!$D$4:$D$803)))</f>
        <v/>
      </c>
      <c r="CD201" s="8" t="str">
        <f>IF($B201="","",IF(COUNTIF('Competency Event Log'!$U$4:$U$803,$B201&amp;"|"&amp;CD$5)=0,"",SUMIF('Competency Event Log'!$U$4:$U$803,$B201&amp;"|"&amp;CD$5,'Competency Event Log'!$D$4:$D$803)))</f>
        <v/>
      </c>
      <c r="CE201" s="8" t="str">
        <f>IF($B201="","",IF(COUNTIF('Competency Event Log'!$U$4:$U$803,$B201&amp;"|"&amp;CE$5)=0,"",SUMIF('Competency Event Log'!$U$4:$U$803,$B201&amp;"|"&amp;CE$5,'Competency Event Log'!$D$4:$D$803)))</f>
        <v/>
      </c>
      <c r="CF201" s="8" t="str">
        <f>IF($B201="","",IF(COUNTIF('Competency Event Log'!$U$4:$U$803,$B201&amp;"|"&amp;CF$5)=0,"",SUMIF('Competency Event Log'!$U$4:$U$803,$B201&amp;"|"&amp;CF$5,'Competency Event Log'!$D$4:$D$803)))</f>
        <v/>
      </c>
      <c r="CG201" s="8" t="str">
        <f>IF($B201="","",IF(COUNTIF('Competency Event Log'!$U$4:$U$803,$B201&amp;"|"&amp;CG$5)=0,"",SUMIF('Competency Event Log'!$U$4:$U$803,$B201&amp;"|"&amp;CG$5,'Competency Event Log'!$D$4:$D$803)))</f>
        <v/>
      </c>
      <c r="CH201" s="8" t="str">
        <f>IF($B201="","",IF(COUNTIF('Competency Event Log'!$U$4:$U$803,$B201&amp;"|"&amp;CH$5)=0,"",SUMIF('Competency Event Log'!$U$4:$U$803,$B201&amp;"|"&amp;CH$5,'Competency Event Log'!$D$4:$D$803)))</f>
        <v/>
      </c>
      <c r="CI201" s="8" t="str">
        <f>IF($B201="","",IF(COUNTIF('Competency Event Log'!$U$4:$U$803,$B201&amp;"|"&amp;CI$5)=0,"",SUMIF('Competency Event Log'!$U$4:$U$803,$B201&amp;"|"&amp;CI$5,'Competency Event Log'!$D$4:$D$803)))</f>
        <v/>
      </c>
      <c r="CJ201" s="8" t="str">
        <f>IF($B201="","",IF(COUNTIF('Competency Event Log'!$U$4:$U$803,$B201&amp;"|"&amp;CJ$5)=0,"",SUMIF('Competency Event Log'!$U$4:$U$803,$B201&amp;"|"&amp;CJ$5,'Competency Event Log'!$D$4:$D$803)))</f>
        <v/>
      </c>
      <c r="CK201" s="8" t="str">
        <f>IF($B201="","",IF(COUNTIF('Competency Event Log'!$U$4:$U$803,$B201&amp;"|"&amp;CK$5)=0,"",SUMIF('Competency Event Log'!$U$4:$U$803,$B201&amp;"|"&amp;CK$5,'Competency Event Log'!$D$4:$D$803)))</f>
        <v/>
      </c>
      <c r="CL201" s="8" t="str">
        <f>IF($B201="","",IF(COUNTIF('Competency Event Log'!$U$4:$U$803,$B201&amp;"|"&amp;CL$5)=0,"",SUMIF('Competency Event Log'!$U$4:$U$803,$B201&amp;"|"&amp;CL$5,'Competency Event Log'!$D$4:$D$803)))</f>
        <v/>
      </c>
      <c r="CM201" s="8" t="str">
        <f>IF($B201="","",IF(COUNTIF('Competency Event Log'!$U$4:$U$803,$B201&amp;"|"&amp;CM$5)=0,"",SUMIF('Competency Event Log'!$U$4:$U$803,$B201&amp;"|"&amp;CM$5,'Competency Event Log'!$D$4:$D$803)))</f>
        <v/>
      </c>
      <c r="CN201" s="8" t="str">
        <f>IF($B201="","",IF(COUNTIF('Competency Event Log'!$U$4:$U$803,$B201&amp;"|"&amp;CN$5)=0,"",SUMIF('Competency Event Log'!$U$4:$U$803,$B201&amp;"|"&amp;CN$5,'Competency Event Log'!$D$4:$D$803)))</f>
        <v/>
      </c>
      <c r="CO201" s="8" t="str">
        <f>IF($B201="","",IF(COUNTIF('Competency Event Log'!$U$4:$U$803,$B201&amp;"|"&amp;CO$5)=0,"",SUMIF('Competency Event Log'!$U$4:$U$803,$B201&amp;"|"&amp;CO$5,'Competency Event Log'!$D$4:$D$803)))</f>
        <v/>
      </c>
      <c r="CP201" s="8" t="str">
        <f>IF($B201="","",IF(COUNTIF('Competency Event Log'!$U$4:$U$803,$B201&amp;"|"&amp;CP$5)=0,"",SUMIF('Competency Event Log'!$U$4:$U$803,$B201&amp;"|"&amp;CP$5,'Competency Event Log'!$D$4:$D$803)))</f>
        <v/>
      </c>
      <c r="CQ201" s="8" t="str">
        <f>IF($B201="","",IF(COUNTIF('Competency Event Log'!$U$4:$U$803,$B201&amp;"|"&amp;CQ$5)=0,"",SUMIF('Competency Event Log'!$U$4:$U$803,$B201&amp;"|"&amp;CQ$5,'Competency Event Log'!$D$4:$D$803)))</f>
        <v/>
      </c>
      <c r="CR201" s="8" t="str">
        <f>IF($B201="","",IF(COUNTIF('Competency Event Log'!$U$4:$U$803,$B201&amp;"|"&amp;CR$5)=0,"",SUMIF('Competency Event Log'!$U$4:$U$803,$B201&amp;"|"&amp;CR$5,'Competency Event Log'!$D$4:$D$803)))</f>
        <v/>
      </c>
      <c r="CS201" s="8" t="str">
        <f>IF($B201="","",IF(COUNTIF('Competency Event Log'!$U$4:$U$803,$B201&amp;"|"&amp;CS$5)=0,"",SUMIF('Competency Event Log'!$U$4:$U$803,$B201&amp;"|"&amp;CS$5,'Competency Event Log'!$D$4:$D$803)))</f>
        <v/>
      </c>
      <c r="CT201" s="8" t="str">
        <f>IF($B201="","",IF(COUNTIF('Competency Event Log'!$U$4:$U$803,$B201&amp;"|"&amp;CT$5)=0,"",SUMIF('Competency Event Log'!$U$4:$U$803,$B201&amp;"|"&amp;CT$5,'Competency Event Log'!$D$4:$D$803)))</f>
        <v/>
      </c>
      <c r="CU201" s="8" t="str">
        <f>IF($B201="","",IF(COUNTIF('Competency Event Log'!$U$4:$U$803,$B201&amp;"|"&amp;CU$5)=0,"",SUMIF('Competency Event Log'!$U$4:$U$803,$B201&amp;"|"&amp;CU$5,'Competency Event Log'!$D$4:$D$803)))</f>
        <v/>
      </c>
      <c r="CV201" s="8" t="str">
        <f>IF($B201="","",IF(COUNTIF('Competency Event Log'!$U$4:$U$803,$B201&amp;"|"&amp;CV$5)=0,"",SUMIF('Competency Event Log'!$U$4:$U$803,$B201&amp;"|"&amp;CV$5,'Competency Event Log'!$D$4:$D$803)))</f>
        <v/>
      </c>
      <c r="CW201" s="8" t="str">
        <f>IF($B201="","",IF(COUNTIF('Competency Event Log'!$U$4:$U$803,$B201&amp;"|"&amp;CW$5)=0,"",SUMIF('Competency Event Log'!$U$4:$U$803,$B201&amp;"|"&amp;CW$5,'Competency Event Log'!$D$4:$D$803)))</f>
        <v/>
      </c>
      <c r="CX201" s="8" t="str">
        <f>IF($B201="","",IF(COUNTIF('Competency Event Log'!$U$4:$U$803,$B201&amp;"|"&amp;CX$5)=0,"",SUMIF('Competency Event Log'!$U$4:$U$803,$B201&amp;"|"&amp;CX$5,'Competency Event Log'!$D$4:$D$803)))</f>
        <v/>
      </c>
      <c r="CY201" s="8" t="str">
        <f>IF($B201="","",IF(COUNTIF('Competency Event Log'!$U$4:$U$803,$B201&amp;"|"&amp;CY$5)=0,"",SUMIF('Competency Event Log'!$U$4:$U$803,$B201&amp;"|"&amp;CY$5,'Competency Event Log'!$D$4:$D$803)))</f>
        <v/>
      </c>
      <c r="CZ201" s="8" t="str">
        <f>IF($B201="","",IF(COUNTIF('Competency Event Log'!$U$4:$U$803,$B201&amp;"|"&amp;CZ$5)=0,"",SUMIF('Competency Event Log'!$U$4:$U$803,$B201&amp;"|"&amp;CZ$5,'Competency Event Log'!$D$4:$D$803)))</f>
        <v/>
      </c>
      <c r="DA201" s="8" t="str">
        <f>IF($B201="","",IF(COUNTIF('Competency Event Log'!$U$4:$U$803,$B201&amp;"|"&amp;DA$5)=0,"",SUMIF('Competency Event Log'!$U$4:$U$803,$B201&amp;"|"&amp;DA$5,'Competency Event Log'!$D$4:$D$803)))</f>
        <v/>
      </c>
      <c r="DB201" s="8" t="str">
        <f>IF($B201="","",IF(COUNTIF('Competency Event Log'!$U$4:$U$803,$B201&amp;"|"&amp;DB$5)=0,"",SUMIF('Competency Event Log'!$U$4:$U$803,$B201&amp;"|"&amp;DB$5,'Competency Event Log'!$D$4:$D$803)))</f>
        <v/>
      </c>
      <c r="DC201" s="8" t="str">
        <f>IF($B201="","",IF(COUNTIF('Competency Event Log'!$U$4:$U$803,$B201&amp;"|"&amp;DC$5)=0,"",SUMIF('Competency Event Log'!$U$4:$U$803,$B201&amp;"|"&amp;DC$5,'Competency Event Log'!$D$4:$D$803)))</f>
        <v/>
      </c>
      <c r="DD201" s="8" t="str">
        <f>IF($B201="","",IF(COUNTIF('Competency Event Log'!$U$4:$U$803,$B201&amp;"|"&amp;DD$5)=0,"",SUMIF('Competency Event Log'!$U$4:$U$803,$B201&amp;"|"&amp;DD$5,'Competency Event Log'!$D$4:$D$803)))</f>
        <v/>
      </c>
      <c r="DE201" s="8" t="str">
        <f>IF($B201="","",IF(COUNTIF('Competency Event Log'!$U$4:$U$803,$B201&amp;"|"&amp;DE$5)=0,"",SUMIF('Competency Event Log'!$U$4:$U$803,$B201&amp;"|"&amp;DE$5,'Competency Event Log'!$D$4:$D$803)))</f>
        <v/>
      </c>
      <c r="DF201" s="8" t="str">
        <f t="shared" si="24"/>
        <v/>
      </c>
      <c r="DG201" s="8" t="str">
        <f t="shared" si="25"/>
        <v/>
      </c>
      <c r="DH201" s="8" t="str">
        <f t="shared" si="26"/>
        <v/>
      </c>
      <c r="DI201" s="11" t="str">
        <f t="shared" si="27"/>
        <v/>
      </c>
    </row>
    <row r="202" spans="1:113">
      <c r="A202" s="7"/>
      <c r="B202" s="7"/>
      <c r="C202" s="8"/>
      <c r="D202" s="9"/>
      <c r="E202" s="10"/>
      <c r="F202" s="8"/>
      <c r="G202" s="8" t="str">
        <f>IF($B202="","",IF(COUNTIF('Competency Event Log'!$U$4:$U$803,$B202&amp;"|"&amp;G$5)=0,"",SUMIF('Competency Event Log'!$U$4:$U$803,$B202&amp;"|"&amp;G$5,'Competency Event Log'!$D$4:$D$803)))</f>
        <v/>
      </c>
      <c r="H202" s="8" t="str">
        <f>IF($B202="","",IF(COUNTIF('Competency Event Log'!$U$4:$U$803,$B202&amp;"|"&amp;H$5)=0,"",SUMIF('Competency Event Log'!$U$4:$U$803,$B202&amp;"|"&amp;H$5,'Competency Event Log'!$D$4:$D$803)))</f>
        <v/>
      </c>
      <c r="I202" s="8" t="str">
        <f>IF($B202="","",IF(COUNTIF('Competency Event Log'!$U$4:$U$803,$B202&amp;"|"&amp;I$5)=0,"",SUMIF('Competency Event Log'!$U$4:$U$803,$B202&amp;"|"&amp;I$5,'Competency Event Log'!$D$4:$D$803)))</f>
        <v/>
      </c>
      <c r="J202" s="8" t="str">
        <f>IF($B202="","",IF(COUNTIF('Competency Event Log'!$U$4:$U$803,$B202&amp;"|"&amp;J$5)=0,"",SUMIF('Competency Event Log'!$U$4:$U$803,$B202&amp;"|"&amp;J$5,'Competency Event Log'!$D$4:$D$803)))</f>
        <v/>
      </c>
      <c r="K202" s="8" t="str">
        <f>IF($B202="","",IF(COUNTIF('Competency Event Log'!$U$4:$U$803,$B202&amp;"|"&amp;K$5)=0,"",SUMIF('Competency Event Log'!$U$4:$U$803,$B202&amp;"|"&amp;K$5,'Competency Event Log'!$D$4:$D$803)))</f>
        <v/>
      </c>
      <c r="L202" s="8" t="str">
        <f>IF($B202="","",IF(COUNTIF('Competency Event Log'!$U$4:$U$803,$B202&amp;"|"&amp;L$5)=0,"",SUMIF('Competency Event Log'!$U$4:$U$803,$B202&amp;"|"&amp;L$5,'Competency Event Log'!$D$4:$D$803)))</f>
        <v/>
      </c>
      <c r="M202" s="8" t="str">
        <f>IF($B202="","",IF(COUNTIF('Competency Event Log'!$U$4:$U$803,$B202&amp;"|"&amp;M$5)=0,"",SUMIF('Competency Event Log'!$U$4:$U$803,$B202&amp;"|"&amp;M$5,'Competency Event Log'!$D$4:$D$803)))</f>
        <v/>
      </c>
      <c r="N202" s="8" t="str">
        <f>IF($B202="","",IF(COUNTIF('Competency Event Log'!$U$4:$U$803,$B202&amp;"|"&amp;N$5)=0,"",SUMIF('Competency Event Log'!$U$4:$U$803,$B202&amp;"|"&amp;N$5,'Competency Event Log'!$D$4:$D$803)))</f>
        <v/>
      </c>
      <c r="O202" s="8" t="str">
        <f>IF($B202="","",IF(COUNTIF('Competency Event Log'!$U$4:$U$803,$B202&amp;"|"&amp;O$5)=0,"",SUMIF('Competency Event Log'!$U$4:$U$803,$B202&amp;"|"&amp;O$5,'Competency Event Log'!$D$4:$D$803)))</f>
        <v/>
      </c>
      <c r="P202" s="8" t="str">
        <f>IF($B202="","",IF(COUNTIF('Competency Event Log'!$U$4:$U$803,$B202&amp;"|"&amp;P$5)=0,"",SUMIF('Competency Event Log'!$U$4:$U$803,$B202&amp;"|"&amp;P$5,'Competency Event Log'!$D$4:$D$803)))</f>
        <v/>
      </c>
      <c r="Q202" s="8" t="str">
        <f>IF($B202="","",IF(COUNTIF('Competency Event Log'!$U$4:$U$803,$B202&amp;"|"&amp;Q$5)=0,"",SUMIF('Competency Event Log'!$U$4:$U$803,$B202&amp;"|"&amp;Q$5,'Competency Event Log'!$D$4:$D$803)))</f>
        <v/>
      </c>
      <c r="R202" s="8" t="str">
        <f>IF($B202="","",IF(COUNTIF('Competency Event Log'!$U$4:$U$803,$B202&amp;"|"&amp;R$5)=0,"",SUMIF('Competency Event Log'!$U$4:$U$803,$B202&amp;"|"&amp;R$5,'Competency Event Log'!$D$4:$D$803)))</f>
        <v/>
      </c>
      <c r="S202" s="8" t="str">
        <f>IF($B202="","",IF(COUNTIF('Competency Event Log'!$U$4:$U$803,$B202&amp;"|"&amp;S$5)=0,"",SUMIF('Competency Event Log'!$U$4:$U$803,$B202&amp;"|"&amp;S$5,'Competency Event Log'!$D$4:$D$803)))</f>
        <v/>
      </c>
      <c r="T202" s="8" t="str">
        <f>IF($B202="","",IF(COUNTIF('Competency Event Log'!$U$4:$U$803,$B202&amp;"|"&amp;T$5)=0,"",SUMIF('Competency Event Log'!$U$4:$U$803,$B202&amp;"|"&amp;T$5,'Competency Event Log'!$D$4:$D$803)))</f>
        <v/>
      </c>
      <c r="U202" s="8" t="str">
        <f>IF($B202="","",IF(COUNTIF('Competency Event Log'!$U$4:$U$803,$B202&amp;"|"&amp;U$5)=0,"",SUMIF('Competency Event Log'!$U$4:$U$803,$B202&amp;"|"&amp;U$5,'Competency Event Log'!$D$4:$D$803)))</f>
        <v/>
      </c>
      <c r="V202" s="8" t="str">
        <f>IF($B202="","",IF(COUNTIF('Competency Event Log'!$U$4:$U$803,$B202&amp;"|"&amp;V$5)=0,"",SUMIF('Competency Event Log'!$U$4:$U$803,$B202&amp;"|"&amp;V$5,'Competency Event Log'!$D$4:$D$803)))</f>
        <v/>
      </c>
      <c r="W202" s="8" t="str">
        <f>IF($B202="","",IF(COUNTIF('Competency Event Log'!$U$4:$U$803,$B202&amp;"|"&amp;W$5)=0,"",SUMIF('Competency Event Log'!$U$4:$U$803,$B202&amp;"|"&amp;W$5,'Competency Event Log'!$D$4:$D$803)))</f>
        <v/>
      </c>
      <c r="X202" s="8" t="str">
        <f>IF($B202="","",IF(COUNTIF('Competency Event Log'!$U$4:$U$803,$B202&amp;"|"&amp;X$5)=0,"",SUMIF('Competency Event Log'!$U$4:$U$803,$B202&amp;"|"&amp;X$5,'Competency Event Log'!$D$4:$D$803)))</f>
        <v/>
      </c>
      <c r="Y202" s="8" t="str">
        <f>IF($B202="","",IF(COUNTIF('Competency Event Log'!$U$4:$U$803,$B202&amp;"|"&amp;Y$5)=0,"",SUMIF('Competency Event Log'!$U$4:$U$803,$B202&amp;"|"&amp;Y$5,'Competency Event Log'!$D$4:$D$803)))</f>
        <v/>
      </c>
      <c r="Z202" s="8" t="str">
        <f>IF($B202="","",IF(COUNTIF('Competency Event Log'!$U$4:$U$803,$B202&amp;"|"&amp;Z$5)=0,"",SUMIF('Competency Event Log'!$U$4:$U$803,$B202&amp;"|"&amp;Z$5,'Competency Event Log'!$D$4:$D$803)))</f>
        <v/>
      </c>
      <c r="AA202" s="8" t="str">
        <f>IF($B202="","",IF(COUNTIF('Competency Event Log'!$U$4:$U$803,$B202&amp;"|"&amp;AA$5)=0,"",SUMIF('Competency Event Log'!$U$4:$U$803,$B202&amp;"|"&amp;AA$5,'Competency Event Log'!$D$4:$D$803)))</f>
        <v/>
      </c>
      <c r="AB202" s="8" t="str">
        <f>IF($B202="","",IF(COUNTIF('Competency Event Log'!$U$4:$U$803,$B202&amp;"|"&amp;AB$5)=0,"",SUMIF('Competency Event Log'!$U$4:$U$803,$B202&amp;"|"&amp;AB$5,'Competency Event Log'!$D$4:$D$803)))</f>
        <v/>
      </c>
      <c r="AC202" s="8" t="str">
        <f>IF($B202="","",IF(COUNTIF('Competency Event Log'!$U$4:$U$803,$B202&amp;"|"&amp;AC$5)=0,"",SUMIF('Competency Event Log'!$U$4:$U$803,$B202&amp;"|"&amp;AC$5,'Competency Event Log'!$D$4:$D$803)))</f>
        <v/>
      </c>
      <c r="AD202" s="8" t="str">
        <f>IF($B202="","",IF(COUNTIF('Competency Event Log'!$U$4:$U$803,$B202&amp;"|"&amp;AD$5)=0,"",SUMIF('Competency Event Log'!$U$4:$U$803,$B202&amp;"|"&amp;AD$5,'Competency Event Log'!$D$4:$D$803)))</f>
        <v/>
      </c>
      <c r="AE202" s="8" t="str">
        <f>IF($B202="","",IF(COUNTIF('Competency Event Log'!$U$4:$U$803,$B202&amp;"|"&amp;AE$5)=0,"",SUMIF('Competency Event Log'!$U$4:$U$803,$B202&amp;"|"&amp;AE$5,'Competency Event Log'!$D$4:$D$803)))</f>
        <v/>
      </c>
      <c r="AF202" s="8" t="str">
        <f>IF($B202="","",IF(COUNTIF('Competency Event Log'!$U$4:$U$803,$B202&amp;"|"&amp;AF$5)=0,"",SUMIF('Competency Event Log'!$U$4:$U$803,$B202&amp;"|"&amp;AF$5,'Competency Event Log'!$D$4:$D$803)))</f>
        <v/>
      </c>
      <c r="AG202" s="8" t="str">
        <f>IF($B202="","",IF(COUNTIF('Competency Event Log'!$U$4:$U$803,$B202&amp;"|"&amp;AG$5)=0,"",SUMIF('Competency Event Log'!$U$4:$U$803,$B202&amp;"|"&amp;AG$5,'Competency Event Log'!$D$4:$D$803)))</f>
        <v/>
      </c>
      <c r="AH202" s="8" t="str">
        <f>IF($B202="","",IF(COUNTIF('Competency Event Log'!$U$4:$U$803,$B202&amp;"|"&amp;AH$5)=0,"",SUMIF('Competency Event Log'!$U$4:$U$803,$B202&amp;"|"&amp;AH$5,'Competency Event Log'!$D$4:$D$803)))</f>
        <v/>
      </c>
      <c r="AI202" s="8" t="str">
        <f>IF($B202="","",IF(COUNTIF('Competency Event Log'!$U$4:$U$803,$B202&amp;"|"&amp;AI$5)=0,"",SUMIF('Competency Event Log'!$U$4:$U$803,$B202&amp;"|"&amp;AI$5,'Competency Event Log'!$D$4:$D$803)))</f>
        <v/>
      </c>
      <c r="AJ202" s="8" t="str">
        <f>IF($B202="","",IF(COUNTIF('Competency Event Log'!$U$4:$U$803,$B202&amp;"|"&amp;AJ$5)=0,"",SUMIF('Competency Event Log'!$U$4:$U$803,$B202&amp;"|"&amp;AJ$5,'Competency Event Log'!$D$4:$D$803)))</f>
        <v/>
      </c>
      <c r="AK202" s="8" t="str">
        <f>IF($B202="","",IF(COUNTIF('Competency Event Log'!$U$4:$U$803,$B202&amp;"|"&amp;AK$5)=0,"",SUMIF('Competency Event Log'!$U$4:$U$803,$B202&amp;"|"&amp;AK$5,'Competency Event Log'!$D$4:$D$803)))</f>
        <v/>
      </c>
      <c r="AL202" s="8" t="str">
        <f>IF($B202="","",IF(COUNTIF('Competency Event Log'!$U$4:$U$803,$B202&amp;"|"&amp;AL$5)=0,"",SUMIF('Competency Event Log'!$U$4:$U$803,$B202&amp;"|"&amp;AL$5,'Competency Event Log'!$D$4:$D$803)))</f>
        <v/>
      </c>
      <c r="AM202" s="8" t="str">
        <f>IF($B202="","",IF(COUNTIF('Competency Event Log'!$U$4:$U$803,$B202&amp;"|"&amp;AM$5)=0,"",SUMIF('Competency Event Log'!$U$4:$U$803,$B202&amp;"|"&amp;AM$5,'Competency Event Log'!$D$4:$D$803)))</f>
        <v/>
      </c>
      <c r="AN202" s="8" t="str">
        <f>IF($B202="","",IF(COUNTIF('Competency Event Log'!$U$4:$U$803,$B202&amp;"|"&amp;AN$5)=0,"",SUMIF('Competency Event Log'!$U$4:$U$803,$B202&amp;"|"&amp;AN$5,'Competency Event Log'!$D$4:$D$803)))</f>
        <v/>
      </c>
      <c r="AO202" s="8" t="str">
        <f>IF($B202="","",IF(COUNTIF('Competency Event Log'!$U$4:$U$803,$B202&amp;"|"&amp;AO$5)=0,"",SUMIF('Competency Event Log'!$U$4:$U$803,$B202&amp;"|"&amp;AO$5,'Competency Event Log'!$D$4:$D$803)))</f>
        <v/>
      </c>
      <c r="AP202" s="8" t="str">
        <f>IF($B202="","",IF(COUNTIF('Competency Event Log'!$U$4:$U$803,$B202&amp;"|"&amp;AP$5)=0,"",SUMIF('Competency Event Log'!$U$4:$U$803,$B202&amp;"|"&amp;AP$5,'Competency Event Log'!$D$4:$D$803)))</f>
        <v/>
      </c>
      <c r="AQ202" s="8" t="str">
        <f>IF($B202="","",IF(COUNTIF('Competency Event Log'!$U$4:$U$803,$B202&amp;"|"&amp;AQ$5)=0,"",SUMIF('Competency Event Log'!$U$4:$U$803,$B202&amp;"|"&amp;AQ$5,'Competency Event Log'!$D$4:$D$803)))</f>
        <v/>
      </c>
      <c r="AR202" s="8" t="str">
        <f>IF($B202="","",IF(COUNTIF('Competency Event Log'!$U$4:$U$803,$B202&amp;"|"&amp;AR$5)=0,"",SUMIF('Competency Event Log'!$U$4:$U$803,$B202&amp;"|"&amp;AR$5,'Competency Event Log'!$D$4:$D$803)))</f>
        <v/>
      </c>
      <c r="AS202" s="8" t="str">
        <f>IF($B202="","",IF(COUNTIF('Competency Event Log'!$U$4:$U$803,$B202&amp;"|"&amp;AS$5)=0,"",SUMIF('Competency Event Log'!$U$4:$U$803,$B202&amp;"|"&amp;AS$5,'Competency Event Log'!$D$4:$D$803)))</f>
        <v/>
      </c>
      <c r="AT202" s="8" t="str">
        <f>IF($B202="","",IF(COUNTIF('Competency Event Log'!$U$4:$U$803,$B202&amp;"|"&amp;AT$5)=0,"",SUMIF('Competency Event Log'!$U$4:$U$803,$B202&amp;"|"&amp;AT$5,'Competency Event Log'!$D$4:$D$803)))</f>
        <v/>
      </c>
      <c r="AU202" s="8" t="str">
        <f>IF($B202="","",IF(COUNTIF('Competency Event Log'!$U$4:$U$803,$B202&amp;"|"&amp;AU$5)=0,"",SUMIF('Competency Event Log'!$U$4:$U$803,$B202&amp;"|"&amp;AU$5,'Competency Event Log'!$D$4:$D$803)))</f>
        <v/>
      </c>
      <c r="AV202" s="8" t="str">
        <f>IF($B202="","",IF(COUNTIF('Competency Event Log'!$U$4:$U$803,$B202&amp;"|"&amp;AV$5)=0,"",SUMIF('Competency Event Log'!$U$4:$U$803,$B202&amp;"|"&amp;AV$5,'Competency Event Log'!$D$4:$D$803)))</f>
        <v/>
      </c>
      <c r="AW202" s="8" t="str">
        <f>IF($B202="","",IF(COUNTIF('Competency Event Log'!$U$4:$U$803,$B202&amp;"|"&amp;AW$5)=0,"",SUMIF('Competency Event Log'!$U$4:$U$803,$B202&amp;"|"&amp;AW$5,'Competency Event Log'!$D$4:$D$803)))</f>
        <v/>
      </c>
      <c r="AX202" s="8" t="str">
        <f>IF($B202="","",IF(COUNTIF('Competency Event Log'!$U$4:$U$803,$B202&amp;"|"&amp;AX$5)=0,"",SUMIF('Competency Event Log'!$U$4:$U$803,$B202&amp;"|"&amp;AX$5,'Competency Event Log'!$D$4:$D$803)))</f>
        <v/>
      </c>
      <c r="AY202" s="8" t="str">
        <f>IF($B202="","",IF(COUNTIF('Competency Event Log'!$U$4:$U$803,$B202&amp;"|"&amp;AY$5)=0,"",SUMIF('Competency Event Log'!$U$4:$U$803,$B202&amp;"|"&amp;AY$5,'Competency Event Log'!$D$4:$D$803)))</f>
        <v/>
      </c>
      <c r="AZ202" s="8" t="str">
        <f>IF($B202="","",IF(COUNTIF('Competency Event Log'!$U$4:$U$803,$B202&amp;"|"&amp;AZ$5)=0,"",SUMIF('Competency Event Log'!$U$4:$U$803,$B202&amp;"|"&amp;AZ$5,'Competency Event Log'!$D$4:$D$803)))</f>
        <v/>
      </c>
      <c r="BA202" s="8" t="str">
        <f>IF($B202="","",IF(COUNTIF('Competency Event Log'!$U$4:$U$803,$B202&amp;"|"&amp;BA$5)=0,"",SUMIF('Competency Event Log'!$U$4:$U$803,$B202&amp;"|"&amp;BA$5,'Competency Event Log'!$D$4:$D$803)))</f>
        <v/>
      </c>
      <c r="BB202" s="8" t="str">
        <f>IF($B202="","",IF(COUNTIF('Competency Event Log'!$U$4:$U$803,$B202&amp;"|"&amp;BB$5)=0,"",SUMIF('Competency Event Log'!$U$4:$U$803,$B202&amp;"|"&amp;BB$5,'Competency Event Log'!$D$4:$D$803)))</f>
        <v/>
      </c>
      <c r="BC202" s="8" t="str">
        <f>IF($B202="","",IF(COUNTIF('Competency Event Log'!$U$4:$U$803,$B202&amp;"|"&amp;BC$5)=0,"",SUMIF('Competency Event Log'!$U$4:$U$803,$B202&amp;"|"&amp;BC$5,'Competency Event Log'!$D$4:$D$803)))</f>
        <v/>
      </c>
      <c r="BD202" s="8" t="str">
        <f>IF($B202="","",IF(COUNTIF('Competency Event Log'!$U$4:$U$803,$B202&amp;"|"&amp;BD$5)=0,"",SUMIF('Competency Event Log'!$U$4:$U$803,$B202&amp;"|"&amp;BD$5,'Competency Event Log'!$D$4:$D$803)))</f>
        <v/>
      </c>
      <c r="BE202" s="8" t="str">
        <f>IF($B202="","",IF(COUNTIF('Competency Event Log'!$U$4:$U$803,$B202&amp;"|"&amp;BE$5)=0,"",SUMIF('Competency Event Log'!$U$4:$U$803,$B202&amp;"|"&amp;BE$5,'Competency Event Log'!$D$4:$D$803)))</f>
        <v/>
      </c>
      <c r="BF202" s="8" t="str">
        <f>IF($B202="","",IF(COUNTIF('Competency Event Log'!$U$4:$U$803,$B202&amp;"|"&amp;BF$5)=0,"",SUMIF('Competency Event Log'!$U$4:$U$803,$B202&amp;"|"&amp;BF$5,'Competency Event Log'!$D$4:$D$803)))</f>
        <v/>
      </c>
      <c r="BG202" s="8" t="str">
        <f>IF($B202="","",IF(COUNTIF('Competency Event Log'!$U$4:$U$803,$B202&amp;"|"&amp;BG$5)=0,"",SUMIF('Competency Event Log'!$U$4:$U$803,$B202&amp;"|"&amp;BG$5,'Competency Event Log'!$D$4:$D$803)))</f>
        <v/>
      </c>
      <c r="BH202" s="8" t="str">
        <f>IF($B202="","",IF(COUNTIF('Competency Event Log'!$U$4:$U$803,$B202&amp;"|"&amp;BH$5)=0,"",SUMIF('Competency Event Log'!$U$4:$U$803,$B202&amp;"|"&amp;BH$5,'Competency Event Log'!$D$4:$D$803)))</f>
        <v/>
      </c>
      <c r="BI202" s="8" t="str">
        <f>IF($B202="","",IF(COUNTIF('Competency Event Log'!$U$4:$U$803,$B202&amp;"|"&amp;BI$5)=0,"",SUMIF('Competency Event Log'!$U$4:$U$803,$B202&amp;"|"&amp;BI$5,'Competency Event Log'!$D$4:$D$803)))</f>
        <v/>
      </c>
      <c r="BJ202" s="8" t="str">
        <f>IF($B202="","",IF(COUNTIF('Competency Event Log'!$U$4:$U$803,$B202&amp;"|"&amp;BJ$5)=0,"",SUMIF('Competency Event Log'!$U$4:$U$803,$B202&amp;"|"&amp;BJ$5,'Competency Event Log'!$D$4:$D$803)))</f>
        <v/>
      </c>
      <c r="BK202" s="8" t="str">
        <f>IF($B202="","",IF(COUNTIF('Competency Event Log'!$U$4:$U$803,$B202&amp;"|"&amp;BK$5)=0,"",SUMIF('Competency Event Log'!$U$4:$U$803,$B202&amp;"|"&amp;BK$5,'Competency Event Log'!$D$4:$D$803)))</f>
        <v/>
      </c>
      <c r="BL202" s="8" t="str">
        <f>IF($B202="","",IF(COUNTIF('Competency Event Log'!$U$4:$U$803,$B202&amp;"|"&amp;BL$5)=0,"",SUMIF('Competency Event Log'!$U$4:$U$803,$B202&amp;"|"&amp;BL$5,'Competency Event Log'!$D$4:$D$803)))</f>
        <v/>
      </c>
      <c r="BM202" s="8" t="str">
        <f>IF($B202="","",IF(COUNTIF('Competency Event Log'!$U$4:$U$803,$B202&amp;"|"&amp;BM$5)=0,"",SUMIF('Competency Event Log'!$U$4:$U$803,$B202&amp;"|"&amp;BM$5,'Competency Event Log'!$D$4:$D$803)))</f>
        <v/>
      </c>
      <c r="BN202" s="8" t="str">
        <f>IF($B202="","",IF(COUNTIF('Competency Event Log'!$U$4:$U$803,$B202&amp;"|"&amp;BN$5)=0,"",SUMIF('Competency Event Log'!$U$4:$U$803,$B202&amp;"|"&amp;BN$5,'Competency Event Log'!$D$4:$D$803)))</f>
        <v/>
      </c>
      <c r="BO202" s="8" t="str">
        <f>IF($B202="","",IF(COUNTIF('Competency Event Log'!$U$4:$U$803,$B202&amp;"|"&amp;BO$5)=0,"",SUMIF('Competency Event Log'!$U$4:$U$803,$B202&amp;"|"&amp;BO$5,'Competency Event Log'!$D$4:$D$803)))</f>
        <v/>
      </c>
      <c r="BP202" s="8" t="str">
        <f>IF($B202="","",IF(COUNTIF('Competency Event Log'!$U$4:$U$803,$B202&amp;"|"&amp;BP$5)=0,"",SUMIF('Competency Event Log'!$U$4:$U$803,$B202&amp;"|"&amp;BP$5,'Competency Event Log'!$D$4:$D$803)))</f>
        <v/>
      </c>
      <c r="BQ202" s="8" t="str">
        <f>IF($B202="","",IF(COUNTIF('Competency Event Log'!$U$4:$U$803,$B202&amp;"|"&amp;BQ$5)=0,"",SUMIF('Competency Event Log'!$U$4:$U$803,$B202&amp;"|"&amp;BQ$5,'Competency Event Log'!$D$4:$D$803)))</f>
        <v/>
      </c>
      <c r="BR202" s="8" t="str">
        <f>IF($B202="","",IF(COUNTIF('Competency Event Log'!$U$4:$U$803,$B202&amp;"|"&amp;BR$5)=0,"",SUMIF('Competency Event Log'!$U$4:$U$803,$B202&amp;"|"&amp;BR$5,'Competency Event Log'!$D$4:$D$803)))</f>
        <v/>
      </c>
      <c r="BS202" s="8" t="str">
        <f>IF($B202="","",IF(COUNTIF('Competency Event Log'!$U$4:$U$803,$B202&amp;"|"&amp;BS$5)=0,"",SUMIF('Competency Event Log'!$U$4:$U$803,$B202&amp;"|"&amp;BS$5,'Competency Event Log'!$D$4:$D$803)))</f>
        <v/>
      </c>
      <c r="BT202" s="8" t="str">
        <f>IF($B202="","",IF(COUNTIF('Competency Event Log'!$U$4:$U$803,$B202&amp;"|"&amp;BT$5)=0,"",SUMIF('Competency Event Log'!$U$4:$U$803,$B202&amp;"|"&amp;BT$5,'Competency Event Log'!$D$4:$D$803)))</f>
        <v/>
      </c>
      <c r="BU202" s="8" t="str">
        <f>IF($B202="","",IF(COUNTIF('Competency Event Log'!$U$4:$U$803,$B202&amp;"|"&amp;BU$5)=0,"",SUMIF('Competency Event Log'!$U$4:$U$803,$B202&amp;"|"&amp;BU$5,'Competency Event Log'!$D$4:$D$803)))</f>
        <v/>
      </c>
      <c r="BV202" s="8" t="str">
        <f>IF($B202="","",IF(COUNTIF('Competency Event Log'!$U$4:$U$803,$B202&amp;"|"&amp;BV$5)=0,"",SUMIF('Competency Event Log'!$U$4:$U$803,$B202&amp;"|"&amp;BV$5,'Competency Event Log'!$D$4:$D$803)))</f>
        <v/>
      </c>
      <c r="BW202" s="8" t="str">
        <f>IF($B202="","",IF(COUNTIF('Competency Event Log'!$U$4:$U$803,$B202&amp;"|"&amp;BW$5)=0,"",SUMIF('Competency Event Log'!$U$4:$U$803,$B202&amp;"|"&amp;BW$5,'Competency Event Log'!$D$4:$D$803)))</f>
        <v/>
      </c>
      <c r="BX202" s="8" t="str">
        <f>IF($B202="","",IF(COUNTIF('Competency Event Log'!$U$4:$U$803,$B202&amp;"|"&amp;BX$5)=0,"",SUMIF('Competency Event Log'!$U$4:$U$803,$B202&amp;"|"&amp;BX$5,'Competency Event Log'!$D$4:$D$803)))</f>
        <v/>
      </c>
      <c r="BY202" s="8" t="str">
        <f>IF($B202="","",IF(COUNTIF('Competency Event Log'!$U$4:$U$803,$B202&amp;"|"&amp;BY$5)=0,"",SUMIF('Competency Event Log'!$U$4:$U$803,$B202&amp;"|"&amp;BY$5,'Competency Event Log'!$D$4:$D$803)))</f>
        <v/>
      </c>
      <c r="BZ202" s="8" t="str">
        <f>IF($B202="","",IF(COUNTIF('Competency Event Log'!$U$4:$U$803,$B202&amp;"|"&amp;BZ$5)=0,"",SUMIF('Competency Event Log'!$U$4:$U$803,$B202&amp;"|"&amp;BZ$5,'Competency Event Log'!$D$4:$D$803)))</f>
        <v/>
      </c>
      <c r="CA202" s="8" t="str">
        <f>IF($B202="","",IF(COUNTIF('Competency Event Log'!$U$4:$U$803,$B202&amp;"|"&amp;CA$5)=0,"",SUMIF('Competency Event Log'!$U$4:$U$803,$B202&amp;"|"&amp;CA$5,'Competency Event Log'!$D$4:$D$803)))</f>
        <v/>
      </c>
      <c r="CB202" s="8" t="str">
        <f>IF($B202="","",IF(COUNTIF('Competency Event Log'!$U$4:$U$803,$B202&amp;"|"&amp;CB$5)=0,"",SUMIF('Competency Event Log'!$U$4:$U$803,$B202&amp;"|"&amp;CB$5,'Competency Event Log'!$D$4:$D$803)))</f>
        <v/>
      </c>
      <c r="CC202" s="8" t="str">
        <f>IF($B202="","",IF(COUNTIF('Competency Event Log'!$U$4:$U$803,$B202&amp;"|"&amp;CC$5)=0,"",SUMIF('Competency Event Log'!$U$4:$U$803,$B202&amp;"|"&amp;CC$5,'Competency Event Log'!$D$4:$D$803)))</f>
        <v/>
      </c>
      <c r="CD202" s="8" t="str">
        <f>IF($B202="","",IF(COUNTIF('Competency Event Log'!$U$4:$U$803,$B202&amp;"|"&amp;CD$5)=0,"",SUMIF('Competency Event Log'!$U$4:$U$803,$B202&amp;"|"&amp;CD$5,'Competency Event Log'!$D$4:$D$803)))</f>
        <v/>
      </c>
      <c r="CE202" s="8" t="str">
        <f>IF($B202="","",IF(COUNTIF('Competency Event Log'!$U$4:$U$803,$B202&amp;"|"&amp;CE$5)=0,"",SUMIF('Competency Event Log'!$U$4:$U$803,$B202&amp;"|"&amp;CE$5,'Competency Event Log'!$D$4:$D$803)))</f>
        <v/>
      </c>
      <c r="CF202" s="8" t="str">
        <f>IF($B202="","",IF(COUNTIF('Competency Event Log'!$U$4:$U$803,$B202&amp;"|"&amp;CF$5)=0,"",SUMIF('Competency Event Log'!$U$4:$U$803,$B202&amp;"|"&amp;CF$5,'Competency Event Log'!$D$4:$D$803)))</f>
        <v/>
      </c>
      <c r="CG202" s="8" t="str">
        <f>IF($B202="","",IF(COUNTIF('Competency Event Log'!$U$4:$U$803,$B202&amp;"|"&amp;CG$5)=0,"",SUMIF('Competency Event Log'!$U$4:$U$803,$B202&amp;"|"&amp;CG$5,'Competency Event Log'!$D$4:$D$803)))</f>
        <v/>
      </c>
      <c r="CH202" s="8" t="str">
        <f>IF($B202="","",IF(COUNTIF('Competency Event Log'!$U$4:$U$803,$B202&amp;"|"&amp;CH$5)=0,"",SUMIF('Competency Event Log'!$U$4:$U$803,$B202&amp;"|"&amp;CH$5,'Competency Event Log'!$D$4:$D$803)))</f>
        <v/>
      </c>
      <c r="CI202" s="8" t="str">
        <f>IF($B202="","",IF(COUNTIF('Competency Event Log'!$U$4:$U$803,$B202&amp;"|"&amp;CI$5)=0,"",SUMIF('Competency Event Log'!$U$4:$U$803,$B202&amp;"|"&amp;CI$5,'Competency Event Log'!$D$4:$D$803)))</f>
        <v/>
      </c>
      <c r="CJ202" s="8" t="str">
        <f>IF($B202="","",IF(COUNTIF('Competency Event Log'!$U$4:$U$803,$B202&amp;"|"&amp;CJ$5)=0,"",SUMIF('Competency Event Log'!$U$4:$U$803,$B202&amp;"|"&amp;CJ$5,'Competency Event Log'!$D$4:$D$803)))</f>
        <v/>
      </c>
      <c r="CK202" s="8" t="str">
        <f>IF($B202="","",IF(COUNTIF('Competency Event Log'!$U$4:$U$803,$B202&amp;"|"&amp;CK$5)=0,"",SUMIF('Competency Event Log'!$U$4:$U$803,$B202&amp;"|"&amp;CK$5,'Competency Event Log'!$D$4:$D$803)))</f>
        <v/>
      </c>
      <c r="CL202" s="8" t="str">
        <f>IF($B202="","",IF(COUNTIF('Competency Event Log'!$U$4:$U$803,$B202&amp;"|"&amp;CL$5)=0,"",SUMIF('Competency Event Log'!$U$4:$U$803,$B202&amp;"|"&amp;CL$5,'Competency Event Log'!$D$4:$D$803)))</f>
        <v/>
      </c>
      <c r="CM202" s="8" t="str">
        <f>IF($B202="","",IF(COUNTIF('Competency Event Log'!$U$4:$U$803,$B202&amp;"|"&amp;CM$5)=0,"",SUMIF('Competency Event Log'!$U$4:$U$803,$B202&amp;"|"&amp;CM$5,'Competency Event Log'!$D$4:$D$803)))</f>
        <v/>
      </c>
      <c r="CN202" s="8" t="str">
        <f>IF($B202="","",IF(COUNTIF('Competency Event Log'!$U$4:$U$803,$B202&amp;"|"&amp;CN$5)=0,"",SUMIF('Competency Event Log'!$U$4:$U$803,$B202&amp;"|"&amp;CN$5,'Competency Event Log'!$D$4:$D$803)))</f>
        <v/>
      </c>
      <c r="CO202" s="8" t="str">
        <f>IF($B202="","",IF(COUNTIF('Competency Event Log'!$U$4:$U$803,$B202&amp;"|"&amp;CO$5)=0,"",SUMIF('Competency Event Log'!$U$4:$U$803,$B202&amp;"|"&amp;CO$5,'Competency Event Log'!$D$4:$D$803)))</f>
        <v/>
      </c>
      <c r="CP202" s="8" t="str">
        <f>IF($B202="","",IF(COUNTIF('Competency Event Log'!$U$4:$U$803,$B202&amp;"|"&amp;CP$5)=0,"",SUMIF('Competency Event Log'!$U$4:$U$803,$B202&amp;"|"&amp;CP$5,'Competency Event Log'!$D$4:$D$803)))</f>
        <v/>
      </c>
      <c r="CQ202" s="8" t="str">
        <f>IF($B202="","",IF(COUNTIF('Competency Event Log'!$U$4:$U$803,$B202&amp;"|"&amp;CQ$5)=0,"",SUMIF('Competency Event Log'!$U$4:$U$803,$B202&amp;"|"&amp;CQ$5,'Competency Event Log'!$D$4:$D$803)))</f>
        <v/>
      </c>
      <c r="CR202" s="8" t="str">
        <f>IF($B202="","",IF(COUNTIF('Competency Event Log'!$U$4:$U$803,$B202&amp;"|"&amp;CR$5)=0,"",SUMIF('Competency Event Log'!$U$4:$U$803,$B202&amp;"|"&amp;CR$5,'Competency Event Log'!$D$4:$D$803)))</f>
        <v/>
      </c>
      <c r="CS202" s="8" t="str">
        <f>IF($B202="","",IF(COUNTIF('Competency Event Log'!$U$4:$U$803,$B202&amp;"|"&amp;CS$5)=0,"",SUMIF('Competency Event Log'!$U$4:$U$803,$B202&amp;"|"&amp;CS$5,'Competency Event Log'!$D$4:$D$803)))</f>
        <v/>
      </c>
      <c r="CT202" s="8" t="str">
        <f>IF($B202="","",IF(COUNTIF('Competency Event Log'!$U$4:$U$803,$B202&amp;"|"&amp;CT$5)=0,"",SUMIF('Competency Event Log'!$U$4:$U$803,$B202&amp;"|"&amp;CT$5,'Competency Event Log'!$D$4:$D$803)))</f>
        <v/>
      </c>
      <c r="CU202" s="8" t="str">
        <f>IF($B202="","",IF(COUNTIF('Competency Event Log'!$U$4:$U$803,$B202&amp;"|"&amp;CU$5)=0,"",SUMIF('Competency Event Log'!$U$4:$U$803,$B202&amp;"|"&amp;CU$5,'Competency Event Log'!$D$4:$D$803)))</f>
        <v/>
      </c>
      <c r="CV202" s="8" t="str">
        <f>IF($B202="","",IF(COUNTIF('Competency Event Log'!$U$4:$U$803,$B202&amp;"|"&amp;CV$5)=0,"",SUMIF('Competency Event Log'!$U$4:$U$803,$B202&amp;"|"&amp;CV$5,'Competency Event Log'!$D$4:$D$803)))</f>
        <v/>
      </c>
      <c r="CW202" s="8" t="str">
        <f>IF($B202="","",IF(COUNTIF('Competency Event Log'!$U$4:$U$803,$B202&amp;"|"&amp;CW$5)=0,"",SUMIF('Competency Event Log'!$U$4:$U$803,$B202&amp;"|"&amp;CW$5,'Competency Event Log'!$D$4:$D$803)))</f>
        <v/>
      </c>
      <c r="CX202" s="8" t="str">
        <f>IF($B202="","",IF(COUNTIF('Competency Event Log'!$U$4:$U$803,$B202&amp;"|"&amp;CX$5)=0,"",SUMIF('Competency Event Log'!$U$4:$U$803,$B202&amp;"|"&amp;CX$5,'Competency Event Log'!$D$4:$D$803)))</f>
        <v/>
      </c>
      <c r="CY202" s="8" t="str">
        <f>IF($B202="","",IF(COUNTIF('Competency Event Log'!$U$4:$U$803,$B202&amp;"|"&amp;CY$5)=0,"",SUMIF('Competency Event Log'!$U$4:$U$803,$B202&amp;"|"&amp;CY$5,'Competency Event Log'!$D$4:$D$803)))</f>
        <v/>
      </c>
      <c r="CZ202" s="8" t="str">
        <f>IF($B202="","",IF(COUNTIF('Competency Event Log'!$U$4:$U$803,$B202&amp;"|"&amp;CZ$5)=0,"",SUMIF('Competency Event Log'!$U$4:$U$803,$B202&amp;"|"&amp;CZ$5,'Competency Event Log'!$D$4:$D$803)))</f>
        <v/>
      </c>
      <c r="DA202" s="8" t="str">
        <f>IF($B202="","",IF(COUNTIF('Competency Event Log'!$U$4:$U$803,$B202&amp;"|"&amp;DA$5)=0,"",SUMIF('Competency Event Log'!$U$4:$U$803,$B202&amp;"|"&amp;DA$5,'Competency Event Log'!$D$4:$D$803)))</f>
        <v/>
      </c>
      <c r="DB202" s="8" t="str">
        <f>IF($B202="","",IF(COUNTIF('Competency Event Log'!$U$4:$U$803,$B202&amp;"|"&amp;DB$5)=0,"",SUMIF('Competency Event Log'!$U$4:$U$803,$B202&amp;"|"&amp;DB$5,'Competency Event Log'!$D$4:$D$803)))</f>
        <v/>
      </c>
      <c r="DC202" s="8" t="str">
        <f>IF($B202="","",IF(COUNTIF('Competency Event Log'!$U$4:$U$803,$B202&amp;"|"&amp;DC$5)=0,"",SUMIF('Competency Event Log'!$U$4:$U$803,$B202&amp;"|"&amp;DC$5,'Competency Event Log'!$D$4:$D$803)))</f>
        <v/>
      </c>
      <c r="DD202" s="8" t="str">
        <f>IF($B202="","",IF(COUNTIF('Competency Event Log'!$U$4:$U$803,$B202&amp;"|"&amp;DD$5)=0,"",SUMIF('Competency Event Log'!$U$4:$U$803,$B202&amp;"|"&amp;DD$5,'Competency Event Log'!$D$4:$D$803)))</f>
        <v/>
      </c>
      <c r="DE202" s="8" t="str">
        <f>IF($B202="","",IF(COUNTIF('Competency Event Log'!$U$4:$U$803,$B202&amp;"|"&amp;DE$5)=0,"",SUMIF('Competency Event Log'!$U$4:$U$803,$B202&amp;"|"&amp;DE$5,'Competency Event Log'!$D$4:$D$803)))</f>
        <v/>
      </c>
      <c r="DF202" s="8" t="str">
        <f t="shared" si="24"/>
        <v/>
      </c>
      <c r="DG202" s="8" t="str">
        <f t="shared" si="25"/>
        <v/>
      </c>
      <c r="DH202" s="8" t="str">
        <f t="shared" si="26"/>
        <v/>
      </c>
      <c r="DI202" s="11" t="str">
        <f t="shared" si="27"/>
        <v/>
      </c>
    </row>
    <row r="203" spans="1:113">
      <c r="A203" s="7"/>
      <c r="B203" s="7"/>
      <c r="C203" s="8"/>
      <c r="D203" s="9"/>
      <c r="E203" s="10"/>
      <c r="F203" s="8"/>
      <c r="G203" s="8" t="str">
        <f>IF($B203="","",IF(COUNTIF('Competency Event Log'!$U$4:$U$803,$B203&amp;"|"&amp;G$5)=0,"",SUMIF('Competency Event Log'!$U$4:$U$803,$B203&amp;"|"&amp;G$5,'Competency Event Log'!$D$4:$D$803)))</f>
        <v/>
      </c>
      <c r="H203" s="8" t="str">
        <f>IF($B203="","",IF(COUNTIF('Competency Event Log'!$U$4:$U$803,$B203&amp;"|"&amp;H$5)=0,"",SUMIF('Competency Event Log'!$U$4:$U$803,$B203&amp;"|"&amp;H$5,'Competency Event Log'!$D$4:$D$803)))</f>
        <v/>
      </c>
      <c r="I203" s="8" t="str">
        <f>IF($B203="","",IF(COUNTIF('Competency Event Log'!$U$4:$U$803,$B203&amp;"|"&amp;I$5)=0,"",SUMIF('Competency Event Log'!$U$4:$U$803,$B203&amp;"|"&amp;I$5,'Competency Event Log'!$D$4:$D$803)))</f>
        <v/>
      </c>
      <c r="J203" s="8" t="str">
        <f>IF($B203="","",IF(COUNTIF('Competency Event Log'!$U$4:$U$803,$B203&amp;"|"&amp;J$5)=0,"",SUMIF('Competency Event Log'!$U$4:$U$803,$B203&amp;"|"&amp;J$5,'Competency Event Log'!$D$4:$D$803)))</f>
        <v/>
      </c>
      <c r="K203" s="8" t="str">
        <f>IF($B203="","",IF(COUNTIF('Competency Event Log'!$U$4:$U$803,$B203&amp;"|"&amp;K$5)=0,"",SUMIF('Competency Event Log'!$U$4:$U$803,$B203&amp;"|"&amp;K$5,'Competency Event Log'!$D$4:$D$803)))</f>
        <v/>
      </c>
      <c r="L203" s="8" t="str">
        <f>IF($B203="","",IF(COUNTIF('Competency Event Log'!$U$4:$U$803,$B203&amp;"|"&amp;L$5)=0,"",SUMIF('Competency Event Log'!$U$4:$U$803,$B203&amp;"|"&amp;L$5,'Competency Event Log'!$D$4:$D$803)))</f>
        <v/>
      </c>
      <c r="M203" s="8" t="str">
        <f>IF($B203="","",IF(COUNTIF('Competency Event Log'!$U$4:$U$803,$B203&amp;"|"&amp;M$5)=0,"",SUMIF('Competency Event Log'!$U$4:$U$803,$B203&amp;"|"&amp;M$5,'Competency Event Log'!$D$4:$D$803)))</f>
        <v/>
      </c>
      <c r="N203" s="8" t="str">
        <f>IF($B203="","",IF(COUNTIF('Competency Event Log'!$U$4:$U$803,$B203&amp;"|"&amp;N$5)=0,"",SUMIF('Competency Event Log'!$U$4:$U$803,$B203&amp;"|"&amp;N$5,'Competency Event Log'!$D$4:$D$803)))</f>
        <v/>
      </c>
      <c r="O203" s="8" t="str">
        <f>IF($B203="","",IF(COUNTIF('Competency Event Log'!$U$4:$U$803,$B203&amp;"|"&amp;O$5)=0,"",SUMIF('Competency Event Log'!$U$4:$U$803,$B203&amp;"|"&amp;O$5,'Competency Event Log'!$D$4:$D$803)))</f>
        <v/>
      </c>
      <c r="P203" s="8" t="str">
        <f>IF($B203="","",IF(COUNTIF('Competency Event Log'!$U$4:$U$803,$B203&amp;"|"&amp;P$5)=0,"",SUMIF('Competency Event Log'!$U$4:$U$803,$B203&amp;"|"&amp;P$5,'Competency Event Log'!$D$4:$D$803)))</f>
        <v/>
      </c>
      <c r="Q203" s="8" t="str">
        <f>IF($B203="","",IF(COUNTIF('Competency Event Log'!$U$4:$U$803,$B203&amp;"|"&amp;Q$5)=0,"",SUMIF('Competency Event Log'!$U$4:$U$803,$B203&amp;"|"&amp;Q$5,'Competency Event Log'!$D$4:$D$803)))</f>
        <v/>
      </c>
      <c r="R203" s="8" t="str">
        <f>IF($B203="","",IF(COUNTIF('Competency Event Log'!$U$4:$U$803,$B203&amp;"|"&amp;R$5)=0,"",SUMIF('Competency Event Log'!$U$4:$U$803,$B203&amp;"|"&amp;R$5,'Competency Event Log'!$D$4:$D$803)))</f>
        <v/>
      </c>
      <c r="S203" s="8" t="str">
        <f>IF($B203="","",IF(COUNTIF('Competency Event Log'!$U$4:$U$803,$B203&amp;"|"&amp;S$5)=0,"",SUMIF('Competency Event Log'!$U$4:$U$803,$B203&amp;"|"&amp;S$5,'Competency Event Log'!$D$4:$D$803)))</f>
        <v/>
      </c>
      <c r="T203" s="8" t="str">
        <f>IF($B203="","",IF(COUNTIF('Competency Event Log'!$U$4:$U$803,$B203&amp;"|"&amp;T$5)=0,"",SUMIF('Competency Event Log'!$U$4:$U$803,$B203&amp;"|"&amp;T$5,'Competency Event Log'!$D$4:$D$803)))</f>
        <v/>
      </c>
      <c r="U203" s="8" t="str">
        <f>IF($B203="","",IF(COUNTIF('Competency Event Log'!$U$4:$U$803,$B203&amp;"|"&amp;U$5)=0,"",SUMIF('Competency Event Log'!$U$4:$U$803,$B203&amp;"|"&amp;U$5,'Competency Event Log'!$D$4:$D$803)))</f>
        <v/>
      </c>
      <c r="V203" s="8" t="str">
        <f>IF($B203="","",IF(COUNTIF('Competency Event Log'!$U$4:$U$803,$B203&amp;"|"&amp;V$5)=0,"",SUMIF('Competency Event Log'!$U$4:$U$803,$B203&amp;"|"&amp;V$5,'Competency Event Log'!$D$4:$D$803)))</f>
        <v/>
      </c>
      <c r="W203" s="8" t="str">
        <f>IF($B203="","",IF(COUNTIF('Competency Event Log'!$U$4:$U$803,$B203&amp;"|"&amp;W$5)=0,"",SUMIF('Competency Event Log'!$U$4:$U$803,$B203&amp;"|"&amp;W$5,'Competency Event Log'!$D$4:$D$803)))</f>
        <v/>
      </c>
      <c r="X203" s="8" t="str">
        <f>IF($B203="","",IF(COUNTIF('Competency Event Log'!$U$4:$U$803,$B203&amp;"|"&amp;X$5)=0,"",SUMIF('Competency Event Log'!$U$4:$U$803,$B203&amp;"|"&amp;X$5,'Competency Event Log'!$D$4:$D$803)))</f>
        <v/>
      </c>
      <c r="Y203" s="8" t="str">
        <f>IF($B203="","",IF(COUNTIF('Competency Event Log'!$U$4:$U$803,$B203&amp;"|"&amp;Y$5)=0,"",SUMIF('Competency Event Log'!$U$4:$U$803,$B203&amp;"|"&amp;Y$5,'Competency Event Log'!$D$4:$D$803)))</f>
        <v/>
      </c>
      <c r="Z203" s="8" t="str">
        <f>IF($B203="","",IF(COUNTIF('Competency Event Log'!$U$4:$U$803,$B203&amp;"|"&amp;Z$5)=0,"",SUMIF('Competency Event Log'!$U$4:$U$803,$B203&amp;"|"&amp;Z$5,'Competency Event Log'!$D$4:$D$803)))</f>
        <v/>
      </c>
      <c r="AA203" s="8" t="str">
        <f>IF($B203="","",IF(COUNTIF('Competency Event Log'!$U$4:$U$803,$B203&amp;"|"&amp;AA$5)=0,"",SUMIF('Competency Event Log'!$U$4:$U$803,$B203&amp;"|"&amp;AA$5,'Competency Event Log'!$D$4:$D$803)))</f>
        <v/>
      </c>
      <c r="AB203" s="8" t="str">
        <f>IF($B203="","",IF(COUNTIF('Competency Event Log'!$U$4:$U$803,$B203&amp;"|"&amp;AB$5)=0,"",SUMIF('Competency Event Log'!$U$4:$U$803,$B203&amp;"|"&amp;AB$5,'Competency Event Log'!$D$4:$D$803)))</f>
        <v/>
      </c>
      <c r="AC203" s="8" t="str">
        <f>IF($B203="","",IF(COUNTIF('Competency Event Log'!$U$4:$U$803,$B203&amp;"|"&amp;AC$5)=0,"",SUMIF('Competency Event Log'!$U$4:$U$803,$B203&amp;"|"&amp;AC$5,'Competency Event Log'!$D$4:$D$803)))</f>
        <v/>
      </c>
      <c r="AD203" s="8" t="str">
        <f>IF($B203="","",IF(COUNTIF('Competency Event Log'!$U$4:$U$803,$B203&amp;"|"&amp;AD$5)=0,"",SUMIF('Competency Event Log'!$U$4:$U$803,$B203&amp;"|"&amp;AD$5,'Competency Event Log'!$D$4:$D$803)))</f>
        <v/>
      </c>
      <c r="AE203" s="8" t="str">
        <f>IF($B203="","",IF(COUNTIF('Competency Event Log'!$U$4:$U$803,$B203&amp;"|"&amp;AE$5)=0,"",SUMIF('Competency Event Log'!$U$4:$U$803,$B203&amp;"|"&amp;AE$5,'Competency Event Log'!$D$4:$D$803)))</f>
        <v/>
      </c>
      <c r="AF203" s="8" t="str">
        <f>IF($B203="","",IF(COUNTIF('Competency Event Log'!$U$4:$U$803,$B203&amp;"|"&amp;AF$5)=0,"",SUMIF('Competency Event Log'!$U$4:$U$803,$B203&amp;"|"&amp;AF$5,'Competency Event Log'!$D$4:$D$803)))</f>
        <v/>
      </c>
      <c r="AG203" s="8" t="str">
        <f>IF($B203="","",IF(COUNTIF('Competency Event Log'!$U$4:$U$803,$B203&amp;"|"&amp;AG$5)=0,"",SUMIF('Competency Event Log'!$U$4:$U$803,$B203&amp;"|"&amp;AG$5,'Competency Event Log'!$D$4:$D$803)))</f>
        <v/>
      </c>
      <c r="AH203" s="8" t="str">
        <f>IF($B203="","",IF(COUNTIF('Competency Event Log'!$U$4:$U$803,$B203&amp;"|"&amp;AH$5)=0,"",SUMIF('Competency Event Log'!$U$4:$U$803,$B203&amp;"|"&amp;AH$5,'Competency Event Log'!$D$4:$D$803)))</f>
        <v/>
      </c>
      <c r="AI203" s="8" t="str">
        <f>IF($B203="","",IF(COUNTIF('Competency Event Log'!$U$4:$U$803,$B203&amp;"|"&amp;AI$5)=0,"",SUMIF('Competency Event Log'!$U$4:$U$803,$B203&amp;"|"&amp;AI$5,'Competency Event Log'!$D$4:$D$803)))</f>
        <v/>
      </c>
      <c r="AJ203" s="8" t="str">
        <f>IF($B203="","",IF(COUNTIF('Competency Event Log'!$U$4:$U$803,$B203&amp;"|"&amp;AJ$5)=0,"",SUMIF('Competency Event Log'!$U$4:$U$803,$B203&amp;"|"&amp;AJ$5,'Competency Event Log'!$D$4:$D$803)))</f>
        <v/>
      </c>
      <c r="AK203" s="8" t="str">
        <f>IF($B203="","",IF(COUNTIF('Competency Event Log'!$U$4:$U$803,$B203&amp;"|"&amp;AK$5)=0,"",SUMIF('Competency Event Log'!$U$4:$U$803,$B203&amp;"|"&amp;AK$5,'Competency Event Log'!$D$4:$D$803)))</f>
        <v/>
      </c>
      <c r="AL203" s="8" t="str">
        <f>IF($B203="","",IF(COUNTIF('Competency Event Log'!$U$4:$U$803,$B203&amp;"|"&amp;AL$5)=0,"",SUMIF('Competency Event Log'!$U$4:$U$803,$B203&amp;"|"&amp;AL$5,'Competency Event Log'!$D$4:$D$803)))</f>
        <v/>
      </c>
      <c r="AM203" s="8" t="str">
        <f>IF($B203="","",IF(COUNTIF('Competency Event Log'!$U$4:$U$803,$B203&amp;"|"&amp;AM$5)=0,"",SUMIF('Competency Event Log'!$U$4:$U$803,$B203&amp;"|"&amp;AM$5,'Competency Event Log'!$D$4:$D$803)))</f>
        <v/>
      </c>
      <c r="AN203" s="8" t="str">
        <f>IF($B203="","",IF(COUNTIF('Competency Event Log'!$U$4:$U$803,$B203&amp;"|"&amp;AN$5)=0,"",SUMIF('Competency Event Log'!$U$4:$U$803,$B203&amp;"|"&amp;AN$5,'Competency Event Log'!$D$4:$D$803)))</f>
        <v/>
      </c>
      <c r="AO203" s="8" t="str">
        <f>IF($B203="","",IF(COUNTIF('Competency Event Log'!$U$4:$U$803,$B203&amp;"|"&amp;AO$5)=0,"",SUMIF('Competency Event Log'!$U$4:$U$803,$B203&amp;"|"&amp;AO$5,'Competency Event Log'!$D$4:$D$803)))</f>
        <v/>
      </c>
      <c r="AP203" s="8" t="str">
        <f>IF($B203="","",IF(COUNTIF('Competency Event Log'!$U$4:$U$803,$B203&amp;"|"&amp;AP$5)=0,"",SUMIF('Competency Event Log'!$U$4:$U$803,$B203&amp;"|"&amp;AP$5,'Competency Event Log'!$D$4:$D$803)))</f>
        <v/>
      </c>
      <c r="AQ203" s="8" t="str">
        <f>IF($B203="","",IF(COUNTIF('Competency Event Log'!$U$4:$U$803,$B203&amp;"|"&amp;AQ$5)=0,"",SUMIF('Competency Event Log'!$U$4:$U$803,$B203&amp;"|"&amp;AQ$5,'Competency Event Log'!$D$4:$D$803)))</f>
        <v/>
      </c>
      <c r="AR203" s="8" t="str">
        <f>IF($B203="","",IF(COUNTIF('Competency Event Log'!$U$4:$U$803,$B203&amp;"|"&amp;AR$5)=0,"",SUMIF('Competency Event Log'!$U$4:$U$803,$B203&amp;"|"&amp;AR$5,'Competency Event Log'!$D$4:$D$803)))</f>
        <v/>
      </c>
      <c r="AS203" s="8" t="str">
        <f>IF($B203="","",IF(COUNTIF('Competency Event Log'!$U$4:$U$803,$B203&amp;"|"&amp;AS$5)=0,"",SUMIF('Competency Event Log'!$U$4:$U$803,$B203&amp;"|"&amp;AS$5,'Competency Event Log'!$D$4:$D$803)))</f>
        <v/>
      </c>
      <c r="AT203" s="8" t="str">
        <f>IF($B203="","",IF(COUNTIF('Competency Event Log'!$U$4:$U$803,$B203&amp;"|"&amp;AT$5)=0,"",SUMIF('Competency Event Log'!$U$4:$U$803,$B203&amp;"|"&amp;AT$5,'Competency Event Log'!$D$4:$D$803)))</f>
        <v/>
      </c>
      <c r="AU203" s="8" t="str">
        <f>IF($B203="","",IF(COUNTIF('Competency Event Log'!$U$4:$U$803,$B203&amp;"|"&amp;AU$5)=0,"",SUMIF('Competency Event Log'!$U$4:$U$803,$B203&amp;"|"&amp;AU$5,'Competency Event Log'!$D$4:$D$803)))</f>
        <v/>
      </c>
      <c r="AV203" s="8" t="str">
        <f>IF($B203="","",IF(COUNTIF('Competency Event Log'!$U$4:$U$803,$B203&amp;"|"&amp;AV$5)=0,"",SUMIF('Competency Event Log'!$U$4:$U$803,$B203&amp;"|"&amp;AV$5,'Competency Event Log'!$D$4:$D$803)))</f>
        <v/>
      </c>
      <c r="AW203" s="8" t="str">
        <f>IF($B203="","",IF(COUNTIF('Competency Event Log'!$U$4:$U$803,$B203&amp;"|"&amp;AW$5)=0,"",SUMIF('Competency Event Log'!$U$4:$U$803,$B203&amp;"|"&amp;AW$5,'Competency Event Log'!$D$4:$D$803)))</f>
        <v/>
      </c>
      <c r="AX203" s="8" t="str">
        <f>IF($B203="","",IF(COUNTIF('Competency Event Log'!$U$4:$U$803,$B203&amp;"|"&amp;AX$5)=0,"",SUMIF('Competency Event Log'!$U$4:$U$803,$B203&amp;"|"&amp;AX$5,'Competency Event Log'!$D$4:$D$803)))</f>
        <v/>
      </c>
      <c r="AY203" s="8" t="str">
        <f>IF($B203="","",IF(COUNTIF('Competency Event Log'!$U$4:$U$803,$B203&amp;"|"&amp;AY$5)=0,"",SUMIF('Competency Event Log'!$U$4:$U$803,$B203&amp;"|"&amp;AY$5,'Competency Event Log'!$D$4:$D$803)))</f>
        <v/>
      </c>
      <c r="AZ203" s="8" t="str">
        <f>IF($B203="","",IF(COUNTIF('Competency Event Log'!$U$4:$U$803,$B203&amp;"|"&amp;AZ$5)=0,"",SUMIF('Competency Event Log'!$U$4:$U$803,$B203&amp;"|"&amp;AZ$5,'Competency Event Log'!$D$4:$D$803)))</f>
        <v/>
      </c>
      <c r="BA203" s="8" t="str">
        <f>IF($B203="","",IF(COUNTIF('Competency Event Log'!$U$4:$U$803,$B203&amp;"|"&amp;BA$5)=0,"",SUMIF('Competency Event Log'!$U$4:$U$803,$B203&amp;"|"&amp;BA$5,'Competency Event Log'!$D$4:$D$803)))</f>
        <v/>
      </c>
      <c r="BB203" s="8" t="str">
        <f>IF($B203="","",IF(COUNTIF('Competency Event Log'!$U$4:$U$803,$B203&amp;"|"&amp;BB$5)=0,"",SUMIF('Competency Event Log'!$U$4:$U$803,$B203&amp;"|"&amp;BB$5,'Competency Event Log'!$D$4:$D$803)))</f>
        <v/>
      </c>
      <c r="BC203" s="8" t="str">
        <f>IF($B203="","",IF(COUNTIF('Competency Event Log'!$U$4:$U$803,$B203&amp;"|"&amp;BC$5)=0,"",SUMIF('Competency Event Log'!$U$4:$U$803,$B203&amp;"|"&amp;BC$5,'Competency Event Log'!$D$4:$D$803)))</f>
        <v/>
      </c>
      <c r="BD203" s="8" t="str">
        <f>IF($B203="","",IF(COUNTIF('Competency Event Log'!$U$4:$U$803,$B203&amp;"|"&amp;BD$5)=0,"",SUMIF('Competency Event Log'!$U$4:$U$803,$B203&amp;"|"&amp;BD$5,'Competency Event Log'!$D$4:$D$803)))</f>
        <v/>
      </c>
      <c r="BE203" s="8" t="str">
        <f>IF($B203="","",IF(COUNTIF('Competency Event Log'!$U$4:$U$803,$B203&amp;"|"&amp;BE$5)=0,"",SUMIF('Competency Event Log'!$U$4:$U$803,$B203&amp;"|"&amp;BE$5,'Competency Event Log'!$D$4:$D$803)))</f>
        <v/>
      </c>
      <c r="BF203" s="8" t="str">
        <f>IF($B203="","",IF(COUNTIF('Competency Event Log'!$U$4:$U$803,$B203&amp;"|"&amp;BF$5)=0,"",SUMIF('Competency Event Log'!$U$4:$U$803,$B203&amp;"|"&amp;BF$5,'Competency Event Log'!$D$4:$D$803)))</f>
        <v/>
      </c>
      <c r="BG203" s="8" t="str">
        <f>IF($B203="","",IF(COUNTIF('Competency Event Log'!$U$4:$U$803,$B203&amp;"|"&amp;BG$5)=0,"",SUMIF('Competency Event Log'!$U$4:$U$803,$B203&amp;"|"&amp;BG$5,'Competency Event Log'!$D$4:$D$803)))</f>
        <v/>
      </c>
      <c r="BH203" s="8" t="str">
        <f>IF($B203="","",IF(COUNTIF('Competency Event Log'!$U$4:$U$803,$B203&amp;"|"&amp;BH$5)=0,"",SUMIF('Competency Event Log'!$U$4:$U$803,$B203&amp;"|"&amp;BH$5,'Competency Event Log'!$D$4:$D$803)))</f>
        <v/>
      </c>
      <c r="BI203" s="8" t="str">
        <f>IF($B203="","",IF(COUNTIF('Competency Event Log'!$U$4:$U$803,$B203&amp;"|"&amp;BI$5)=0,"",SUMIF('Competency Event Log'!$U$4:$U$803,$B203&amp;"|"&amp;BI$5,'Competency Event Log'!$D$4:$D$803)))</f>
        <v/>
      </c>
      <c r="BJ203" s="8" t="str">
        <f>IF($B203="","",IF(COUNTIF('Competency Event Log'!$U$4:$U$803,$B203&amp;"|"&amp;BJ$5)=0,"",SUMIF('Competency Event Log'!$U$4:$U$803,$B203&amp;"|"&amp;BJ$5,'Competency Event Log'!$D$4:$D$803)))</f>
        <v/>
      </c>
      <c r="BK203" s="8" t="str">
        <f>IF($B203="","",IF(COUNTIF('Competency Event Log'!$U$4:$U$803,$B203&amp;"|"&amp;BK$5)=0,"",SUMIF('Competency Event Log'!$U$4:$U$803,$B203&amp;"|"&amp;BK$5,'Competency Event Log'!$D$4:$D$803)))</f>
        <v/>
      </c>
      <c r="BL203" s="8" t="str">
        <f>IF($B203="","",IF(COUNTIF('Competency Event Log'!$U$4:$U$803,$B203&amp;"|"&amp;BL$5)=0,"",SUMIF('Competency Event Log'!$U$4:$U$803,$B203&amp;"|"&amp;BL$5,'Competency Event Log'!$D$4:$D$803)))</f>
        <v/>
      </c>
      <c r="BM203" s="8" t="str">
        <f>IF($B203="","",IF(COUNTIF('Competency Event Log'!$U$4:$U$803,$B203&amp;"|"&amp;BM$5)=0,"",SUMIF('Competency Event Log'!$U$4:$U$803,$B203&amp;"|"&amp;BM$5,'Competency Event Log'!$D$4:$D$803)))</f>
        <v/>
      </c>
      <c r="BN203" s="8" t="str">
        <f>IF($B203="","",IF(COUNTIF('Competency Event Log'!$U$4:$U$803,$B203&amp;"|"&amp;BN$5)=0,"",SUMIF('Competency Event Log'!$U$4:$U$803,$B203&amp;"|"&amp;BN$5,'Competency Event Log'!$D$4:$D$803)))</f>
        <v/>
      </c>
      <c r="BO203" s="8" t="str">
        <f>IF($B203="","",IF(COUNTIF('Competency Event Log'!$U$4:$U$803,$B203&amp;"|"&amp;BO$5)=0,"",SUMIF('Competency Event Log'!$U$4:$U$803,$B203&amp;"|"&amp;BO$5,'Competency Event Log'!$D$4:$D$803)))</f>
        <v/>
      </c>
      <c r="BP203" s="8" t="str">
        <f>IF($B203="","",IF(COUNTIF('Competency Event Log'!$U$4:$U$803,$B203&amp;"|"&amp;BP$5)=0,"",SUMIF('Competency Event Log'!$U$4:$U$803,$B203&amp;"|"&amp;BP$5,'Competency Event Log'!$D$4:$D$803)))</f>
        <v/>
      </c>
      <c r="BQ203" s="8" t="str">
        <f>IF($B203="","",IF(COUNTIF('Competency Event Log'!$U$4:$U$803,$B203&amp;"|"&amp;BQ$5)=0,"",SUMIF('Competency Event Log'!$U$4:$U$803,$B203&amp;"|"&amp;BQ$5,'Competency Event Log'!$D$4:$D$803)))</f>
        <v/>
      </c>
      <c r="BR203" s="8" t="str">
        <f>IF($B203="","",IF(COUNTIF('Competency Event Log'!$U$4:$U$803,$B203&amp;"|"&amp;BR$5)=0,"",SUMIF('Competency Event Log'!$U$4:$U$803,$B203&amp;"|"&amp;BR$5,'Competency Event Log'!$D$4:$D$803)))</f>
        <v/>
      </c>
      <c r="BS203" s="8" t="str">
        <f>IF($B203="","",IF(COUNTIF('Competency Event Log'!$U$4:$U$803,$B203&amp;"|"&amp;BS$5)=0,"",SUMIF('Competency Event Log'!$U$4:$U$803,$B203&amp;"|"&amp;BS$5,'Competency Event Log'!$D$4:$D$803)))</f>
        <v/>
      </c>
      <c r="BT203" s="8" t="str">
        <f>IF($B203="","",IF(COUNTIF('Competency Event Log'!$U$4:$U$803,$B203&amp;"|"&amp;BT$5)=0,"",SUMIF('Competency Event Log'!$U$4:$U$803,$B203&amp;"|"&amp;BT$5,'Competency Event Log'!$D$4:$D$803)))</f>
        <v/>
      </c>
      <c r="BU203" s="8" t="str">
        <f>IF($B203="","",IF(COUNTIF('Competency Event Log'!$U$4:$U$803,$B203&amp;"|"&amp;BU$5)=0,"",SUMIF('Competency Event Log'!$U$4:$U$803,$B203&amp;"|"&amp;BU$5,'Competency Event Log'!$D$4:$D$803)))</f>
        <v/>
      </c>
      <c r="BV203" s="8" t="str">
        <f>IF($B203="","",IF(COUNTIF('Competency Event Log'!$U$4:$U$803,$B203&amp;"|"&amp;BV$5)=0,"",SUMIF('Competency Event Log'!$U$4:$U$803,$B203&amp;"|"&amp;BV$5,'Competency Event Log'!$D$4:$D$803)))</f>
        <v/>
      </c>
      <c r="BW203" s="8" t="str">
        <f>IF($B203="","",IF(COUNTIF('Competency Event Log'!$U$4:$U$803,$B203&amp;"|"&amp;BW$5)=0,"",SUMIF('Competency Event Log'!$U$4:$U$803,$B203&amp;"|"&amp;BW$5,'Competency Event Log'!$D$4:$D$803)))</f>
        <v/>
      </c>
      <c r="BX203" s="8" t="str">
        <f>IF($B203="","",IF(COUNTIF('Competency Event Log'!$U$4:$U$803,$B203&amp;"|"&amp;BX$5)=0,"",SUMIF('Competency Event Log'!$U$4:$U$803,$B203&amp;"|"&amp;BX$5,'Competency Event Log'!$D$4:$D$803)))</f>
        <v/>
      </c>
      <c r="BY203" s="8" t="str">
        <f>IF($B203="","",IF(COUNTIF('Competency Event Log'!$U$4:$U$803,$B203&amp;"|"&amp;BY$5)=0,"",SUMIF('Competency Event Log'!$U$4:$U$803,$B203&amp;"|"&amp;BY$5,'Competency Event Log'!$D$4:$D$803)))</f>
        <v/>
      </c>
      <c r="BZ203" s="8" t="str">
        <f>IF($B203="","",IF(COUNTIF('Competency Event Log'!$U$4:$U$803,$B203&amp;"|"&amp;BZ$5)=0,"",SUMIF('Competency Event Log'!$U$4:$U$803,$B203&amp;"|"&amp;BZ$5,'Competency Event Log'!$D$4:$D$803)))</f>
        <v/>
      </c>
      <c r="CA203" s="8" t="str">
        <f>IF($B203="","",IF(COUNTIF('Competency Event Log'!$U$4:$U$803,$B203&amp;"|"&amp;CA$5)=0,"",SUMIF('Competency Event Log'!$U$4:$U$803,$B203&amp;"|"&amp;CA$5,'Competency Event Log'!$D$4:$D$803)))</f>
        <v/>
      </c>
      <c r="CB203" s="8" t="str">
        <f>IF($B203="","",IF(COUNTIF('Competency Event Log'!$U$4:$U$803,$B203&amp;"|"&amp;CB$5)=0,"",SUMIF('Competency Event Log'!$U$4:$U$803,$B203&amp;"|"&amp;CB$5,'Competency Event Log'!$D$4:$D$803)))</f>
        <v/>
      </c>
      <c r="CC203" s="8" t="str">
        <f>IF($B203="","",IF(COUNTIF('Competency Event Log'!$U$4:$U$803,$B203&amp;"|"&amp;CC$5)=0,"",SUMIF('Competency Event Log'!$U$4:$U$803,$B203&amp;"|"&amp;CC$5,'Competency Event Log'!$D$4:$D$803)))</f>
        <v/>
      </c>
      <c r="CD203" s="8" t="str">
        <f>IF($B203="","",IF(COUNTIF('Competency Event Log'!$U$4:$U$803,$B203&amp;"|"&amp;CD$5)=0,"",SUMIF('Competency Event Log'!$U$4:$U$803,$B203&amp;"|"&amp;CD$5,'Competency Event Log'!$D$4:$D$803)))</f>
        <v/>
      </c>
      <c r="CE203" s="8" t="str">
        <f>IF($B203="","",IF(COUNTIF('Competency Event Log'!$U$4:$U$803,$B203&amp;"|"&amp;CE$5)=0,"",SUMIF('Competency Event Log'!$U$4:$U$803,$B203&amp;"|"&amp;CE$5,'Competency Event Log'!$D$4:$D$803)))</f>
        <v/>
      </c>
      <c r="CF203" s="8" t="str">
        <f>IF($B203="","",IF(COUNTIF('Competency Event Log'!$U$4:$U$803,$B203&amp;"|"&amp;CF$5)=0,"",SUMIF('Competency Event Log'!$U$4:$U$803,$B203&amp;"|"&amp;CF$5,'Competency Event Log'!$D$4:$D$803)))</f>
        <v/>
      </c>
      <c r="CG203" s="8" t="str">
        <f>IF($B203="","",IF(COUNTIF('Competency Event Log'!$U$4:$U$803,$B203&amp;"|"&amp;CG$5)=0,"",SUMIF('Competency Event Log'!$U$4:$U$803,$B203&amp;"|"&amp;CG$5,'Competency Event Log'!$D$4:$D$803)))</f>
        <v/>
      </c>
      <c r="CH203" s="8" t="str">
        <f>IF($B203="","",IF(COUNTIF('Competency Event Log'!$U$4:$U$803,$B203&amp;"|"&amp;CH$5)=0,"",SUMIF('Competency Event Log'!$U$4:$U$803,$B203&amp;"|"&amp;CH$5,'Competency Event Log'!$D$4:$D$803)))</f>
        <v/>
      </c>
      <c r="CI203" s="8" t="str">
        <f>IF($B203="","",IF(COUNTIF('Competency Event Log'!$U$4:$U$803,$B203&amp;"|"&amp;CI$5)=0,"",SUMIF('Competency Event Log'!$U$4:$U$803,$B203&amp;"|"&amp;CI$5,'Competency Event Log'!$D$4:$D$803)))</f>
        <v/>
      </c>
      <c r="CJ203" s="8" t="str">
        <f>IF($B203="","",IF(COUNTIF('Competency Event Log'!$U$4:$U$803,$B203&amp;"|"&amp;CJ$5)=0,"",SUMIF('Competency Event Log'!$U$4:$U$803,$B203&amp;"|"&amp;CJ$5,'Competency Event Log'!$D$4:$D$803)))</f>
        <v/>
      </c>
      <c r="CK203" s="8" t="str">
        <f>IF($B203="","",IF(COUNTIF('Competency Event Log'!$U$4:$U$803,$B203&amp;"|"&amp;CK$5)=0,"",SUMIF('Competency Event Log'!$U$4:$U$803,$B203&amp;"|"&amp;CK$5,'Competency Event Log'!$D$4:$D$803)))</f>
        <v/>
      </c>
      <c r="CL203" s="8" t="str">
        <f>IF($B203="","",IF(COUNTIF('Competency Event Log'!$U$4:$U$803,$B203&amp;"|"&amp;CL$5)=0,"",SUMIF('Competency Event Log'!$U$4:$U$803,$B203&amp;"|"&amp;CL$5,'Competency Event Log'!$D$4:$D$803)))</f>
        <v/>
      </c>
      <c r="CM203" s="8" t="str">
        <f>IF($B203="","",IF(COUNTIF('Competency Event Log'!$U$4:$U$803,$B203&amp;"|"&amp;CM$5)=0,"",SUMIF('Competency Event Log'!$U$4:$U$803,$B203&amp;"|"&amp;CM$5,'Competency Event Log'!$D$4:$D$803)))</f>
        <v/>
      </c>
      <c r="CN203" s="8" t="str">
        <f>IF($B203="","",IF(COUNTIF('Competency Event Log'!$U$4:$U$803,$B203&amp;"|"&amp;CN$5)=0,"",SUMIF('Competency Event Log'!$U$4:$U$803,$B203&amp;"|"&amp;CN$5,'Competency Event Log'!$D$4:$D$803)))</f>
        <v/>
      </c>
      <c r="CO203" s="8" t="str">
        <f>IF($B203="","",IF(COUNTIF('Competency Event Log'!$U$4:$U$803,$B203&amp;"|"&amp;CO$5)=0,"",SUMIF('Competency Event Log'!$U$4:$U$803,$B203&amp;"|"&amp;CO$5,'Competency Event Log'!$D$4:$D$803)))</f>
        <v/>
      </c>
      <c r="CP203" s="8" t="str">
        <f>IF($B203="","",IF(COUNTIF('Competency Event Log'!$U$4:$U$803,$B203&amp;"|"&amp;CP$5)=0,"",SUMIF('Competency Event Log'!$U$4:$U$803,$B203&amp;"|"&amp;CP$5,'Competency Event Log'!$D$4:$D$803)))</f>
        <v/>
      </c>
      <c r="CQ203" s="8" t="str">
        <f>IF($B203="","",IF(COUNTIF('Competency Event Log'!$U$4:$U$803,$B203&amp;"|"&amp;CQ$5)=0,"",SUMIF('Competency Event Log'!$U$4:$U$803,$B203&amp;"|"&amp;CQ$5,'Competency Event Log'!$D$4:$D$803)))</f>
        <v/>
      </c>
      <c r="CR203" s="8" t="str">
        <f>IF($B203="","",IF(COUNTIF('Competency Event Log'!$U$4:$U$803,$B203&amp;"|"&amp;CR$5)=0,"",SUMIF('Competency Event Log'!$U$4:$U$803,$B203&amp;"|"&amp;CR$5,'Competency Event Log'!$D$4:$D$803)))</f>
        <v/>
      </c>
      <c r="CS203" s="8" t="str">
        <f>IF($B203="","",IF(COUNTIF('Competency Event Log'!$U$4:$U$803,$B203&amp;"|"&amp;CS$5)=0,"",SUMIF('Competency Event Log'!$U$4:$U$803,$B203&amp;"|"&amp;CS$5,'Competency Event Log'!$D$4:$D$803)))</f>
        <v/>
      </c>
      <c r="CT203" s="8" t="str">
        <f>IF($B203="","",IF(COUNTIF('Competency Event Log'!$U$4:$U$803,$B203&amp;"|"&amp;CT$5)=0,"",SUMIF('Competency Event Log'!$U$4:$U$803,$B203&amp;"|"&amp;CT$5,'Competency Event Log'!$D$4:$D$803)))</f>
        <v/>
      </c>
      <c r="CU203" s="8" t="str">
        <f>IF($B203="","",IF(COUNTIF('Competency Event Log'!$U$4:$U$803,$B203&amp;"|"&amp;CU$5)=0,"",SUMIF('Competency Event Log'!$U$4:$U$803,$B203&amp;"|"&amp;CU$5,'Competency Event Log'!$D$4:$D$803)))</f>
        <v/>
      </c>
      <c r="CV203" s="8" t="str">
        <f>IF($B203="","",IF(COUNTIF('Competency Event Log'!$U$4:$U$803,$B203&amp;"|"&amp;CV$5)=0,"",SUMIF('Competency Event Log'!$U$4:$U$803,$B203&amp;"|"&amp;CV$5,'Competency Event Log'!$D$4:$D$803)))</f>
        <v/>
      </c>
      <c r="CW203" s="8" t="str">
        <f>IF($B203="","",IF(COUNTIF('Competency Event Log'!$U$4:$U$803,$B203&amp;"|"&amp;CW$5)=0,"",SUMIF('Competency Event Log'!$U$4:$U$803,$B203&amp;"|"&amp;CW$5,'Competency Event Log'!$D$4:$D$803)))</f>
        <v/>
      </c>
      <c r="CX203" s="8" t="str">
        <f>IF($B203="","",IF(COUNTIF('Competency Event Log'!$U$4:$U$803,$B203&amp;"|"&amp;CX$5)=0,"",SUMIF('Competency Event Log'!$U$4:$U$803,$B203&amp;"|"&amp;CX$5,'Competency Event Log'!$D$4:$D$803)))</f>
        <v/>
      </c>
      <c r="CY203" s="8" t="str">
        <f>IF($B203="","",IF(COUNTIF('Competency Event Log'!$U$4:$U$803,$B203&amp;"|"&amp;CY$5)=0,"",SUMIF('Competency Event Log'!$U$4:$U$803,$B203&amp;"|"&amp;CY$5,'Competency Event Log'!$D$4:$D$803)))</f>
        <v/>
      </c>
      <c r="CZ203" s="8" t="str">
        <f>IF($B203="","",IF(COUNTIF('Competency Event Log'!$U$4:$U$803,$B203&amp;"|"&amp;CZ$5)=0,"",SUMIF('Competency Event Log'!$U$4:$U$803,$B203&amp;"|"&amp;CZ$5,'Competency Event Log'!$D$4:$D$803)))</f>
        <v/>
      </c>
      <c r="DA203" s="8" t="str">
        <f>IF($B203="","",IF(COUNTIF('Competency Event Log'!$U$4:$U$803,$B203&amp;"|"&amp;DA$5)=0,"",SUMIF('Competency Event Log'!$U$4:$U$803,$B203&amp;"|"&amp;DA$5,'Competency Event Log'!$D$4:$D$803)))</f>
        <v/>
      </c>
      <c r="DB203" s="8" t="str">
        <f>IF($B203="","",IF(COUNTIF('Competency Event Log'!$U$4:$U$803,$B203&amp;"|"&amp;DB$5)=0,"",SUMIF('Competency Event Log'!$U$4:$U$803,$B203&amp;"|"&amp;DB$5,'Competency Event Log'!$D$4:$D$803)))</f>
        <v/>
      </c>
      <c r="DC203" s="8" t="str">
        <f>IF($B203="","",IF(COUNTIF('Competency Event Log'!$U$4:$U$803,$B203&amp;"|"&amp;DC$5)=0,"",SUMIF('Competency Event Log'!$U$4:$U$803,$B203&amp;"|"&amp;DC$5,'Competency Event Log'!$D$4:$D$803)))</f>
        <v/>
      </c>
      <c r="DD203" s="8" t="str">
        <f>IF($B203="","",IF(COUNTIF('Competency Event Log'!$U$4:$U$803,$B203&amp;"|"&amp;DD$5)=0,"",SUMIF('Competency Event Log'!$U$4:$U$803,$B203&amp;"|"&amp;DD$5,'Competency Event Log'!$D$4:$D$803)))</f>
        <v/>
      </c>
      <c r="DE203" s="8" t="str">
        <f>IF($B203="","",IF(COUNTIF('Competency Event Log'!$U$4:$U$803,$B203&amp;"|"&amp;DE$5)=0,"",SUMIF('Competency Event Log'!$U$4:$U$803,$B203&amp;"|"&amp;DE$5,'Competency Event Log'!$D$4:$D$803)))</f>
        <v/>
      </c>
      <c r="DF203" s="8" t="str">
        <f t="shared" si="24"/>
        <v/>
      </c>
      <c r="DG203" s="8" t="str">
        <f t="shared" si="25"/>
        <v/>
      </c>
      <c r="DH203" s="8" t="str">
        <f t="shared" si="26"/>
        <v/>
      </c>
      <c r="DI203" s="11" t="str">
        <f t="shared" si="27"/>
        <v/>
      </c>
    </row>
    <row r="204" spans="1:113">
      <c r="A204" s="7"/>
      <c r="B204" s="7"/>
      <c r="C204" s="8"/>
      <c r="D204" s="9"/>
      <c r="E204" s="10"/>
      <c r="F204" s="8"/>
      <c r="G204" s="8" t="str">
        <f>IF($B204="","",IF(COUNTIF('Competency Event Log'!$U$4:$U$803,$B204&amp;"|"&amp;G$5)=0,"",SUMIF('Competency Event Log'!$U$4:$U$803,$B204&amp;"|"&amp;G$5,'Competency Event Log'!$D$4:$D$803)))</f>
        <v/>
      </c>
      <c r="H204" s="8" t="str">
        <f>IF($B204="","",IF(COUNTIF('Competency Event Log'!$U$4:$U$803,$B204&amp;"|"&amp;H$5)=0,"",SUMIF('Competency Event Log'!$U$4:$U$803,$B204&amp;"|"&amp;H$5,'Competency Event Log'!$D$4:$D$803)))</f>
        <v/>
      </c>
      <c r="I204" s="8" t="str">
        <f>IF($B204="","",IF(COUNTIF('Competency Event Log'!$U$4:$U$803,$B204&amp;"|"&amp;I$5)=0,"",SUMIF('Competency Event Log'!$U$4:$U$803,$B204&amp;"|"&amp;I$5,'Competency Event Log'!$D$4:$D$803)))</f>
        <v/>
      </c>
      <c r="J204" s="8" t="str">
        <f>IF($B204="","",IF(COUNTIF('Competency Event Log'!$U$4:$U$803,$B204&amp;"|"&amp;J$5)=0,"",SUMIF('Competency Event Log'!$U$4:$U$803,$B204&amp;"|"&amp;J$5,'Competency Event Log'!$D$4:$D$803)))</f>
        <v/>
      </c>
      <c r="K204" s="8" t="str">
        <f>IF($B204="","",IF(COUNTIF('Competency Event Log'!$U$4:$U$803,$B204&amp;"|"&amp;K$5)=0,"",SUMIF('Competency Event Log'!$U$4:$U$803,$B204&amp;"|"&amp;K$5,'Competency Event Log'!$D$4:$D$803)))</f>
        <v/>
      </c>
      <c r="L204" s="8" t="str">
        <f>IF($B204="","",IF(COUNTIF('Competency Event Log'!$U$4:$U$803,$B204&amp;"|"&amp;L$5)=0,"",SUMIF('Competency Event Log'!$U$4:$U$803,$B204&amp;"|"&amp;L$5,'Competency Event Log'!$D$4:$D$803)))</f>
        <v/>
      </c>
      <c r="M204" s="8" t="str">
        <f>IF($B204="","",IF(COUNTIF('Competency Event Log'!$U$4:$U$803,$B204&amp;"|"&amp;M$5)=0,"",SUMIF('Competency Event Log'!$U$4:$U$803,$B204&amp;"|"&amp;M$5,'Competency Event Log'!$D$4:$D$803)))</f>
        <v/>
      </c>
      <c r="N204" s="8" t="str">
        <f>IF($B204="","",IF(COUNTIF('Competency Event Log'!$U$4:$U$803,$B204&amp;"|"&amp;N$5)=0,"",SUMIF('Competency Event Log'!$U$4:$U$803,$B204&amp;"|"&amp;N$5,'Competency Event Log'!$D$4:$D$803)))</f>
        <v/>
      </c>
      <c r="O204" s="8" t="str">
        <f>IF($B204="","",IF(COUNTIF('Competency Event Log'!$U$4:$U$803,$B204&amp;"|"&amp;O$5)=0,"",SUMIF('Competency Event Log'!$U$4:$U$803,$B204&amp;"|"&amp;O$5,'Competency Event Log'!$D$4:$D$803)))</f>
        <v/>
      </c>
      <c r="P204" s="8" t="str">
        <f>IF($B204="","",IF(COUNTIF('Competency Event Log'!$U$4:$U$803,$B204&amp;"|"&amp;P$5)=0,"",SUMIF('Competency Event Log'!$U$4:$U$803,$B204&amp;"|"&amp;P$5,'Competency Event Log'!$D$4:$D$803)))</f>
        <v/>
      </c>
      <c r="Q204" s="8" t="str">
        <f>IF($B204="","",IF(COUNTIF('Competency Event Log'!$U$4:$U$803,$B204&amp;"|"&amp;Q$5)=0,"",SUMIF('Competency Event Log'!$U$4:$U$803,$B204&amp;"|"&amp;Q$5,'Competency Event Log'!$D$4:$D$803)))</f>
        <v/>
      </c>
      <c r="R204" s="8" t="str">
        <f>IF($B204="","",IF(COUNTIF('Competency Event Log'!$U$4:$U$803,$B204&amp;"|"&amp;R$5)=0,"",SUMIF('Competency Event Log'!$U$4:$U$803,$B204&amp;"|"&amp;R$5,'Competency Event Log'!$D$4:$D$803)))</f>
        <v/>
      </c>
      <c r="S204" s="8" t="str">
        <f>IF($B204="","",IF(COUNTIF('Competency Event Log'!$U$4:$U$803,$B204&amp;"|"&amp;S$5)=0,"",SUMIF('Competency Event Log'!$U$4:$U$803,$B204&amp;"|"&amp;S$5,'Competency Event Log'!$D$4:$D$803)))</f>
        <v/>
      </c>
      <c r="T204" s="8" t="str">
        <f>IF($B204="","",IF(COUNTIF('Competency Event Log'!$U$4:$U$803,$B204&amp;"|"&amp;T$5)=0,"",SUMIF('Competency Event Log'!$U$4:$U$803,$B204&amp;"|"&amp;T$5,'Competency Event Log'!$D$4:$D$803)))</f>
        <v/>
      </c>
      <c r="U204" s="8" t="str">
        <f>IF($B204="","",IF(COUNTIF('Competency Event Log'!$U$4:$U$803,$B204&amp;"|"&amp;U$5)=0,"",SUMIF('Competency Event Log'!$U$4:$U$803,$B204&amp;"|"&amp;U$5,'Competency Event Log'!$D$4:$D$803)))</f>
        <v/>
      </c>
      <c r="V204" s="8" t="str">
        <f>IF($B204="","",IF(COUNTIF('Competency Event Log'!$U$4:$U$803,$B204&amp;"|"&amp;V$5)=0,"",SUMIF('Competency Event Log'!$U$4:$U$803,$B204&amp;"|"&amp;V$5,'Competency Event Log'!$D$4:$D$803)))</f>
        <v/>
      </c>
      <c r="W204" s="8" t="str">
        <f>IF($B204="","",IF(COUNTIF('Competency Event Log'!$U$4:$U$803,$B204&amp;"|"&amp;W$5)=0,"",SUMIF('Competency Event Log'!$U$4:$U$803,$B204&amp;"|"&amp;W$5,'Competency Event Log'!$D$4:$D$803)))</f>
        <v/>
      </c>
      <c r="X204" s="8" t="str">
        <f>IF($B204="","",IF(COUNTIF('Competency Event Log'!$U$4:$U$803,$B204&amp;"|"&amp;X$5)=0,"",SUMIF('Competency Event Log'!$U$4:$U$803,$B204&amp;"|"&amp;X$5,'Competency Event Log'!$D$4:$D$803)))</f>
        <v/>
      </c>
      <c r="Y204" s="8" t="str">
        <f>IF($B204="","",IF(COUNTIF('Competency Event Log'!$U$4:$U$803,$B204&amp;"|"&amp;Y$5)=0,"",SUMIF('Competency Event Log'!$U$4:$U$803,$B204&amp;"|"&amp;Y$5,'Competency Event Log'!$D$4:$D$803)))</f>
        <v/>
      </c>
      <c r="Z204" s="8" t="str">
        <f>IF($B204="","",IF(COUNTIF('Competency Event Log'!$U$4:$U$803,$B204&amp;"|"&amp;Z$5)=0,"",SUMIF('Competency Event Log'!$U$4:$U$803,$B204&amp;"|"&amp;Z$5,'Competency Event Log'!$D$4:$D$803)))</f>
        <v/>
      </c>
      <c r="AA204" s="8" t="str">
        <f>IF($B204="","",IF(COUNTIF('Competency Event Log'!$U$4:$U$803,$B204&amp;"|"&amp;AA$5)=0,"",SUMIF('Competency Event Log'!$U$4:$U$803,$B204&amp;"|"&amp;AA$5,'Competency Event Log'!$D$4:$D$803)))</f>
        <v/>
      </c>
      <c r="AB204" s="8" t="str">
        <f>IF($B204="","",IF(COUNTIF('Competency Event Log'!$U$4:$U$803,$B204&amp;"|"&amp;AB$5)=0,"",SUMIF('Competency Event Log'!$U$4:$U$803,$B204&amp;"|"&amp;AB$5,'Competency Event Log'!$D$4:$D$803)))</f>
        <v/>
      </c>
      <c r="AC204" s="8" t="str">
        <f>IF($B204="","",IF(COUNTIF('Competency Event Log'!$U$4:$U$803,$B204&amp;"|"&amp;AC$5)=0,"",SUMIF('Competency Event Log'!$U$4:$U$803,$B204&amp;"|"&amp;AC$5,'Competency Event Log'!$D$4:$D$803)))</f>
        <v/>
      </c>
      <c r="AD204" s="8" t="str">
        <f>IF($B204="","",IF(COUNTIF('Competency Event Log'!$U$4:$U$803,$B204&amp;"|"&amp;AD$5)=0,"",SUMIF('Competency Event Log'!$U$4:$U$803,$B204&amp;"|"&amp;AD$5,'Competency Event Log'!$D$4:$D$803)))</f>
        <v/>
      </c>
      <c r="AE204" s="8" t="str">
        <f>IF($B204="","",IF(COUNTIF('Competency Event Log'!$U$4:$U$803,$B204&amp;"|"&amp;AE$5)=0,"",SUMIF('Competency Event Log'!$U$4:$U$803,$B204&amp;"|"&amp;AE$5,'Competency Event Log'!$D$4:$D$803)))</f>
        <v/>
      </c>
      <c r="AF204" s="8" t="str">
        <f>IF($B204="","",IF(COUNTIF('Competency Event Log'!$U$4:$U$803,$B204&amp;"|"&amp;AF$5)=0,"",SUMIF('Competency Event Log'!$U$4:$U$803,$B204&amp;"|"&amp;AF$5,'Competency Event Log'!$D$4:$D$803)))</f>
        <v/>
      </c>
      <c r="AG204" s="8" t="str">
        <f>IF($B204="","",IF(COUNTIF('Competency Event Log'!$U$4:$U$803,$B204&amp;"|"&amp;AG$5)=0,"",SUMIF('Competency Event Log'!$U$4:$U$803,$B204&amp;"|"&amp;AG$5,'Competency Event Log'!$D$4:$D$803)))</f>
        <v/>
      </c>
      <c r="AH204" s="8" t="str">
        <f>IF($B204="","",IF(COUNTIF('Competency Event Log'!$U$4:$U$803,$B204&amp;"|"&amp;AH$5)=0,"",SUMIF('Competency Event Log'!$U$4:$U$803,$B204&amp;"|"&amp;AH$5,'Competency Event Log'!$D$4:$D$803)))</f>
        <v/>
      </c>
      <c r="AI204" s="8" t="str">
        <f>IF($B204="","",IF(COUNTIF('Competency Event Log'!$U$4:$U$803,$B204&amp;"|"&amp;AI$5)=0,"",SUMIF('Competency Event Log'!$U$4:$U$803,$B204&amp;"|"&amp;AI$5,'Competency Event Log'!$D$4:$D$803)))</f>
        <v/>
      </c>
      <c r="AJ204" s="8" t="str">
        <f>IF($B204="","",IF(COUNTIF('Competency Event Log'!$U$4:$U$803,$B204&amp;"|"&amp;AJ$5)=0,"",SUMIF('Competency Event Log'!$U$4:$U$803,$B204&amp;"|"&amp;AJ$5,'Competency Event Log'!$D$4:$D$803)))</f>
        <v/>
      </c>
      <c r="AK204" s="8" t="str">
        <f>IF($B204="","",IF(COUNTIF('Competency Event Log'!$U$4:$U$803,$B204&amp;"|"&amp;AK$5)=0,"",SUMIF('Competency Event Log'!$U$4:$U$803,$B204&amp;"|"&amp;AK$5,'Competency Event Log'!$D$4:$D$803)))</f>
        <v/>
      </c>
      <c r="AL204" s="8" t="str">
        <f>IF($B204="","",IF(COUNTIF('Competency Event Log'!$U$4:$U$803,$B204&amp;"|"&amp;AL$5)=0,"",SUMIF('Competency Event Log'!$U$4:$U$803,$B204&amp;"|"&amp;AL$5,'Competency Event Log'!$D$4:$D$803)))</f>
        <v/>
      </c>
      <c r="AM204" s="8" t="str">
        <f>IF($B204="","",IF(COUNTIF('Competency Event Log'!$U$4:$U$803,$B204&amp;"|"&amp;AM$5)=0,"",SUMIF('Competency Event Log'!$U$4:$U$803,$B204&amp;"|"&amp;AM$5,'Competency Event Log'!$D$4:$D$803)))</f>
        <v/>
      </c>
      <c r="AN204" s="8" t="str">
        <f>IF($B204="","",IF(COUNTIF('Competency Event Log'!$U$4:$U$803,$B204&amp;"|"&amp;AN$5)=0,"",SUMIF('Competency Event Log'!$U$4:$U$803,$B204&amp;"|"&amp;AN$5,'Competency Event Log'!$D$4:$D$803)))</f>
        <v/>
      </c>
      <c r="AO204" s="8" t="str">
        <f>IF($B204="","",IF(COUNTIF('Competency Event Log'!$U$4:$U$803,$B204&amp;"|"&amp;AO$5)=0,"",SUMIF('Competency Event Log'!$U$4:$U$803,$B204&amp;"|"&amp;AO$5,'Competency Event Log'!$D$4:$D$803)))</f>
        <v/>
      </c>
      <c r="AP204" s="8" t="str">
        <f>IF($B204="","",IF(COUNTIF('Competency Event Log'!$U$4:$U$803,$B204&amp;"|"&amp;AP$5)=0,"",SUMIF('Competency Event Log'!$U$4:$U$803,$B204&amp;"|"&amp;AP$5,'Competency Event Log'!$D$4:$D$803)))</f>
        <v/>
      </c>
      <c r="AQ204" s="8" t="str">
        <f>IF($B204="","",IF(COUNTIF('Competency Event Log'!$U$4:$U$803,$B204&amp;"|"&amp;AQ$5)=0,"",SUMIF('Competency Event Log'!$U$4:$U$803,$B204&amp;"|"&amp;AQ$5,'Competency Event Log'!$D$4:$D$803)))</f>
        <v/>
      </c>
      <c r="AR204" s="8" t="str">
        <f>IF($B204="","",IF(COUNTIF('Competency Event Log'!$U$4:$U$803,$B204&amp;"|"&amp;AR$5)=0,"",SUMIF('Competency Event Log'!$U$4:$U$803,$B204&amp;"|"&amp;AR$5,'Competency Event Log'!$D$4:$D$803)))</f>
        <v/>
      </c>
      <c r="AS204" s="8" t="str">
        <f>IF($B204="","",IF(COUNTIF('Competency Event Log'!$U$4:$U$803,$B204&amp;"|"&amp;AS$5)=0,"",SUMIF('Competency Event Log'!$U$4:$U$803,$B204&amp;"|"&amp;AS$5,'Competency Event Log'!$D$4:$D$803)))</f>
        <v/>
      </c>
      <c r="AT204" s="8" t="str">
        <f>IF($B204="","",IF(COUNTIF('Competency Event Log'!$U$4:$U$803,$B204&amp;"|"&amp;AT$5)=0,"",SUMIF('Competency Event Log'!$U$4:$U$803,$B204&amp;"|"&amp;AT$5,'Competency Event Log'!$D$4:$D$803)))</f>
        <v/>
      </c>
      <c r="AU204" s="8" t="str">
        <f>IF($B204="","",IF(COUNTIF('Competency Event Log'!$U$4:$U$803,$B204&amp;"|"&amp;AU$5)=0,"",SUMIF('Competency Event Log'!$U$4:$U$803,$B204&amp;"|"&amp;AU$5,'Competency Event Log'!$D$4:$D$803)))</f>
        <v/>
      </c>
      <c r="AV204" s="8" t="str">
        <f>IF($B204="","",IF(COUNTIF('Competency Event Log'!$U$4:$U$803,$B204&amp;"|"&amp;AV$5)=0,"",SUMIF('Competency Event Log'!$U$4:$U$803,$B204&amp;"|"&amp;AV$5,'Competency Event Log'!$D$4:$D$803)))</f>
        <v/>
      </c>
      <c r="AW204" s="8" t="str">
        <f>IF($B204="","",IF(COUNTIF('Competency Event Log'!$U$4:$U$803,$B204&amp;"|"&amp;AW$5)=0,"",SUMIF('Competency Event Log'!$U$4:$U$803,$B204&amp;"|"&amp;AW$5,'Competency Event Log'!$D$4:$D$803)))</f>
        <v/>
      </c>
      <c r="AX204" s="8" t="str">
        <f>IF($B204="","",IF(COUNTIF('Competency Event Log'!$U$4:$U$803,$B204&amp;"|"&amp;AX$5)=0,"",SUMIF('Competency Event Log'!$U$4:$U$803,$B204&amp;"|"&amp;AX$5,'Competency Event Log'!$D$4:$D$803)))</f>
        <v/>
      </c>
      <c r="AY204" s="8" t="str">
        <f>IF($B204="","",IF(COUNTIF('Competency Event Log'!$U$4:$U$803,$B204&amp;"|"&amp;AY$5)=0,"",SUMIF('Competency Event Log'!$U$4:$U$803,$B204&amp;"|"&amp;AY$5,'Competency Event Log'!$D$4:$D$803)))</f>
        <v/>
      </c>
      <c r="AZ204" s="8" t="str">
        <f>IF($B204="","",IF(COUNTIF('Competency Event Log'!$U$4:$U$803,$B204&amp;"|"&amp;AZ$5)=0,"",SUMIF('Competency Event Log'!$U$4:$U$803,$B204&amp;"|"&amp;AZ$5,'Competency Event Log'!$D$4:$D$803)))</f>
        <v/>
      </c>
      <c r="BA204" s="8" t="str">
        <f>IF($B204="","",IF(COUNTIF('Competency Event Log'!$U$4:$U$803,$B204&amp;"|"&amp;BA$5)=0,"",SUMIF('Competency Event Log'!$U$4:$U$803,$B204&amp;"|"&amp;BA$5,'Competency Event Log'!$D$4:$D$803)))</f>
        <v/>
      </c>
      <c r="BB204" s="8" t="str">
        <f>IF($B204="","",IF(COUNTIF('Competency Event Log'!$U$4:$U$803,$B204&amp;"|"&amp;BB$5)=0,"",SUMIF('Competency Event Log'!$U$4:$U$803,$B204&amp;"|"&amp;BB$5,'Competency Event Log'!$D$4:$D$803)))</f>
        <v/>
      </c>
      <c r="BC204" s="8" t="str">
        <f>IF($B204="","",IF(COUNTIF('Competency Event Log'!$U$4:$U$803,$B204&amp;"|"&amp;BC$5)=0,"",SUMIF('Competency Event Log'!$U$4:$U$803,$B204&amp;"|"&amp;BC$5,'Competency Event Log'!$D$4:$D$803)))</f>
        <v/>
      </c>
      <c r="BD204" s="8" t="str">
        <f>IF($B204="","",IF(COUNTIF('Competency Event Log'!$U$4:$U$803,$B204&amp;"|"&amp;BD$5)=0,"",SUMIF('Competency Event Log'!$U$4:$U$803,$B204&amp;"|"&amp;BD$5,'Competency Event Log'!$D$4:$D$803)))</f>
        <v/>
      </c>
      <c r="BE204" s="8" t="str">
        <f>IF($B204="","",IF(COUNTIF('Competency Event Log'!$U$4:$U$803,$B204&amp;"|"&amp;BE$5)=0,"",SUMIF('Competency Event Log'!$U$4:$U$803,$B204&amp;"|"&amp;BE$5,'Competency Event Log'!$D$4:$D$803)))</f>
        <v/>
      </c>
      <c r="BF204" s="8" t="str">
        <f>IF($B204="","",IF(COUNTIF('Competency Event Log'!$U$4:$U$803,$B204&amp;"|"&amp;BF$5)=0,"",SUMIF('Competency Event Log'!$U$4:$U$803,$B204&amp;"|"&amp;BF$5,'Competency Event Log'!$D$4:$D$803)))</f>
        <v/>
      </c>
      <c r="BG204" s="8" t="str">
        <f>IF($B204="","",IF(COUNTIF('Competency Event Log'!$U$4:$U$803,$B204&amp;"|"&amp;BG$5)=0,"",SUMIF('Competency Event Log'!$U$4:$U$803,$B204&amp;"|"&amp;BG$5,'Competency Event Log'!$D$4:$D$803)))</f>
        <v/>
      </c>
      <c r="BH204" s="8" t="str">
        <f>IF($B204="","",IF(COUNTIF('Competency Event Log'!$U$4:$U$803,$B204&amp;"|"&amp;BH$5)=0,"",SUMIF('Competency Event Log'!$U$4:$U$803,$B204&amp;"|"&amp;BH$5,'Competency Event Log'!$D$4:$D$803)))</f>
        <v/>
      </c>
      <c r="BI204" s="8" t="str">
        <f>IF($B204="","",IF(COUNTIF('Competency Event Log'!$U$4:$U$803,$B204&amp;"|"&amp;BI$5)=0,"",SUMIF('Competency Event Log'!$U$4:$U$803,$B204&amp;"|"&amp;BI$5,'Competency Event Log'!$D$4:$D$803)))</f>
        <v/>
      </c>
      <c r="BJ204" s="8" t="str">
        <f>IF($B204="","",IF(COUNTIF('Competency Event Log'!$U$4:$U$803,$B204&amp;"|"&amp;BJ$5)=0,"",SUMIF('Competency Event Log'!$U$4:$U$803,$B204&amp;"|"&amp;BJ$5,'Competency Event Log'!$D$4:$D$803)))</f>
        <v/>
      </c>
      <c r="BK204" s="8" t="str">
        <f>IF($B204="","",IF(COUNTIF('Competency Event Log'!$U$4:$U$803,$B204&amp;"|"&amp;BK$5)=0,"",SUMIF('Competency Event Log'!$U$4:$U$803,$B204&amp;"|"&amp;BK$5,'Competency Event Log'!$D$4:$D$803)))</f>
        <v/>
      </c>
      <c r="BL204" s="8" t="str">
        <f>IF($B204="","",IF(COUNTIF('Competency Event Log'!$U$4:$U$803,$B204&amp;"|"&amp;BL$5)=0,"",SUMIF('Competency Event Log'!$U$4:$U$803,$B204&amp;"|"&amp;BL$5,'Competency Event Log'!$D$4:$D$803)))</f>
        <v/>
      </c>
      <c r="BM204" s="8" t="str">
        <f>IF($B204="","",IF(COUNTIF('Competency Event Log'!$U$4:$U$803,$B204&amp;"|"&amp;BM$5)=0,"",SUMIF('Competency Event Log'!$U$4:$U$803,$B204&amp;"|"&amp;BM$5,'Competency Event Log'!$D$4:$D$803)))</f>
        <v/>
      </c>
      <c r="BN204" s="8" t="str">
        <f>IF($B204="","",IF(COUNTIF('Competency Event Log'!$U$4:$U$803,$B204&amp;"|"&amp;BN$5)=0,"",SUMIF('Competency Event Log'!$U$4:$U$803,$B204&amp;"|"&amp;BN$5,'Competency Event Log'!$D$4:$D$803)))</f>
        <v/>
      </c>
      <c r="BO204" s="8" t="str">
        <f>IF($B204="","",IF(COUNTIF('Competency Event Log'!$U$4:$U$803,$B204&amp;"|"&amp;BO$5)=0,"",SUMIF('Competency Event Log'!$U$4:$U$803,$B204&amp;"|"&amp;BO$5,'Competency Event Log'!$D$4:$D$803)))</f>
        <v/>
      </c>
      <c r="BP204" s="8" t="str">
        <f>IF($B204="","",IF(COUNTIF('Competency Event Log'!$U$4:$U$803,$B204&amp;"|"&amp;BP$5)=0,"",SUMIF('Competency Event Log'!$U$4:$U$803,$B204&amp;"|"&amp;BP$5,'Competency Event Log'!$D$4:$D$803)))</f>
        <v/>
      </c>
      <c r="BQ204" s="8" t="str">
        <f>IF($B204="","",IF(COUNTIF('Competency Event Log'!$U$4:$U$803,$B204&amp;"|"&amp;BQ$5)=0,"",SUMIF('Competency Event Log'!$U$4:$U$803,$B204&amp;"|"&amp;BQ$5,'Competency Event Log'!$D$4:$D$803)))</f>
        <v/>
      </c>
      <c r="BR204" s="8" t="str">
        <f>IF($B204="","",IF(COUNTIF('Competency Event Log'!$U$4:$U$803,$B204&amp;"|"&amp;BR$5)=0,"",SUMIF('Competency Event Log'!$U$4:$U$803,$B204&amp;"|"&amp;BR$5,'Competency Event Log'!$D$4:$D$803)))</f>
        <v/>
      </c>
      <c r="BS204" s="8" t="str">
        <f>IF($B204="","",IF(COUNTIF('Competency Event Log'!$U$4:$U$803,$B204&amp;"|"&amp;BS$5)=0,"",SUMIF('Competency Event Log'!$U$4:$U$803,$B204&amp;"|"&amp;BS$5,'Competency Event Log'!$D$4:$D$803)))</f>
        <v/>
      </c>
      <c r="BT204" s="8" t="str">
        <f>IF($B204="","",IF(COUNTIF('Competency Event Log'!$U$4:$U$803,$B204&amp;"|"&amp;BT$5)=0,"",SUMIF('Competency Event Log'!$U$4:$U$803,$B204&amp;"|"&amp;BT$5,'Competency Event Log'!$D$4:$D$803)))</f>
        <v/>
      </c>
      <c r="BU204" s="8" t="str">
        <f>IF($B204="","",IF(COUNTIF('Competency Event Log'!$U$4:$U$803,$B204&amp;"|"&amp;BU$5)=0,"",SUMIF('Competency Event Log'!$U$4:$U$803,$B204&amp;"|"&amp;BU$5,'Competency Event Log'!$D$4:$D$803)))</f>
        <v/>
      </c>
      <c r="BV204" s="8" t="str">
        <f>IF($B204="","",IF(COUNTIF('Competency Event Log'!$U$4:$U$803,$B204&amp;"|"&amp;BV$5)=0,"",SUMIF('Competency Event Log'!$U$4:$U$803,$B204&amp;"|"&amp;BV$5,'Competency Event Log'!$D$4:$D$803)))</f>
        <v/>
      </c>
      <c r="BW204" s="8" t="str">
        <f>IF($B204="","",IF(COUNTIF('Competency Event Log'!$U$4:$U$803,$B204&amp;"|"&amp;BW$5)=0,"",SUMIF('Competency Event Log'!$U$4:$U$803,$B204&amp;"|"&amp;BW$5,'Competency Event Log'!$D$4:$D$803)))</f>
        <v/>
      </c>
      <c r="BX204" s="8" t="str">
        <f>IF($B204="","",IF(COUNTIF('Competency Event Log'!$U$4:$U$803,$B204&amp;"|"&amp;BX$5)=0,"",SUMIF('Competency Event Log'!$U$4:$U$803,$B204&amp;"|"&amp;BX$5,'Competency Event Log'!$D$4:$D$803)))</f>
        <v/>
      </c>
      <c r="BY204" s="8" t="str">
        <f>IF($B204="","",IF(COUNTIF('Competency Event Log'!$U$4:$U$803,$B204&amp;"|"&amp;BY$5)=0,"",SUMIF('Competency Event Log'!$U$4:$U$803,$B204&amp;"|"&amp;BY$5,'Competency Event Log'!$D$4:$D$803)))</f>
        <v/>
      </c>
      <c r="BZ204" s="8" t="str">
        <f>IF($B204="","",IF(COUNTIF('Competency Event Log'!$U$4:$U$803,$B204&amp;"|"&amp;BZ$5)=0,"",SUMIF('Competency Event Log'!$U$4:$U$803,$B204&amp;"|"&amp;BZ$5,'Competency Event Log'!$D$4:$D$803)))</f>
        <v/>
      </c>
      <c r="CA204" s="8" t="str">
        <f>IF($B204="","",IF(COUNTIF('Competency Event Log'!$U$4:$U$803,$B204&amp;"|"&amp;CA$5)=0,"",SUMIF('Competency Event Log'!$U$4:$U$803,$B204&amp;"|"&amp;CA$5,'Competency Event Log'!$D$4:$D$803)))</f>
        <v/>
      </c>
      <c r="CB204" s="8" t="str">
        <f>IF($B204="","",IF(COUNTIF('Competency Event Log'!$U$4:$U$803,$B204&amp;"|"&amp;CB$5)=0,"",SUMIF('Competency Event Log'!$U$4:$U$803,$B204&amp;"|"&amp;CB$5,'Competency Event Log'!$D$4:$D$803)))</f>
        <v/>
      </c>
      <c r="CC204" s="8" t="str">
        <f>IF($B204="","",IF(COUNTIF('Competency Event Log'!$U$4:$U$803,$B204&amp;"|"&amp;CC$5)=0,"",SUMIF('Competency Event Log'!$U$4:$U$803,$B204&amp;"|"&amp;CC$5,'Competency Event Log'!$D$4:$D$803)))</f>
        <v/>
      </c>
      <c r="CD204" s="8" t="str">
        <f>IF($B204="","",IF(COUNTIF('Competency Event Log'!$U$4:$U$803,$B204&amp;"|"&amp;CD$5)=0,"",SUMIF('Competency Event Log'!$U$4:$U$803,$B204&amp;"|"&amp;CD$5,'Competency Event Log'!$D$4:$D$803)))</f>
        <v/>
      </c>
      <c r="CE204" s="8" t="str">
        <f>IF($B204="","",IF(COUNTIF('Competency Event Log'!$U$4:$U$803,$B204&amp;"|"&amp;CE$5)=0,"",SUMIF('Competency Event Log'!$U$4:$U$803,$B204&amp;"|"&amp;CE$5,'Competency Event Log'!$D$4:$D$803)))</f>
        <v/>
      </c>
      <c r="CF204" s="8" t="str">
        <f>IF($B204="","",IF(COUNTIF('Competency Event Log'!$U$4:$U$803,$B204&amp;"|"&amp;CF$5)=0,"",SUMIF('Competency Event Log'!$U$4:$U$803,$B204&amp;"|"&amp;CF$5,'Competency Event Log'!$D$4:$D$803)))</f>
        <v/>
      </c>
      <c r="CG204" s="8" t="str">
        <f>IF($B204="","",IF(COUNTIF('Competency Event Log'!$U$4:$U$803,$B204&amp;"|"&amp;CG$5)=0,"",SUMIF('Competency Event Log'!$U$4:$U$803,$B204&amp;"|"&amp;CG$5,'Competency Event Log'!$D$4:$D$803)))</f>
        <v/>
      </c>
      <c r="CH204" s="8" t="str">
        <f>IF($B204="","",IF(COUNTIF('Competency Event Log'!$U$4:$U$803,$B204&amp;"|"&amp;CH$5)=0,"",SUMIF('Competency Event Log'!$U$4:$U$803,$B204&amp;"|"&amp;CH$5,'Competency Event Log'!$D$4:$D$803)))</f>
        <v/>
      </c>
      <c r="CI204" s="8" t="str">
        <f>IF($B204="","",IF(COUNTIF('Competency Event Log'!$U$4:$U$803,$B204&amp;"|"&amp;CI$5)=0,"",SUMIF('Competency Event Log'!$U$4:$U$803,$B204&amp;"|"&amp;CI$5,'Competency Event Log'!$D$4:$D$803)))</f>
        <v/>
      </c>
      <c r="CJ204" s="8" t="str">
        <f>IF($B204="","",IF(COUNTIF('Competency Event Log'!$U$4:$U$803,$B204&amp;"|"&amp;CJ$5)=0,"",SUMIF('Competency Event Log'!$U$4:$U$803,$B204&amp;"|"&amp;CJ$5,'Competency Event Log'!$D$4:$D$803)))</f>
        <v/>
      </c>
      <c r="CK204" s="8" t="str">
        <f>IF($B204="","",IF(COUNTIF('Competency Event Log'!$U$4:$U$803,$B204&amp;"|"&amp;CK$5)=0,"",SUMIF('Competency Event Log'!$U$4:$U$803,$B204&amp;"|"&amp;CK$5,'Competency Event Log'!$D$4:$D$803)))</f>
        <v/>
      </c>
      <c r="CL204" s="8" t="str">
        <f>IF($B204="","",IF(COUNTIF('Competency Event Log'!$U$4:$U$803,$B204&amp;"|"&amp;CL$5)=0,"",SUMIF('Competency Event Log'!$U$4:$U$803,$B204&amp;"|"&amp;CL$5,'Competency Event Log'!$D$4:$D$803)))</f>
        <v/>
      </c>
      <c r="CM204" s="8" t="str">
        <f>IF($B204="","",IF(COUNTIF('Competency Event Log'!$U$4:$U$803,$B204&amp;"|"&amp;CM$5)=0,"",SUMIF('Competency Event Log'!$U$4:$U$803,$B204&amp;"|"&amp;CM$5,'Competency Event Log'!$D$4:$D$803)))</f>
        <v/>
      </c>
      <c r="CN204" s="8" t="str">
        <f>IF($B204="","",IF(COUNTIF('Competency Event Log'!$U$4:$U$803,$B204&amp;"|"&amp;CN$5)=0,"",SUMIF('Competency Event Log'!$U$4:$U$803,$B204&amp;"|"&amp;CN$5,'Competency Event Log'!$D$4:$D$803)))</f>
        <v/>
      </c>
      <c r="CO204" s="8" t="str">
        <f>IF($B204="","",IF(COUNTIF('Competency Event Log'!$U$4:$U$803,$B204&amp;"|"&amp;CO$5)=0,"",SUMIF('Competency Event Log'!$U$4:$U$803,$B204&amp;"|"&amp;CO$5,'Competency Event Log'!$D$4:$D$803)))</f>
        <v/>
      </c>
      <c r="CP204" s="8" t="str">
        <f>IF($B204="","",IF(COUNTIF('Competency Event Log'!$U$4:$U$803,$B204&amp;"|"&amp;CP$5)=0,"",SUMIF('Competency Event Log'!$U$4:$U$803,$B204&amp;"|"&amp;CP$5,'Competency Event Log'!$D$4:$D$803)))</f>
        <v/>
      </c>
      <c r="CQ204" s="8" t="str">
        <f>IF($B204="","",IF(COUNTIF('Competency Event Log'!$U$4:$U$803,$B204&amp;"|"&amp;CQ$5)=0,"",SUMIF('Competency Event Log'!$U$4:$U$803,$B204&amp;"|"&amp;CQ$5,'Competency Event Log'!$D$4:$D$803)))</f>
        <v/>
      </c>
      <c r="CR204" s="8" t="str">
        <f>IF($B204="","",IF(COUNTIF('Competency Event Log'!$U$4:$U$803,$B204&amp;"|"&amp;CR$5)=0,"",SUMIF('Competency Event Log'!$U$4:$U$803,$B204&amp;"|"&amp;CR$5,'Competency Event Log'!$D$4:$D$803)))</f>
        <v/>
      </c>
      <c r="CS204" s="8" t="str">
        <f>IF($B204="","",IF(COUNTIF('Competency Event Log'!$U$4:$U$803,$B204&amp;"|"&amp;CS$5)=0,"",SUMIF('Competency Event Log'!$U$4:$U$803,$B204&amp;"|"&amp;CS$5,'Competency Event Log'!$D$4:$D$803)))</f>
        <v/>
      </c>
      <c r="CT204" s="8" t="str">
        <f>IF($B204="","",IF(COUNTIF('Competency Event Log'!$U$4:$U$803,$B204&amp;"|"&amp;CT$5)=0,"",SUMIF('Competency Event Log'!$U$4:$U$803,$B204&amp;"|"&amp;CT$5,'Competency Event Log'!$D$4:$D$803)))</f>
        <v/>
      </c>
      <c r="CU204" s="8" t="str">
        <f>IF($B204="","",IF(COUNTIF('Competency Event Log'!$U$4:$U$803,$B204&amp;"|"&amp;CU$5)=0,"",SUMIF('Competency Event Log'!$U$4:$U$803,$B204&amp;"|"&amp;CU$5,'Competency Event Log'!$D$4:$D$803)))</f>
        <v/>
      </c>
      <c r="CV204" s="8" t="str">
        <f>IF($B204="","",IF(COUNTIF('Competency Event Log'!$U$4:$U$803,$B204&amp;"|"&amp;CV$5)=0,"",SUMIF('Competency Event Log'!$U$4:$U$803,$B204&amp;"|"&amp;CV$5,'Competency Event Log'!$D$4:$D$803)))</f>
        <v/>
      </c>
      <c r="CW204" s="8" t="str">
        <f>IF($B204="","",IF(COUNTIF('Competency Event Log'!$U$4:$U$803,$B204&amp;"|"&amp;CW$5)=0,"",SUMIF('Competency Event Log'!$U$4:$U$803,$B204&amp;"|"&amp;CW$5,'Competency Event Log'!$D$4:$D$803)))</f>
        <v/>
      </c>
      <c r="CX204" s="8" t="str">
        <f>IF($B204="","",IF(COUNTIF('Competency Event Log'!$U$4:$U$803,$B204&amp;"|"&amp;CX$5)=0,"",SUMIF('Competency Event Log'!$U$4:$U$803,$B204&amp;"|"&amp;CX$5,'Competency Event Log'!$D$4:$D$803)))</f>
        <v/>
      </c>
      <c r="CY204" s="8" t="str">
        <f>IF($B204="","",IF(COUNTIF('Competency Event Log'!$U$4:$U$803,$B204&amp;"|"&amp;CY$5)=0,"",SUMIF('Competency Event Log'!$U$4:$U$803,$B204&amp;"|"&amp;CY$5,'Competency Event Log'!$D$4:$D$803)))</f>
        <v/>
      </c>
      <c r="CZ204" s="8" t="str">
        <f>IF($B204="","",IF(COUNTIF('Competency Event Log'!$U$4:$U$803,$B204&amp;"|"&amp;CZ$5)=0,"",SUMIF('Competency Event Log'!$U$4:$U$803,$B204&amp;"|"&amp;CZ$5,'Competency Event Log'!$D$4:$D$803)))</f>
        <v/>
      </c>
      <c r="DA204" s="8" t="str">
        <f>IF($B204="","",IF(COUNTIF('Competency Event Log'!$U$4:$U$803,$B204&amp;"|"&amp;DA$5)=0,"",SUMIF('Competency Event Log'!$U$4:$U$803,$B204&amp;"|"&amp;DA$5,'Competency Event Log'!$D$4:$D$803)))</f>
        <v/>
      </c>
      <c r="DB204" s="8" t="str">
        <f>IF($B204="","",IF(COUNTIF('Competency Event Log'!$U$4:$U$803,$B204&amp;"|"&amp;DB$5)=0,"",SUMIF('Competency Event Log'!$U$4:$U$803,$B204&amp;"|"&amp;DB$5,'Competency Event Log'!$D$4:$D$803)))</f>
        <v/>
      </c>
      <c r="DC204" s="8" t="str">
        <f>IF($B204="","",IF(COUNTIF('Competency Event Log'!$U$4:$U$803,$B204&amp;"|"&amp;DC$5)=0,"",SUMIF('Competency Event Log'!$U$4:$U$803,$B204&amp;"|"&amp;DC$5,'Competency Event Log'!$D$4:$D$803)))</f>
        <v/>
      </c>
      <c r="DD204" s="8" t="str">
        <f>IF($B204="","",IF(COUNTIF('Competency Event Log'!$U$4:$U$803,$B204&amp;"|"&amp;DD$5)=0,"",SUMIF('Competency Event Log'!$U$4:$U$803,$B204&amp;"|"&amp;DD$5,'Competency Event Log'!$D$4:$D$803)))</f>
        <v/>
      </c>
      <c r="DE204" s="8" t="str">
        <f>IF($B204="","",IF(COUNTIF('Competency Event Log'!$U$4:$U$803,$B204&amp;"|"&amp;DE$5)=0,"",SUMIF('Competency Event Log'!$U$4:$U$803,$B204&amp;"|"&amp;DE$5,'Competency Event Log'!$D$4:$D$803)))</f>
        <v/>
      </c>
      <c r="DF204" s="8" t="str">
        <f t="shared" si="24"/>
        <v/>
      </c>
      <c r="DG204" s="8" t="str">
        <f t="shared" si="25"/>
        <v/>
      </c>
      <c r="DH204" s="8" t="str">
        <f t="shared" si="26"/>
        <v/>
      </c>
      <c r="DI204" s="11" t="str">
        <f t="shared" si="27"/>
        <v/>
      </c>
    </row>
    <row r="205" spans="1:113">
      <c r="A205" s="7"/>
      <c r="B205" s="7"/>
      <c r="C205" s="8"/>
      <c r="D205" s="9"/>
      <c r="E205" s="10"/>
      <c r="F205" s="8"/>
      <c r="G205" s="8" t="str">
        <f>IF($B205="","",IF(COUNTIF('Competency Event Log'!$U$4:$U$803,$B205&amp;"|"&amp;G$5)=0,"",SUMIF('Competency Event Log'!$U$4:$U$803,$B205&amp;"|"&amp;G$5,'Competency Event Log'!$D$4:$D$803)))</f>
        <v/>
      </c>
      <c r="H205" s="8" t="str">
        <f>IF($B205="","",IF(COUNTIF('Competency Event Log'!$U$4:$U$803,$B205&amp;"|"&amp;H$5)=0,"",SUMIF('Competency Event Log'!$U$4:$U$803,$B205&amp;"|"&amp;H$5,'Competency Event Log'!$D$4:$D$803)))</f>
        <v/>
      </c>
      <c r="I205" s="8" t="str">
        <f>IF($B205="","",IF(COUNTIF('Competency Event Log'!$U$4:$U$803,$B205&amp;"|"&amp;I$5)=0,"",SUMIF('Competency Event Log'!$U$4:$U$803,$B205&amp;"|"&amp;I$5,'Competency Event Log'!$D$4:$D$803)))</f>
        <v/>
      </c>
      <c r="J205" s="8" t="str">
        <f>IF($B205="","",IF(COUNTIF('Competency Event Log'!$U$4:$U$803,$B205&amp;"|"&amp;J$5)=0,"",SUMIF('Competency Event Log'!$U$4:$U$803,$B205&amp;"|"&amp;J$5,'Competency Event Log'!$D$4:$D$803)))</f>
        <v/>
      </c>
      <c r="K205" s="8" t="str">
        <f>IF($B205="","",IF(COUNTIF('Competency Event Log'!$U$4:$U$803,$B205&amp;"|"&amp;K$5)=0,"",SUMIF('Competency Event Log'!$U$4:$U$803,$B205&amp;"|"&amp;K$5,'Competency Event Log'!$D$4:$D$803)))</f>
        <v/>
      </c>
      <c r="L205" s="8" t="str">
        <f>IF($B205="","",IF(COUNTIF('Competency Event Log'!$U$4:$U$803,$B205&amp;"|"&amp;L$5)=0,"",SUMIF('Competency Event Log'!$U$4:$U$803,$B205&amp;"|"&amp;L$5,'Competency Event Log'!$D$4:$D$803)))</f>
        <v/>
      </c>
      <c r="M205" s="8" t="str">
        <f>IF($B205="","",IF(COUNTIF('Competency Event Log'!$U$4:$U$803,$B205&amp;"|"&amp;M$5)=0,"",SUMIF('Competency Event Log'!$U$4:$U$803,$B205&amp;"|"&amp;M$5,'Competency Event Log'!$D$4:$D$803)))</f>
        <v/>
      </c>
      <c r="N205" s="8" t="str">
        <f>IF($B205="","",IF(COUNTIF('Competency Event Log'!$U$4:$U$803,$B205&amp;"|"&amp;N$5)=0,"",SUMIF('Competency Event Log'!$U$4:$U$803,$B205&amp;"|"&amp;N$5,'Competency Event Log'!$D$4:$D$803)))</f>
        <v/>
      </c>
      <c r="O205" s="8" t="str">
        <f>IF($B205="","",IF(COUNTIF('Competency Event Log'!$U$4:$U$803,$B205&amp;"|"&amp;O$5)=0,"",SUMIF('Competency Event Log'!$U$4:$U$803,$B205&amp;"|"&amp;O$5,'Competency Event Log'!$D$4:$D$803)))</f>
        <v/>
      </c>
      <c r="P205" s="8" t="str">
        <f>IF($B205="","",IF(COUNTIF('Competency Event Log'!$U$4:$U$803,$B205&amp;"|"&amp;P$5)=0,"",SUMIF('Competency Event Log'!$U$4:$U$803,$B205&amp;"|"&amp;P$5,'Competency Event Log'!$D$4:$D$803)))</f>
        <v/>
      </c>
      <c r="Q205" s="8" t="str">
        <f>IF($B205="","",IF(COUNTIF('Competency Event Log'!$U$4:$U$803,$B205&amp;"|"&amp;Q$5)=0,"",SUMIF('Competency Event Log'!$U$4:$U$803,$B205&amp;"|"&amp;Q$5,'Competency Event Log'!$D$4:$D$803)))</f>
        <v/>
      </c>
      <c r="R205" s="8" t="str">
        <f>IF($B205="","",IF(COUNTIF('Competency Event Log'!$U$4:$U$803,$B205&amp;"|"&amp;R$5)=0,"",SUMIF('Competency Event Log'!$U$4:$U$803,$B205&amp;"|"&amp;R$5,'Competency Event Log'!$D$4:$D$803)))</f>
        <v/>
      </c>
      <c r="S205" s="8" t="str">
        <f>IF($B205="","",IF(COUNTIF('Competency Event Log'!$U$4:$U$803,$B205&amp;"|"&amp;S$5)=0,"",SUMIF('Competency Event Log'!$U$4:$U$803,$B205&amp;"|"&amp;S$5,'Competency Event Log'!$D$4:$D$803)))</f>
        <v/>
      </c>
      <c r="T205" s="8" t="str">
        <f>IF($B205="","",IF(COUNTIF('Competency Event Log'!$U$4:$U$803,$B205&amp;"|"&amp;T$5)=0,"",SUMIF('Competency Event Log'!$U$4:$U$803,$B205&amp;"|"&amp;T$5,'Competency Event Log'!$D$4:$D$803)))</f>
        <v/>
      </c>
      <c r="U205" s="8" t="str">
        <f>IF($B205="","",IF(COUNTIF('Competency Event Log'!$U$4:$U$803,$B205&amp;"|"&amp;U$5)=0,"",SUMIF('Competency Event Log'!$U$4:$U$803,$B205&amp;"|"&amp;U$5,'Competency Event Log'!$D$4:$D$803)))</f>
        <v/>
      </c>
      <c r="V205" s="8" t="str">
        <f>IF($B205="","",IF(COUNTIF('Competency Event Log'!$U$4:$U$803,$B205&amp;"|"&amp;V$5)=0,"",SUMIF('Competency Event Log'!$U$4:$U$803,$B205&amp;"|"&amp;V$5,'Competency Event Log'!$D$4:$D$803)))</f>
        <v/>
      </c>
      <c r="W205" s="8" t="str">
        <f>IF($B205="","",IF(COUNTIF('Competency Event Log'!$U$4:$U$803,$B205&amp;"|"&amp;W$5)=0,"",SUMIF('Competency Event Log'!$U$4:$U$803,$B205&amp;"|"&amp;W$5,'Competency Event Log'!$D$4:$D$803)))</f>
        <v/>
      </c>
      <c r="X205" s="8" t="str">
        <f>IF($B205="","",IF(COUNTIF('Competency Event Log'!$U$4:$U$803,$B205&amp;"|"&amp;X$5)=0,"",SUMIF('Competency Event Log'!$U$4:$U$803,$B205&amp;"|"&amp;X$5,'Competency Event Log'!$D$4:$D$803)))</f>
        <v/>
      </c>
      <c r="Y205" s="8" t="str">
        <f>IF($B205="","",IF(COUNTIF('Competency Event Log'!$U$4:$U$803,$B205&amp;"|"&amp;Y$5)=0,"",SUMIF('Competency Event Log'!$U$4:$U$803,$B205&amp;"|"&amp;Y$5,'Competency Event Log'!$D$4:$D$803)))</f>
        <v/>
      </c>
      <c r="Z205" s="8" t="str">
        <f>IF($B205="","",IF(COUNTIF('Competency Event Log'!$U$4:$U$803,$B205&amp;"|"&amp;Z$5)=0,"",SUMIF('Competency Event Log'!$U$4:$U$803,$B205&amp;"|"&amp;Z$5,'Competency Event Log'!$D$4:$D$803)))</f>
        <v/>
      </c>
      <c r="AA205" s="8" t="str">
        <f>IF($B205="","",IF(COUNTIF('Competency Event Log'!$U$4:$U$803,$B205&amp;"|"&amp;AA$5)=0,"",SUMIF('Competency Event Log'!$U$4:$U$803,$B205&amp;"|"&amp;AA$5,'Competency Event Log'!$D$4:$D$803)))</f>
        <v/>
      </c>
      <c r="AB205" s="8" t="str">
        <f>IF($B205="","",IF(COUNTIF('Competency Event Log'!$U$4:$U$803,$B205&amp;"|"&amp;AB$5)=0,"",SUMIF('Competency Event Log'!$U$4:$U$803,$B205&amp;"|"&amp;AB$5,'Competency Event Log'!$D$4:$D$803)))</f>
        <v/>
      </c>
      <c r="AC205" s="8" t="str">
        <f>IF($B205="","",IF(COUNTIF('Competency Event Log'!$U$4:$U$803,$B205&amp;"|"&amp;AC$5)=0,"",SUMIF('Competency Event Log'!$U$4:$U$803,$B205&amp;"|"&amp;AC$5,'Competency Event Log'!$D$4:$D$803)))</f>
        <v/>
      </c>
      <c r="AD205" s="8" t="str">
        <f>IF($B205="","",IF(COUNTIF('Competency Event Log'!$U$4:$U$803,$B205&amp;"|"&amp;AD$5)=0,"",SUMIF('Competency Event Log'!$U$4:$U$803,$B205&amp;"|"&amp;AD$5,'Competency Event Log'!$D$4:$D$803)))</f>
        <v/>
      </c>
      <c r="AE205" s="8" t="str">
        <f>IF($B205="","",IF(COUNTIF('Competency Event Log'!$U$4:$U$803,$B205&amp;"|"&amp;AE$5)=0,"",SUMIF('Competency Event Log'!$U$4:$U$803,$B205&amp;"|"&amp;AE$5,'Competency Event Log'!$D$4:$D$803)))</f>
        <v/>
      </c>
      <c r="AF205" s="8" t="str">
        <f>IF($B205="","",IF(COUNTIF('Competency Event Log'!$U$4:$U$803,$B205&amp;"|"&amp;AF$5)=0,"",SUMIF('Competency Event Log'!$U$4:$U$803,$B205&amp;"|"&amp;AF$5,'Competency Event Log'!$D$4:$D$803)))</f>
        <v/>
      </c>
      <c r="AG205" s="8" t="str">
        <f>IF($B205="","",IF(COUNTIF('Competency Event Log'!$U$4:$U$803,$B205&amp;"|"&amp;AG$5)=0,"",SUMIF('Competency Event Log'!$U$4:$U$803,$B205&amp;"|"&amp;AG$5,'Competency Event Log'!$D$4:$D$803)))</f>
        <v/>
      </c>
      <c r="AH205" s="8" t="str">
        <f>IF($B205="","",IF(COUNTIF('Competency Event Log'!$U$4:$U$803,$B205&amp;"|"&amp;AH$5)=0,"",SUMIF('Competency Event Log'!$U$4:$U$803,$B205&amp;"|"&amp;AH$5,'Competency Event Log'!$D$4:$D$803)))</f>
        <v/>
      </c>
      <c r="AI205" s="8" t="str">
        <f>IF($B205="","",IF(COUNTIF('Competency Event Log'!$U$4:$U$803,$B205&amp;"|"&amp;AI$5)=0,"",SUMIF('Competency Event Log'!$U$4:$U$803,$B205&amp;"|"&amp;AI$5,'Competency Event Log'!$D$4:$D$803)))</f>
        <v/>
      </c>
      <c r="AJ205" s="8" t="str">
        <f>IF($B205="","",IF(COUNTIF('Competency Event Log'!$U$4:$U$803,$B205&amp;"|"&amp;AJ$5)=0,"",SUMIF('Competency Event Log'!$U$4:$U$803,$B205&amp;"|"&amp;AJ$5,'Competency Event Log'!$D$4:$D$803)))</f>
        <v/>
      </c>
      <c r="AK205" s="8" t="str">
        <f>IF($B205="","",IF(COUNTIF('Competency Event Log'!$U$4:$U$803,$B205&amp;"|"&amp;AK$5)=0,"",SUMIF('Competency Event Log'!$U$4:$U$803,$B205&amp;"|"&amp;AK$5,'Competency Event Log'!$D$4:$D$803)))</f>
        <v/>
      </c>
      <c r="AL205" s="8" t="str">
        <f>IF($B205="","",IF(COUNTIF('Competency Event Log'!$U$4:$U$803,$B205&amp;"|"&amp;AL$5)=0,"",SUMIF('Competency Event Log'!$U$4:$U$803,$B205&amp;"|"&amp;AL$5,'Competency Event Log'!$D$4:$D$803)))</f>
        <v/>
      </c>
      <c r="AM205" s="8" t="str">
        <f>IF($B205="","",IF(COUNTIF('Competency Event Log'!$U$4:$U$803,$B205&amp;"|"&amp;AM$5)=0,"",SUMIF('Competency Event Log'!$U$4:$U$803,$B205&amp;"|"&amp;AM$5,'Competency Event Log'!$D$4:$D$803)))</f>
        <v/>
      </c>
      <c r="AN205" s="8" t="str">
        <f>IF($B205="","",IF(COUNTIF('Competency Event Log'!$U$4:$U$803,$B205&amp;"|"&amp;AN$5)=0,"",SUMIF('Competency Event Log'!$U$4:$U$803,$B205&amp;"|"&amp;AN$5,'Competency Event Log'!$D$4:$D$803)))</f>
        <v/>
      </c>
      <c r="AO205" s="8" t="str">
        <f>IF($B205="","",IF(COUNTIF('Competency Event Log'!$U$4:$U$803,$B205&amp;"|"&amp;AO$5)=0,"",SUMIF('Competency Event Log'!$U$4:$U$803,$B205&amp;"|"&amp;AO$5,'Competency Event Log'!$D$4:$D$803)))</f>
        <v/>
      </c>
      <c r="AP205" s="8" t="str">
        <f>IF($B205="","",IF(COUNTIF('Competency Event Log'!$U$4:$U$803,$B205&amp;"|"&amp;AP$5)=0,"",SUMIF('Competency Event Log'!$U$4:$U$803,$B205&amp;"|"&amp;AP$5,'Competency Event Log'!$D$4:$D$803)))</f>
        <v/>
      </c>
      <c r="AQ205" s="8" t="str">
        <f>IF($B205="","",IF(COUNTIF('Competency Event Log'!$U$4:$U$803,$B205&amp;"|"&amp;AQ$5)=0,"",SUMIF('Competency Event Log'!$U$4:$U$803,$B205&amp;"|"&amp;AQ$5,'Competency Event Log'!$D$4:$D$803)))</f>
        <v/>
      </c>
      <c r="AR205" s="8" t="str">
        <f>IF($B205="","",IF(COUNTIF('Competency Event Log'!$U$4:$U$803,$B205&amp;"|"&amp;AR$5)=0,"",SUMIF('Competency Event Log'!$U$4:$U$803,$B205&amp;"|"&amp;AR$5,'Competency Event Log'!$D$4:$D$803)))</f>
        <v/>
      </c>
      <c r="AS205" s="8" t="str">
        <f>IF($B205="","",IF(COUNTIF('Competency Event Log'!$U$4:$U$803,$B205&amp;"|"&amp;AS$5)=0,"",SUMIF('Competency Event Log'!$U$4:$U$803,$B205&amp;"|"&amp;AS$5,'Competency Event Log'!$D$4:$D$803)))</f>
        <v/>
      </c>
      <c r="AT205" s="8" t="str">
        <f>IF($B205="","",IF(COUNTIF('Competency Event Log'!$U$4:$U$803,$B205&amp;"|"&amp;AT$5)=0,"",SUMIF('Competency Event Log'!$U$4:$U$803,$B205&amp;"|"&amp;AT$5,'Competency Event Log'!$D$4:$D$803)))</f>
        <v/>
      </c>
      <c r="AU205" s="8" t="str">
        <f>IF($B205="","",IF(COUNTIF('Competency Event Log'!$U$4:$U$803,$B205&amp;"|"&amp;AU$5)=0,"",SUMIF('Competency Event Log'!$U$4:$U$803,$B205&amp;"|"&amp;AU$5,'Competency Event Log'!$D$4:$D$803)))</f>
        <v/>
      </c>
      <c r="AV205" s="8" t="str">
        <f>IF($B205="","",IF(COUNTIF('Competency Event Log'!$U$4:$U$803,$B205&amp;"|"&amp;AV$5)=0,"",SUMIF('Competency Event Log'!$U$4:$U$803,$B205&amp;"|"&amp;AV$5,'Competency Event Log'!$D$4:$D$803)))</f>
        <v/>
      </c>
      <c r="AW205" s="8" t="str">
        <f>IF($B205="","",IF(COUNTIF('Competency Event Log'!$U$4:$U$803,$B205&amp;"|"&amp;AW$5)=0,"",SUMIF('Competency Event Log'!$U$4:$U$803,$B205&amp;"|"&amp;AW$5,'Competency Event Log'!$D$4:$D$803)))</f>
        <v/>
      </c>
      <c r="AX205" s="8" t="str">
        <f>IF($B205="","",IF(COUNTIF('Competency Event Log'!$U$4:$U$803,$B205&amp;"|"&amp;AX$5)=0,"",SUMIF('Competency Event Log'!$U$4:$U$803,$B205&amp;"|"&amp;AX$5,'Competency Event Log'!$D$4:$D$803)))</f>
        <v/>
      </c>
      <c r="AY205" s="8" t="str">
        <f>IF($B205="","",IF(COUNTIF('Competency Event Log'!$U$4:$U$803,$B205&amp;"|"&amp;AY$5)=0,"",SUMIF('Competency Event Log'!$U$4:$U$803,$B205&amp;"|"&amp;AY$5,'Competency Event Log'!$D$4:$D$803)))</f>
        <v/>
      </c>
      <c r="AZ205" s="8" t="str">
        <f>IF($B205="","",IF(COUNTIF('Competency Event Log'!$U$4:$U$803,$B205&amp;"|"&amp;AZ$5)=0,"",SUMIF('Competency Event Log'!$U$4:$U$803,$B205&amp;"|"&amp;AZ$5,'Competency Event Log'!$D$4:$D$803)))</f>
        <v/>
      </c>
      <c r="BA205" s="8" t="str">
        <f>IF($B205="","",IF(COUNTIF('Competency Event Log'!$U$4:$U$803,$B205&amp;"|"&amp;BA$5)=0,"",SUMIF('Competency Event Log'!$U$4:$U$803,$B205&amp;"|"&amp;BA$5,'Competency Event Log'!$D$4:$D$803)))</f>
        <v/>
      </c>
      <c r="BB205" s="8" t="str">
        <f>IF($B205="","",IF(COUNTIF('Competency Event Log'!$U$4:$U$803,$B205&amp;"|"&amp;BB$5)=0,"",SUMIF('Competency Event Log'!$U$4:$U$803,$B205&amp;"|"&amp;BB$5,'Competency Event Log'!$D$4:$D$803)))</f>
        <v/>
      </c>
      <c r="BC205" s="8" t="str">
        <f>IF($B205="","",IF(COUNTIF('Competency Event Log'!$U$4:$U$803,$B205&amp;"|"&amp;BC$5)=0,"",SUMIF('Competency Event Log'!$U$4:$U$803,$B205&amp;"|"&amp;BC$5,'Competency Event Log'!$D$4:$D$803)))</f>
        <v/>
      </c>
      <c r="BD205" s="8" t="str">
        <f>IF($B205="","",IF(COUNTIF('Competency Event Log'!$U$4:$U$803,$B205&amp;"|"&amp;BD$5)=0,"",SUMIF('Competency Event Log'!$U$4:$U$803,$B205&amp;"|"&amp;BD$5,'Competency Event Log'!$D$4:$D$803)))</f>
        <v/>
      </c>
      <c r="BE205" s="8" t="str">
        <f>IF($B205="","",IF(COUNTIF('Competency Event Log'!$U$4:$U$803,$B205&amp;"|"&amp;BE$5)=0,"",SUMIF('Competency Event Log'!$U$4:$U$803,$B205&amp;"|"&amp;BE$5,'Competency Event Log'!$D$4:$D$803)))</f>
        <v/>
      </c>
      <c r="BF205" s="8" t="str">
        <f>IF($B205="","",IF(COUNTIF('Competency Event Log'!$U$4:$U$803,$B205&amp;"|"&amp;BF$5)=0,"",SUMIF('Competency Event Log'!$U$4:$U$803,$B205&amp;"|"&amp;BF$5,'Competency Event Log'!$D$4:$D$803)))</f>
        <v/>
      </c>
      <c r="BG205" s="8" t="str">
        <f>IF($B205="","",IF(COUNTIF('Competency Event Log'!$U$4:$U$803,$B205&amp;"|"&amp;BG$5)=0,"",SUMIF('Competency Event Log'!$U$4:$U$803,$B205&amp;"|"&amp;BG$5,'Competency Event Log'!$D$4:$D$803)))</f>
        <v/>
      </c>
      <c r="BH205" s="8" t="str">
        <f>IF($B205="","",IF(COUNTIF('Competency Event Log'!$U$4:$U$803,$B205&amp;"|"&amp;BH$5)=0,"",SUMIF('Competency Event Log'!$U$4:$U$803,$B205&amp;"|"&amp;BH$5,'Competency Event Log'!$D$4:$D$803)))</f>
        <v/>
      </c>
      <c r="BI205" s="8" t="str">
        <f>IF($B205="","",IF(COUNTIF('Competency Event Log'!$U$4:$U$803,$B205&amp;"|"&amp;BI$5)=0,"",SUMIF('Competency Event Log'!$U$4:$U$803,$B205&amp;"|"&amp;BI$5,'Competency Event Log'!$D$4:$D$803)))</f>
        <v/>
      </c>
      <c r="BJ205" s="8" t="str">
        <f>IF($B205="","",IF(COUNTIF('Competency Event Log'!$U$4:$U$803,$B205&amp;"|"&amp;BJ$5)=0,"",SUMIF('Competency Event Log'!$U$4:$U$803,$B205&amp;"|"&amp;BJ$5,'Competency Event Log'!$D$4:$D$803)))</f>
        <v/>
      </c>
      <c r="BK205" s="8" t="str">
        <f>IF($B205="","",IF(COUNTIF('Competency Event Log'!$U$4:$U$803,$B205&amp;"|"&amp;BK$5)=0,"",SUMIF('Competency Event Log'!$U$4:$U$803,$B205&amp;"|"&amp;BK$5,'Competency Event Log'!$D$4:$D$803)))</f>
        <v/>
      </c>
      <c r="BL205" s="8" t="str">
        <f>IF($B205="","",IF(COUNTIF('Competency Event Log'!$U$4:$U$803,$B205&amp;"|"&amp;BL$5)=0,"",SUMIF('Competency Event Log'!$U$4:$U$803,$B205&amp;"|"&amp;BL$5,'Competency Event Log'!$D$4:$D$803)))</f>
        <v/>
      </c>
      <c r="BM205" s="8" t="str">
        <f>IF($B205="","",IF(COUNTIF('Competency Event Log'!$U$4:$U$803,$B205&amp;"|"&amp;BM$5)=0,"",SUMIF('Competency Event Log'!$U$4:$U$803,$B205&amp;"|"&amp;BM$5,'Competency Event Log'!$D$4:$D$803)))</f>
        <v/>
      </c>
      <c r="BN205" s="8" t="str">
        <f>IF($B205="","",IF(COUNTIF('Competency Event Log'!$U$4:$U$803,$B205&amp;"|"&amp;BN$5)=0,"",SUMIF('Competency Event Log'!$U$4:$U$803,$B205&amp;"|"&amp;BN$5,'Competency Event Log'!$D$4:$D$803)))</f>
        <v/>
      </c>
      <c r="BO205" s="8" t="str">
        <f>IF($B205="","",IF(COUNTIF('Competency Event Log'!$U$4:$U$803,$B205&amp;"|"&amp;BO$5)=0,"",SUMIF('Competency Event Log'!$U$4:$U$803,$B205&amp;"|"&amp;BO$5,'Competency Event Log'!$D$4:$D$803)))</f>
        <v/>
      </c>
      <c r="BP205" s="8" t="str">
        <f>IF($B205="","",IF(COUNTIF('Competency Event Log'!$U$4:$U$803,$B205&amp;"|"&amp;BP$5)=0,"",SUMIF('Competency Event Log'!$U$4:$U$803,$B205&amp;"|"&amp;BP$5,'Competency Event Log'!$D$4:$D$803)))</f>
        <v/>
      </c>
      <c r="BQ205" s="8" t="str">
        <f>IF($B205="","",IF(COUNTIF('Competency Event Log'!$U$4:$U$803,$B205&amp;"|"&amp;BQ$5)=0,"",SUMIF('Competency Event Log'!$U$4:$U$803,$B205&amp;"|"&amp;BQ$5,'Competency Event Log'!$D$4:$D$803)))</f>
        <v/>
      </c>
      <c r="BR205" s="8" t="str">
        <f>IF($B205="","",IF(COUNTIF('Competency Event Log'!$U$4:$U$803,$B205&amp;"|"&amp;BR$5)=0,"",SUMIF('Competency Event Log'!$U$4:$U$803,$B205&amp;"|"&amp;BR$5,'Competency Event Log'!$D$4:$D$803)))</f>
        <v/>
      </c>
      <c r="BS205" s="8" t="str">
        <f>IF($B205="","",IF(COUNTIF('Competency Event Log'!$U$4:$U$803,$B205&amp;"|"&amp;BS$5)=0,"",SUMIF('Competency Event Log'!$U$4:$U$803,$B205&amp;"|"&amp;BS$5,'Competency Event Log'!$D$4:$D$803)))</f>
        <v/>
      </c>
      <c r="BT205" s="8" t="str">
        <f>IF($B205="","",IF(COUNTIF('Competency Event Log'!$U$4:$U$803,$B205&amp;"|"&amp;BT$5)=0,"",SUMIF('Competency Event Log'!$U$4:$U$803,$B205&amp;"|"&amp;BT$5,'Competency Event Log'!$D$4:$D$803)))</f>
        <v/>
      </c>
      <c r="BU205" s="8" t="str">
        <f>IF($B205="","",IF(COUNTIF('Competency Event Log'!$U$4:$U$803,$B205&amp;"|"&amp;BU$5)=0,"",SUMIF('Competency Event Log'!$U$4:$U$803,$B205&amp;"|"&amp;BU$5,'Competency Event Log'!$D$4:$D$803)))</f>
        <v/>
      </c>
      <c r="BV205" s="8" t="str">
        <f>IF($B205="","",IF(COUNTIF('Competency Event Log'!$U$4:$U$803,$B205&amp;"|"&amp;BV$5)=0,"",SUMIF('Competency Event Log'!$U$4:$U$803,$B205&amp;"|"&amp;BV$5,'Competency Event Log'!$D$4:$D$803)))</f>
        <v/>
      </c>
      <c r="BW205" s="8" t="str">
        <f>IF($B205="","",IF(COUNTIF('Competency Event Log'!$U$4:$U$803,$B205&amp;"|"&amp;BW$5)=0,"",SUMIF('Competency Event Log'!$U$4:$U$803,$B205&amp;"|"&amp;BW$5,'Competency Event Log'!$D$4:$D$803)))</f>
        <v/>
      </c>
      <c r="BX205" s="8" t="str">
        <f>IF($B205="","",IF(COUNTIF('Competency Event Log'!$U$4:$U$803,$B205&amp;"|"&amp;BX$5)=0,"",SUMIF('Competency Event Log'!$U$4:$U$803,$B205&amp;"|"&amp;BX$5,'Competency Event Log'!$D$4:$D$803)))</f>
        <v/>
      </c>
      <c r="BY205" s="8" t="str">
        <f>IF($B205="","",IF(COUNTIF('Competency Event Log'!$U$4:$U$803,$B205&amp;"|"&amp;BY$5)=0,"",SUMIF('Competency Event Log'!$U$4:$U$803,$B205&amp;"|"&amp;BY$5,'Competency Event Log'!$D$4:$D$803)))</f>
        <v/>
      </c>
      <c r="BZ205" s="8" t="str">
        <f>IF($B205="","",IF(COUNTIF('Competency Event Log'!$U$4:$U$803,$B205&amp;"|"&amp;BZ$5)=0,"",SUMIF('Competency Event Log'!$U$4:$U$803,$B205&amp;"|"&amp;BZ$5,'Competency Event Log'!$D$4:$D$803)))</f>
        <v/>
      </c>
      <c r="CA205" s="8" t="str">
        <f>IF($B205="","",IF(COUNTIF('Competency Event Log'!$U$4:$U$803,$B205&amp;"|"&amp;CA$5)=0,"",SUMIF('Competency Event Log'!$U$4:$U$803,$B205&amp;"|"&amp;CA$5,'Competency Event Log'!$D$4:$D$803)))</f>
        <v/>
      </c>
      <c r="CB205" s="8" t="str">
        <f>IF($B205="","",IF(COUNTIF('Competency Event Log'!$U$4:$U$803,$B205&amp;"|"&amp;CB$5)=0,"",SUMIF('Competency Event Log'!$U$4:$U$803,$B205&amp;"|"&amp;CB$5,'Competency Event Log'!$D$4:$D$803)))</f>
        <v/>
      </c>
      <c r="CC205" s="8" t="str">
        <f>IF($B205="","",IF(COUNTIF('Competency Event Log'!$U$4:$U$803,$B205&amp;"|"&amp;CC$5)=0,"",SUMIF('Competency Event Log'!$U$4:$U$803,$B205&amp;"|"&amp;CC$5,'Competency Event Log'!$D$4:$D$803)))</f>
        <v/>
      </c>
      <c r="CD205" s="8" t="str">
        <f>IF($B205="","",IF(COUNTIF('Competency Event Log'!$U$4:$U$803,$B205&amp;"|"&amp;CD$5)=0,"",SUMIF('Competency Event Log'!$U$4:$U$803,$B205&amp;"|"&amp;CD$5,'Competency Event Log'!$D$4:$D$803)))</f>
        <v/>
      </c>
      <c r="CE205" s="8" t="str">
        <f>IF($B205="","",IF(COUNTIF('Competency Event Log'!$U$4:$U$803,$B205&amp;"|"&amp;CE$5)=0,"",SUMIF('Competency Event Log'!$U$4:$U$803,$B205&amp;"|"&amp;CE$5,'Competency Event Log'!$D$4:$D$803)))</f>
        <v/>
      </c>
      <c r="CF205" s="8" t="str">
        <f>IF($B205="","",IF(COUNTIF('Competency Event Log'!$U$4:$U$803,$B205&amp;"|"&amp;CF$5)=0,"",SUMIF('Competency Event Log'!$U$4:$U$803,$B205&amp;"|"&amp;CF$5,'Competency Event Log'!$D$4:$D$803)))</f>
        <v/>
      </c>
      <c r="CG205" s="8" t="str">
        <f>IF($B205="","",IF(COUNTIF('Competency Event Log'!$U$4:$U$803,$B205&amp;"|"&amp;CG$5)=0,"",SUMIF('Competency Event Log'!$U$4:$U$803,$B205&amp;"|"&amp;CG$5,'Competency Event Log'!$D$4:$D$803)))</f>
        <v/>
      </c>
      <c r="CH205" s="8" t="str">
        <f>IF($B205="","",IF(COUNTIF('Competency Event Log'!$U$4:$U$803,$B205&amp;"|"&amp;CH$5)=0,"",SUMIF('Competency Event Log'!$U$4:$U$803,$B205&amp;"|"&amp;CH$5,'Competency Event Log'!$D$4:$D$803)))</f>
        <v/>
      </c>
      <c r="CI205" s="8" t="str">
        <f>IF($B205="","",IF(COUNTIF('Competency Event Log'!$U$4:$U$803,$B205&amp;"|"&amp;CI$5)=0,"",SUMIF('Competency Event Log'!$U$4:$U$803,$B205&amp;"|"&amp;CI$5,'Competency Event Log'!$D$4:$D$803)))</f>
        <v/>
      </c>
      <c r="CJ205" s="8" t="str">
        <f>IF($B205="","",IF(COUNTIF('Competency Event Log'!$U$4:$U$803,$B205&amp;"|"&amp;CJ$5)=0,"",SUMIF('Competency Event Log'!$U$4:$U$803,$B205&amp;"|"&amp;CJ$5,'Competency Event Log'!$D$4:$D$803)))</f>
        <v/>
      </c>
      <c r="CK205" s="8" t="str">
        <f>IF($B205="","",IF(COUNTIF('Competency Event Log'!$U$4:$U$803,$B205&amp;"|"&amp;CK$5)=0,"",SUMIF('Competency Event Log'!$U$4:$U$803,$B205&amp;"|"&amp;CK$5,'Competency Event Log'!$D$4:$D$803)))</f>
        <v/>
      </c>
      <c r="CL205" s="8" t="str">
        <f>IF($B205="","",IF(COUNTIF('Competency Event Log'!$U$4:$U$803,$B205&amp;"|"&amp;CL$5)=0,"",SUMIF('Competency Event Log'!$U$4:$U$803,$B205&amp;"|"&amp;CL$5,'Competency Event Log'!$D$4:$D$803)))</f>
        <v/>
      </c>
      <c r="CM205" s="8" t="str">
        <f>IF($B205="","",IF(COUNTIF('Competency Event Log'!$U$4:$U$803,$B205&amp;"|"&amp;CM$5)=0,"",SUMIF('Competency Event Log'!$U$4:$U$803,$B205&amp;"|"&amp;CM$5,'Competency Event Log'!$D$4:$D$803)))</f>
        <v/>
      </c>
      <c r="CN205" s="8" t="str">
        <f>IF($B205="","",IF(COUNTIF('Competency Event Log'!$U$4:$U$803,$B205&amp;"|"&amp;CN$5)=0,"",SUMIF('Competency Event Log'!$U$4:$U$803,$B205&amp;"|"&amp;CN$5,'Competency Event Log'!$D$4:$D$803)))</f>
        <v/>
      </c>
      <c r="CO205" s="8" t="str">
        <f>IF($B205="","",IF(COUNTIF('Competency Event Log'!$U$4:$U$803,$B205&amp;"|"&amp;CO$5)=0,"",SUMIF('Competency Event Log'!$U$4:$U$803,$B205&amp;"|"&amp;CO$5,'Competency Event Log'!$D$4:$D$803)))</f>
        <v/>
      </c>
      <c r="CP205" s="8" t="str">
        <f>IF($B205="","",IF(COUNTIF('Competency Event Log'!$U$4:$U$803,$B205&amp;"|"&amp;CP$5)=0,"",SUMIF('Competency Event Log'!$U$4:$U$803,$B205&amp;"|"&amp;CP$5,'Competency Event Log'!$D$4:$D$803)))</f>
        <v/>
      </c>
      <c r="CQ205" s="8" t="str">
        <f>IF($B205="","",IF(COUNTIF('Competency Event Log'!$U$4:$U$803,$B205&amp;"|"&amp;CQ$5)=0,"",SUMIF('Competency Event Log'!$U$4:$U$803,$B205&amp;"|"&amp;CQ$5,'Competency Event Log'!$D$4:$D$803)))</f>
        <v/>
      </c>
      <c r="CR205" s="8" t="str">
        <f>IF($B205="","",IF(COUNTIF('Competency Event Log'!$U$4:$U$803,$B205&amp;"|"&amp;CR$5)=0,"",SUMIF('Competency Event Log'!$U$4:$U$803,$B205&amp;"|"&amp;CR$5,'Competency Event Log'!$D$4:$D$803)))</f>
        <v/>
      </c>
      <c r="CS205" s="8" t="str">
        <f>IF($B205="","",IF(COUNTIF('Competency Event Log'!$U$4:$U$803,$B205&amp;"|"&amp;CS$5)=0,"",SUMIF('Competency Event Log'!$U$4:$U$803,$B205&amp;"|"&amp;CS$5,'Competency Event Log'!$D$4:$D$803)))</f>
        <v/>
      </c>
      <c r="CT205" s="8" t="str">
        <f>IF($B205="","",IF(COUNTIF('Competency Event Log'!$U$4:$U$803,$B205&amp;"|"&amp;CT$5)=0,"",SUMIF('Competency Event Log'!$U$4:$U$803,$B205&amp;"|"&amp;CT$5,'Competency Event Log'!$D$4:$D$803)))</f>
        <v/>
      </c>
      <c r="CU205" s="8" t="str">
        <f>IF($B205="","",IF(COUNTIF('Competency Event Log'!$U$4:$U$803,$B205&amp;"|"&amp;CU$5)=0,"",SUMIF('Competency Event Log'!$U$4:$U$803,$B205&amp;"|"&amp;CU$5,'Competency Event Log'!$D$4:$D$803)))</f>
        <v/>
      </c>
      <c r="CV205" s="8" t="str">
        <f>IF($B205="","",IF(COUNTIF('Competency Event Log'!$U$4:$U$803,$B205&amp;"|"&amp;CV$5)=0,"",SUMIF('Competency Event Log'!$U$4:$U$803,$B205&amp;"|"&amp;CV$5,'Competency Event Log'!$D$4:$D$803)))</f>
        <v/>
      </c>
      <c r="CW205" s="8" t="str">
        <f>IF($B205="","",IF(COUNTIF('Competency Event Log'!$U$4:$U$803,$B205&amp;"|"&amp;CW$5)=0,"",SUMIF('Competency Event Log'!$U$4:$U$803,$B205&amp;"|"&amp;CW$5,'Competency Event Log'!$D$4:$D$803)))</f>
        <v/>
      </c>
      <c r="CX205" s="8" t="str">
        <f>IF($B205="","",IF(COUNTIF('Competency Event Log'!$U$4:$U$803,$B205&amp;"|"&amp;CX$5)=0,"",SUMIF('Competency Event Log'!$U$4:$U$803,$B205&amp;"|"&amp;CX$5,'Competency Event Log'!$D$4:$D$803)))</f>
        <v/>
      </c>
      <c r="CY205" s="8" t="str">
        <f>IF($B205="","",IF(COUNTIF('Competency Event Log'!$U$4:$U$803,$B205&amp;"|"&amp;CY$5)=0,"",SUMIF('Competency Event Log'!$U$4:$U$803,$B205&amp;"|"&amp;CY$5,'Competency Event Log'!$D$4:$D$803)))</f>
        <v/>
      </c>
      <c r="CZ205" s="8" t="str">
        <f>IF($B205="","",IF(COUNTIF('Competency Event Log'!$U$4:$U$803,$B205&amp;"|"&amp;CZ$5)=0,"",SUMIF('Competency Event Log'!$U$4:$U$803,$B205&amp;"|"&amp;CZ$5,'Competency Event Log'!$D$4:$D$803)))</f>
        <v/>
      </c>
      <c r="DA205" s="8" t="str">
        <f>IF($B205="","",IF(COUNTIF('Competency Event Log'!$U$4:$U$803,$B205&amp;"|"&amp;DA$5)=0,"",SUMIF('Competency Event Log'!$U$4:$U$803,$B205&amp;"|"&amp;DA$5,'Competency Event Log'!$D$4:$D$803)))</f>
        <v/>
      </c>
      <c r="DB205" s="8" t="str">
        <f>IF($B205="","",IF(COUNTIF('Competency Event Log'!$U$4:$U$803,$B205&amp;"|"&amp;DB$5)=0,"",SUMIF('Competency Event Log'!$U$4:$U$803,$B205&amp;"|"&amp;DB$5,'Competency Event Log'!$D$4:$D$803)))</f>
        <v/>
      </c>
      <c r="DC205" s="8" t="str">
        <f>IF($B205="","",IF(COUNTIF('Competency Event Log'!$U$4:$U$803,$B205&amp;"|"&amp;DC$5)=0,"",SUMIF('Competency Event Log'!$U$4:$U$803,$B205&amp;"|"&amp;DC$5,'Competency Event Log'!$D$4:$D$803)))</f>
        <v/>
      </c>
      <c r="DD205" s="8" t="str">
        <f>IF($B205="","",IF(COUNTIF('Competency Event Log'!$U$4:$U$803,$B205&amp;"|"&amp;DD$5)=0,"",SUMIF('Competency Event Log'!$U$4:$U$803,$B205&amp;"|"&amp;DD$5,'Competency Event Log'!$D$4:$D$803)))</f>
        <v/>
      </c>
      <c r="DE205" s="8" t="str">
        <f>IF($B205="","",IF(COUNTIF('Competency Event Log'!$U$4:$U$803,$B205&amp;"|"&amp;DE$5)=0,"",SUMIF('Competency Event Log'!$U$4:$U$803,$B205&amp;"|"&amp;DE$5,'Competency Event Log'!$D$4:$D$803)))</f>
        <v/>
      </c>
      <c r="DF205" s="8" t="str">
        <f t="shared" si="24"/>
        <v/>
      </c>
      <c r="DG205" s="8" t="str">
        <f t="shared" si="25"/>
        <v/>
      </c>
      <c r="DH205" s="8" t="str">
        <f t="shared" si="26"/>
        <v/>
      </c>
      <c r="DI205" s="11" t="str">
        <f t="shared" si="27"/>
        <v/>
      </c>
    </row>
  </sheetData>
  <mergeCells count="4">
    <mergeCell ref="C2:L2"/>
    <mergeCell ref="A1:CF1"/>
    <mergeCell ref="B4:D4"/>
    <mergeCell ref="B3:D3"/>
  </mergeCells>
  <conditionalFormatting sqref="G6:DE205">
    <cfRule type="cellIs" dxfId="6" priority="1" operator="equal">
      <formula>1</formula>
    </cfRule>
    <cfRule type="cellIs" dxfId="5" priority="2" operator="equal">
      <formula>2</formula>
    </cfRule>
    <cfRule type="cellIs" dxfId="4" priority="3" operator="equal">
      <formula>3</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4"/>
  <sheetViews>
    <sheetView showGridLines="0" workbookViewId="0">
      <pane ySplit="4" topLeftCell="A5" activePane="bottomLeft" state="frozen"/>
      <selection pane="bottomLeft" activeCell="E12" sqref="E12"/>
    </sheetView>
  </sheetViews>
  <sheetFormatPr defaultRowHeight="13.8"/>
  <cols>
    <col min="1" max="1" width="22" customWidth="1"/>
    <col min="2" max="2" width="20.59765625" style="26" customWidth="1"/>
    <col min="3" max="3" width="23.796875" style="26" customWidth="1"/>
    <col min="4" max="4" width="58" customWidth="1"/>
    <col min="5" max="5" width="13" style="26" customWidth="1"/>
    <col min="6" max="6" width="14" style="26" customWidth="1"/>
    <col min="7" max="7" width="15" style="26" customWidth="1"/>
    <col min="8" max="8" width="18" style="26" customWidth="1"/>
  </cols>
  <sheetData>
    <row r="1" spans="1:8" ht="25.95" customHeight="1">
      <c r="A1" s="68" t="s">
        <v>183</v>
      </c>
      <c r="B1" s="66"/>
      <c r="C1" s="66"/>
      <c r="D1" s="67"/>
      <c r="E1" s="66"/>
      <c r="F1" s="66"/>
      <c r="G1" s="66"/>
      <c r="H1" s="66"/>
    </row>
    <row r="2" spans="1:8" ht="24" customHeight="1">
      <c r="A2" s="65" t="s">
        <v>1205</v>
      </c>
      <c r="B2" s="66"/>
      <c r="C2" s="66"/>
      <c r="D2" s="67"/>
      <c r="E2" s="66"/>
      <c r="F2" s="66"/>
      <c r="G2" s="66"/>
      <c r="H2" s="66"/>
    </row>
    <row r="3" spans="1:8" ht="14.4" customHeight="1">
      <c r="A3" s="142" t="s">
        <v>1206</v>
      </c>
      <c r="B3" s="66"/>
      <c r="C3" s="66"/>
      <c r="D3" s="67"/>
      <c r="E3" s="66"/>
      <c r="F3" s="66"/>
      <c r="G3" s="66"/>
      <c r="H3" s="66"/>
    </row>
    <row r="4" spans="1:8" ht="27.6" customHeight="1">
      <c r="A4" s="20" t="s">
        <v>2</v>
      </c>
      <c r="B4" s="20" t="s">
        <v>4</v>
      </c>
      <c r="C4" s="20" t="s">
        <v>282</v>
      </c>
      <c r="D4" s="20" t="s">
        <v>348</v>
      </c>
      <c r="E4" s="20" t="s">
        <v>315</v>
      </c>
      <c r="F4" s="20" t="s">
        <v>8</v>
      </c>
      <c r="G4" s="20" t="s">
        <v>6</v>
      </c>
      <c r="H4" s="20" t="s">
        <v>316</v>
      </c>
    </row>
    <row r="5" spans="1:8" ht="27.6">
      <c r="A5" s="4" t="s">
        <v>91</v>
      </c>
      <c r="B5" s="8" t="str">
        <f>IF(A5="","",IFERROR(INDEX(Lists!$C$4:$C$203,MATCH(A5,Lists!$B$4:$B$203,0)),""))</f>
        <v>Software Engineering</v>
      </c>
      <c r="C5" s="8" t="s">
        <v>692</v>
      </c>
      <c r="D5" s="12" t="s">
        <v>1207</v>
      </c>
      <c r="E5" s="10">
        <v>46346</v>
      </c>
      <c r="F5" s="8" t="s">
        <v>1208</v>
      </c>
      <c r="G5" s="10"/>
      <c r="H5" s="8" t="s">
        <v>683</v>
      </c>
    </row>
    <row r="6" spans="1:8" ht="27.6">
      <c r="A6" s="4" t="s">
        <v>91</v>
      </c>
      <c r="B6" s="8" t="str">
        <f>IF(A6="","",IFERROR(INDEX(Lists!$C$4:$C$203,MATCH(A6,Lists!$B$4:$B$203,0)),""))</f>
        <v>Software Engineering</v>
      </c>
      <c r="C6" s="8" t="s">
        <v>597</v>
      </c>
      <c r="D6" s="12" t="s">
        <v>1207</v>
      </c>
      <c r="E6" s="10">
        <v>46286</v>
      </c>
      <c r="F6" s="8" t="s">
        <v>1208</v>
      </c>
      <c r="G6" s="10"/>
      <c r="H6" s="8" t="s">
        <v>683</v>
      </c>
    </row>
    <row r="7" spans="1:8">
      <c r="A7" s="4" t="s">
        <v>111</v>
      </c>
      <c r="B7" s="8" t="str">
        <f>IF(A7="","",IFERROR(INDEX(Lists!$C$4:$C$203,MATCH(A7,Lists!$B$4:$B$203,0)),""))</f>
        <v>IT Operations</v>
      </c>
      <c r="C7" s="8" t="s">
        <v>819</v>
      </c>
      <c r="D7" s="12" t="s">
        <v>1209</v>
      </c>
      <c r="E7" s="10">
        <v>46320</v>
      </c>
      <c r="F7" s="8" t="s">
        <v>1210</v>
      </c>
      <c r="G7" s="10"/>
      <c r="H7" s="8" t="s">
        <v>812</v>
      </c>
    </row>
    <row r="8" spans="1:8" ht="27.6">
      <c r="A8" s="4" t="s">
        <v>100</v>
      </c>
      <c r="B8" s="8" t="str">
        <f>IF(A8="","",IFERROR(INDEX(Lists!$C$4:$C$203,MATCH(A8,Lists!$B$4:$B$203,0)),""))</f>
        <v>IT Operations</v>
      </c>
      <c r="C8" s="8" t="s">
        <v>701</v>
      </c>
      <c r="D8" s="12" t="s">
        <v>1211</v>
      </c>
      <c r="E8" s="10">
        <v>46282</v>
      </c>
      <c r="F8" s="8" t="s">
        <v>1212</v>
      </c>
      <c r="G8" s="10">
        <v>46267</v>
      </c>
      <c r="H8" s="8" t="s">
        <v>812</v>
      </c>
    </row>
    <row r="9" spans="1:8">
      <c r="A9" s="4" t="s">
        <v>33</v>
      </c>
      <c r="B9" s="8" t="str">
        <f>IF(A9="","",IFERROR(INDEX(Lists!$C$4:$C$203,MATCH(A9,Lists!$B$4:$B$203,0)),""))</f>
        <v>Customer Support</v>
      </c>
      <c r="C9" s="8" t="s">
        <v>450</v>
      </c>
      <c r="D9" s="12" t="s">
        <v>1213</v>
      </c>
      <c r="E9" s="10">
        <v>46301</v>
      </c>
      <c r="F9" s="8" t="s">
        <v>1208</v>
      </c>
      <c r="G9" s="10"/>
      <c r="H9" s="8" t="s">
        <v>409</v>
      </c>
    </row>
    <row r="10" spans="1:8">
      <c r="A10" s="4" t="s">
        <v>50</v>
      </c>
      <c r="B10" s="8" t="str">
        <f>IF(A10="","",IFERROR(INDEX(Lists!$C$4:$C$203,MATCH(A10,Lists!$B$4:$B$203,0)),""))</f>
        <v>Customer Support</v>
      </c>
      <c r="C10" s="8" t="s">
        <v>531</v>
      </c>
      <c r="D10" s="12" t="s">
        <v>1213</v>
      </c>
      <c r="E10" s="10">
        <v>46298</v>
      </c>
      <c r="F10" s="8" t="s">
        <v>1210</v>
      </c>
      <c r="G10" s="10"/>
      <c r="H10" s="8" t="s">
        <v>409</v>
      </c>
    </row>
    <row r="11" spans="1:8">
      <c r="A11" s="4" t="s">
        <v>128</v>
      </c>
      <c r="B11" s="8" t="str">
        <f>IF(A11="","",IFERROR(INDEX(Lists!$C$4:$C$203,MATCH(A11,Lists!$B$4:$B$203,0)),""))</f>
        <v>Quality Assurance</v>
      </c>
      <c r="C11" s="8" t="s">
        <v>1011</v>
      </c>
      <c r="D11" s="12" t="s">
        <v>1209</v>
      </c>
      <c r="E11" s="10">
        <v>46349</v>
      </c>
      <c r="F11" s="8" t="s">
        <v>1210</v>
      </c>
      <c r="G11" s="10"/>
      <c r="H11" s="8" t="s">
        <v>930</v>
      </c>
    </row>
    <row r="12" spans="1:8" ht="27.6">
      <c r="A12" s="4" t="s">
        <v>69</v>
      </c>
      <c r="B12" s="8" t="str">
        <f>IF(A12="","",IFERROR(INDEX(Lists!$C$4:$C$203,MATCH(A12,Lists!$B$4:$B$203,0)),""))</f>
        <v>Platform Operations</v>
      </c>
      <c r="C12" s="8" t="s">
        <v>576</v>
      </c>
      <c r="D12" s="12" t="s">
        <v>1211</v>
      </c>
      <c r="E12" s="10">
        <v>46346</v>
      </c>
      <c r="F12" s="8" t="s">
        <v>1208</v>
      </c>
      <c r="G12" s="10"/>
      <c r="H12" s="8" t="s">
        <v>577</v>
      </c>
    </row>
    <row r="13" spans="1:8" ht="27.6">
      <c r="A13" s="4" t="s">
        <v>63</v>
      </c>
      <c r="B13" s="8" t="str">
        <f>IF(A13="","",IFERROR(INDEX(Lists!$C$4:$C$203,MATCH(A13,Lists!$B$4:$B$203,0)),""))</f>
        <v>Platform Operations</v>
      </c>
      <c r="C13" s="8" t="s">
        <v>612</v>
      </c>
      <c r="D13" s="12" t="s">
        <v>1207</v>
      </c>
      <c r="E13" s="10">
        <v>46295</v>
      </c>
      <c r="F13" s="8" t="s">
        <v>1214</v>
      </c>
      <c r="G13" s="10"/>
      <c r="H13" s="8" t="s">
        <v>577</v>
      </c>
    </row>
    <row r="14" spans="1:8">
      <c r="A14" s="4" t="s">
        <v>86</v>
      </c>
      <c r="B14" s="8" t="str">
        <f>IF(A14="","",IFERROR(INDEX(Lists!$C$4:$C$203,MATCH(A14,Lists!$B$4:$B$203,0)),""))</f>
        <v>Software Engineering</v>
      </c>
      <c r="C14" s="8" t="s">
        <v>777</v>
      </c>
      <c r="D14" s="12" t="s">
        <v>1213</v>
      </c>
      <c r="E14" s="10">
        <v>46356</v>
      </c>
      <c r="F14" s="8" t="s">
        <v>1210</v>
      </c>
      <c r="G14" s="10"/>
      <c r="H14" s="8" t="s">
        <v>683</v>
      </c>
    </row>
    <row r="15" spans="1:8">
      <c r="A15" s="4" t="s">
        <v>103</v>
      </c>
      <c r="B15" s="8" t="str">
        <f>IF(A15="","",IFERROR(INDEX(Lists!$C$4:$C$203,MATCH(A15,Lists!$B$4:$B$203,0)),""))</f>
        <v>IT Operations</v>
      </c>
      <c r="C15" s="8" t="s">
        <v>830</v>
      </c>
      <c r="D15" s="12" t="s">
        <v>1213</v>
      </c>
      <c r="E15" s="10">
        <v>46327</v>
      </c>
      <c r="F15" s="8" t="s">
        <v>1208</v>
      </c>
      <c r="G15" s="10"/>
      <c r="H15" s="8" t="s">
        <v>812</v>
      </c>
    </row>
    <row r="16" spans="1:8">
      <c r="A16" s="4" t="s">
        <v>94</v>
      </c>
      <c r="B16" s="8" t="str">
        <f>IF(A16="","",IFERROR(INDEX(Lists!$C$4:$C$203,MATCH(A16,Lists!$B$4:$B$203,0)),""))</f>
        <v>Software Engineering</v>
      </c>
      <c r="C16" s="8" t="s">
        <v>725</v>
      </c>
      <c r="D16" s="12" t="s">
        <v>1215</v>
      </c>
      <c r="E16" s="10">
        <v>46294</v>
      </c>
      <c r="F16" s="8" t="s">
        <v>1208</v>
      </c>
      <c r="G16" s="10"/>
      <c r="H16" s="8" t="s">
        <v>683</v>
      </c>
    </row>
    <row r="17" spans="1:8">
      <c r="A17" s="4" t="s">
        <v>80</v>
      </c>
      <c r="B17" s="8" t="str">
        <f>IF(A17="","",IFERROR(INDEX(Lists!$C$4:$C$203,MATCH(A17,Lists!$B$4:$B$203,0)),""))</f>
        <v>Software Engineering</v>
      </c>
      <c r="C17" s="8" t="s">
        <v>586</v>
      </c>
      <c r="D17" s="12" t="s">
        <v>1213</v>
      </c>
      <c r="E17" s="10">
        <v>46267</v>
      </c>
      <c r="F17" s="8" t="s">
        <v>1210</v>
      </c>
      <c r="G17" s="10"/>
      <c r="H17" s="8" t="s">
        <v>683</v>
      </c>
    </row>
    <row r="18" spans="1:8" ht="27.6">
      <c r="A18" s="4" t="s">
        <v>108</v>
      </c>
      <c r="B18" s="8" t="str">
        <f>IF(A18="","",IFERROR(INDEX(Lists!$C$4:$C$203,MATCH(A18,Lists!$B$4:$B$203,0)),""))</f>
        <v>IT Operations</v>
      </c>
      <c r="C18" s="8" t="s">
        <v>468</v>
      </c>
      <c r="D18" s="12" t="s">
        <v>1207</v>
      </c>
      <c r="E18" s="10">
        <v>46281</v>
      </c>
      <c r="F18" s="8" t="s">
        <v>1210</v>
      </c>
      <c r="G18" s="10"/>
      <c r="H18" s="8" t="s">
        <v>812</v>
      </c>
    </row>
    <row r="19" spans="1:8">
      <c r="A19" s="4" t="s">
        <v>111</v>
      </c>
      <c r="B19" s="8" t="str">
        <f>IF(A19="","",IFERROR(INDEX(Lists!$C$4:$C$203,MATCH(A19,Lists!$B$4:$B$203,0)),""))</f>
        <v>IT Operations</v>
      </c>
      <c r="C19" s="8" t="s">
        <v>822</v>
      </c>
      <c r="D19" s="12" t="s">
        <v>1213</v>
      </c>
      <c r="E19" s="10">
        <v>46327</v>
      </c>
      <c r="F19" s="8" t="s">
        <v>1210</v>
      </c>
      <c r="G19" s="10"/>
      <c r="H19" s="8" t="s">
        <v>812</v>
      </c>
    </row>
    <row r="20" spans="1:8">
      <c r="A20" s="4" t="s">
        <v>100</v>
      </c>
      <c r="B20" s="8" t="str">
        <f>IF(A20="","",IFERROR(INDEX(Lists!$C$4:$C$203,MATCH(A20,Lists!$B$4:$B$203,0)),""))</f>
        <v>IT Operations</v>
      </c>
      <c r="C20" s="8" t="s">
        <v>468</v>
      </c>
      <c r="D20" s="12" t="s">
        <v>1213</v>
      </c>
      <c r="E20" s="10">
        <v>46277</v>
      </c>
      <c r="F20" s="8" t="s">
        <v>1208</v>
      </c>
      <c r="G20" s="10"/>
      <c r="H20" s="8" t="s">
        <v>812</v>
      </c>
    </row>
    <row r="21" spans="1:8" ht="27.6">
      <c r="A21" s="4" t="s">
        <v>47</v>
      </c>
      <c r="B21" s="8" t="str">
        <f>IF(A21="","",IFERROR(INDEX(Lists!$C$4:$C$203,MATCH(A21,Lists!$B$4:$B$203,0)),""))</f>
        <v>Customer Support</v>
      </c>
      <c r="C21" s="8" t="s">
        <v>422</v>
      </c>
      <c r="D21" s="12" t="s">
        <v>1211</v>
      </c>
      <c r="E21" s="10">
        <v>46313</v>
      </c>
      <c r="F21" s="8" t="s">
        <v>1208</v>
      </c>
      <c r="G21" s="10"/>
      <c r="H21" s="8" t="s">
        <v>409</v>
      </c>
    </row>
    <row r="22" spans="1:8">
      <c r="A22" s="4" t="s">
        <v>134</v>
      </c>
      <c r="B22" s="8" t="str">
        <f>IF(A22="","",IFERROR(INDEX(Lists!$C$4:$C$203,MATCH(A22,Lists!$B$4:$B$203,0)),""))</f>
        <v>Quality Assurance</v>
      </c>
      <c r="C22" s="8" t="s">
        <v>984</v>
      </c>
      <c r="D22" s="12" t="s">
        <v>1209</v>
      </c>
      <c r="E22" s="10">
        <v>46283</v>
      </c>
      <c r="F22" s="8" t="s">
        <v>1208</v>
      </c>
      <c r="G22" s="10"/>
      <c r="H22" s="8" t="s">
        <v>930</v>
      </c>
    </row>
    <row r="23" spans="1:8">
      <c r="A23" s="4"/>
      <c r="B23" s="8" t="str">
        <f>IF(A23="","",IFERROR(INDEX(Lists!$C$4:$C$203,MATCH(A23,Lists!$B$4:$B$203,0)),""))</f>
        <v/>
      </c>
      <c r="C23" s="8"/>
      <c r="D23" s="12"/>
      <c r="E23" s="10"/>
      <c r="F23" s="8"/>
      <c r="G23" s="10"/>
      <c r="H23" s="8"/>
    </row>
    <row r="24" spans="1:8">
      <c r="A24" s="4"/>
      <c r="B24" s="8" t="str">
        <f>IF(A24="","",IFERROR(INDEX(Lists!$C$4:$C$203,MATCH(A24,Lists!$B$4:$B$203,0)),""))</f>
        <v/>
      </c>
      <c r="C24" s="8"/>
      <c r="D24" s="12"/>
      <c r="E24" s="10"/>
      <c r="F24" s="8"/>
      <c r="G24" s="10"/>
      <c r="H24" s="8"/>
    </row>
    <row r="25" spans="1:8">
      <c r="A25" s="4"/>
      <c r="B25" s="8" t="str">
        <f>IF(A25="","",IFERROR(INDEX(Lists!$C$4:$C$203,MATCH(A25,Lists!$B$4:$B$203,0)),""))</f>
        <v/>
      </c>
      <c r="C25" s="8"/>
      <c r="D25" s="12"/>
      <c r="E25" s="10"/>
      <c r="F25" s="8"/>
      <c r="G25" s="10"/>
      <c r="H25" s="8"/>
    </row>
    <row r="26" spans="1:8">
      <c r="A26" s="4"/>
      <c r="B26" s="8" t="str">
        <f>IF(A26="","",IFERROR(INDEX(Lists!$C$4:$C$203,MATCH(A26,Lists!$B$4:$B$203,0)),""))</f>
        <v/>
      </c>
      <c r="C26" s="8"/>
      <c r="D26" s="12"/>
      <c r="E26" s="10"/>
      <c r="F26" s="8"/>
      <c r="G26" s="10"/>
      <c r="H26" s="8"/>
    </row>
    <row r="27" spans="1:8">
      <c r="A27" s="4"/>
      <c r="B27" s="8" t="str">
        <f>IF(A27="","",IFERROR(INDEX(Lists!$C$4:$C$203,MATCH(A27,Lists!$B$4:$B$203,0)),""))</f>
        <v/>
      </c>
      <c r="C27" s="8"/>
      <c r="D27" s="12"/>
      <c r="E27" s="10"/>
      <c r="F27" s="8"/>
      <c r="G27" s="10"/>
      <c r="H27" s="8"/>
    </row>
    <row r="28" spans="1:8">
      <c r="A28" s="4"/>
      <c r="B28" s="8" t="str">
        <f>IF(A28="","",IFERROR(INDEX(Lists!$C$4:$C$203,MATCH(A28,Lists!$B$4:$B$203,0)),""))</f>
        <v/>
      </c>
      <c r="C28" s="8"/>
      <c r="D28" s="12"/>
      <c r="E28" s="10"/>
      <c r="F28" s="8"/>
      <c r="G28" s="10"/>
      <c r="H28" s="8"/>
    </row>
    <row r="29" spans="1:8">
      <c r="A29" s="4"/>
      <c r="B29" s="8" t="str">
        <f>IF(A29="","",IFERROR(INDEX(Lists!$C$4:$C$203,MATCH(A29,Lists!$B$4:$B$203,0)),""))</f>
        <v/>
      </c>
      <c r="C29" s="8"/>
      <c r="D29" s="12"/>
      <c r="E29" s="10"/>
      <c r="F29" s="8"/>
      <c r="G29" s="10"/>
      <c r="H29" s="8"/>
    </row>
    <row r="30" spans="1:8">
      <c r="A30" s="4"/>
      <c r="B30" s="8" t="str">
        <f>IF(A30="","",IFERROR(INDEX(Lists!$C$4:$C$203,MATCH(A30,Lists!$B$4:$B$203,0)),""))</f>
        <v/>
      </c>
      <c r="C30" s="8"/>
      <c r="D30" s="12"/>
      <c r="E30" s="10"/>
      <c r="F30" s="8"/>
      <c r="G30" s="10"/>
      <c r="H30" s="8"/>
    </row>
    <row r="31" spans="1:8">
      <c r="A31" s="4"/>
      <c r="B31" s="8" t="str">
        <f>IF(A31="","",IFERROR(INDEX(Lists!$C$4:$C$203,MATCH(A31,Lists!$B$4:$B$203,0)),""))</f>
        <v/>
      </c>
      <c r="C31" s="8"/>
      <c r="D31" s="12"/>
      <c r="E31" s="10"/>
      <c r="F31" s="8"/>
      <c r="G31" s="10"/>
      <c r="H31" s="8"/>
    </row>
    <row r="32" spans="1:8">
      <c r="A32" s="4"/>
      <c r="B32" s="8" t="str">
        <f>IF(A32="","",IFERROR(INDEX(Lists!$C$4:$C$203,MATCH(A32,Lists!$B$4:$B$203,0)),""))</f>
        <v/>
      </c>
      <c r="C32" s="8"/>
      <c r="D32" s="12"/>
      <c r="E32" s="10"/>
      <c r="F32" s="8"/>
      <c r="G32" s="10"/>
      <c r="H32" s="8"/>
    </row>
    <row r="33" spans="1:8">
      <c r="A33" s="4"/>
      <c r="B33" s="8" t="str">
        <f>IF(A33="","",IFERROR(INDEX(Lists!$C$4:$C$203,MATCH(A33,Lists!$B$4:$B$203,0)),""))</f>
        <v/>
      </c>
      <c r="C33" s="8"/>
      <c r="D33" s="12"/>
      <c r="E33" s="10"/>
      <c r="F33" s="8"/>
      <c r="G33" s="10"/>
      <c r="H33" s="8"/>
    </row>
    <row r="34" spans="1:8">
      <c r="A34" s="4"/>
      <c r="B34" s="8" t="str">
        <f>IF(A34="","",IFERROR(INDEX(Lists!$C$4:$C$203,MATCH(A34,Lists!$B$4:$B$203,0)),""))</f>
        <v/>
      </c>
      <c r="C34" s="8"/>
      <c r="D34" s="12"/>
      <c r="E34" s="10"/>
      <c r="F34" s="8"/>
      <c r="G34" s="10"/>
      <c r="H34" s="8"/>
    </row>
    <row r="35" spans="1:8">
      <c r="A35" s="4"/>
      <c r="B35" s="8" t="str">
        <f>IF(A35="","",IFERROR(INDEX(Lists!$C$4:$C$203,MATCH(A35,Lists!$B$4:$B$203,0)),""))</f>
        <v/>
      </c>
      <c r="C35" s="8"/>
      <c r="D35" s="12"/>
      <c r="E35" s="10"/>
      <c r="F35" s="8"/>
      <c r="G35" s="10"/>
      <c r="H35" s="8"/>
    </row>
    <row r="36" spans="1:8">
      <c r="A36" s="4"/>
      <c r="B36" s="8" t="str">
        <f>IF(A36="","",IFERROR(INDEX(Lists!$C$4:$C$203,MATCH(A36,Lists!$B$4:$B$203,0)),""))</f>
        <v/>
      </c>
      <c r="C36" s="8"/>
      <c r="D36" s="12"/>
      <c r="E36" s="10"/>
      <c r="F36" s="8"/>
      <c r="G36" s="10"/>
      <c r="H36" s="8"/>
    </row>
    <row r="37" spans="1:8">
      <c r="A37" s="4"/>
      <c r="B37" s="8" t="str">
        <f>IF(A37="","",IFERROR(INDEX(Lists!$C$4:$C$203,MATCH(A37,Lists!$B$4:$B$203,0)),""))</f>
        <v/>
      </c>
      <c r="C37" s="8"/>
      <c r="D37" s="12"/>
      <c r="E37" s="10"/>
      <c r="F37" s="8"/>
      <c r="G37" s="10"/>
      <c r="H37" s="8"/>
    </row>
    <row r="38" spans="1:8">
      <c r="A38" s="4"/>
      <c r="B38" s="8" t="str">
        <f>IF(A38="","",IFERROR(INDEX(Lists!$C$4:$C$203,MATCH(A38,Lists!$B$4:$B$203,0)),""))</f>
        <v/>
      </c>
      <c r="C38" s="8"/>
      <c r="D38" s="12"/>
      <c r="E38" s="10"/>
      <c r="F38" s="8"/>
      <c r="G38" s="10"/>
      <c r="H38" s="8"/>
    </row>
    <row r="39" spans="1:8">
      <c r="A39" s="4"/>
      <c r="B39" s="8" t="str">
        <f>IF(A39="","",IFERROR(INDEX(Lists!$C$4:$C$203,MATCH(A39,Lists!$B$4:$B$203,0)),""))</f>
        <v/>
      </c>
      <c r="C39" s="8"/>
      <c r="D39" s="12"/>
      <c r="E39" s="10"/>
      <c r="F39" s="8"/>
      <c r="G39" s="10"/>
      <c r="H39" s="8"/>
    </row>
    <row r="40" spans="1:8">
      <c r="A40" s="4"/>
      <c r="B40" s="8" t="str">
        <f>IF(A40="","",IFERROR(INDEX(Lists!$C$4:$C$203,MATCH(A40,Lists!$B$4:$B$203,0)),""))</f>
        <v/>
      </c>
      <c r="C40" s="8"/>
      <c r="D40" s="12"/>
      <c r="E40" s="10"/>
      <c r="F40" s="8"/>
      <c r="G40" s="10"/>
      <c r="H40" s="8"/>
    </row>
    <row r="41" spans="1:8">
      <c r="A41" s="4"/>
      <c r="B41" s="8" t="str">
        <f>IF(A41="","",IFERROR(INDEX(Lists!$C$4:$C$203,MATCH(A41,Lists!$B$4:$B$203,0)),""))</f>
        <v/>
      </c>
      <c r="C41" s="8"/>
      <c r="D41" s="12"/>
      <c r="E41" s="10"/>
      <c r="F41" s="8"/>
      <c r="G41" s="10"/>
      <c r="H41" s="8"/>
    </row>
    <row r="42" spans="1:8">
      <c r="A42" s="4"/>
      <c r="B42" s="8" t="str">
        <f>IF(A42="","",IFERROR(INDEX(Lists!$C$4:$C$203,MATCH(A42,Lists!$B$4:$B$203,0)),""))</f>
        <v/>
      </c>
      <c r="C42" s="8"/>
      <c r="D42" s="12"/>
      <c r="E42" s="10"/>
      <c r="F42" s="8"/>
      <c r="G42" s="10"/>
      <c r="H42" s="8"/>
    </row>
    <row r="43" spans="1:8">
      <c r="A43" s="4"/>
      <c r="B43" s="8" t="str">
        <f>IF(A43="","",IFERROR(INDEX(Lists!$C$4:$C$203,MATCH(A43,Lists!$B$4:$B$203,0)),""))</f>
        <v/>
      </c>
      <c r="C43" s="8"/>
      <c r="D43" s="12"/>
      <c r="E43" s="10"/>
      <c r="F43" s="8"/>
      <c r="G43" s="10"/>
      <c r="H43" s="8"/>
    </row>
    <row r="44" spans="1:8">
      <c r="A44" s="4"/>
      <c r="B44" s="8" t="str">
        <f>IF(A44="","",IFERROR(INDEX(Lists!$C$4:$C$203,MATCH(A44,Lists!$B$4:$B$203,0)),""))</f>
        <v/>
      </c>
      <c r="C44" s="8"/>
      <c r="D44" s="12"/>
      <c r="E44" s="10"/>
      <c r="F44" s="8"/>
      <c r="G44" s="10"/>
      <c r="H44" s="8"/>
    </row>
    <row r="45" spans="1:8">
      <c r="A45" s="4"/>
      <c r="B45" s="8" t="str">
        <f>IF(A45="","",IFERROR(INDEX(Lists!$C$4:$C$203,MATCH(A45,Lists!$B$4:$B$203,0)),""))</f>
        <v/>
      </c>
      <c r="C45" s="8"/>
      <c r="D45" s="12"/>
      <c r="E45" s="10"/>
      <c r="F45" s="8"/>
      <c r="G45" s="10"/>
      <c r="H45" s="8"/>
    </row>
    <row r="46" spans="1:8">
      <c r="A46" s="4"/>
      <c r="B46" s="8" t="str">
        <f>IF(A46="","",IFERROR(INDEX(Lists!$C$4:$C$203,MATCH(A46,Lists!$B$4:$B$203,0)),""))</f>
        <v/>
      </c>
      <c r="C46" s="8"/>
      <c r="D46" s="12"/>
      <c r="E46" s="10"/>
      <c r="F46" s="8"/>
      <c r="G46" s="10"/>
      <c r="H46" s="8"/>
    </row>
    <row r="47" spans="1:8">
      <c r="A47" s="4"/>
      <c r="B47" s="8" t="str">
        <f>IF(A47="","",IFERROR(INDEX(Lists!$C$4:$C$203,MATCH(A47,Lists!$B$4:$B$203,0)),""))</f>
        <v/>
      </c>
      <c r="C47" s="8"/>
      <c r="D47" s="12"/>
      <c r="E47" s="10"/>
      <c r="F47" s="8"/>
      <c r="G47" s="10"/>
      <c r="H47" s="8"/>
    </row>
    <row r="48" spans="1:8">
      <c r="A48" s="4"/>
      <c r="B48" s="8" t="str">
        <f>IF(A48="","",IFERROR(INDEX(Lists!$C$4:$C$203,MATCH(A48,Lists!$B$4:$B$203,0)),""))</f>
        <v/>
      </c>
      <c r="C48" s="8"/>
      <c r="D48" s="12"/>
      <c r="E48" s="10"/>
      <c r="F48" s="8"/>
      <c r="G48" s="10"/>
      <c r="H48" s="8"/>
    </row>
    <row r="49" spans="1:8">
      <c r="A49" s="4"/>
      <c r="B49" s="8" t="str">
        <f>IF(A49="","",IFERROR(INDEX(Lists!$C$4:$C$203,MATCH(A49,Lists!$B$4:$B$203,0)),""))</f>
        <v/>
      </c>
      <c r="C49" s="8"/>
      <c r="D49" s="12"/>
      <c r="E49" s="10"/>
      <c r="F49" s="8"/>
      <c r="G49" s="10"/>
      <c r="H49" s="8"/>
    </row>
    <row r="50" spans="1:8">
      <c r="A50" s="4"/>
      <c r="B50" s="8" t="str">
        <f>IF(A50="","",IFERROR(INDEX(Lists!$C$4:$C$203,MATCH(A50,Lists!$B$4:$B$203,0)),""))</f>
        <v/>
      </c>
      <c r="C50" s="8"/>
      <c r="D50" s="12"/>
      <c r="E50" s="10"/>
      <c r="F50" s="8"/>
      <c r="G50" s="10"/>
      <c r="H50" s="8"/>
    </row>
    <row r="51" spans="1:8">
      <c r="A51" s="4"/>
      <c r="B51" s="8" t="str">
        <f>IF(A51="","",IFERROR(INDEX(Lists!$C$4:$C$203,MATCH(A51,Lists!$B$4:$B$203,0)),""))</f>
        <v/>
      </c>
      <c r="C51" s="8"/>
      <c r="D51" s="12"/>
      <c r="E51" s="10"/>
      <c r="F51" s="8"/>
      <c r="G51" s="10"/>
      <c r="H51" s="8"/>
    </row>
    <row r="52" spans="1:8">
      <c r="A52" s="4"/>
      <c r="B52" s="8" t="str">
        <f>IF(A52="","",IFERROR(INDEX(Lists!$C$4:$C$203,MATCH(A52,Lists!$B$4:$B$203,0)),""))</f>
        <v/>
      </c>
      <c r="C52" s="8"/>
      <c r="D52" s="12"/>
      <c r="E52" s="10"/>
      <c r="F52" s="8"/>
      <c r="G52" s="10"/>
      <c r="H52" s="8"/>
    </row>
    <row r="53" spans="1:8">
      <c r="A53" s="4"/>
      <c r="B53" s="8" t="str">
        <f>IF(A53="","",IFERROR(INDEX(Lists!$C$4:$C$203,MATCH(A53,Lists!$B$4:$B$203,0)),""))</f>
        <v/>
      </c>
      <c r="C53" s="8"/>
      <c r="D53" s="12"/>
      <c r="E53" s="10"/>
      <c r="F53" s="8"/>
      <c r="G53" s="10"/>
      <c r="H53" s="8"/>
    </row>
    <row r="54" spans="1:8">
      <c r="A54" s="4"/>
      <c r="B54" s="8" t="str">
        <f>IF(A54="","",IFERROR(INDEX(Lists!$C$4:$C$203,MATCH(A54,Lists!$B$4:$B$203,0)),""))</f>
        <v/>
      </c>
      <c r="C54" s="8"/>
      <c r="D54" s="12"/>
      <c r="E54" s="10"/>
      <c r="F54" s="8"/>
      <c r="G54" s="10"/>
      <c r="H54" s="8"/>
    </row>
    <row r="55" spans="1:8">
      <c r="A55" s="4"/>
      <c r="B55" s="8" t="str">
        <f>IF(A55="","",IFERROR(INDEX(Lists!$C$4:$C$203,MATCH(A55,Lists!$B$4:$B$203,0)),""))</f>
        <v/>
      </c>
      <c r="C55" s="8"/>
      <c r="D55" s="12"/>
      <c r="E55" s="10"/>
      <c r="F55" s="8"/>
      <c r="G55" s="10"/>
      <c r="H55" s="8"/>
    </row>
    <row r="56" spans="1:8">
      <c r="A56" s="4"/>
      <c r="B56" s="8" t="str">
        <f>IF(A56="","",IFERROR(INDEX(Lists!$C$4:$C$203,MATCH(A56,Lists!$B$4:$B$203,0)),""))</f>
        <v/>
      </c>
      <c r="C56" s="8"/>
      <c r="D56" s="12"/>
      <c r="E56" s="10"/>
      <c r="F56" s="8"/>
      <c r="G56" s="10"/>
      <c r="H56" s="8"/>
    </row>
    <row r="57" spans="1:8">
      <c r="A57" s="4"/>
      <c r="B57" s="8" t="str">
        <f>IF(A57="","",IFERROR(INDEX(Lists!$C$4:$C$203,MATCH(A57,Lists!$B$4:$B$203,0)),""))</f>
        <v/>
      </c>
      <c r="C57" s="8"/>
      <c r="D57" s="12"/>
      <c r="E57" s="10"/>
      <c r="F57" s="8"/>
      <c r="G57" s="10"/>
      <c r="H57" s="8"/>
    </row>
    <row r="58" spans="1:8">
      <c r="A58" s="4"/>
      <c r="B58" s="8" t="str">
        <f>IF(A58="","",IFERROR(INDEX(Lists!$C$4:$C$203,MATCH(A58,Lists!$B$4:$B$203,0)),""))</f>
        <v/>
      </c>
      <c r="C58" s="8"/>
      <c r="D58" s="12"/>
      <c r="E58" s="10"/>
      <c r="F58" s="8"/>
      <c r="G58" s="10"/>
      <c r="H58" s="8"/>
    </row>
    <row r="59" spans="1:8">
      <c r="A59" s="4"/>
      <c r="B59" s="8" t="str">
        <f>IF(A59="","",IFERROR(INDEX(Lists!$C$4:$C$203,MATCH(A59,Lists!$B$4:$B$203,0)),""))</f>
        <v/>
      </c>
      <c r="C59" s="8"/>
      <c r="D59" s="12"/>
      <c r="E59" s="10"/>
      <c r="F59" s="8"/>
      <c r="G59" s="10"/>
      <c r="H59" s="8"/>
    </row>
    <row r="60" spans="1:8">
      <c r="A60" s="4"/>
      <c r="B60" s="8" t="str">
        <f>IF(A60="","",IFERROR(INDEX(Lists!$C$4:$C$203,MATCH(A60,Lists!$B$4:$B$203,0)),""))</f>
        <v/>
      </c>
      <c r="C60" s="8"/>
      <c r="D60" s="12"/>
      <c r="E60" s="10"/>
      <c r="F60" s="8"/>
      <c r="G60" s="10"/>
      <c r="H60" s="8"/>
    </row>
    <row r="61" spans="1:8">
      <c r="A61" s="4"/>
      <c r="B61" s="8" t="str">
        <f>IF(A61="","",IFERROR(INDEX(Lists!$C$4:$C$203,MATCH(A61,Lists!$B$4:$B$203,0)),""))</f>
        <v/>
      </c>
      <c r="C61" s="8"/>
      <c r="D61" s="12"/>
      <c r="E61" s="10"/>
      <c r="F61" s="8"/>
      <c r="G61" s="10"/>
      <c r="H61" s="8"/>
    </row>
    <row r="62" spans="1:8">
      <c r="A62" s="4"/>
      <c r="B62" s="8" t="str">
        <f>IF(A62="","",IFERROR(INDEX(Lists!$C$4:$C$203,MATCH(A62,Lists!$B$4:$B$203,0)),""))</f>
        <v/>
      </c>
      <c r="C62" s="8"/>
      <c r="D62" s="12"/>
      <c r="E62" s="10"/>
      <c r="F62" s="8"/>
      <c r="G62" s="10"/>
      <c r="H62" s="8"/>
    </row>
    <row r="63" spans="1:8">
      <c r="A63" s="4"/>
      <c r="B63" s="8" t="str">
        <f>IF(A63="","",IFERROR(INDEX(Lists!$C$4:$C$203,MATCH(A63,Lists!$B$4:$B$203,0)),""))</f>
        <v/>
      </c>
      <c r="C63" s="8"/>
      <c r="D63" s="12"/>
      <c r="E63" s="10"/>
      <c r="F63" s="8"/>
      <c r="G63" s="10"/>
      <c r="H63" s="8"/>
    </row>
    <row r="64" spans="1:8">
      <c r="A64" s="4"/>
      <c r="B64" s="8" t="str">
        <f>IF(A64="","",IFERROR(INDEX(Lists!$C$4:$C$203,MATCH(A64,Lists!$B$4:$B$203,0)),""))</f>
        <v/>
      </c>
      <c r="C64" s="8"/>
      <c r="D64" s="12"/>
      <c r="E64" s="10"/>
      <c r="F64" s="8"/>
      <c r="G64" s="10"/>
      <c r="H64" s="8"/>
    </row>
    <row r="65" spans="1:8">
      <c r="A65" s="4"/>
      <c r="B65" s="8" t="str">
        <f>IF(A65="","",IFERROR(INDEX(Lists!$C$4:$C$203,MATCH(A65,Lists!$B$4:$B$203,0)),""))</f>
        <v/>
      </c>
      <c r="C65" s="8"/>
      <c r="D65" s="12"/>
      <c r="E65" s="10"/>
      <c r="F65" s="8"/>
      <c r="G65" s="10"/>
      <c r="H65" s="8"/>
    </row>
    <row r="66" spans="1:8">
      <c r="A66" s="4"/>
      <c r="B66" s="8" t="str">
        <f>IF(A66="","",IFERROR(INDEX(Lists!$C$4:$C$203,MATCH(A66,Lists!$B$4:$B$203,0)),""))</f>
        <v/>
      </c>
      <c r="C66" s="8"/>
      <c r="D66" s="12"/>
      <c r="E66" s="10"/>
      <c r="F66" s="8"/>
      <c r="G66" s="10"/>
      <c r="H66" s="8"/>
    </row>
    <row r="67" spans="1:8">
      <c r="A67" s="4"/>
      <c r="B67" s="8" t="str">
        <f>IF(A67="","",IFERROR(INDEX(Lists!$C$4:$C$203,MATCH(A67,Lists!$B$4:$B$203,0)),""))</f>
        <v/>
      </c>
      <c r="C67" s="8"/>
      <c r="D67" s="12"/>
      <c r="E67" s="10"/>
      <c r="F67" s="8"/>
      <c r="G67" s="10"/>
      <c r="H67" s="8"/>
    </row>
    <row r="68" spans="1:8">
      <c r="A68" s="4"/>
      <c r="B68" s="8" t="str">
        <f>IF(A68="","",IFERROR(INDEX(Lists!$C$4:$C$203,MATCH(A68,Lists!$B$4:$B$203,0)),""))</f>
        <v/>
      </c>
      <c r="C68" s="8"/>
      <c r="D68" s="12"/>
      <c r="E68" s="10"/>
      <c r="F68" s="8"/>
      <c r="G68" s="10"/>
      <c r="H68" s="8"/>
    </row>
    <row r="69" spans="1:8">
      <c r="A69" s="4"/>
      <c r="B69" s="8" t="str">
        <f>IF(A69="","",IFERROR(INDEX(Lists!$C$4:$C$203,MATCH(A69,Lists!$B$4:$B$203,0)),""))</f>
        <v/>
      </c>
      <c r="C69" s="8"/>
      <c r="D69" s="12"/>
      <c r="E69" s="10"/>
      <c r="F69" s="8"/>
      <c r="G69" s="10"/>
      <c r="H69" s="8"/>
    </row>
    <row r="70" spans="1:8">
      <c r="A70" s="4"/>
      <c r="B70" s="8" t="str">
        <f>IF(A70="","",IFERROR(INDEX(Lists!$C$4:$C$203,MATCH(A70,Lists!$B$4:$B$203,0)),""))</f>
        <v/>
      </c>
      <c r="C70" s="8"/>
      <c r="D70" s="12"/>
      <c r="E70" s="10"/>
      <c r="F70" s="8"/>
      <c r="G70" s="10"/>
      <c r="H70" s="8"/>
    </row>
    <row r="71" spans="1:8">
      <c r="A71" s="4"/>
      <c r="B71" s="8" t="str">
        <f>IF(A71="","",IFERROR(INDEX(Lists!$C$4:$C$203,MATCH(A71,Lists!$B$4:$B$203,0)),""))</f>
        <v/>
      </c>
      <c r="C71" s="8"/>
      <c r="D71" s="12"/>
      <c r="E71" s="10"/>
      <c r="F71" s="8"/>
      <c r="G71" s="10"/>
      <c r="H71" s="8"/>
    </row>
    <row r="72" spans="1:8">
      <c r="A72" s="4"/>
      <c r="B72" s="8" t="str">
        <f>IF(A72="","",IFERROR(INDEX(Lists!$C$4:$C$203,MATCH(A72,Lists!$B$4:$B$203,0)),""))</f>
        <v/>
      </c>
      <c r="C72" s="8"/>
      <c r="D72" s="12"/>
      <c r="E72" s="10"/>
      <c r="F72" s="8"/>
      <c r="G72" s="10"/>
      <c r="H72" s="8"/>
    </row>
    <row r="73" spans="1:8">
      <c r="A73" s="4"/>
      <c r="B73" s="8" t="str">
        <f>IF(A73="","",IFERROR(INDEX(Lists!$C$4:$C$203,MATCH(A73,Lists!$B$4:$B$203,0)),""))</f>
        <v/>
      </c>
      <c r="C73" s="8"/>
      <c r="D73" s="12"/>
      <c r="E73" s="10"/>
      <c r="F73" s="8"/>
      <c r="G73" s="10"/>
      <c r="H73" s="8"/>
    </row>
    <row r="74" spans="1:8">
      <c r="A74" s="4"/>
      <c r="B74" s="8" t="str">
        <f>IF(A74="","",IFERROR(INDEX(Lists!$C$4:$C$203,MATCH(A74,Lists!$B$4:$B$203,0)),""))</f>
        <v/>
      </c>
      <c r="C74" s="8"/>
      <c r="D74" s="12"/>
      <c r="E74" s="10"/>
      <c r="F74" s="8"/>
      <c r="G74" s="10"/>
      <c r="H74" s="8"/>
    </row>
    <row r="75" spans="1:8">
      <c r="A75" s="4"/>
      <c r="B75" s="8" t="str">
        <f>IF(A75="","",IFERROR(INDEX(Lists!$C$4:$C$203,MATCH(A75,Lists!$B$4:$B$203,0)),""))</f>
        <v/>
      </c>
      <c r="C75" s="8"/>
      <c r="D75" s="12"/>
      <c r="E75" s="10"/>
      <c r="F75" s="8"/>
      <c r="G75" s="10"/>
      <c r="H75" s="8"/>
    </row>
    <row r="76" spans="1:8">
      <c r="A76" s="4"/>
      <c r="B76" s="8" t="str">
        <f>IF(A76="","",IFERROR(INDEX(Lists!$C$4:$C$203,MATCH(A76,Lists!$B$4:$B$203,0)),""))</f>
        <v/>
      </c>
      <c r="C76" s="8"/>
      <c r="D76" s="12"/>
      <c r="E76" s="10"/>
      <c r="F76" s="8"/>
      <c r="G76" s="10"/>
      <c r="H76" s="8"/>
    </row>
    <row r="77" spans="1:8">
      <c r="A77" s="4"/>
      <c r="B77" s="8" t="str">
        <f>IF(A77="","",IFERROR(INDEX(Lists!$C$4:$C$203,MATCH(A77,Lists!$B$4:$B$203,0)),""))</f>
        <v/>
      </c>
      <c r="C77" s="8"/>
      <c r="D77" s="12"/>
      <c r="E77" s="10"/>
      <c r="F77" s="8"/>
      <c r="G77" s="10"/>
      <c r="H77" s="8"/>
    </row>
    <row r="78" spans="1:8">
      <c r="A78" s="4"/>
      <c r="B78" s="8" t="str">
        <f>IF(A78="","",IFERROR(INDEX(Lists!$C$4:$C$203,MATCH(A78,Lists!$B$4:$B$203,0)),""))</f>
        <v/>
      </c>
      <c r="C78" s="8"/>
      <c r="D78" s="12"/>
      <c r="E78" s="10"/>
      <c r="F78" s="8"/>
      <c r="G78" s="10"/>
      <c r="H78" s="8"/>
    </row>
    <row r="79" spans="1:8">
      <c r="A79" s="4"/>
      <c r="B79" s="8" t="str">
        <f>IF(A79="","",IFERROR(INDEX(Lists!$C$4:$C$203,MATCH(A79,Lists!$B$4:$B$203,0)),""))</f>
        <v/>
      </c>
      <c r="C79" s="8"/>
      <c r="D79" s="12"/>
      <c r="E79" s="10"/>
      <c r="F79" s="8"/>
      <c r="G79" s="10"/>
      <c r="H79" s="8"/>
    </row>
    <row r="80" spans="1:8">
      <c r="A80" s="4"/>
      <c r="B80" s="8" t="str">
        <f>IF(A80="","",IFERROR(INDEX(Lists!$C$4:$C$203,MATCH(A80,Lists!$B$4:$B$203,0)),""))</f>
        <v/>
      </c>
      <c r="C80" s="8"/>
      <c r="D80" s="12"/>
      <c r="E80" s="10"/>
      <c r="F80" s="8"/>
      <c r="G80" s="10"/>
      <c r="H80" s="8"/>
    </row>
    <row r="81" spans="1:8">
      <c r="A81" s="4"/>
      <c r="B81" s="8" t="str">
        <f>IF(A81="","",IFERROR(INDEX(Lists!$C$4:$C$203,MATCH(A81,Lists!$B$4:$B$203,0)),""))</f>
        <v/>
      </c>
      <c r="C81" s="8"/>
      <c r="D81" s="12"/>
      <c r="E81" s="10"/>
      <c r="F81" s="8"/>
      <c r="G81" s="10"/>
      <c r="H81" s="8"/>
    </row>
    <row r="82" spans="1:8">
      <c r="A82" s="4"/>
      <c r="B82" s="8" t="str">
        <f>IF(A82="","",IFERROR(INDEX(Lists!$C$4:$C$203,MATCH(A82,Lists!$B$4:$B$203,0)),""))</f>
        <v/>
      </c>
      <c r="C82" s="8"/>
      <c r="D82" s="12"/>
      <c r="E82" s="10"/>
      <c r="F82" s="8"/>
      <c r="G82" s="10"/>
      <c r="H82" s="8"/>
    </row>
    <row r="83" spans="1:8">
      <c r="A83" s="4"/>
      <c r="B83" s="8" t="str">
        <f>IF(A83="","",IFERROR(INDEX(Lists!$C$4:$C$203,MATCH(A83,Lists!$B$4:$B$203,0)),""))</f>
        <v/>
      </c>
      <c r="C83" s="8"/>
      <c r="D83" s="12"/>
      <c r="E83" s="10"/>
      <c r="F83" s="8"/>
      <c r="G83" s="10"/>
      <c r="H83" s="8"/>
    </row>
    <row r="84" spans="1:8">
      <c r="A84" s="4"/>
      <c r="B84" s="8" t="str">
        <f>IF(A84="","",IFERROR(INDEX(Lists!$C$4:$C$203,MATCH(A84,Lists!$B$4:$B$203,0)),""))</f>
        <v/>
      </c>
      <c r="C84" s="8"/>
      <c r="D84" s="12"/>
      <c r="E84" s="10"/>
      <c r="F84" s="8"/>
      <c r="G84" s="10"/>
      <c r="H84" s="8"/>
    </row>
    <row r="85" spans="1:8">
      <c r="A85" s="4"/>
      <c r="B85" s="8" t="str">
        <f>IF(A85="","",IFERROR(INDEX(Lists!$C$4:$C$203,MATCH(A85,Lists!$B$4:$B$203,0)),""))</f>
        <v/>
      </c>
      <c r="C85" s="8"/>
      <c r="D85" s="12"/>
      <c r="E85" s="10"/>
      <c r="F85" s="8"/>
      <c r="G85" s="10"/>
      <c r="H85" s="8"/>
    </row>
    <row r="86" spans="1:8">
      <c r="A86" s="4"/>
      <c r="B86" s="8" t="str">
        <f>IF(A86="","",IFERROR(INDEX(Lists!$C$4:$C$203,MATCH(A86,Lists!$B$4:$B$203,0)),""))</f>
        <v/>
      </c>
      <c r="C86" s="8"/>
      <c r="D86" s="12"/>
      <c r="E86" s="10"/>
      <c r="F86" s="8"/>
      <c r="G86" s="10"/>
      <c r="H86" s="8"/>
    </row>
    <row r="87" spans="1:8">
      <c r="A87" s="4"/>
      <c r="B87" s="8" t="str">
        <f>IF(A87="","",IFERROR(INDEX(Lists!$C$4:$C$203,MATCH(A87,Lists!$B$4:$B$203,0)),""))</f>
        <v/>
      </c>
      <c r="C87" s="8"/>
      <c r="D87" s="12"/>
      <c r="E87" s="10"/>
      <c r="F87" s="8"/>
      <c r="G87" s="10"/>
      <c r="H87" s="8"/>
    </row>
    <row r="88" spans="1:8">
      <c r="A88" s="4"/>
      <c r="B88" s="8" t="str">
        <f>IF(A88="","",IFERROR(INDEX(Lists!$C$4:$C$203,MATCH(A88,Lists!$B$4:$B$203,0)),""))</f>
        <v/>
      </c>
      <c r="C88" s="8"/>
      <c r="D88" s="12"/>
      <c r="E88" s="10"/>
      <c r="F88" s="8"/>
      <c r="G88" s="10"/>
      <c r="H88" s="8"/>
    </row>
    <row r="89" spans="1:8">
      <c r="A89" s="4"/>
      <c r="B89" s="8" t="str">
        <f>IF(A89="","",IFERROR(INDEX(Lists!$C$4:$C$203,MATCH(A89,Lists!$B$4:$B$203,0)),""))</f>
        <v/>
      </c>
      <c r="C89" s="8"/>
      <c r="D89" s="12"/>
      <c r="E89" s="10"/>
      <c r="F89" s="8"/>
      <c r="G89" s="10"/>
      <c r="H89" s="8"/>
    </row>
    <row r="90" spans="1:8">
      <c r="A90" s="4"/>
      <c r="B90" s="8" t="str">
        <f>IF(A90="","",IFERROR(INDEX(Lists!$C$4:$C$203,MATCH(A90,Lists!$B$4:$B$203,0)),""))</f>
        <v/>
      </c>
      <c r="C90" s="8"/>
      <c r="D90" s="12"/>
      <c r="E90" s="10"/>
      <c r="F90" s="8"/>
      <c r="G90" s="10"/>
      <c r="H90" s="8"/>
    </row>
    <row r="91" spans="1:8">
      <c r="A91" s="4"/>
      <c r="B91" s="8" t="str">
        <f>IF(A91="","",IFERROR(INDEX(Lists!$C$4:$C$203,MATCH(A91,Lists!$B$4:$B$203,0)),""))</f>
        <v/>
      </c>
      <c r="C91" s="8"/>
      <c r="D91" s="12"/>
      <c r="E91" s="10"/>
      <c r="F91" s="8"/>
      <c r="G91" s="10"/>
      <c r="H91" s="8"/>
    </row>
    <row r="92" spans="1:8">
      <c r="A92" s="4"/>
      <c r="B92" s="8" t="str">
        <f>IF(A92="","",IFERROR(INDEX(Lists!$C$4:$C$203,MATCH(A92,Lists!$B$4:$B$203,0)),""))</f>
        <v/>
      </c>
      <c r="C92" s="8"/>
      <c r="D92" s="12"/>
      <c r="E92" s="10"/>
      <c r="F92" s="8"/>
      <c r="G92" s="10"/>
      <c r="H92" s="8"/>
    </row>
    <row r="93" spans="1:8">
      <c r="A93" s="4"/>
      <c r="B93" s="8" t="str">
        <f>IF(A93="","",IFERROR(INDEX(Lists!$C$4:$C$203,MATCH(A93,Lists!$B$4:$B$203,0)),""))</f>
        <v/>
      </c>
      <c r="C93" s="8"/>
      <c r="D93" s="12"/>
      <c r="E93" s="10"/>
      <c r="F93" s="8"/>
      <c r="G93" s="10"/>
      <c r="H93" s="8"/>
    </row>
    <row r="94" spans="1:8">
      <c r="A94" s="4"/>
      <c r="B94" s="8" t="str">
        <f>IF(A94="","",IFERROR(INDEX(Lists!$C$4:$C$203,MATCH(A94,Lists!$B$4:$B$203,0)),""))</f>
        <v/>
      </c>
      <c r="C94" s="8"/>
      <c r="D94" s="12"/>
      <c r="E94" s="10"/>
      <c r="F94" s="8"/>
      <c r="G94" s="10"/>
      <c r="H94" s="8"/>
    </row>
    <row r="95" spans="1:8">
      <c r="A95" s="4"/>
      <c r="B95" s="8" t="str">
        <f>IF(A95="","",IFERROR(INDEX(Lists!$C$4:$C$203,MATCH(A95,Lists!$B$4:$B$203,0)),""))</f>
        <v/>
      </c>
      <c r="C95" s="8"/>
      <c r="D95" s="12"/>
      <c r="E95" s="10"/>
      <c r="F95" s="8"/>
      <c r="G95" s="10"/>
      <c r="H95" s="8"/>
    </row>
    <row r="96" spans="1:8">
      <c r="A96" s="4"/>
      <c r="B96" s="8" t="str">
        <f>IF(A96="","",IFERROR(INDEX(Lists!$C$4:$C$203,MATCH(A96,Lists!$B$4:$B$203,0)),""))</f>
        <v/>
      </c>
      <c r="C96" s="8"/>
      <c r="D96" s="12"/>
      <c r="E96" s="10"/>
      <c r="F96" s="8"/>
      <c r="G96" s="10"/>
      <c r="H96" s="8"/>
    </row>
    <row r="97" spans="1:8">
      <c r="A97" s="4"/>
      <c r="B97" s="8" t="str">
        <f>IF(A97="","",IFERROR(INDEX(Lists!$C$4:$C$203,MATCH(A97,Lists!$B$4:$B$203,0)),""))</f>
        <v/>
      </c>
      <c r="C97" s="8"/>
      <c r="D97" s="12"/>
      <c r="E97" s="10"/>
      <c r="F97" s="8"/>
      <c r="G97" s="10"/>
      <c r="H97" s="8"/>
    </row>
    <row r="98" spans="1:8">
      <c r="A98" s="4"/>
      <c r="B98" s="8" t="str">
        <f>IF(A98="","",IFERROR(INDEX(Lists!$C$4:$C$203,MATCH(A98,Lists!$B$4:$B$203,0)),""))</f>
        <v/>
      </c>
      <c r="C98" s="8"/>
      <c r="D98" s="12"/>
      <c r="E98" s="10"/>
      <c r="F98" s="8"/>
      <c r="G98" s="10"/>
      <c r="H98" s="8"/>
    </row>
    <row r="99" spans="1:8">
      <c r="A99" s="4"/>
      <c r="B99" s="8" t="str">
        <f>IF(A99="","",IFERROR(INDEX(Lists!$C$4:$C$203,MATCH(A99,Lists!$B$4:$B$203,0)),""))</f>
        <v/>
      </c>
      <c r="C99" s="8"/>
      <c r="D99" s="12"/>
      <c r="E99" s="10"/>
      <c r="F99" s="8"/>
      <c r="G99" s="10"/>
      <c r="H99" s="8"/>
    </row>
    <row r="100" spans="1:8">
      <c r="A100" s="4"/>
      <c r="B100" s="8" t="str">
        <f>IF(A100="","",IFERROR(INDEX(Lists!$C$4:$C$203,MATCH(A100,Lists!$B$4:$B$203,0)),""))</f>
        <v/>
      </c>
      <c r="C100" s="8"/>
      <c r="D100" s="12"/>
      <c r="E100" s="10"/>
      <c r="F100" s="8"/>
      <c r="G100" s="10"/>
      <c r="H100" s="8"/>
    </row>
    <row r="101" spans="1:8">
      <c r="A101" s="4"/>
      <c r="B101" s="8" t="str">
        <f>IF(A101="","",IFERROR(INDEX(Lists!$C$4:$C$203,MATCH(A101,Lists!$B$4:$B$203,0)),""))</f>
        <v/>
      </c>
      <c r="C101" s="8"/>
      <c r="D101" s="12"/>
      <c r="E101" s="10"/>
      <c r="F101" s="8"/>
      <c r="G101" s="10"/>
      <c r="H101" s="8"/>
    </row>
    <row r="102" spans="1:8">
      <c r="A102" s="4"/>
      <c r="B102" s="8" t="str">
        <f>IF(A102="","",IFERROR(INDEX(Lists!$C$4:$C$203,MATCH(A102,Lists!$B$4:$B$203,0)),""))</f>
        <v/>
      </c>
      <c r="C102" s="8"/>
      <c r="D102" s="12"/>
      <c r="E102" s="10"/>
      <c r="F102" s="8"/>
      <c r="G102" s="10"/>
      <c r="H102" s="8"/>
    </row>
    <row r="103" spans="1:8">
      <c r="A103" s="4"/>
      <c r="B103" s="8" t="str">
        <f>IF(A103="","",IFERROR(INDEX(Lists!$C$4:$C$203,MATCH(A103,Lists!$B$4:$B$203,0)),""))</f>
        <v/>
      </c>
      <c r="C103" s="8"/>
      <c r="D103" s="12"/>
      <c r="E103" s="10"/>
      <c r="F103" s="8"/>
      <c r="G103" s="10"/>
      <c r="H103" s="8"/>
    </row>
    <row r="104" spans="1:8">
      <c r="A104" s="4"/>
      <c r="B104" s="8" t="str">
        <f>IF(A104="","",IFERROR(INDEX(Lists!$C$4:$C$203,MATCH(A104,Lists!$B$4:$B$203,0)),""))</f>
        <v/>
      </c>
      <c r="C104" s="8"/>
      <c r="D104" s="12"/>
      <c r="E104" s="10"/>
      <c r="F104" s="8"/>
      <c r="G104" s="10"/>
      <c r="H104" s="8"/>
    </row>
    <row r="105" spans="1:8">
      <c r="A105" s="4"/>
      <c r="B105" s="8" t="str">
        <f>IF(A105="","",IFERROR(INDEX(Lists!$C$4:$C$203,MATCH(A105,Lists!$B$4:$B$203,0)),""))</f>
        <v/>
      </c>
      <c r="C105" s="8"/>
      <c r="D105" s="12"/>
      <c r="E105" s="10"/>
      <c r="F105" s="8"/>
      <c r="G105" s="10"/>
      <c r="H105" s="8"/>
    </row>
    <row r="106" spans="1:8">
      <c r="A106" s="4"/>
      <c r="B106" s="8" t="str">
        <f>IF(A106="","",IFERROR(INDEX(Lists!$C$4:$C$203,MATCH(A106,Lists!$B$4:$B$203,0)),""))</f>
        <v/>
      </c>
      <c r="C106" s="8"/>
      <c r="D106" s="12"/>
      <c r="E106" s="10"/>
      <c r="F106" s="8"/>
      <c r="G106" s="10"/>
      <c r="H106" s="8"/>
    </row>
    <row r="107" spans="1:8">
      <c r="A107" s="4"/>
      <c r="B107" s="8" t="str">
        <f>IF(A107="","",IFERROR(INDEX(Lists!$C$4:$C$203,MATCH(A107,Lists!$B$4:$B$203,0)),""))</f>
        <v/>
      </c>
      <c r="C107" s="8"/>
      <c r="D107" s="12"/>
      <c r="E107" s="10"/>
      <c r="F107" s="8"/>
      <c r="G107" s="10"/>
      <c r="H107" s="8"/>
    </row>
    <row r="108" spans="1:8">
      <c r="A108" s="4"/>
      <c r="B108" s="8" t="str">
        <f>IF(A108="","",IFERROR(INDEX(Lists!$C$4:$C$203,MATCH(A108,Lists!$B$4:$B$203,0)),""))</f>
        <v/>
      </c>
      <c r="C108" s="8"/>
      <c r="D108" s="12"/>
      <c r="E108" s="10"/>
      <c r="F108" s="8"/>
      <c r="G108" s="10"/>
      <c r="H108" s="8"/>
    </row>
    <row r="109" spans="1:8">
      <c r="A109" s="4"/>
      <c r="B109" s="8" t="str">
        <f>IF(A109="","",IFERROR(INDEX(Lists!$C$4:$C$203,MATCH(A109,Lists!$B$4:$B$203,0)),""))</f>
        <v/>
      </c>
      <c r="C109" s="8"/>
      <c r="D109" s="12"/>
      <c r="E109" s="10"/>
      <c r="F109" s="8"/>
      <c r="G109" s="10"/>
      <c r="H109" s="8"/>
    </row>
    <row r="110" spans="1:8">
      <c r="A110" s="4"/>
      <c r="B110" s="8" t="str">
        <f>IF(A110="","",IFERROR(INDEX(Lists!$C$4:$C$203,MATCH(A110,Lists!$B$4:$B$203,0)),""))</f>
        <v/>
      </c>
      <c r="C110" s="8"/>
      <c r="D110" s="12"/>
      <c r="E110" s="10"/>
      <c r="F110" s="8"/>
      <c r="G110" s="10"/>
      <c r="H110" s="8"/>
    </row>
    <row r="111" spans="1:8">
      <c r="A111" s="4"/>
      <c r="B111" s="8" t="str">
        <f>IF(A111="","",IFERROR(INDEX(Lists!$C$4:$C$203,MATCH(A111,Lists!$B$4:$B$203,0)),""))</f>
        <v/>
      </c>
      <c r="C111" s="8"/>
      <c r="D111" s="12"/>
      <c r="E111" s="10"/>
      <c r="F111" s="8"/>
      <c r="G111" s="10"/>
      <c r="H111" s="8"/>
    </row>
    <row r="112" spans="1:8">
      <c r="A112" s="4"/>
      <c r="B112" s="8" t="str">
        <f>IF(A112="","",IFERROR(INDEX(Lists!$C$4:$C$203,MATCH(A112,Lists!$B$4:$B$203,0)),""))</f>
        <v/>
      </c>
      <c r="C112" s="8"/>
      <c r="D112" s="12"/>
      <c r="E112" s="10"/>
      <c r="F112" s="8"/>
      <c r="G112" s="10"/>
      <c r="H112" s="8"/>
    </row>
    <row r="113" spans="1:8">
      <c r="A113" s="4"/>
      <c r="B113" s="8" t="str">
        <f>IF(A113="","",IFERROR(INDEX(Lists!$C$4:$C$203,MATCH(A113,Lists!$B$4:$B$203,0)),""))</f>
        <v/>
      </c>
      <c r="C113" s="8"/>
      <c r="D113" s="12"/>
      <c r="E113" s="10"/>
      <c r="F113" s="8"/>
      <c r="G113" s="10"/>
      <c r="H113" s="8"/>
    </row>
    <row r="114" spans="1:8">
      <c r="A114" s="4"/>
      <c r="B114" s="8" t="str">
        <f>IF(A114="","",IFERROR(INDEX(Lists!$C$4:$C$203,MATCH(A114,Lists!$B$4:$B$203,0)),""))</f>
        <v/>
      </c>
      <c r="C114" s="8"/>
      <c r="D114" s="12"/>
      <c r="E114" s="10"/>
      <c r="F114" s="8"/>
      <c r="G114" s="10"/>
      <c r="H114" s="8"/>
    </row>
    <row r="115" spans="1:8">
      <c r="A115" s="4"/>
      <c r="B115" s="8" t="str">
        <f>IF(A115="","",IFERROR(INDEX(Lists!$C$4:$C$203,MATCH(A115,Lists!$B$4:$B$203,0)),""))</f>
        <v/>
      </c>
      <c r="C115" s="8"/>
      <c r="D115" s="12"/>
      <c r="E115" s="10"/>
      <c r="F115" s="8"/>
      <c r="G115" s="10"/>
      <c r="H115" s="8"/>
    </row>
    <row r="116" spans="1:8">
      <c r="A116" s="4"/>
      <c r="B116" s="8" t="str">
        <f>IF(A116="","",IFERROR(INDEX(Lists!$C$4:$C$203,MATCH(A116,Lists!$B$4:$B$203,0)),""))</f>
        <v/>
      </c>
      <c r="C116" s="8"/>
      <c r="D116" s="12"/>
      <c r="E116" s="10"/>
      <c r="F116" s="8"/>
      <c r="G116" s="10"/>
      <c r="H116" s="8"/>
    </row>
    <row r="117" spans="1:8">
      <c r="A117" s="4"/>
      <c r="B117" s="8" t="str">
        <f>IF(A117="","",IFERROR(INDEX(Lists!$C$4:$C$203,MATCH(A117,Lists!$B$4:$B$203,0)),""))</f>
        <v/>
      </c>
      <c r="C117" s="8"/>
      <c r="D117" s="12"/>
      <c r="E117" s="10"/>
      <c r="F117" s="8"/>
      <c r="G117" s="10"/>
      <c r="H117" s="8"/>
    </row>
    <row r="118" spans="1:8">
      <c r="A118" s="4"/>
      <c r="B118" s="8" t="str">
        <f>IF(A118="","",IFERROR(INDEX(Lists!$C$4:$C$203,MATCH(A118,Lists!$B$4:$B$203,0)),""))</f>
        <v/>
      </c>
      <c r="C118" s="8"/>
      <c r="D118" s="12"/>
      <c r="E118" s="10"/>
      <c r="F118" s="8"/>
      <c r="G118" s="10"/>
      <c r="H118" s="8"/>
    </row>
    <row r="119" spans="1:8">
      <c r="A119" s="4"/>
      <c r="B119" s="8" t="str">
        <f>IF(A119="","",IFERROR(INDEX(Lists!$C$4:$C$203,MATCH(A119,Lists!$B$4:$B$203,0)),""))</f>
        <v/>
      </c>
      <c r="C119" s="8"/>
      <c r="D119" s="12"/>
      <c r="E119" s="10"/>
      <c r="F119" s="8"/>
      <c r="G119" s="10"/>
      <c r="H119" s="8"/>
    </row>
    <row r="120" spans="1:8">
      <c r="A120" s="4"/>
      <c r="B120" s="8" t="str">
        <f>IF(A120="","",IFERROR(INDEX(Lists!$C$4:$C$203,MATCH(A120,Lists!$B$4:$B$203,0)),""))</f>
        <v/>
      </c>
      <c r="C120" s="8"/>
      <c r="D120" s="12"/>
      <c r="E120" s="10"/>
      <c r="F120" s="8"/>
      <c r="G120" s="10"/>
      <c r="H120" s="8"/>
    </row>
    <row r="121" spans="1:8">
      <c r="A121" s="4"/>
      <c r="B121" s="8" t="str">
        <f>IF(A121="","",IFERROR(INDEX(Lists!$C$4:$C$203,MATCH(A121,Lists!$B$4:$B$203,0)),""))</f>
        <v/>
      </c>
      <c r="C121" s="8"/>
      <c r="D121" s="12"/>
      <c r="E121" s="10"/>
      <c r="F121" s="8"/>
      <c r="G121" s="10"/>
      <c r="H121" s="8"/>
    </row>
    <row r="122" spans="1:8">
      <c r="A122" s="4"/>
      <c r="B122" s="8" t="str">
        <f>IF(A122="","",IFERROR(INDEX(Lists!$C$4:$C$203,MATCH(A122,Lists!$B$4:$B$203,0)),""))</f>
        <v/>
      </c>
      <c r="C122" s="8"/>
      <c r="D122" s="12"/>
      <c r="E122" s="10"/>
      <c r="F122" s="8"/>
      <c r="G122" s="10"/>
      <c r="H122" s="8"/>
    </row>
    <row r="123" spans="1:8">
      <c r="A123" s="4"/>
      <c r="B123" s="8" t="str">
        <f>IF(A123="","",IFERROR(INDEX(Lists!$C$4:$C$203,MATCH(A123,Lists!$B$4:$B$203,0)),""))</f>
        <v/>
      </c>
      <c r="C123" s="8"/>
      <c r="D123" s="12"/>
      <c r="E123" s="10"/>
      <c r="F123" s="8"/>
      <c r="G123" s="10"/>
      <c r="H123" s="8"/>
    </row>
    <row r="124" spans="1:8">
      <c r="A124" s="4"/>
      <c r="B124" s="8" t="str">
        <f>IF(A124="","",IFERROR(INDEX(Lists!$C$4:$C$203,MATCH(A124,Lists!$B$4:$B$203,0)),""))</f>
        <v/>
      </c>
      <c r="C124" s="8"/>
      <c r="D124" s="12"/>
      <c r="E124" s="10"/>
      <c r="F124" s="8"/>
      <c r="G124" s="10"/>
      <c r="H124" s="8"/>
    </row>
    <row r="125" spans="1:8">
      <c r="A125" s="4"/>
      <c r="B125" s="8" t="str">
        <f>IF(A125="","",IFERROR(INDEX(Lists!$C$4:$C$203,MATCH(A125,Lists!$B$4:$B$203,0)),""))</f>
        <v/>
      </c>
      <c r="C125" s="8"/>
      <c r="D125" s="12"/>
      <c r="E125" s="10"/>
      <c r="F125" s="8"/>
      <c r="G125" s="10"/>
      <c r="H125" s="8"/>
    </row>
    <row r="126" spans="1:8">
      <c r="A126" s="4"/>
      <c r="B126" s="8" t="str">
        <f>IF(A126="","",IFERROR(INDEX(Lists!$C$4:$C$203,MATCH(A126,Lists!$B$4:$B$203,0)),""))</f>
        <v/>
      </c>
      <c r="C126" s="8"/>
      <c r="D126" s="12"/>
      <c r="E126" s="10"/>
      <c r="F126" s="8"/>
      <c r="G126" s="10"/>
      <c r="H126" s="8"/>
    </row>
    <row r="127" spans="1:8">
      <c r="A127" s="4"/>
      <c r="B127" s="8" t="str">
        <f>IF(A127="","",IFERROR(INDEX(Lists!$C$4:$C$203,MATCH(A127,Lists!$B$4:$B$203,0)),""))</f>
        <v/>
      </c>
      <c r="C127" s="8"/>
      <c r="D127" s="12"/>
      <c r="E127" s="10"/>
      <c r="F127" s="8"/>
      <c r="G127" s="10"/>
      <c r="H127" s="8"/>
    </row>
    <row r="128" spans="1:8">
      <c r="A128" s="4"/>
      <c r="B128" s="8" t="str">
        <f>IF(A128="","",IFERROR(INDEX(Lists!$C$4:$C$203,MATCH(A128,Lists!$B$4:$B$203,0)),""))</f>
        <v/>
      </c>
      <c r="C128" s="8"/>
      <c r="D128" s="12"/>
      <c r="E128" s="10"/>
      <c r="F128" s="8"/>
      <c r="G128" s="10"/>
      <c r="H128" s="8"/>
    </row>
    <row r="129" spans="1:8">
      <c r="A129" s="4"/>
      <c r="B129" s="8" t="str">
        <f>IF(A129="","",IFERROR(INDEX(Lists!$C$4:$C$203,MATCH(A129,Lists!$B$4:$B$203,0)),""))</f>
        <v/>
      </c>
      <c r="C129" s="8"/>
      <c r="D129" s="12"/>
      <c r="E129" s="10"/>
      <c r="F129" s="8"/>
      <c r="G129" s="10"/>
      <c r="H129" s="8"/>
    </row>
    <row r="130" spans="1:8">
      <c r="A130" s="4"/>
      <c r="B130" s="8" t="str">
        <f>IF(A130="","",IFERROR(INDEX(Lists!$C$4:$C$203,MATCH(A130,Lists!$B$4:$B$203,0)),""))</f>
        <v/>
      </c>
      <c r="C130" s="8"/>
      <c r="D130" s="12"/>
      <c r="E130" s="10"/>
      <c r="F130" s="8"/>
      <c r="G130" s="10"/>
      <c r="H130" s="8"/>
    </row>
    <row r="131" spans="1:8">
      <c r="A131" s="4"/>
      <c r="B131" s="8" t="str">
        <f>IF(A131="","",IFERROR(INDEX(Lists!$C$4:$C$203,MATCH(A131,Lists!$B$4:$B$203,0)),""))</f>
        <v/>
      </c>
      <c r="C131" s="8"/>
      <c r="D131" s="12"/>
      <c r="E131" s="10"/>
      <c r="F131" s="8"/>
      <c r="G131" s="10"/>
      <c r="H131" s="8"/>
    </row>
    <row r="132" spans="1:8">
      <c r="A132" s="4"/>
      <c r="B132" s="8" t="str">
        <f>IF(A132="","",IFERROR(INDEX(Lists!$C$4:$C$203,MATCH(A132,Lists!$B$4:$B$203,0)),""))</f>
        <v/>
      </c>
      <c r="C132" s="8"/>
      <c r="D132" s="12"/>
      <c r="E132" s="10"/>
      <c r="F132" s="8"/>
      <c r="G132" s="10"/>
      <c r="H132" s="8"/>
    </row>
    <row r="133" spans="1:8">
      <c r="A133" s="4"/>
      <c r="B133" s="8" t="str">
        <f>IF(A133="","",IFERROR(INDEX(Lists!$C$4:$C$203,MATCH(A133,Lists!$B$4:$B$203,0)),""))</f>
        <v/>
      </c>
      <c r="C133" s="8"/>
      <c r="D133" s="12"/>
      <c r="E133" s="10"/>
      <c r="F133" s="8"/>
      <c r="G133" s="10"/>
      <c r="H133" s="8"/>
    </row>
    <row r="134" spans="1:8">
      <c r="A134" s="4"/>
      <c r="B134" s="8" t="str">
        <f>IF(A134="","",IFERROR(INDEX(Lists!$C$4:$C$203,MATCH(A134,Lists!$B$4:$B$203,0)),""))</f>
        <v/>
      </c>
      <c r="C134" s="8"/>
      <c r="D134" s="12"/>
      <c r="E134" s="10"/>
      <c r="F134" s="8"/>
      <c r="G134" s="10"/>
      <c r="H134" s="8"/>
    </row>
    <row r="135" spans="1:8">
      <c r="A135" s="4"/>
      <c r="B135" s="8" t="str">
        <f>IF(A135="","",IFERROR(INDEX(Lists!$C$4:$C$203,MATCH(A135,Lists!$B$4:$B$203,0)),""))</f>
        <v/>
      </c>
      <c r="C135" s="8"/>
      <c r="D135" s="12"/>
      <c r="E135" s="10"/>
      <c r="F135" s="8"/>
      <c r="G135" s="10"/>
      <c r="H135" s="8"/>
    </row>
    <row r="136" spans="1:8">
      <c r="A136" s="4"/>
      <c r="B136" s="8" t="str">
        <f>IF(A136="","",IFERROR(INDEX(Lists!$C$4:$C$203,MATCH(A136,Lists!$B$4:$B$203,0)),""))</f>
        <v/>
      </c>
      <c r="C136" s="8"/>
      <c r="D136" s="12"/>
      <c r="E136" s="10"/>
      <c r="F136" s="8"/>
      <c r="G136" s="10"/>
      <c r="H136" s="8"/>
    </row>
    <row r="137" spans="1:8">
      <c r="A137" s="4"/>
      <c r="B137" s="8" t="str">
        <f>IF(A137="","",IFERROR(INDEX(Lists!$C$4:$C$203,MATCH(A137,Lists!$B$4:$B$203,0)),""))</f>
        <v/>
      </c>
      <c r="C137" s="8"/>
      <c r="D137" s="12"/>
      <c r="E137" s="10"/>
      <c r="F137" s="8"/>
      <c r="G137" s="10"/>
      <c r="H137" s="8"/>
    </row>
    <row r="138" spans="1:8">
      <c r="A138" s="4"/>
      <c r="B138" s="8" t="str">
        <f>IF(A138="","",IFERROR(INDEX(Lists!$C$4:$C$203,MATCH(A138,Lists!$B$4:$B$203,0)),""))</f>
        <v/>
      </c>
      <c r="C138" s="8"/>
      <c r="D138" s="12"/>
      <c r="E138" s="10"/>
      <c r="F138" s="8"/>
      <c r="G138" s="10"/>
      <c r="H138" s="8"/>
    </row>
    <row r="139" spans="1:8">
      <c r="A139" s="4"/>
      <c r="B139" s="8" t="str">
        <f>IF(A139="","",IFERROR(INDEX(Lists!$C$4:$C$203,MATCH(A139,Lists!$B$4:$B$203,0)),""))</f>
        <v/>
      </c>
      <c r="C139" s="8"/>
      <c r="D139" s="12"/>
      <c r="E139" s="10"/>
      <c r="F139" s="8"/>
      <c r="G139" s="10"/>
      <c r="H139" s="8"/>
    </row>
    <row r="140" spans="1:8">
      <c r="A140" s="4"/>
      <c r="B140" s="8" t="str">
        <f>IF(A140="","",IFERROR(INDEX(Lists!$C$4:$C$203,MATCH(A140,Lists!$B$4:$B$203,0)),""))</f>
        <v/>
      </c>
      <c r="C140" s="8"/>
      <c r="D140" s="12"/>
      <c r="E140" s="10"/>
      <c r="F140" s="8"/>
      <c r="G140" s="10"/>
      <c r="H140" s="8"/>
    </row>
    <row r="141" spans="1:8">
      <c r="A141" s="4"/>
      <c r="B141" s="8" t="str">
        <f>IF(A141="","",IFERROR(INDEX(Lists!$C$4:$C$203,MATCH(A141,Lists!$B$4:$B$203,0)),""))</f>
        <v/>
      </c>
      <c r="C141" s="8"/>
      <c r="D141" s="12"/>
      <c r="E141" s="10"/>
      <c r="F141" s="8"/>
      <c r="G141" s="10"/>
      <c r="H141" s="8"/>
    </row>
    <row r="142" spans="1:8">
      <c r="A142" s="4"/>
      <c r="B142" s="8" t="str">
        <f>IF(A142="","",IFERROR(INDEX(Lists!$C$4:$C$203,MATCH(A142,Lists!$B$4:$B$203,0)),""))</f>
        <v/>
      </c>
      <c r="C142" s="8"/>
      <c r="D142" s="12"/>
      <c r="E142" s="10"/>
      <c r="F142" s="8"/>
      <c r="G142" s="10"/>
      <c r="H142" s="8"/>
    </row>
    <row r="143" spans="1:8">
      <c r="A143" s="4"/>
      <c r="B143" s="8" t="str">
        <f>IF(A143="","",IFERROR(INDEX(Lists!$C$4:$C$203,MATCH(A143,Lists!$B$4:$B$203,0)),""))</f>
        <v/>
      </c>
      <c r="C143" s="8"/>
      <c r="D143" s="12"/>
      <c r="E143" s="10"/>
      <c r="F143" s="8"/>
      <c r="G143" s="10"/>
      <c r="H143" s="8"/>
    </row>
    <row r="144" spans="1:8">
      <c r="A144" s="4"/>
      <c r="B144" s="8" t="str">
        <f>IF(A144="","",IFERROR(INDEX(Lists!$C$4:$C$203,MATCH(A144,Lists!$B$4:$B$203,0)),""))</f>
        <v/>
      </c>
      <c r="C144" s="8"/>
      <c r="D144" s="12"/>
      <c r="E144" s="10"/>
      <c r="F144" s="8"/>
      <c r="G144" s="10"/>
      <c r="H144" s="8"/>
    </row>
    <row r="145" spans="1:8">
      <c r="A145" s="4"/>
      <c r="B145" s="8" t="str">
        <f>IF(A145="","",IFERROR(INDEX(Lists!$C$4:$C$203,MATCH(A145,Lists!$B$4:$B$203,0)),""))</f>
        <v/>
      </c>
      <c r="C145" s="8"/>
      <c r="D145" s="12"/>
      <c r="E145" s="10"/>
      <c r="F145" s="8"/>
      <c r="G145" s="10"/>
      <c r="H145" s="8"/>
    </row>
    <row r="146" spans="1:8">
      <c r="A146" s="4"/>
      <c r="B146" s="8" t="str">
        <f>IF(A146="","",IFERROR(INDEX(Lists!$C$4:$C$203,MATCH(A146,Lists!$B$4:$B$203,0)),""))</f>
        <v/>
      </c>
      <c r="C146" s="8"/>
      <c r="D146" s="12"/>
      <c r="E146" s="10"/>
      <c r="F146" s="8"/>
      <c r="G146" s="10"/>
      <c r="H146" s="8"/>
    </row>
    <row r="147" spans="1:8">
      <c r="A147" s="4"/>
      <c r="B147" s="8" t="str">
        <f>IF(A147="","",IFERROR(INDEX(Lists!$C$4:$C$203,MATCH(A147,Lists!$B$4:$B$203,0)),""))</f>
        <v/>
      </c>
      <c r="C147" s="8"/>
      <c r="D147" s="12"/>
      <c r="E147" s="10"/>
      <c r="F147" s="8"/>
      <c r="G147" s="10"/>
      <c r="H147" s="8"/>
    </row>
    <row r="148" spans="1:8">
      <c r="A148" s="4"/>
      <c r="B148" s="8" t="str">
        <f>IF(A148="","",IFERROR(INDEX(Lists!$C$4:$C$203,MATCH(A148,Lists!$B$4:$B$203,0)),""))</f>
        <v/>
      </c>
      <c r="C148" s="8"/>
      <c r="D148" s="12"/>
      <c r="E148" s="10"/>
      <c r="F148" s="8"/>
      <c r="G148" s="10"/>
      <c r="H148" s="8"/>
    </row>
    <row r="149" spans="1:8">
      <c r="A149" s="4"/>
      <c r="B149" s="8" t="str">
        <f>IF(A149="","",IFERROR(INDEX(Lists!$C$4:$C$203,MATCH(A149,Lists!$B$4:$B$203,0)),""))</f>
        <v/>
      </c>
      <c r="C149" s="8"/>
      <c r="D149" s="12"/>
      <c r="E149" s="10"/>
      <c r="F149" s="8"/>
      <c r="G149" s="10"/>
      <c r="H149" s="8"/>
    </row>
    <row r="150" spans="1:8">
      <c r="A150" s="4"/>
      <c r="B150" s="8" t="str">
        <f>IF(A150="","",IFERROR(INDEX(Lists!$C$4:$C$203,MATCH(A150,Lists!$B$4:$B$203,0)),""))</f>
        <v/>
      </c>
      <c r="C150" s="8"/>
      <c r="D150" s="12"/>
      <c r="E150" s="10"/>
      <c r="F150" s="8"/>
      <c r="G150" s="10"/>
      <c r="H150" s="8"/>
    </row>
    <row r="151" spans="1:8">
      <c r="A151" s="4"/>
      <c r="B151" s="8" t="str">
        <f>IF(A151="","",IFERROR(INDEX(Lists!$C$4:$C$203,MATCH(A151,Lists!$B$4:$B$203,0)),""))</f>
        <v/>
      </c>
      <c r="C151" s="8"/>
      <c r="D151" s="12"/>
      <c r="E151" s="10"/>
      <c r="F151" s="8"/>
      <c r="G151" s="10"/>
      <c r="H151" s="8"/>
    </row>
    <row r="152" spans="1:8">
      <c r="A152" s="4"/>
      <c r="B152" s="8" t="str">
        <f>IF(A152="","",IFERROR(INDEX(Lists!$C$4:$C$203,MATCH(A152,Lists!$B$4:$B$203,0)),""))</f>
        <v/>
      </c>
      <c r="C152" s="8"/>
      <c r="D152" s="12"/>
      <c r="E152" s="10"/>
      <c r="F152" s="8"/>
      <c r="G152" s="10"/>
      <c r="H152" s="8"/>
    </row>
    <row r="153" spans="1:8">
      <c r="A153" s="4"/>
      <c r="B153" s="8" t="str">
        <f>IF(A153="","",IFERROR(INDEX(Lists!$C$4:$C$203,MATCH(A153,Lists!$B$4:$B$203,0)),""))</f>
        <v/>
      </c>
      <c r="C153" s="8"/>
      <c r="D153" s="12"/>
      <c r="E153" s="10"/>
      <c r="F153" s="8"/>
      <c r="G153" s="10"/>
      <c r="H153" s="8"/>
    </row>
    <row r="154" spans="1:8">
      <c r="A154" s="4"/>
      <c r="B154" s="8" t="str">
        <f>IF(A154="","",IFERROR(INDEX(Lists!$C$4:$C$203,MATCH(A154,Lists!$B$4:$B$203,0)),""))</f>
        <v/>
      </c>
      <c r="C154" s="8"/>
      <c r="D154" s="12"/>
      <c r="E154" s="10"/>
      <c r="F154" s="8"/>
      <c r="G154" s="10"/>
      <c r="H154" s="8"/>
    </row>
    <row r="155" spans="1:8">
      <c r="A155" s="4"/>
      <c r="B155" s="8" t="str">
        <f>IF(A155="","",IFERROR(INDEX(Lists!$C$4:$C$203,MATCH(A155,Lists!$B$4:$B$203,0)),""))</f>
        <v/>
      </c>
      <c r="C155" s="8"/>
      <c r="D155" s="12"/>
      <c r="E155" s="10"/>
      <c r="F155" s="8"/>
      <c r="G155" s="10"/>
      <c r="H155" s="8"/>
    </row>
    <row r="156" spans="1:8">
      <c r="A156" s="4"/>
      <c r="B156" s="8" t="str">
        <f>IF(A156="","",IFERROR(INDEX(Lists!$C$4:$C$203,MATCH(A156,Lists!$B$4:$B$203,0)),""))</f>
        <v/>
      </c>
      <c r="C156" s="8"/>
      <c r="D156" s="12"/>
      <c r="E156" s="10"/>
      <c r="F156" s="8"/>
      <c r="G156" s="10"/>
      <c r="H156" s="8"/>
    </row>
    <row r="157" spans="1:8">
      <c r="A157" s="4"/>
      <c r="B157" s="8" t="str">
        <f>IF(A157="","",IFERROR(INDEX(Lists!$C$4:$C$203,MATCH(A157,Lists!$B$4:$B$203,0)),""))</f>
        <v/>
      </c>
      <c r="C157" s="8"/>
      <c r="D157" s="12"/>
      <c r="E157" s="10"/>
      <c r="F157" s="8"/>
      <c r="G157" s="10"/>
      <c r="H157" s="8"/>
    </row>
    <row r="158" spans="1:8">
      <c r="A158" s="4"/>
      <c r="B158" s="8" t="str">
        <f>IF(A158="","",IFERROR(INDEX(Lists!$C$4:$C$203,MATCH(A158,Lists!$B$4:$B$203,0)),""))</f>
        <v/>
      </c>
      <c r="C158" s="8"/>
      <c r="D158" s="12"/>
      <c r="E158" s="10"/>
      <c r="F158" s="8"/>
      <c r="G158" s="10"/>
      <c r="H158" s="8"/>
    </row>
    <row r="159" spans="1:8">
      <c r="A159" s="4"/>
      <c r="B159" s="8" t="str">
        <f>IF(A159="","",IFERROR(INDEX(Lists!$C$4:$C$203,MATCH(A159,Lists!$B$4:$B$203,0)),""))</f>
        <v/>
      </c>
      <c r="C159" s="8"/>
      <c r="D159" s="12"/>
      <c r="E159" s="10"/>
      <c r="F159" s="8"/>
      <c r="G159" s="10"/>
      <c r="H159" s="8"/>
    </row>
    <row r="160" spans="1:8">
      <c r="A160" s="4"/>
      <c r="B160" s="8" t="str">
        <f>IF(A160="","",IFERROR(INDEX(Lists!$C$4:$C$203,MATCH(A160,Lists!$B$4:$B$203,0)),""))</f>
        <v/>
      </c>
      <c r="C160" s="8"/>
      <c r="D160" s="12"/>
      <c r="E160" s="10"/>
      <c r="F160" s="8"/>
      <c r="G160" s="10"/>
      <c r="H160" s="8"/>
    </row>
    <row r="161" spans="1:8">
      <c r="A161" s="4"/>
      <c r="B161" s="8" t="str">
        <f>IF(A161="","",IFERROR(INDEX(Lists!$C$4:$C$203,MATCH(A161,Lists!$B$4:$B$203,0)),""))</f>
        <v/>
      </c>
      <c r="C161" s="8"/>
      <c r="D161" s="12"/>
      <c r="E161" s="10"/>
      <c r="F161" s="8"/>
      <c r="G161" s="10"/>
      <c r="H161" s="8"/>
    </row>
    <row r="162" spans="1:8">
      <c r="A162" s="4"/>
      <c r="B162" s="8" t="str">
        <f>IF(A162="","",IFERROR(INDEX(Lists!$C$4:$C$203,MATCH(A162,Lists!$B$4:$B$203,0)),""))</f>
        <v/>
      </c>
      <c r="C162" s="8"/>
      <c r="D162" s="12"/>
      <c r="E162" s="10"/>
      <c r="F162" s="8"/>
      <c r="G162" s="10"/>
      <c r="H162" s="8"/>
    </row>
    <row r="163" spans="1:8">
      <c r="A163" s="4"/>
      <c r="B163" s="8" t="str">
        <f>IF(A163="","",IFERROR(INDEX(Lists!$C$4:$C$203,MATCH(A163,Lists!$B$4:$B$203,0)),""))</f>
        <v/>
      </c>
      <c r="C163" s="8"/>
      <c r="D163" s="12"/>
      <c r="E163" s="10"/>
      <c r="F163" s="8"/>
      <c r="G163" s="10"/>
      <c r="H163" s="8"/>
    </row>
    <row r="164" spans="1:8">
      <c r="A164" s="4"/>
      <c r="B164" s="8" t="str">
        <f>IF(A164="","",IFERROR(INDEX(Lists!$C$4:$C$203,MATCH(A164,Lists!$B$4:$B$203,0)),""))</f>
        <v/>
      </c>
      <c r="C164" s="8"/>
      <c r="D164" s="12"/>
      <c r="E164" s="10"/>
      <c r="F164" s="8"/>
      <c r="G164" s="10"/>
      <c r="H164" s="8"/>
    </row>
    <row r="165" spans="1:8">
      <c r="A165" s="4"/>
      <c r="B165" s="8" t="str">
        <f>IF(A165="","",IFERROR(INDEX(Lists!$C$4:$C$203,MATCH(A165,Lists!$B$4:$B$203,0)),""))</f>
        <v/>
      </c>
      <c r="C165" s="8"/>
      <c r="D165" s="12"/>
      <c r="E165" s="10"/>
      <c r="F165" s="8"/>
      <c r="G165" s="10"/>
      <c r="H165" s="8"/>
    </row>
    <row r="166" spans="1:8">
      <c r="A166" s="4"/>
      <c r="B166" s="8" t="str">
        <f>IF(A166="","",IFERROR(INDEX(Lists!$C$4:$C$203,MATCH(A166,Lists!$B$4:$B$203,0)),""))</f>
        <v/>
      </c>
      <c r="C166" s="8"/>
      <c r="D166" s="12"/>
      <c r="E166" s="10"/>
      <c r="F166" s="8"/>
      <c r="G166" s="10"/>
      <c r="H166" s="8"/>
    </row>
    <row r="167" spans="1:8">
      <c r="A167" s="4"/>
      <c r="B167" s="8" t="str">
        <f>IF(A167="","",IFERROR(INDEX(Lists!$C$4:$C$203,MATCH(A167,Lists!$B$4:$B$203,0)),""))</f>
        <v/>
      </c>
      <c r="C167" s="8"/>
      <c r="D167" s="12"/>
      <c r="E167" s="10"/>
      <c r="F167" s="8"/>
      <c r="G167" s="10"/>
      <c r="H167" s="8"/>
    </row>
    <row r="168" spans="1:8">
      <c r="A168" s="4"/>
      <c r="B168" s="8" t="str">
        <f>IF(A168="","",IFERROR(INDEX(Lists!$C$4:$C$203,MATCH(A168,Lists!$B$4:$B$203,0)),""))</f>
        <v/>
      </c>
      <c r="C168" s="8"/>
      <c r="D168" s="12"/>
      <c r="E168" s="10"/>
      <c r="F168" s="8"/>
      <c r="G168" s="10"/>
      <c r="H168" s="8"/>
    </row>
    <row r="169" spans="1:8">
      <c r="A169" s="4"/>
      <c r="B169" s="8" t="str">
        <f>IF(A169="","",IFERROR(INDEX(Lists!$C$4:$C$203,MATCH(A169,Lists!$B$4:$B$203,0)),""))</f>
        <v/>
      </c>
      <c r="C169" s="8"/>
      <c r="D169" s="12"/>
      <c r="E169" s="10"/>
      <c r="F169" s="8"/>
      <c r="G169" s="10"/>
      <c r="H169" s="8"/>
    </row>
    <row r="170" spans="1:8">
      <c r="A170" s="4"/>
      <c r="B170" s="8" t="str">
        <f>IF(A170="","",IFERROR(INDEX(Lists!$C$4:$C$203,MATCH(A170,Lists!$B$4:$B$203,0)),""))</f>
        <v/>
      </c>
      <c r="C170" s="8"/>
      <c r="D170" s="12"/>
      <c r="E170" s="10"/>
      <c r="F170" s="8"/>
      <c r="G170" s="10"/>
      <c r="H170" s="8"/>
    </row>
    <row r="171" spans="1:8">
      <c r="A171" s="4"/>
      <c r="B171" s="8" t="str">
        <f>IF(A171="","",IFERROR(INDEX(Lists!$C$4:$C$203,MATCH(A171,Lists!$B$4:$B$203,0)),""))</f>
        <v/>
      </c>
      <c r="C171" s="8"/>
      <c r="D171" s="12"/>
      <c r="E171" s="10"/>
      <c r="F171" s="8"/>
      <c r="G171" s="10"/>
      <c r="H171" s="8"/>
    </row>
    <row r="172" spans="1:8">
      <c r="A172" s="4"/>
      <c r="B172" s="8" t="str">
        <f>IF(A172="","",IFERROR(INDEX(Lists!$C$4:$C$203,MATCH(A172,Lists!$B$4:$B$203,0)),""))</f>
        <v/>
      </c>
      <c r="C172" s="8"/>
      <c r="D172" s="12"/>
      <c r="E172" s="10"/>
      <c r="F172" s="8"/>
      <c r="G172" s="10"/>
      <c r="H172" s="8"/>
    </row>
    <row r="173" spans="1:8">
      <c r="A173" s="4"/>
      <c r="B173" s="8" t="str">
        <f>IF(A173="","",IFERROR(INDEX(Lists!$C$4:$C$203,MATCH(A173,Lists!$B$4:$B$203,0)),""))</f>
        <v/>
      </c>
      <c r="C173" s="8"/>
      <c r="D173" s="12"/>
      <c r="E173" s="10"/>
      <c r="F173" s="8"/>
      <c r="G173" s="10"/>
      <c r="H173" s="8"/>
    </row>
    <row r="174" spans="1:8">
      <c r="A174" s="4"/>
      <c r="B174" s="8" t="str">
        <f>IF(A174="","",IFERROR(INDEX(Lists!$C$4:$C$203,MATCH(A174,Lists!$B$4:$B$203,0)),""))</f>
        <v/>
      </c>
      <c r="C174" s="8"/>
      <c r="D174" s="12"/>
      <c r="E174" s="10"/>
      <c r="F174" s="8"/>
      <c r="G174" s="10"/>
      <c r="H174" s="8"/>
    </row>
    <row r="175" spans="1:8">
      <c r="A175" s="4"/>
      <c r="B175" s="8" t="str">
        <f>IF(A175="","",IFERROR(INDEX(Lists!$C$4:$C$203,MATCH(A175,Lists!$B$4:$B$203,0)),""))</f>
        <v/>
      </c>
      <c r="C175" s="8"/>
      <c r="D175" s="12"/>
      <c r="E175" s="10"/>
      <c r="F175" s="8"/>
      <c r="G175" s="10"/>
      <c r="H175" s="8"/>
    </row>
    <row r="176" spans="1:8">
      <c r="A176" s="4"/>
      <c r="B176" s="8" t="str">
        <f>IF(A176="","",IFERROR(INDEX(Lists!$C$4:$C$203,MATCH(A176,Lists!$B$4:$B$203,0)),""))</f>
        <v/>
      </c>
      <c r="C176" s="8"/>
      <c r="D176" s="12"/>
      <c r="E176" s="10"/>
      <c r="F176" s="8"/>
      <c r="G176" s="10"/>
      <c r="H176" s="8"/>
    </row>
    <row r="177" spans="1:8">
      <c r="A177" s="4"/>
      <c r="B177" s="8" t="str">
        <f>IF(A177="","",IFERROR(INDEX(Lists!$C$4:$C$203,MATCH(A177,Lists!$B$4:$B$203,0)),""))</f>
        <v/>
      </c>
      <c r="C177" s="8"/>
      <c r="D177" s="12"/>
      <c r="E177" s="10"/>
      <c r="F177" s="8"/>
      <c r="G177" s="10"/>
      <c r="H177" s="8"/>
    </row>
    <row r="178" spans="1:8">
      <c r="A178" s="4"/>
      <c r="B178" s="8" t="str">
        <f>IF(A178="","",IFERROR(INDEX(Lists!$C$4:$C$203,MATCH(A178,Lists!$B$4:$B$203,0)),""))</f>
        <v/>
      </c>
      <c r="C178" s="8"/>
      <c r="D178" s="12"/>
      <c r="E178" s="10"/>
      <c r="F178" s="8"/>
      <c r="G178" s="10"/>
      <c r="H178" s="8"/>
    </row>
    <row r="179" spans="1:8">
      <c r="A179" s="4"/>
      <c r="B179" s="8" t="str">
        <f>IF(A179="","",IFERROR(INDEX(Lists!$C$4:$C$203,MATCH(A179,Lists!$B$4:$B$203,0)),""))</f>
        <v/>
      </c>
      <c r="C179" s="8"/>
      <c r="D179" s="12"/>
      <c r="E179" s="10"/>
      <c r="F179" s="8"/>
      <c r="G179" s="10"/>
      <c r="H179" s="8"/>
    </row>
    <row r="180" spans="1:8">
      <c r="A180" s="4"/>
      <c r="B180" s="8" t="str">
        <f>IF(A180="","",IFERROR(INDEX(Lists!$C$4:$C$203,MATCH(A180,Lists!$B$4:$B$203,0)),""))</f>
        <v/>
      </c>
      <c r="C180" s="8"/>
      <c r="D180" s="12"/>
      <c r="E180" s="10"/>
      <c r="F180" s="8"/>
      <c r="G180" s="10"/>
      <c r="H180" s="8"/>
    </row>
    <row r="181" spans="1:8">
      <c r="A181" s="4"/>
      <c r="B181" s="8" t="str">
        <f>IF(A181="","",IFERROR(INDEX(Lists!$C$4:$C$203,MATCH(A181,Lists!$B$4:$B$203,0)),""))</f>
        <v/>
      </c>
      <c r="C181" s="8"/>
      <c r="D181" s="12"/>
      <c r="E181" s="10"/>
      <c r="F181" s="8"/>
      <c r="G181" s="10"/>
      <c r="H181" s="8"/>
    </row>
    <row r="182" spans="1:8">
      <c r="A182" s="4"/>
      <c r="B182" s="8" t="str">
        <f>IF(A182="","",IFERROR(INDEX(Lists!$C$4:$C$203,MATCH(A182,Lists!$B$4:$B$203,0)),""))</f>
        <v/>
      </c>
      <c r="C182" s="8"/>
      <c r="D182" s="12"/>
      <c r="E182" s="10"/>
      <c r="F182" s="8"/>
      <c r="G182" s="10"/>
      <c r="H182" s="8"/>
    </row>
    <row r="183" spans="1:8">
      <c r="A183" s="4"/>
      <c r="B183" s="8" t="str">
        <f>IF(A183="","",IFERROR(INDEX(Lists!$C$4:$C$203,MATCH(A183,Lists!$B$4:$B$203,0)),""))</f>
        <v/>
      </c>
      <c r="C183" s="8"/>
      <c r="D183" s="12"/>
      <c r="E183" s="10"/>
      <c r="F183" s="8"/>
      <c r="G183" s="10"/>
      <c r="H183" s="8"/>
    </row>
    <row r="184" spans="1:8">
      <c r="A184" s="4"/>
      <c r="B184" s="8" t="str">
        <f>IF(A184="","",IFERROR(INDEX(Lists!$C$4:$C$203,MATCH(A184,Lists!$B$4:$B$203,0)),""))</f>
        <v/>
      </c>
      <c r="C184" s="8"/>
      <c r="D184" s="12"/>
      <c r="E184" s="10"/>
      <c r="F184" s="8"/>
      <c r="G184" s="10"/>
      <c r="H184" s="8"/>
    </row>
    <row r="185" spans="1:8">
      <c r="A185" s="4"/>
      <c r="B185" s="8" t="str">
        <f>IF(A185="","",IFERROR(INDEX(Lists!$C$4:$C$203,MATCH(A185,Lists!$B$4:$B$203,0)),""))</f>
        <v/>
      </c>
      <c r="C185" s="8"/>
      <c r="D185" s="12"/>
      <c r="E185" s="10"/>
      <c r="F185" s="8"/>
      <c r="G185" s="10"/>
      <c r="H185" s="8"/>
    </row>
    <row r="186" spans="1:8">
      <c r="A186" s="4"/>
      <c r="B186" s="8" t="str">
        <f>IF(A186="","",IFERROR(INDEX(Lists!$C$4:$C$203,MATCH(A186,Lists!$B$4:$B$203,0)),""))</f>
        <v/>
      </c>
      <c r="C186" s="8"/>
      <c r="D186" s="12"/>
      <c r="E186" s="10"/>
      <c r="F186" s="8"/>
      <c r="G186" s="10"/>
      <c r="H186" s="8"/>
    </row>
    <row r="187" spans="1:8">
      <c r="A187" s="4"/>
      <c r="B187" s="8" t="str">
        <f>IF(A187="","",IFERROR(INDEX(Lists!$C$4:$C$203,MATCH(A187,Lists!$B$4:$B$203,0)),""))</f>
        <v/>
      </c>
      <c r="C187" s="8"/>
      <c r="D187" s="12"/>
      <c r="E187" s="10"/>
      <c r="F187" s="8"/>
      <c r="G187" s="10"/>
      <c r="H187" s="8"/>
    </row>
    <row r="188" spans="1:8">
      <c r="A188" s="4"/>
      <c r="B188" s="8" t="str">
        <f>IF(A188="","",IFERROR(INDEX(Lists!$C$4:$C$203,MATCH(A188,Lists!$B$4:$B$203,0)),""))</f>
        <v/>
      </c>
      <c r="C188" s="8"/>
      <c r="D188" s="12"/>
      <c r="E188" s="10"/>
      <c r="F188" s="8"/>
      <c r="G188" s="10"/>
      <c r="H188" s="8"/>
    </row>
    <row r="189" spans="1:8">
      <c r="A189" s="4"/>
      <c r="B189" s="8" t="str">
        <f>IF(A189="","",IFERROR(INDEX(Lists!$C$4:$C$203,MATCH(A189,Lists!$B$4:$B$203,0)),""))</f>
        <v/>
      </c>
      <c r="C189" s="8"/>
      <c r="D189" s="12"/>
      <c r="E189" s="10"/>
      <c r="F189" s="8"/>
      <c r="G189" s="10"/>
      <c r="H189" s="8"/>
    </row>
    <row r="190" spans="1:8">
      <c r="A190" s="4"/>
      <c r="B190" s="8" t="str">
        <f>IF(A190="","",IFERROR(INDEX(Lists!$C$4:$C$203,MATCH(A190,Lists!$B$4:$B$203,0)),""))</f>
        <v/>
      </c>
      <c r="C190" s="8"/>
      <c r="D190" s="12"/>
      <c r="E190" s="10"/>
      <c r="F190" s="8"/>
      <c r="G190" s="10"/>
      <c r="H190" s="8"/>
    </row>
    <row r="191" spans="1:8">
      <c r="A191" s="4"/>
      <c r="B191" s="8" t="str">
        <f>IF(A191="","",IFERROR(INDEX(Lists!$C$4:$C$203,MATCH(A191,Lists!$B$4:$B$203,0)),""))</f>
        <v/>
      </c>
      <c r="C191" s="8"/>
      <c r="D191" s="12"/>
      <c r="E191" s="10"/>
      <c r="F191" s="8"/>
      <c r="G191" s="10"/>
      <c r="H191" s="8"/>
    </row>
    <row r="192" spans="1:8">
      <c r="A192" s="4"/>
      <c r="B192" s="8" t="str">
        <f>IF(A192="","",IFERROR(INDEX(Lists!$C$4:$C$203,MATCH(A192,Lists!$B$4:$B$203,0)),""))</f>
        <v/>
      </c>
      <c r="C192" s="8"/>
      <c r="D192" s="12"/>
      <c r="E192" s="10"/>
      <c r="F192" s="8"/>
      <c r="G192" s="10"/>
      <c r="H192" s="8"/>
    </row>
    <row r="193" spans="1:8">
      <c r="A193" s="4"/>
      <c r="B193" s="8" t="str">
        <f>IF(A193="","",IFERROR(INDEX(Lists!$C$4:$C$203,MATCH(A193,Lists!$B$4:$B$203,0)),""))</f>
        <v/>
      </c>
      <c r="C193" s="8"/>
      <c r="D193" s="12"/>
      <c r="E193" s="10"/>
      <c r="F193" s="8"/>
      <c r="G193" s="10"/>
      <c r="H193" s="8"/>
    </row>
    <row r="194" spans="1:8">
      <c r="A194" s="4"/>
      <c r="B194" s="8" t="str">
        <f>IF(A194="","",IFERROR(INDEX(Lists!$C$4:$C$203,MATCH(A194,Lists!$B$4:$B$203,0)),""))</f>
        <v/>
      </c>
      <c r="C194" s="8"/>
      <c r="D194" s="12"/>
      <c r="E194" s="10"/>
      <c r="F194" s="8"/>
      <c r="G194" s="10"/>
      <c r="H194" s="8"/>
    </row>
    <row r="195" spans="1:8">
      <c r="A195" s="4"/>
      <c r="B195" s="8" t="str">
        <f>IF(A195="","",IFERROR(INDEX(Lists!$C$4:$C$203,MATCH(A195,Lists!$B$4:$B$203,0)),""))</f>
        <v/>
      </c>
      <c r="C195" s="8"/>
      <c r="D195" s="12"/>
      <c r="E195" s="10"/>
      <c r="F195" s="8"/>
      <c r="G195" s="10"/>
      <c r="H195" s="8"/>
    </row>
    <row r="196" spans="1:8">
      <c r="A196" s="4"/>
      <c r="B196" s="8" t="str">
        <f>IF(A196="","",IFERROR(INDEX(Lists!$C$4:$C$203,MATCH(A196,Lists!$B$4:$B$203,0)),""))</f>
        <v/>
      </c>
      <c r="C196" s="8"/>
      <c r="D196" s="12"/>
      <c r="E196" s="10"/>
      <c r="F196" s="8"/>
      <c r="G196" s="10"/>
      <c r="H196" s="8"/>
    </row>
    <row r="197" spans="1:8">
      <c r="A197" s="4"/>
      <c r="B197" s="8" t="str">
        <f>IF(A197="","",IFERROR(INDEX(Lists!$C$4:$C$203,MATCH(A197,Lists!$B$4:$B$203,0)),""))</f>
        <v/>
      </c>
      <c r="C197" s="8"/>
      <c r="D197" s="12"/>
      <c r="E197" s="10"/>
      <c r="F197" s="8"/>
      <c r="G197" s="10"/>
      <c r="H197" s="8"/>
    </row>
    <row r="198" spans="1:8">
      <c r="A198" s="4"/>
      <c r="B198" s="8" t="str">
        <f>IF(A198="","",IFERROR(INDEX(Lists!$C$4:$C$203,MATCH(A198,Lists!$B$4:$B$203,0)),""))</f>
        <v/>
      </c>
      <c r="C198" s="8"/>
      <c r="D198" s="12"/>
      <c r="E198" s="10"/>
      <c r="F198" s="8"/>
      <c r="G198" s="10"/>
      <c r="H198" s="8"/>
    </row>
    <row r="199" spans="1:8">
      <c r="A199" s="4"/>
      <c r="B199" s="8" t="str">
        <f>IF(A199="","",IFERROR(INDEX(Lists!$C$4:$C$203,MATCH(A199,Lists!$B$4:$B$203,0)),""))</f>
        <v/>
      </c>
      <c r="C199" s="8"/>
      <c r="D199" s="12"/>
      <c r="E199" s="10"/>
      <c r="F199" s="8"/>
      <c r="G199" s="10"/>
      <c r="H199" s="8"/>
    </row>
    <row r="200" spans="1:8">
      <c r="A200" s="4"/>
      <c r="B200" s="8" t="str">
        <f>IF(A200="","",IFERROR(INDEX(Lists!$C$4:$C$203,MATCH(A200,Lists!$B$4:$B$203,0)),""))</f>
        <v/>
      </c>
      <c r="C200" s="8"/>
      <c r="D200" s="12"/>
      <c r="E200" s="10"/>
      <c r="F200" s="8"/>
      <c r="G200" s="10"/>
      <c r="H200" s="8"/>
    </row>
    <row r="201" spans="1:8">
      <c r="A201" s="4"/>
      <c r="B201" s="8" t="str">
        <f>IF(A201="","",IFERROR(INDEX(Lists!$C$4:$C$203,MATCH(A201,Lists!$B$4:$B$203,0)),""))</f>
        <v/>
      </c>
      <c r="C201" s="8"/>
      <c r="D201" s="12"/>
      <c r="E201" s="10"/>
      <c r="F201" s="8"/>
      <c r="G201" s="10"/>
      <c r="H201" s="8"/>
    </row>
    <row r="202" spans="1:8">
      <c r="A202" s="4"/>
      <c r="B202" s="8" t="str">
        <f>IF(A202="","",IFERROR(INDEX(Lists!$C$4:$C$203,MATCH(A202,Lists!$B$4:$B$203,0)),""))</f>
        <v/>
      </c>
      <c r="C202" s="8"/>
      <c r="D202" s="12"/>
      <c r="E202" s="10"/>
      <c r="F202" s="8"/>
      <c r="G202" s="10"/>
      <c r="H202" s="8"/>
    </row>
    <row r="203" spans="1:8">
      <c r="A203" s="4"/>
      <c r="B203" s="8" t="str">
        <f>IF(A203="","",IFERROR(INDEX(Lists!$C$4:$C$203,MATCH(A203,Lists!$B$4:$B$203,0)),""))</f>
        <v/>
      </c>
      <c r="C203" s="8"/>
      <c r="D203" s="12"/>
      <c r="E203" s="10"/>
      <c r="F203" s="8"/>
      <c r="G203" s="10"/>
      <c r="H203" s="8"/>
    </row>
    <row r="204" spans="1:8">
      <c r="A204" s="4"/>
      <c r="B204" s="8" t="str">
        <f>IF(A204="","",IFERROR(INDEX(Lists!$C$4:$C$203,MATCH(A204,Lists!$B$4:$B$203,0)),""))</f>
        <v/>
      </c>
      <c r="C204" s="8"/>
      <c r="D204" s="12"/>
      <c r="E204" s="10"/>
      <c r="F204" s="8"/>
      <c r="G204" s="10"/>
      <c r="H204" s="8"/>
    </row>
  </sheetData>
  <mergeCells count="3">
    <mergeCell ref="A3:H3"/>
    <mergeCell ref="A2:H2"/>
    <mergeCell ref="A1:H1"/>
  </mergeCells>
  <dataValidations count="3">
    <dataValidation type="list" sqref="A5:A204" xr:uid="{00000000-0002-0000-0600-000000000000}">
      <formula1>EmployeeCatalog</formula1>
    </dataValidation>
    <dataValidation type="list" sqref="C5:C204" xr:uid="{00000000-0002-0000-0600-000001000000}">
      <formula1>SkillCatalog</formula1>
    </dataValidation>
    <dataValidation type="list" sqref="F5:F204" xr:uid="{00000000-0002-0000-0600-000002000000}">
      <formula1>"Not Started,In Progress,Blocked,Complete"</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03"/>
  <sheetViews>
    <sheetView showGridLines="0" workbookViewId="0">
      <pane ySplit="3" topLeftCell="A4" activePane="bottomLeft" state="frozen"/>
      <selection pane="bottomLeft" activeCell="M7" sqref="M7"/>
    </sheetView>
  </sheetViews>
  <sheetFormatPr defaultRowHeight="13.8"/>
  <cols>
    <col min="1" max="1" width="19.5" customWidth="1"/>
    <col min="2" max="2" width="13" style="26" customWidth="1"/>
    <col min="3" max="3" width="20.296875" style="26" customWidth="1"/>
    <col min="4" max="4" width="40" style="26" customWidth="1"/>
    <col min="5" max="6" width="14" style="26" customWidth="1"/>
    <col min="7" max="7" width="15" style="26" customWidth="1"/>
    <col min="8" max="8" width="20" style="26" customWidth="1"/>
    <col min="9" max="9" width="26" style="26" customWidth="1"/>
    <col min="10" max="10" width="30" customWidth="1"/>
    <col min="11" max="11" width="3" customWidth="1"/>
    <col min="12" max="12" width="10" customWidth="1"/>
    <col min="13" max="13" width="37.59765625" customWidth="1"/>
    <col min="14" max="14" width="24.69921875" customWidth="1"/>
    <col min="15" max="16" width="14" customWidth="1"/>
    <col min="17" max="17" width="9" customWidth="1"/>
    <col min="18" max="18" width="50.59765625" customWidth="1"/>
    <col min="19" max="19" width="3" customWidth="1"/>
    <col min="20" max="22" width="15" customWidth="1"/>
  </cols>
  <sheetData>
    <row r="1" spans="1:22" ht="25.95" customHeight="1">
      <c r="A1" s="68" t="s">
        <v>0</v>
      </c>
      <c r="B1" s="66"/>
      <c r="C1" s="66"/>
      <c r="D1" s="66"/>
      <c r="E1" s="66"/>
      <c r="F1" s="66"/>
      <c r="G1" s="66"/>
      <c r="H1" s="66"/>
      <c r="I1" s="67"/>
      <c r="J1" s="67"/>
      <c r="K1" s="67"/>
      <c r="L1" s="67"/>
      <c r="M1" s="67"/>
      <c r="N1" s="67"/>
      <c r="O1" s="67"/>
      <c r="P1" s="67"/>
      <c r="Q1" s="67"/>
      <c r="R1" s="67"/>
    </row>
    <row r="2" spans="1:22" ht="24" customHeight="1">
      <c r="A2" s="65" t="s">
        <v>1</v>
      </c>
      <c r="B2" s="66"/>
      <c r="C2" s="66"/>
      <c r="D2" s="66"/>
      <c r="E2" s="66"/>
      <c r="F2" s="66"/>
      <c r="G2" s="66"/>
      <c r="H2" s="66"/>
      <c r="I2" s="67"/>
      <c r="J2" s="67"/>
      <c r="K2" s="67"/>
      <c r="L2" s="67"/>
      <c r="M2" s="67"/>
      <c r="N2" s="67"/>
      <c r="O2" s="67"/>
      <c r="P2" s="67"/>
      <c r="Q2" s="67"/>
      <c r="R2" s="67"/>
    </row>
    <row r="3" spans="1:22" ht="27.6" customHeight="1">
      <c r="A3" s="20" t="s">
        <v>2</v>
      </c>
      <c r="B3" s="20" t="s">
        <v>3</v>
      </c>
      <c r="C3" s="20" t="s">
        <v>4</v>
      </c>
      <c r="D3" s="20" t="s">
        <v>5</v>
      </c>
      <c r="E3" s="20" t="s">
        <v>6</v>
      </c>
      <c r="F3" s="20" t="s">
        <v>7</v>
      </c>
      <c r="G3" s="20" t="s">
        <v>8</v>
      </c>
      <c r="H3" s="20" t="s">
        <v>9</v>
      </c>
      <c r="I3" s="20" t="s">
        <v>10</v>
      </c>
      <c r="J3" s="20" t="s">
        <v>11</v>
      </c>
      <c r="L3" s="20" t="s">
        <v>12</v>
      </c>
      <c r="M3" s="20" t="s">
        <v>5</v>
      </c>
      <c r="N3" s="20" t="s">
        <v>13</v>
      </c>
      <c r="O3" s="20" t="s">
        <v>14</v>
      </c>
      <c r="P3" s="20" t="s">
        <v>15</v>
      </c>
      <c r="Q3" s="20" t="s">
        <v>16</v>
      </c>
      <c r="R3" s="20" t="s">
        <v>17</v>
      </c>
      <c r="T3" s="20" t="s">
        <v>18</v>
      </c>
      <c r="U3" s="20" t="s">
        <v>19</v>
      </c>
      <c r="V3" s="20" t="s">
        <v>13</v>
      </c>
    </row>
    <row r="4" spans="1:22">
      <c r="A4" s="4" t="s">
        <v>20</v>
      </c>
      <c r="B4" s="52" t="str">
        <f>IF(A4="","",IFERROR(INDEX(Lists!$A$4:$A$203,MATCH(A4,Lists!$B$4:$B$203,0)),""))</f>
        <v>D1001</v>
      </c>
      <c r="C4" s="8" t="str">
        <f>IF(A4="","",IFERROR(INDEX(Lists!$C$4:$C$203,MATCH(A4,Lists!$B$4:$B$203,0)),""))</f>
        <v>Customer Support</v>
      </c>
      <c r="D4" s="8" t="s">
        <v>21</v>
      </c>
      <c r="E4" s="10">
        <v>44848</v>
      </c>
      <c r="F4" s="10">
        <f t="shared" ref="F4:F67" si="0">IF(OR(A4="",D4="",E4=""),"",IFERROR(EDATE(E4,INDEX($O$4:$O$63,MATCH(D4,$M$4:$M$63,0))),""))</f>
        <v>45944</v>
      </c>
      <c r="G4" s="8" t="str">
        <f t="shared" ref="G4:G67" ca="1" si="1">IF(A4="","",IF(D4="","Missing Certification",IF(F4="","Missing Date",IF(F4&lt;TODAY(),"Expired",IF(F4&lt;=TODAY()+IFERROR(INDEX($P$4:$P$63,MATCH(D4,$M$4:$M$63,0)),30),"Due Soon","Current")))))</f>
        <v>Expired</v>
      </c>
      <c r="H4" s="8" t="s">
        <v>22</v>
      </c>
      <c r="I4" s="8" t="s">
        <v>23</v>
      </c>
      <c r="J4" s="4" t="s">
        <v>24</v>
      </c>
      <c r="L4" s="4" t="s">
        <v>25</v>
      </c>
      <c r="M4" s="4" t="s">
        <v>21</v>
      </c>
      <c r="N4" s="8" t="s">
        <v>26</v>
      </c>
      <c r="O4" s="153">
        <v>36</v>
      </c>
      <c r="P4" s="153">
        <v>60</v>
      </c>
      <c r="Q4" s="8" t="s">
        <v>27</v>
      </c>
      <c r="R4" s="8" t="s">
        <v>28</v>
      </c>
      <c r="T4" s="1">
        <f t="shared" ref="T4:T67" ca="1" si="2">IF(G4="Expired",1,IF(G4="Due Soon",2,IF(OR(G4="Missing Date",G4="Missing Certification"),3,"")))</f>
        <v>1</v>
      </c>
      <c r="U4" s="1">
        <f ca="1">IF(T4="","",COUNTIFS($T$4:$T$503,"&gt;0",$T$4:$T$503,"&lt;"&amp;T4)+COUNTIF($T$4:T4,T4))</f>
        <v>1</v>
      </c>
      <c r="V4" s="1" t="str">
        <f t="shared" ref="V4:V67" si="3">IFERROR(INDEX($N$4:$N$63,MATCH(D4,$M$4:$M$63,0)),"")</f>
        <v>People Ops / Compliance</v>
      </c>
    </row>
    <row r="5" spans="1:22">
      <c r="A5" s="4" t="s">
        <v>20</v>
      </c>
      <c r="B5" s="52" t="str">
        <f>IF(A5="","",IFERROR(INDEX(Lists!$A$4:$A$203,MATCH(A5,Lists!$B$4:$B$203,0)),""))</f>
        <v>D1001</v>
      </c>
      <c r="C5" s="8" t="str">
        <f>IF(A5="","",IFERROR(INDEX(Lists!$C$4:$C$203,MATCH(A5,Lists!$B$4:$B$203,0)),""))</f>
        <v>Customer Support</v>
      </c>
      <c r="D5" s="8" t="s">
        <v>21</v>
      </c>
      <c r="E5" s="10">
        <v>44869</v>
      </c>
      <c r="F5" s="10">
        <f t="shared" si="0"/>
        <v>45965</v>
      </c>
      <c r="G5" s="8" t="str">
        <f t="shared" ca="1" si="1"/>
        <v>Expired</v>
      </c>
      <c r="H5" s="8" t="s">
        <v>22</v>
      </c>
      <c r="I5" s="8" t="s">
        <v>29</v>
      </c>
      <c r="J5" s="4" t="s">
        <v>24</v>
      </c>
      <c r="L5" s="4" t="s">
        <v>30</v>
      </c>
      <c r="M5" s="4" t="s">
        <v>31</v>
      </c>
      <c r="N5" s="8" t="s">
        <v>26</v>
      </c>
      <c r="O5" s="153">
        <v>12</v>
      </c>
      <c r="P5" s="153">
        <v>60</v>
      </c>
      <c r="Q5" s="8" t="s">
        <v>27</v>
      </c>
      <c r="R5" s="8" t="s">
        <v>32</v>
      </c>
      <c r="T5" s="1">
        <f t="shared" ca="1" si="2"/>
        <v>1</v>
      </c>
      <c r="U5" s="1">
        <f ca="1">IF(T5="","",COUNTIFS($T$4:$T$503,"&gt;0",$T$4:$T$503,"&lt;"&amp;T5)+COUNTIF($T$4:T5,T5))</f>
        <v>2</v>
      </c>
      <c r="V5" s="1" t="str">
        <f t="shared" si="3"/>
        <v>People Ops / Compliance</v>
      </c>
    </row>
    <row r="6" spans="1:22">
      <c r="A6" s="4" t="s">
        <v>33</v>
      </c>
      <c r="B6" s="52" t="str">
        <f>IF(A6="","",IFERROR(INDEX(Lists!$A$4:$A$203,MATCH(A6,Lists!$B$4:$B$203,0)),""))</f>
        <v>D1002</v>
      </c>
      <c r="C6" s="8" t="str">
        <f>IF(A6="","",IFERROR(INDEX(Lists!$C$4:$C$203,MATCH(A6,Lists!$B$4:$B$203,0)),""))</f>
        <v>Customer Support</v>
      </c>
      <c r="D6" s="8" t="s">
        <v>31</v>
      </c>
      <c r="E6" s="10">
        <v>46135</v>
      </c>
      <c r="F6" s="10">
        <f t="shared" si="0"/>
        <v>46500</v>
      </c>
      <c r="G6" s="8" t="str">
        <f t="shared" ca="1" si="1"/>
        <v>Current</v>
      </c>
      <c r="H6" s="8" t="s">
        <v>34</v>
      </c>
      <c r="I6" s="8" t="s">
        <v>35</v>
      </c>
      <c r="J6" s="4" t="s">
        <v>24</v>
      </c>
      <c r="L6" s="4" t="s">
        <v>36</v>
      </c>
      <c r="M6" s="4" t="s">
        <v>37</v>
      </c>
      <c r="N6" s="8" t="s">
        <v>26</v>
      </c>
      <c r="O6" s="153">
        <v>12</v>
      </c>
      <c r="P6" s="153">
        <v>60</v>
      </c>
      <c r="Q6" s="8" t="s">
        <v>27</v>
      </c>
      <c r="R6" s="8" t="s">
        <v>28</v>
      </c>
      <c r="T6" s="1" t="str">
        <f t="shared" ca="1" si="2"/>
        <v/>
      </c>
      <c r="U6" s="1" t="str">
        <f ca="1">IF(T6="","",COUNTIFS($T$4:$T$503,"&gt;0",$T$4:$T$503,"&lt;"&amp;T6)+COUNTIF($T$4:T6,T6))</f>
        <v/>
      </c>
      <c r="V6" s="1" t="str">
        <f t="shared" si="3"/>
        <v>People Ops / Compliance</v>
      </c>
    </row>
    <row r="7" spans="1:22">
      <c r="A7" s="4" t="s">
        <v>38</v>
      </c>
      <c r="B7" s="52" t="str">
        <f>IF(A7="","",IFERROR(INDEX(Lists!$A$4:$A$203,MATCH(A7,Lists!$B$4:$B$203,0)),""))</f>
        <v>D1003</v>
      </c>
      <c r="C7" s="8" t="str">
        <f>IF(A7="","",IFERROR(INDEX(Lists!$C$4:$C$203,MATCH(A7,Lists!$B$4:$B$203,0)),""))</f>
        <v>Customer Support</v>
      </c>
      <c r="D7" s="8" t="s">
        <v>39</v>
      </c>
      <c r="E7" s="10">
        <v>46077</v>
      </c>
      <c r="F7" s="10">
        <f t="shared" si="0"/>
        <v>47173</v>
      </c>
      <c r="G7" s="8" t="str">
        <f t="shared" ca="1" si="1"/>
        <v>Current</v>
      </c>
      <c r="H7" s="8" t="s">
        <v>22</v>
      </c>
      <c r="I7" s="8" t="s">
        <v>40</v>
      </c>
      <c r="J7" s="4" t="s">
        <v>24</v>
      </c>
      <c r="L7" s="4" t="s">
        <v>41</v>
      </c>
      <c r="M7" s="4" t="s">
        <v>42</v>
      </c>
      <c r="N7" s="8" t="s">
        <v>26</v>
      </c>
      <c r="O7" s="153">
        <v>12</v>
      </c>
      <c r="P7" s="153">
        <v>60</v>
      </c>
      <c r="Q7" s="8" t="s">
        <v>27</v>
      </c>
      <c r="R7" s="8" t="s">
        <v>28</v>
      </c>
      <c r="T7" s="1" t="str">
        <f t="shared" ca="1" si="2"/>
        <v/>
      </c>
      <c r="U7" s="1" t="str">
        <f ca="1">IF(T7="","",COUNTIFS($T$4:$T$503,"&gt;0",$T$4:$T$503,"&lt;"&amp;T7)+COUNTIF($T$4:T7,T7))</f>
        <v/>
      </c>
      <c r="V7" s="1" t="str">
        <f t="shared" si="3"/>
        <v>People Ops / Compliance</v>
      </c>
    </row>
    <row r="8" spans="1:22">
      <c r="A8" s="4" t="s">
        <v>43</v>
      </c>
      <c r="B8" s="52" t="str">
        <f>IF(A8="","",IFERROR(INDEX(Lists!$A$4:$A$203,MATCH(A8,Lists!$B$4:$B$203,0)),""))</f>
        <v>D1004</v>
      </c>
      <c r="C8" s="8" t="str">
        <f>IF(A8="","",IFERROR(INDEX(Lists!$C$4:$C$203,MATCH(A8,Lists!$B$4:$B$203,0)),""))</f>
        <v>Customer Support</v>
      </c>
      <c r="D8" s="8" t="s">
        <v>39</v>
      </c>
      <c r="E8" s="10">
        <v>46061</v>
      </c>
      <c r="F8" s="10">
        <f t="shared" si="0"/>
        <v>47157</v>
      </c>
      <c r="G8" s="8" t="str">
        <f t="shared" ca="1" si="1"/>
        <v>Current</v>
      </c>
      <c r="H8" s="8" t="s">
        <v>34</v>
      </c>
      <c r="I8" s="8" t="s">
        <v>44</v>
      </c>
      <c r="J8" s="4" t="s">
        <v>24</v>
      </c>
      <c r="L8" s="4" t="s">
        <v>45</v>
      </c>
      <c r="M8" s="4" t="s">
        <v>46</v>
      </c>
      <c r="N8" s="8" t="s">
        <v>26</v>
      </c>
      <c r="O8" s="153">
        <v>24</v>
      </c>
      <c r="P8" s="153">
        <v>90</v>
      </c>
      <c r="Q8" s="8" t="s">
        <v>27</v>
      </c>
      <c r="R8" s="8" t="s">
        <v>28</v>
      </c>
      <c r="T8" s="1" t="str">
        <f t="shared" ca="1" si="2"/>
        <v/>
      </c>
      <c r="U8" s="1" t="str">
        <f ca="1">IF(T8="","",COUNTIFS($T$4:$T$503,"&gt;0",$T$4:$T$503,"&lt;"&amp;T8)+COUNTIF($T$4:T8,T8))</f>
        <v/>
      </c>
      <c r="V8" s="1" t="str">
        <f t="shared" si="3"/>
        <v>People Ops / Compliance</v>
      </c>
    </row>
    <row r="9" spans="1:22">
      <c r="A9" s="4" t="s">
        <v>47</v>
      </c>
      <c r="B9" s="52" t="str">
        <f>IF(A9="","",IFERROR(INDEX(Lists!$A$4:$A$203,MATCH(A9,Lists!$B$4:$B$203,0)),""))</f>
        <v>D1005</v>
      </c>
      <c r="C9" s="8" t="str">
        <f>IF(A9="","",IFERROR(INDEX(Lists!$C$4:$C$203,MATCH(A9,Lists!$B$4:$B$203,0)),""))</f>
        <v>Customer Support</v>
      </c>
      <c r="D9" s="8" t="s">
        <v>46</v>
      </c>
      <c r="E9" s="10">
        <v>46198</v>
      </c>
      <c r="F9" s="10">
        <f t="shared" si="0"/>
        <v>46929</v>
      </c>
      <c r="G9" s="8" t="str">
        <f t="shared" ca="1" si="1"/>
        <v>Current</v>
      </c>
      <c r="H9" s="8" t="s">
        <v>34</v>
      </c>
      <c r="I9" s="8" t="s">
        <v>48</v>
      </c>
      <c r="J9" s="4" t="s">
        <v>24</v>
      </c>
      <c r="L9" s="4" t="s">
        <v>49</v>
      </c>
      <c r="M9" s="4" t="s">
        <v>39</v>
      </c>
      <c r="N9" s="8" t="s">
        <v>26</v>
      </c>
      <c r="O9" s="153">
        <v>36</v>
      </c>
      <c r="P9" s="153">
        <v>60</v>
      </c>
      <c r="Q9" s="8" t="s">
        <v>27</v>
      </c>
      <c r="R9" s="8" t="s">
        <v>28</v>
      </c>
      <c r="T9" s="1" t="str">
        <f t="shared" ca="1" si="2"/>
        <v/>
      </c>
      <c r="U9" s="1" t="str">
        <f ca="1">IF(T9="","",COUNTIFS($T$4:$T$503,"&gt;0",$T$4:$T$503,"&lt;"&amp;T9)+COUNTIF($T$4:T9,T9))</f>
        <v/>
      </c>
      <c r="V9" s="1" t="str">
        <f t="shared" si="3"/>
        <v>People Ops / Compliance</v>
      </c>
    </row>
    <row r="10" spans="1:22">
      <c r="A10" s="4" t="s">
        <v>50</v>
      </c>
      <c r="B10" s="52" t="str">
        <f>IF(A10="","",IFERROR(INDEX(Lists!$A$4:$A$203,MATCH(A10,Lists!$B$4:$B$203,0)),""))</f>
        <v>D1006</v>
      </c>
      <c r="C10" s="8" t="str">
        <f>IF(A10="","",IFERROR(INDEX(Lists!$C$4:$C$203,MATCH(A10,Lists!$B$4:$B$203,0)),""))</f>
        <v>Customer Support</v>
      </c>
      <c r="D10" s="8" t="s">
        <v>51</v>
      </c>
      <c r="E10" s="10">
        <v>46078</v>
      </c>
      <c r="F10" s="10">
        <f t="shared" si="0"/>
        <v>46443</v>
      </c>
      <c r="G10" s="8" t="str">
        <f t="shared" ca="1" si="1"/>
        <v>Current</v>
      </c>
      <c r="H10" s="8" t="s">
        <v>52</v>
      </c>
      <c r="I10" s="8" t="s">
        <v>53</v>
      </c>
      <c r="J10" s="4" t="s">
        <v>24</v>
      </c>
      <c r="L10" s="4" t="s">
        <v>54</v>
      </c>
      <c r="M10" s="4" t="s">
        <v>51</v>
      </c>
      <c r="N10" s="8" t="s">
        <v>26</v>
      </c>
      <c r="O10" s="153">
        <v>12</v>
      </c>
      <c r="P10" s="153">
        <v>45</v>
      </c>
      <c r="Q10" s="8" t="s">
        <v>27</v>
      </c>
      <c r="R10" s="8" t="s">
        <v>28</v>
      </c>
      <c r="T10" s="1" t="str">
        <f t="shared" ca="1" si="2"/>
        <v/>
      </c>
      <c r="U10" s="1" t="str">
        <f ca="1">IF(T10="","",COUNTIFS($T$4:$T$503,"&gt;0",$T$4:$T$503,"&lt;"&amp;T10)+COUNTIF($T$4:T10,T10))</f>
        <v/>
      </c>
      <c r="V10" s="1" t="str">
        <f t="shared" si="3"/>
        <v>People Ops / Compliance</v>
      </c>
    </row>
    <row r="11" spans="1:22">
      <c r="A11" s="4" t="s">
        <v>50</v>
      </c>
      <c r="B11" s="52" t="str">
        <f>IF(A11="","",IFERROR(INDEX(Lists!$A$4:$A$203,MATCH(A11,Lists!$B$4:$B$203,0)),""))</f>
        <v>D1006</v>
      </c>
      <c r="C11" s="8" t="str">
        <f>IF(A11="","",IFERROR(INDEX(Lists!$C$4:$C$203,MATCH(A11,Lists!$B$4:$B$203,0)),""))</f>
        <v>Customer Support</v>
      </c>
      <c r="D11" s="8" t="s">
        <v>21</v>
      </c>
      <c r="E11" s="10">
        <v>46058</v>
      </c>
      <c r="F11" s="10">
        <f t="shared" si="0"/>
        <v>47154</v>
      </c>
      <c r="G11" s="8" t="str">
        <f t="shared" ca="1" si="1"/>
        <v>Current</v>
      </c>
      <c r="H11" s="8" t="s">
        <v>52</v>
      </c>
      <c r="I11" s="8" t="s">
        <v>55</v>
      </c>
      <c r="J11" s="4" t="s">
        <v>24</v>
      </c>
      <c r="L11" s="4" t="s">
        <v>56</v>
      </c>
      <c r="M11" s="4"/>
      <c r="N11" s="4"/>
      <c r="O11" s="13"/>
      <c r="P11" s="13"/>
      <c r="Q11" s="4"/>
      <c r="R11" s="4"/>
      <c r="T11" s="1" t="str">
        <f t="shared" ca="1" si="2"/>
        <v/>
      </c>
      <c r="U11" s="1" t="str">
        <f ca="1">IF(T11="","",COUNTIFS($T$4:$T$503,"&gt;0",$T$4:$T$503,"&lt;"&amp;T11)+COUNTIF($T$4:T11,T11))</f>
        <v/>
      </c>
      <c r="V11" s="1" t="str">
        <f t="shared" si="3"/>
        <v>People Ops / Compliance</v>
      </c>
    </row>
    <row r="12" spans="1:22">
      <c r="A12" s="4" t="s">
        <v>57</v>
      </c>
      <c r="B12" s="52" t="str">
        <f>IF(A12="","",IFERROR(INDEX(Lists!$A$4:$A$203,MATCH(A12,Lists!$B$4:$B$203,0)),""))</f>
        <v>D1007</v>
      </c>
      <c r="C12" s="8" t="str">
        <f>IF(A12="","",IFERROR(INDEX(Lists!$C$4:$C$203,MATCH(A12,Lists!$B$4:$B$203,0)),""))</f>
        <v>Platform Operations</v>
      </c>
      <c r="D12" s="8" t="s">
        <v>46</v>
      </c>
      <c r="E12" s="10">
        <v>46121</v>
      </c>
      <c r="F12" s="10">
        <f t="shared" si="0"/>
        <v>46852</v>
      </c>
      <c r="G12" s="8" t="str">
        <f t="shared" ca="1" si="1"/>
        <v>Current</v>
      </c>
      <c r="H12" s="8" t="s">
        <v>34</v>
      </c>
      <c r="I12" s="8" t="s">
        <v>58</v>
      </c>
      <c r="J12" s="4" t="s">
        <v>24</v>
      </c>
      <c r="L12" s="4" t="s">
        <v>59</v>
      </c>
      <c r="M12" s="4"/>
      <c r="N12" s="4"/>
      <c r="O12" s="13"/>
      <c r="P12" s="13"/>
      <c r="Q12" s="4"/>
      <c r="R12" s="4"/>
      <c r="T12" s="1" t="str">
        <f t="shared" ca="1" si="2"/>
        <v/>
      </c>
      <c r="U12" s="1" t="str">
        <f ca="1">IF(T12="","",COUNTIFS($T$4:$T$503,"&gt;0",$T$4:$T$503,"&lt;"&amp;T12)+COUNTIF($T$4:T12,T12))</f>
        <v/>
      </c>
      <c r="V12" s="1" t="str">
        <f t="shared" si="3"/>
        <v>People Ops / Compliance</v>
      </c>
    </row>
    <row r="13" spans="1:22">
      <c r="A13" s="4" t="s">
        <v>60</v>
      </c>
      <c r="B13" s="52" t="str">
        <f>IF(A13="","",IFERROR(INDEX(Lists!$A$4:$A$203,MATCH(A13,Lists!$B$4:$B$203,0)),""))</f>
        <v>D1008</v>
      </c>
      <c r="C13" s="8" t="str">
        <f>IF(A13="","",IFERROR(INDEX(Lists!$C$4:$C$203,MATCH(A13,Lists!$B$4:$B$203,0)),""))</f>
        <v>Platform Operations</v>
      </c>
      <c r="D13" s="8" t="s">
        <v>42</v>
      </c>
      <c r="E13" s="10">
        <v>45941</v>
      </c>
      <c r="F13" s="10">
        <f t="shared" si="0"/>
        <v>46306</v>
      </c>
      <c r="G13" s="8" t="str">
        <f t="shared" ca="1" si="1"/>
        <v>Due Soon</v>
      </c>
      <c r="H13" s="8" t="s">
        <v>52</v>
      </c>
      <c r="I13" s="8" t="s">
        <v>61</v>
      </c>
      <c r="J13" s="4" t="s">
        <v>24</v>
      </c>
      <c r="L13" s="4" t="s">
        <v>62</v>
      </c>
      <c r="M13" s="4"/>
      <c r="N13" s="4"/>
      <c r="O13" s="13"/>
      <c r="P13" s="13"/>
      <c r="Q13" s="4"/>
      <c r="R13" s="4"/>
      <c r="T13" s="1">
        <f t="shared" ca="1" si="2"/>
        <v>2</v>
      </c>
      <c r="U13" s="1">
        <f ca="1">IF(T13="","",COUNTIFS($T$4:$T$503,"&gt;0",$T$4:$T$503,"&lt;"&amp;T13)+COUNTIF($T$4:T13,T13))</f>
        <v>6</v>
      </c>
      <c r="V13" s="1" t="str">
        <f t="shared" si="3"/>
        <v>People Ops / Compliance</v>
      </c>
    </row>
    <row r="14" spans="1:22">
      <c r="A14" s="4" t="s">
        <v>63</v>
      </c>
      <c r="B14" s="52" t="str">
        <f>IF(A14="","",IFERROR(INDEX(Lists!$A$4:$A$203,MATCH(A14,Lists!$B$4:$B$203,0)),""))</f>
        <v>D1009</v>
      </c>
      <c r="C14" s="8" t="str">
        <f>IF(A14="","",IFERROR(INDEX(Lists!$C$4:$C$203,MATCH(A14,Lists!$B$4:$B$203,0)),""))</f>
        <v>Platform Operations</v>
      </c>
      <c r="D14" s="8" t="s">
        <v>31</v>
      </c>
      <c r="E14" s="10">
        <v>46093</v>
      </c>
      <c r="F14" s="10">
        <f t="shared" si="0"/>
        <v>46458</v>
      </c>
      <c r="G14" s="8" t="str">
        <f t="shared" ca="1" si="1"/>
        <v>Current</v>
      </c>
      <c r="H14" s="8" t="s">
        <v>22</v>
      </c>
      <c r="I14" s="8" t="s">
        <v>64</v>
      </c>
      <c r="J14" s="4" t="s">
        <v>24</v>
      </c>
      <c r="L14" s="4" t="s">
        <v>65</v>
      </c>
      <c r="M14" s="4"/>
      <c r="N14" s="4"/>
      <c r="O14" s="13"/>
      <c r="P14" s="13"/>
      <c r="Q14" s="4"/>
      <c r="R14" s="4"/>
      <c r="T14" s="1" t="str">
        <f t="shared" ca="1" si="2"/>
        <v/>
      </c>
      <c r="U14" s="1" t="str">
        <f ca="1">IF(T14="","",COUNTIFS($T$4:$T$503,"&gt;0",$T$4:$T$503,"&lt;"&amp;T14)+COUNTIF($T$4:T14,T14))</f>
        <v/>
      </c>
      <c r="V14" s="1" t="str">
        <f t="shared" si="3"/>
        <v>People Ops / Compliance</v>
      </c>
    </row>
    <row r="15" spans="1:22">
      <c r="A15" s="4" t="s">
        <v>66</v>
      </c>
      <c r="B15" s="52" t="str">
        <f>IF(A15="","",IFERROR(INDEX(Lists!$A$4:$A$203,MATCH(A15,Lists!$B$4:$B$203,0)),""))</f>
        <v>D1010</v>
      </c>
      <c r="C15" s="8" t="str">
        <f>IF(A15="","",IFERROR(INDEX(Lists!$C$4:$C$203,MATCH(A15,Lists!$B$4:$B$203,0)),""))</f>
        <v>Platform Operations</v>
      </c>
      <c r="D15" s="8" t="s">
        <v>21</v>
      </c>
      <c r="E15" s="10">
        <v>44776</v>
      </c>
      <c r="F15" s="10">
        <f t="shared" si="0"/>
        <v>45872</v>
      </c>
      <c r="G15" s="8" t="str">
        <f t="shared" ca="1" si="1"/>
        <v>Expired</v>
      </c>
      <c r="H15" s="8" t="s">
        <v>22</v>
      </c>
      <c r="I15" s="8" t="s">
        <v>67</v>
      </c>
      <c r="J15" s="4" t="s">
        <v>24</v>
      </c>
      <c r="L15" s="4" t="s">
        <v>68</v>
      </c>
      <c r="M15" s="4"/>
      <c r="N15" s="4"/>
      <c r="O15" s="13"/>
      <c r="P15" s="13"/>
      <c r="Q15" s="4"/>
      <c r="R15" s="4"/>
      <c r="T15" s="1">
        <f t="shared" ca="1" si="2"/>
        <v>1</v>
      </c>
      <c r="U15" s="1">
        <f ca="1">IF(T15="","",COUNTIFS($T$4:$T$503,"&gt;0",$T$4:$T$503,"&lt;"&amp;T15)+COUNTIF($T$4:T15,T15))</f>
        <v>3</v>
      </c>
      <c r="V15" s="1" t="str">
        <f t="shared" si="3"/>
        <v>People Ops / Compliance</v>
      </c>
    </row>
    <row r="16" spans="1:22">
      <c r="A16" s="4" t="s">
        <v>69</v>
      </c>
      <c r="B16" s="52" t="str">
        <f>IF(A16="","",IFERROR(INDEX(Lists!$A$4:$A$203,MATCH(A16,Lists!$B$4:$B$203,0)),""))</f>
        <v>D1011</v>
      </c>
      <c r="C16" s="8" t="str">
        <f>IF(A16="","",IFERROR(INDEX(Lists!$C$4:$C$203,MATCH(A16,Lists!$B$4:$B$203,0)),""))</f>
        <v>Platform Operations</v>
      </c>
      <c r="D16" s="8" t="s">
        <v>46</v>
      </c>
      <c r="E16" s="10">
        <v>46176</v>
      </c>
      <c r="F16" s="10">
        <f t="shared" si="0"/>
        <v>46907</v>
      </c>
      <c r="G16" s="8" t="str">
        <f t="shared" ca="1" si="1"/>
        <v>Current</v>
      </c>
      <c r="H16" s="8" t="s">
        <v>22</v>
      </c>
      <c r="I16" s="8" t="s">
        <v>70</v>
      </c>
      <c r="J16" s="4" t="s">
        <v>24</v>
      </c>
      <c r="L16" s="4" t="s">
        <v>71</v>
      </c>
      <c r="M16" s="4"/>
      <c r="N16" s="4"/>
      <c r="O16" s="13"/>
      <c r="P16" s="13"/>
      <c r="Q16" s="4"/>
      <c r="R16" s="4"/>
      <c r="T16" s="1" t="str">
        <f t="shared" ca="1" si="2"/>
        <v/>
      </c>
      <c r="U16" s="1" t="str">
        <f ca="1">IF(T16="","",COUNTIFS($T$4:$T$503,"&gt;0",$T$4:$T$503,"&lt;"&amp;T16)+COUNTIF($T$4:T16,T16))</f>
        <v/>
      </c>
      <c r="V16" s="1" t="str">
        <f t="shared" si="3"/>
        <v>People Ops / Compliance</v>
      </c>
    </row>
    <row r="17" spans="1:22">
      <c r="A17" s="4" t="s">
        <v>69</v>
      </c>
      <c r="B17" s="52" t="str">
        <f>IF(A17="","",IFERROR(INDEX(Lists!$A$4:$A$203,MATCH(A17,Lists!$B$4:$B$203,0)),""))</f>
        <v>D1011</v>
      </c>
      <c r="C17" s="8" t="str">
        <f>IF(A17="","",IFERROR(INDEX(Lists!$C$4:$C$203,MATCH(A17,Lists!$B$4:$B$203,0)),""))</f>
        <v>Platform Operations</v>
      </c>
      <c r="D17" s="8" t="s">
        <v>46</v>
      </c>
      <c r="E17" s="10">
        <v>46095</v>
      </c>
      <c r="F17" s="10">
        <f t="shared" si="0"/>
        <v>46826</v>
      </c>
      <c r="G17" s="8" t="str">
        <f t="shared" ca="1" si="1"/>
        <v>Current</v>
      </c>
      <c r="H17" s="8" t="s">
        <v>22</v>
      </c>
      <c r="I17" s="8" t="s">
        <v>72</v>
      </c>
      <c r="J17" s="4" t="s">
        <v>24</v>
      </c>
      <c r="L17" s="4" t="s">
        <v>73</v>
      </c>
      <c r="M17" s="4"/>
      <c r="N17" s="4"/>
      <c r="O17" s="13"/>
      <c r="P17" s="13"/>
      <c r="Q17" s="4"/>
      <c r="R17" s="4"/>
      <c r="T17" s="1" t="str">
        <f t="shared" ca="1" si="2"/>
        <v/>
      </c>
      <c r="U17" s="1" t="str">
        <f ca="1">IF(T17="","",COUNTIFS($T$4:$T$503,"&gt;0",$T$4:$T$503,"&lt;"&amp;T17)+COUNTIF($T$4:T17,T17))</f>
        <v/>
      </c>
      <c r="V17" s="1" t="str">
        <f t="shared" si="3"/>
        <v>People Ops / Compliance</v>
      </c>
    </row>
    <row r="18" spans="1:22">
      <c r="A18" s="4" t="s">
        <v>74</v>
      </c>
      <c r="B18" s="52" t="str">
        <f>IF(A18="","",IFERROR(INDEX(Lists!$A$4:$A$203,MATCH(A18,Lists!$B$4:$B$203,0)),""))</f>
        <v>D1012</v>
      </c>
      <c r="C18" s="8" t="str">
        <f>IF(A18="","",IFERROR(INDEX(Lists!$C$4:$C$203,MATCH(A18,Lists!$B$4:$B$203,0)),""))</f>
        <v>Platform Operations</v>
      </c>
      <c r="D18" s="8" t="s">
        <v>21</v>
      </c>
      <c r="E18" s="10">
        <v>46191</v>
      </c>
      <c r="F18" s="10">
        <f t="shared" si="0"/>
        <v>47287</v>
      </c>
      <c r="G18" s="8" t="str">
        <f t="shared" ca="1" si="1"/>
        <v>Current</v>
      </c>
      <c r="H18" s="8" t="s">
        <v>34</v>
      </c>
      <c r="I18" s="8" t="s">
        <v>75</v>
      </c>
      <c r="J18" s="4" t="s">
        <v>24</v>
      </c>
      <c r="L18" s="4" t="s">
        <v>76</v>
      </c>
      <c r="M18" s="4"/>
      <c r="N18" s="4"/>
      <c r="O18" s="13"/>
      <c r="P18" s="13"/>
      <c r="Q18" s="4"/>
      <c r="R18" s="4"/>
      <c r="T18" s="1" t="str">
        <f t="shared" ca="1" si="2"/>
        <v/>
      </c>
      <c r="U18" s="1" t="str">
        <f ca="1">IF(T18="","",COUNTIFS($T$4:$T$503,"&gt;0",$T$4:$T$503,"&lt;"&amp;T18)+COUNTIF($T$4:T18,T18))</f>
        <v/>
      </c>
      <c r="V18" s="1" t="str">
        <f t="shared" si="3"/>
        <v>People Ops / Compliance</v>
      </c>
    </row>
    <row r="19" spans="1:22">
      <c r="A19" s="4" t="s">
        <v>77</v>
      </c>
      <c r="B19" s="52" t="str">
        <f>IF(A19="","",IFERROR(INDEX(Lists!$A$4:$A$203,MATCH(A19,Lists!$B$4:$B$203,0)),""))</f>
        <v>D1013</v>
      </c>
      <c r="C19" s="8" t="str">
        <f>IF(A19="","",IFERROR(INDEX(Lists!$C$4:$C$203,MATCH(A19,Lists!$B$4:$B$203,0)),""))</f>
        <v>Software Engineering</v>
      </c>
      <c r="D19" s="8" t="s">
        <v>31</v>
      </c>
      <c r="E19" s="10">
        <v>46155</v>
      </c>
      <c r="F19" s="10">
        <f t="shared" si="0"/>
        <v>46520</v>
      </c>
      <c r="G19" s="8" t="str">
        <f t="shared" ca="1" si="1"/>
        <v>Current</v>
      </c>
      <c r="H19" s="8" t="s">
        <v>22</v>
      </c>
      <c r="I19" s="8" t="s">
        <v>78</v>
      </c>
      <c r="J19" s="4" t="s">
        <v>24</v>
      </c>
      <c r="L19" s="4" t="s">
        <v>79</v>
      </c>
      <c r="M19" s="4"/>
      <c r="N19" s="4"/>
      <c r="O19" s="13"/>
      <c r="P19" s="13"/>
      <c r="Q19" s="4"/>
      <c r="R19" s="4"/>
      <c r="T19" s="1" t="str">
        <f t="shared" ca="1" si="2"/>
        <v/>
      </c>
      <c r="U19" s="1" t="str">
        <f ca="1">IF(T19="","",COUNTIFS($T$4:$T$503,"&gt;0",$T$4:$T$503,"&lt;"&amp;T19)+COUNTIF($T$4:T19,T19))</f>
        <v/>
      </c>
      <c r="V19" s="1" t="str">
        <f t="shared" si="3"/>
        <v>People Ops / Compliance</v>
      </c>
    </row>
    <row r="20" spans="1:22">
      <c r="A20" s="4" t="s">
        <v>80</v>
      </c>
      <c r="B20" s="52" t="str">
        <f>IF(A20="","",IFERROR(INDEX(Lists!$A$4:$A$203,MATCH(A20,Lists!$B$4:$B$203,0)),""))</f>
        <v>D1014</v>
      </c>
      <c r="C20" s="8" t="str">
        <f>IF(A20="","",IFERROR(INDEX(Lists!$C$4:$C$203,MATCH(A20,Lists!$B$4:$B$203,0)),""))</f>
        <v>Software Engineering</v>
      </c>
      <c r="D20" s="8" t="s">
        <v>46</v>
      </c>
      <c r="E20" s="10">
        <v>46071</v>
      </c>
      <c r="F20" s="10">
        <f t="shared" si="0"/>
        <v>46801</v>
      </c>
      <c r="G20" s="8" t="str">
        <f t="shared" ca="1" si="1"/>
        <v>Current</v>
      </c>
      <c r="H20" s="8" t="s">
        <v>22</v>
      </c>
      <c r="I20" s="8" t="s">
        <v>81</v>
      </c>
      <c r="J20" s="4" t="s">
        <v>24</v>
      </c>
      <c r="L20" s="4" t="s">
        <v>82</v>
      </c>
      <c r="M20" s="4"/>
      <c r="N20" s="4"/>
      <c r="O20" s="13"/>
      <c r="P20" s="13"/>
      <c r="Q20" s="4"/>
      <c r="R20" s="4"/>
      <c r="T20" s="1" t="str">
        <f t="shared" ca="1" si="2"/>
        <v/>
      </c>
      <c r="U20" s="1" t="str">
        <f ca="1">IF(T20="","",COUNTIFS($T$4:$T$503,"&gt;0",$T$4:$T$503,"&lt;"&amp;T20)+COUNTIF($T$4:T20,T20))</f>
        <v/>
      </c>
      <c r="V20" s="1" t="str">
        <f t="shared" si="3"/>
        <v>People Ops / Compliance</v>
      </c>
    </row>
    <row r="21" spans="1:22">
      <c r="A21" s="4" t="s">
        <v>83</v>
      </c>
      <c r="B21" s="52" t="str">
        <f>IF(A21="","",IFERROR(INDEX(Lists!$A$4:$A$203,MATCH(A21,Lists!$B$4:$B$203,0)),""))</f>
        <v>D1015</v>
      </c>
      <c r="C21" s="8" t="str">
        <f>IF(A21="","",IFERROR(INDEX(Lists!$C$4:$C$203,MATCH(A21,Lists!$B$4:$B$203,0)),""))</f>
        <v>Software Engineering</v>
      </c>
      <c r="D21" s="8" t="s">
        <v>42</v>
      </c>
      <c r="E21" s="10">
        <v>45938</v>
      </c>
      <c r="F21" s="10">
        <f t="shared" si="0"/>
        <v>46303</v>
      </c>
      <c r="G21" s="8" t="str">
        <f t="shared" ca="1" si="1"/>
        <v>Due Soon</v>
      </c>
      <c r="H21" s="8" t="s">
        <v>22</v>
      </c>
      <c r="I21" s="8" t="s">
        <v>84</v>
      </c>
      <c r="J21" s="4" t="s">
        <v>24</v>
      </c>
      <c r="L21" s="4" t="s">
        <v>85</v>
      </c>
      <c r="M21" s="4"/>
      <c r="N21" s="4"/>
      <c r="O21" s="13"/>
      <c r="P21" s="13"/>
      <c r="Q21" s="4"/>
      <c r="R21" s="4"/>
      <c r="T21" s="1">
        <f t="shared" ca="1" si="2"/>
        <v>2</v>
      </c>
      <c r="U21" s="1">
        <f ca="1">IF(T21="","",COUNTIFS($T$4:$T$503,"&gt;0",$T$4:$T$503,"&lt;"&amp;T21)+COUNTIF($T$4:T21,T21))</f>
        <v>7</v>
      </c>
      <c r="V21" s="1" t="str">
        <f t="shared" si="3"/>
        <v>People Ops / Compliance</v>
      </c>
    </row>
    <row r="22" spans="1:22">
      <c r="A22" s="4" t="s">
        <v>86</v>
      </c>
      <c r="B22" s="52" t="str">
        <f>IF(A22="","",IFERROR(INDEX(Lists!$A$4:$A$203,MATCH(A22,Lists!$B$4:$B$203,0)),""))</f>
        <v>D1016</v>
      </c>
      <c r="C22" s="8" t="str">
        <f>IF(A22="","",IFERROR(INDEX(Lists!$C$4:$C$203,MATCH(A22,Lists!$B$4:$B$203,0)),""))</f>
        <v>Software Engineering</v>
      </c>
      <c r="D22" s="8" t="s">
        <v>21</v>
      </c>
      <c r="E22" s="10">
        <v>46084</v>
      </c>
      <c r="F22" s="10">
        <f t="shared" si="0"/>
        <v>47180</v>
      </c>
      <c r="G22" s="8" t="str">
        <f t="shared" ca="1" si="1"/>
        <v>Current</v>
      </c>
      <c r="H22" s="8" t="s">
        <v>34</v>
      </c>
      <c r="I22" s="8" t="s">
        <v>87</v>
      </c>
      <c r="J22" s="4" t="s">
        <v>24</v>
      </c>
      <c r="L22" s="4" t="s">
        <v>88</v>
      </c>
      <c r="M22" s="4"/>
      <c r="N22" s="4"/>
      <c r="O22" s="13"/>
      <c r="P22" s="13"/>
      <c r="Q22" s="4"/>
      <c r="R22" s="4"/>
      <c r="T22" s="1" t="str">
        <f t="shared" ca="1" si="2"/>
        <v/>
      </c>
      <c r="U22" s="1" t="str">
        <f ca="1">IF(T22="","",COUNTIFS($T$4:$T$503,"&gt;0",$T$4:$T$503,"&lt;"&amp;T22)+COUNTIF($T$4:T22,T22))</f>
        <v/>
      </c>
      <c r="V22" s="1" t="str">
        <f t="shared" si="3"/>
        <v>People Ops / Compliance</v>
      </c>
    </row>
    <row r="23" spans="1:22">
      <c r="A23" s="4" t="s">
        <v>86</v>
      </c>
      <c r="B23" s="52" t="str">
        <f>IF(A23="","",IFERROR(INDEX(Lists!$A$4:$A$203,MATCH(A23,Lists!$B$4:$B$203,0)),""))</f>
        <v>D1016</v>
      </c>
      <c r="C23" s="8" t="str">
        <f>IF(A23="","",IFERROR(INDEX(Lists!$C$4:$C$203,MATCH(A23,Lists!$B$4:$B$203,0)),""))</f>
        <v>Software Engineering</v>
      </c>
      <c r="D23" s="8" t="s">
        <v>42</v>
      </c>
      <c r="E23" s="10">
        <v>46051</v>
      </c>
      <c r="F23" s="10">
        <f t="shared" si="0"/>
        <v>46416</v>
      </c>
      <c r="G23" s="8" t="str">
        <f t="shared" ca="1" si="1"/>
        <v>Current</v>
      </c>
      <c r="H23" s="8" t="s">
        <v>52</v>
      </c>
      <c r="I23" s="8" t="s">
        <v>89</v>
      </c>
      <c r="J23" s="4" t="s">
        <v>24</v>
      </c>
      <c r="L23" s="4" t="s">
        <v>90</v>
      </c>
      <c r="M23" s="4"/>
      <c r="N23" s="4"/>
      <c r="O23" s="13"/>
      <c r="P23" s="13"/>
      <c r="Q23" s="4"/>
      <c r="R23" s="4"/>
      <c r="T23" s="1" t="str">
        <f t="shared" ca="1" si="2"/>
        <v/>
      </c>
      <c r="U23" s="1" t="str">
        <f ca="1">IF(T23="","",COUNTIFS($T$4:$T$503,"&gt;0",$T$4:$T$503,"&lt;"&amp;T23)+COUNTIF($T$4:T23,T23))</f>
        <v/>
      </c>
      <c r="V23" s="1" t="str">
        <f t="shared" si="3"/>
        <v>People Ops / Compliance</v>
      </c>
    </row>
    <row r="24" spans="1:22">
      <c r="A24" s="4" t="s">
        <v>91</v>
      </c>
      <c r="B24" s="52" t="str">
        <f>IF(A24="","",IFERROR(INDEX(Lists!$A$4:$A$203,MATCH(A24,Lists!$B$4:$B$203,0)),""))</f>
        <v>D1017</v>
      </c>
      <c r="C24" s="8" t="str">
        <f>IF(A24="","",IFERROR(INDEX(Lists!$C$4:$C$203,MATCH(A24,Lists!$B$4:$B$203,0)),""))</f>
        <v>Software Engineering</v>
      </c>
      <c r="D24" s="8" t="s">
        <v>42</v>
      </c>
      <c r="E24" s="10">
        <v>46186</v>
      </c>
      <c r="F24" s="10">
        <f t="shared" si="0"/>
        <v>46551</v>
      </c>
      <c r="G24" s="8" t="str">
        <f t="shared" ca="1" si="1"/>
        <v>Current</v>
      </c>
      <c r="H24" s="8" t="s">
        <v>22</v>
      </c>
      <c r="I24" s="8" t="s">
        <v>92</v>
      </c>
      <c r="J24" s="4" t="s">
        <v>24</v>
      </c>
      <c r="L24" s="4" t="s">
        <v>93</v>
      </c>
      <c r="M24" s="4"/>
      <c r="N24" s="4"/>
      <c r="O24" s="13"/>
      <c r="P24" s="13"/>
      <c r="Q24" s="4"/>
      <c r="R24" s="4"/>
      <c r="T24" s="1" t="str">
        <f t="shared" ca="1" si="2"/>
        <v/>
      </c>
      <c r="U24" s="1" t="str">
        <f ca="1">IF(T24="","",COUNTIFS($T$4:$T$503,"&gt;0",$T$4:$T$503,"&lt;"&amp;T24)+COUNTIF($T$4:T24,T24))</f>
        <v/>
      </c>
      <c r="V24" s="1" t="str">
        <f t="shared" si="3"/>
        <v>People Ops / Compliance</v>
      </c>
    </row>
    <row r="25" spans="1:22">
      <c r="A25" s="4" t="s">
        <v>94</v>
      </c>
      <c r="B25" s="52" t="str">
        <f>IF(A25="","",IFERROR(INDEX(Lists!$A$4:$A$203,MATCH(A25,Lists!$B$4:$B$203,0)),""))</f>
        <v>D1018</v>
      </c>
      <c r="C25" s="8" t="str">
        <f>IF(A25="","",IFERROR(INDEX(Lists!$C$4:$C$203,MATCH(A25,Lists!$B$4:$B$203,0)),""))</f>
        <v>Software Engineering</v>
      </c>
      <c r="D25" s="8" t="s">
        <v>21</v>
      </c>
      <c r="E25" s="10">
        <v>46158</v>
      </c>
      <c r="F25" s="10">
        <f t="shared" si="0"/>
        <v>47254</v>
      </c>
      <c r="G25" s="8" t="str">
        <f t="shared" ca="1" si="1"/>
        <v>Current</v>
      </c>
      <c r="H25" s="8" t="s">
        <v>52</v>
      </c>
      <c r="I25" s="8" t="s">
        <v>95</v>
      </c>
      <c r="J25" s="4" t="s">
        <v>24</v>
      </c>
      <c r="L25" s="4" t="s">
        <v>96</v>
      </c>
      <c r="M25" s="4"/>
      <c r="N25" s="4"/>
      <c r="O25" s="13"/>
      <c r="P25" s="13"/>
      <c r="Q25" s="4"/>
      <c r="R25" s="4"/>
      <c r="T25" s="1" t="str">
        <f t="shared" ca="1" si="2"/>
        <v/>
      </c>
      <c r="U25" s="1" t="str">
        <f ca="1">IF(T25="","",COUNTIFS($T$4:$T$503,"&gt;0",$T$4:$T$503,"&lt;"&amp;T25)+COUNTIF($T$4:T25,T25))</f>
        <v/>
      </c>
      <c r="V25" s="1" t="str">
        <f t="shared" si="3"/>
        <v>People Ops / Compliance</v>
      </c>
    </row>
    <row r="26" spans="1:22">
      <c r="A26" s="4" t="s">
        <v>97</v>
      </c>
      <c r="B26" s="52" t="str">
        <f>IF(A26="","",IFERROR(INDEX(Lists!$A$4:$A$203,MATCH(A26,Lists!$B$4:$B$203,0)),""))</f>
        <v>D1019</v>
      </c>
      <c r="C26" s="8" t="str">
        <f>IF(A26="","",IFERROR(INDEX(Lists!$C$4:$C$203,MATCH(A26,Lists!$B$4:$B$203,0)),""))</f>
        <v>IT Operations</v>
      </c>
      <c r="D26" s="8" t="s">
        <v>37</v>
      </c>
      <c r="E26" s="10">
        <v>44794</v>
      </c>
      <c r="F26" s="10">
        <f t="shared" si="0"/>
        <v>45159</v>
      </c>
      <c r="G26" s="8" t="str">
        <f t="shared" ca="1" si="1"/>
        <v>Expired</v>
      </c>
      <c r="H26" s="8" t="s">
        <v>52</v>
      </c>
      <c r="I26" s="8" t="s">
        <v>98</v>
      </c>
      <c r="J26" s="4" t="s">
        <v>24</v>
      </c>
      <c r="L26" s="4" t="s">
        <v>99</v>
      </c>
      <c r="M26" s="4"/>
      <c r="N26" s="4"/>
      <c r="O26" s="13"/>
      <c r="P26" s="13"/>
      <c r="Q26" s="4"/>
      <c r="R26" s="4"/>
      <c r="T26" s="1">
        <f t="shared" ca="1" si="2"/>
        <v>1</v>
      </c>
      <c r="U26" s="1">
        <f ca="1">IF(T26="","",COUNTIFS($T$4:$T$503,"&gt;0",$T$4:$T$503,"&lt;"&amp;T26)+COUNTIF($T$4:T26,T26))</f>
        <v>4</v>
      </c>
      <c r="V26" s="1" t="str">
        <f t="shared" si="3"/>
        <v>People Ops / Compliance</v>
      </c>
    </row>
    <row r="27" spans="1:22">
      <c r="A27" s="4" t="s">
        <v>100</v>
      </c>
      <c r="B27" s="52" t="str">
        <f>IF(A27="","",IFERROR(INDEX(Lists!$A$4:$A$203,MATCH(A27,Lists!$B$4:$B$203,0)),""))</f>
        <v>D1020</v>
      </c>
      <c r="C27" s="8" t="str">
        <f>IF(A27="","",IFERROR(INDEX(Lists!$C$4:$C$203,MATCH(A27,Lists!$B$4:$B$203,0)),""))</f>
        <v>IT Operations</v>
      </c>
      <c r="D27" s="8" t="s">
        <v>42</v>
      </c>
      <c r="E27" s="10">
        <v>46168</v>
      </c>
      <c r="F27" s="10">
        <f t="shared" si="0"/>
        <v>46533</v>
      </c>
      <c r="G27" s="8" t="str">
        <f t="shared" ca="1" si="1"/>
        <v>Current</v>
      </c>
      <c r="H27" s="8" t="s">
        <v>34</v>
      </c>
      <c r="I27" s="8" t="s">
        <v>101</v>
      </c>
      <c r="J27" s="4" t="s">
        <v>24</v>
      </c>
      <c r="L27" s="4" t="s">
        <v>102</v>
      </c>
      <c r="M27" s="4"/>
      <c r="N27" s="4"/>
      <c r="O27" s="13"/>
      <c r="P27" s="13"/>
      <c r="Q27" s="4"/>
      <c r="R27" s="4"/>
      <c r="T27" s="1" t="str">
        <f t="shared" ca="1" si="2"/>
        <v/>
      </c>
      <c r="U27" s="1" t="str">
        <f ca="1">IF(T27="","",COUNTIFS($T$4:$T$503,"&gt;0",$T$4:$T$503,"&lt;"&amp;T27)+COUNTIF($T$4:T27,T27))</f>
        <v/>
      </c>
      <c r="V27" s="1" t="str">
        <f t="shared" si="3"/>
        <v>People Ops / Compliance</v>
      </c>
    </row>
    <row r="28" spans="1:22">
      <c r="A28" s="4" t="s">
        <v>103</v>
      </c>
      <c r="B28" s="52" t="str">
        <f>IF(A28="","",IFERROR(INDEX(Lists!$A$4:$A$203,MATCH(A28,Lists!$B$4:$B$203,0)),""))</f>
        <v>D1021</v>
      </c>
      <c r="C28" s="8" t="str">
        <f>IF(A28="","",IFERROR(INDEX(Lists!$C$4:$C$203,MATCH(A28,Lists!$B$4:$B$203,0)),""))</f>
        <v>IT Operations</v>
      </c>
      <c r="D28" s="8" t="s">
        <v>37</v>
      </c>
      <c r="E28" s="10">
        <v>46162</v>
      </c>
      <c r="F28" s="10">
        <f t="shared" si="0"/>
        <v>46527</v>
      </c>
      <c r="G28" s="8" t="str">
        <f t="shared" ca="1" si="1"/>
        <v>Current</v>
      </c>
      <c r="H28" s="8" t="s">
        <v>22</v>
      </c>
      <c r="I28" s="8" t="s">
        <v>104</v>
      </c>
      <c r="J28" s="4" t="s">
        <v>24</v>
      </c>
      <c r="L28" s="4" t="s">
        <v>105</v>
      </c>
      <c r="M28" s="4"/>
      <c r="N28" s="4"/>
      <c r="O28" s="13"/>
      <c r="P28" s="13"/>
      <c r="Q28" s="4"/>
      <c r="R28" s="4"/>
      <c r="T28" s="1" t="str">
        <f t="shared" ca="1" si="2"/>
        <v/>
      </c>
      <c r="U28" s="1" t="str">
        <f ca="1">IF(T28="","",COUNTIFS($T$4:$T$503,"&gt;0",$T$4:$T$503,"&lt;"&amp;T28)+COUNTIF($T$4:T28,T28))</f>
        <v/>
      </c>
      <c r="V28" s="1" t="str">
        <f t="shared" si="3"/>
        <v>People Ops / Compliance</v>
      </c>
    </row>
    <row r="29" spans="1:22">
      <c r="A29" s="4" t="s">
        <v>103</v>
      </c>
      <c r="B29" s="52" t="str">
        <f>IF(A29="","",IFERROR(INDEX(Lists!$A$4:$A$203,MATCH(A29,Lists!$B$4:$B$203,0)),""))</f>
        <v>D1021</v>
      </c>
      <c r="C29" s="8" t="str">
        <f>IF(A29="","",IFERROR(INDEX(Lists!$C$4:$C$203,MATCH(A29,Lists!$B$4:$B$203,0)),""))</f>
        <v>IT Operations</v>
      </c>
      <c r="D29" s="8" t="s">
        <v>31</v>
      </c>
      <c r="E29" s="10">
        <v>46143</v>
      </c>
      <c r="F29" s="10">
        <f t="shared" si="0"/>
        <v>46508</v>
      </c>
      <c r="G29" s="8" t="str">
        <f t="shared" ca="1" si="1"/>
        <v>Current</v>
      </c>
      <c r="H29" s="8" t="s">
        <v>52</v>
      </c>
      <c r="I29" s="8" t="s">
        <v>106</v>
      </c>
      <c r="J29" s="4" t="s">
        <v>24</v>
      </c>
      <c r="L29" s="4" t="s">
        <v>107</v>
      </c>
      <c r="M29" s="4"/>
      <c r="N29" s="4"/>
      <c r="O29" s="13"/>
      <c r="P29" s="13"/>
      <c r="Q29" s="4"/>
      <c r="R29" s="4"/>
      <c r="T29" s="1" t="str">
        <f t="shared" ca="1" si="2"/>
        <v/>
      </c>
      <c r="U29" s="1" t="str">
        <f ca="1">IF(T29="","",COUNTIFS($T$4:$T$503,"&gt;0",$T$4:$T$503,"&lt;"&amp;T29)+COUNTIF($T$4:T29,T29))</f>
        <v/>
      </c>
      <c r="V29" s="1" t="str">
        <f t="shared" si="3"/>
        <v>People Ops / Compliance</v>
      </c>
    </row>
    <row r="30" spans="1:22">
      <c r="A30" s="4" t="s">
        <v>108</v>
      </c>
      <c r="B30" s="52" t="str">
        <f>IF(A30="","",IFERROR(INDEX(Lists!$A$4:$A$203,MATCH(A30,Lists!$B$4:$B$203,0)),""))</f>
        <v>D1022</v>
      </c>
      <c r="C30" s="8" t="str">
        <f>IF(A30="","",IFERROR(INDEX(Lists!$C$4:$C$203,MATCH(A30,Lists!$B$4:$B$203,0)),""))</f>
        <v>IT Operations</v>
      </c>
      <c r="D30" s="8" t="s">
        <v>21</v>
      </c>
      <c r="E30" s="10">
        <v>45976</v>
      </c>
      <c r="F30" s="10">
        <f t="shared" si="0"/>
        <v>47072</v>
      </c>
      <c r="G30" s="8" t="str">
        <f t="shared" ca="1" si="1"/>
        <v>Current</v>
      </c>
      <c r="H30" s="8" t="s">
        <v>52</v>
      </c>
      <c r="I30" s="8" t="s">
        <v>109</v>
      </c>
      <c r="J30" s="4" t="s">
        <v>24</v>
      </c>
      <c r="L30" s="4" t="s">
        <v>110</v>
      </c>
      <c r="M30" s="4"/>
      <c r="N30" s="4"/>
      <c r="O30" s="13"/>
      <c r="P30" s="13"/>
      <c r="Q30" s="4"/>
      <c r="R30" s="4"/>
      <c r="T30" s="1" t="str">
        <f t="shared" ca="1" si="2"/>
        <v/>
      </c>
      <c r="U30" s="1" t="str">
        <f ca="1">IF(T30="","",COUNTIFS($T$4:$T$503,"&gt;0",$T$4:$T$503,"&lt;"&amp;T30)+COUNTIF($T$4:T30,T30))</f>
        <v/>
      </c>
      <c r="V30" s="1" t="str">
        <f t="shared" si="3"/>
        <v>People Ops / Compliance</v>
      </c>
    </row>
    <row r="31" spans="1:22">
      <c r="A31" s="4" t="s">
        <v>111</v>
      </c>
      <c r="B31" s="52" t="str">
        <f>IF(A31="","",IFERROR(INDEX(Lists!$A$4:$A$203,MATCH(A31,Lists!$B$4:$B$203,0)),""))</f>
        <v>D1023</v>
      </c>
      <c r="C31" s="8" t="str">
        <f>IF(A31="","",IFERROR(INDEX(Lists!$C$4:$C$203,MATCH(A31,Lists!$B$4:$B$203,0)),""))</f>
        <v>IT Operations</v>
      </c>
      <c r="D31" s="8" t="s">
        <v>21</v>
      </c>
      <c r="E31" s="10">
        <v>46090</v>
      </c>
      <c r="F31" s="10">
        <f t="shared" si="0"/>
        <v>47186</v>
      </c>
      <c r="G31" s="8" t="str">
        <f t="shared" ca="1" si="1"/>
        <v>Current</v>
      </c>
      <c r="H31" s="8" t="s">
        <v>52</v>
      </c>
      <c r="I31" s="8" t="s">
        <v>112</v>
      </c>
      <c r="J31" s="4" t="s">
        <v>24</v>
      </c>
      <c r="L31" s="4" t="s">
        <v>113</v>
      </c>
      <c r="M31" s="4"/>
      <c r="N31" s="4"/>
      <c r="O31" s="13"/>
      <c r="P31" s="13"/>
      <c r="Q31" s="4"/>
      <c r="R31" s="4"/>
      <c r="T31" s="1" t="str">
        <f t="shared" ca="1" si="2"/>
        <v/>
      </c>
      <c r="U31" s="1" t="str">
        <f ca="1">IF(T31="","",COUNTIFS($T$4:$T$503,"&gt;0",$T$4:$T$503,"&lt;"&amp;T31)+COUNTIF($T$4:T31,T31))</f>
        <v/>
      </c>
      <c r="V31" s="1" t="str">
        <f t="shared" si="3"/>
        <v>People Ops / Compliance</v>
      </c>
    </row>
    <row r="32" spans="1:22">
      <c r="A32" s="4" t="s">
        <v>114</v>
      </c>
      <c r="B32" s="52" t="str">
        <f>IF(A32="","",IFERROR(INDEX(Lists!$A$4:$A$203,MATCH(A32,Lists!$B$4:$B$203,0)),""))</f>
        <v>D1024</v>
      </c>
      <c r="C32" s="8" t="str">
        <f>IF(A32="","",IFERROR(INDEX(Lists!$C$4:$C$203,MATCH(A32,Lists!$B$4:$B$203,0)),""))</f>
        <v>IT Operations</v>
      </c>
      <c r="D32" s="8" t="s">
        <v>21</v>
      </c>
      <c r="E32" s="10">
        <v>46038</v>
      </c>
      <c r="F32" s="10">
        <f t="shared" si="0"/>
        <v>47134</v>
      </c>
      <c r="G32" s="8" t="str">
        <f t="shared" ca="1" si="1"/>
        <v>Current</v>
      </c>
      <c r="H32" s="8" t="s">
        <v>34</v>
      </c>
      <c r="I32" s="8" t="s">
        <v>115</v>
      </c>
      <c r="J32" s="4" t="s">
        <v>24</v>
      </c>
      <c r="L32" s="4" t="s">
        <v>116</v>
      </c>
      <c r="M32" s="4"/>
      <c r="N32" s="4"/>
      <c r="O32" s="13"/>
      <c r="P32" s="13"/>
      <c r="Q32" s="4"/>
      <c r="R32" s="4"/>
      <c r="T32" s="1" t="str">
        <f t="shared" ca="1" si="2"/>
        <v/>
      </c>
      <c r="U32" s="1" t="str">
        <f ca="1">IF(T32="","",COUNTIFS($T$4:$T$503,"&gt;0",$T$4:$T$503,"&lt;"&amp;T32)+COUNTIF($T$4:T32,T32))</f>
        <v/>
      </c>
      <c r="V32" s="1" t="str">
        <f t="shared" si="3"/>
        <v>People Ops / Compliance</v>
      </c>
    </row>
    <row r="33" spans="1:22">
      <c r="A33" s="4" t="s">
        <v>117</v>
      </c>
      <c r="B33" s="52" t="str">
        <f>IF(A33="","",IFERROR(INDEX(Lists!$A$4:$A$203,MATCH(A33,Lists!$B$4:$B$203,0)),""))</f>
        <v>D1025</v>
      </c>
      <c r="C33" s="8" t="str">
        <f>IF(A33="","",IFERROR(INDEX(Lists!$C$4:$C$203,MATCH(A33,Lists!$B$4:$B$203,0)),""))</f>
        <v>Quality Assurance</v>
      </c>
      <c r="D33" s="8" t="s">
        <v>46</v>
      </c>
      <c r="E33" s="10">
        <v>46096</v>
      </c>
      <c r="F33" s="10">
        <f t="shared" si="0"/>
        <v>46827</v>
      </c>
      <c r="G33" s="8" t="str">
        <f t="shared" ca="1" si="1"/>
        <v>Current</v>
      </c>
      <c r="H33" s="8" t="s">
        <v>22</v>
      </c>
      <c r="I33" s="8" t="s">
        <v>118</v>
      </c>
      <c r="J33" s="4" t="s">
        <v>24</v>
      </c>
      <c r="L33" s="4" t="s">
        <v>119</v>
      </c>
      <c r="M33" s="4"/>
      <c r="N33" s="4"/>
      <c r="O33" s="13"/>
      <c r="P33" s="13"/>
      <c r="Q33" s="4"/>
      <c r="R33" s="4"/>
      <c r="T33" s="1" t="str">
        <f t="shared" ca="1" si="2"/>
        <v/>
      </c>
      <c r="U33" s="1" t="str">
        <f ca="1">IF(T33="","",COUNTIFS($T$4:$T$503,"&gt;0",$T$4:$T$503,"&lt;"&amp;T33)+COUNTIF($T$4:T33,T33))</f>
        <v/>
      </c>
      <c r="V33" s="1" t="str">
        <f t="shared" si="3"/>
        <v>People Ops / Compliance</v>
      </c>
    </row>
    <row r="34" spans="1:22">
      <c r="A34" s="4" t="s">
        <v>120</v>
      </c>
      <c r="B34" s="52" t="str">
        <f>IF(A34="","",IFERROR(INDEX(Lists!$A$4:$A$203,MATCH(A34,Lists!$B$4:$B$203,0)),""))</f>
        <v>D1026</v>
      </c>
      <c r="C34" s="8" t="str">
        <f>IF(A34="","",IFERROR(INDEX(Lists!$C$4:$C$203,MATCH(A34,Lists!$B$4:$B$203,0)),""))</f>
        <v>Quality Assurance</v>
      </c>
      <c r="D34" s="8" t="s">
        <v>39</v>
      </c>
      <c r="E34" s="10">
        <v>46151</v>
      </c>
      <c r="F34" s="10">
        <f t="shared" si="0"/>
        <v>47247</v>
      </c>
      <c r="G34" s="8" t="str">
        <f t="shared" ca="1" si="1"/>
        <v>Current</v>
      </c>
      <c r="H34" s="8" t="s">
        <v>34</v>
      </c>
      <c r="I34" s="8" t="s">
        <v>121</v>
      </c>
      <c r="J34" s="4" t="s">
        <v>24</v>
      </c>
      <c r="L34" s="4" t="s">
        <v>122</v>
      </c>
      <c r="M34" s="4"/>
      <c r="N34" s="4"/>
      <c r="O34" s="13"/>
      <c r="P34" s="13"/>
      <c r="Q34" s="4"/>
      <c r="R34" s="4"/>
      <c r="T34" s="1" t="str">
        <f t="shared" ca="1" si="2"/>
        <v/>
      </c>
      <c r="U34" s="1" t="str">
        <f ca="1">IF(T34="","",COUNTIFS($T$4:$T$503,"&gt;0",$T$4:$T$503,"&lt;"&amp;T34)+COUNTIF($T$4:T34,T34))</f>
        <v/>
      </c>
      <c r="V34" s="1" t="str">
        <f t="shared" si="3"/>
        <v>People Ops / Compliance</v>
      </c>
    </row>
    <row r="35" spans="1:22">
      <c r="A35" s="4" t="s">
        <v>120</v>
      </c>
      <c r="B35" s="52" t="str">
        <f>IF(A35="","",IFERROR(INDEX(Lists!$A$4:$A$203,MATCH(A35,Lists!$B$4:$B$203,0)),""))</f>
        <v>D1026</v>
      </c>
      <c r="C35" s="8" t="str">
        <f>IF(A35="","",IFERROR(INDEX(Lists!$C$4:$C$203,MATCH(A35,Lists!$B$4:$B$203,0)),""))</f>
        <v>Quality Assurance</v>
      </c>
      <c r="D35" s="8" t="s">
        <v>42</v>
      </c>
      <c r="E35" s="10">
        <v>46202</v>
      </c>
      <c r="F35" s="10">
        <f t="shared" si="0"/>
        <v>46567</v>
      </c>
      <c r="G35" s="8" t="str">
        <f t="shared" ca="1" si="1"/>
        <v>Current</v>
      </c>
      <c r="H35" s="8" t="s">
        <v>34</v>
      </c>
      <c r="I35" s="8" t="s">
        <v>123</v>
      </c>
      <c r="J35" s="4" t="s">
        <v>24</v>
      </c>
      <c r="L35" s="4" t="s">
        <v>124</v>
      </c>
      <c r="M35" s="4"/>
      <c r="N35" s="4"/>
      <c r="O35" s="13"/>
      <c r="P35" s="13"/>
      <c r="Q35" s="4"/>
      <c r="R35" s="4"/>
      <c r="T35" s="1" t="str">
        <f t="shared" ca="1" si="2"/>
        <v/>
      </c>
      <c r="U35" s="1" t="str">
        <f ca="1">IF(T35="","",COUNTIFS($T$4:$T$503,"&gt;0",$T$4:$T$503,"&lt;"&amp;T35)+COUNTIF($T$4:T35,T35))</f>
        <v/>
      </c>
      <c r="V35" s="1" t="str">
        <f t="shared" si="3"/>
        <v>People Ops / Compliance</v>
      </c>
    </row>
    <row r="36" spans="1:22">
      <c r="A36" s="4" t="s">
        <v>125</v>
      </c>
      <c r="B36" s="52" t="str">
        <f>IF(A36="","",IFERROR(INDEX(Lists!$A$4:$A$203,MATCH(A36,Lists!$B$4:$B$203,0)),""))</f>
        <v>D1027</v>
      </c>
      <c r="C36" s="8" t="str">
        <f>IF(A36="","",IFERROR(INDEX(Lists!$C$4:$C$203,MATCH(A36,Lists!$B$4:$B$203,0)),""))</f>
        <v>Quality Assurance</v>
      </c>
      <c r="D36" s="8" t="s">
        <v>21</v>
      </c>
      <c r="E36" s="10">
        <v>46186</v>
      </c>
      <c r="F36" s="10">
        <f t="shared" si="0"/>
        <v>47282</v>
      </c>
      <c r="G36" s="8" t="str">
        <f t="shared" ca="1" si="1"/>
        <v>Current</v>
      </c>
      <c r="H36" s="8" t="s">
        <v>22</v>
      </c>
      <c r="I36" s="8" t="s">
        <v>126</v>
      </c>
      <c r="J36" s="4" t="s">
        <v>24</v>
      </c>
      <c r="L36" s="4" t="s">
        <v>127</v>
      </c>
      <c r="M36" s="4"/>
      <c r="N36" s="4"/>
      <c r="O36" s="13"/>
      <c r="P36" s="13"/>
      <c r="Q36" s="4"/>
      <c r="R36" s="4"/>
      <c r="T36" s="1" t="str">
        <f t="shared" ca="1" si="2"/>
        <v/>
      </c>
      <c r="U36" s="1" t="str">
        <f ca="1">IF(T36="","",COUNTIFS($T$4:$T$503,"&gt;0",$T$4:$T$503,"&lt;"&amp;T36)+COUNTIF($T$4:T36,T36))</f>
        <v/>
      </c>
      <c r="V36" s="1" t="str">
        <f t="shared" si="3"/>
        <v>People Ops / Compliance</v>
      </c>
    </row>
    <row r="37" spans="1:22">
      <c r="A37" s="4" t="s">
        <v>128</v>
      </c>
      <c r="B37" s="52" t="str">
        <f>IF(A37="","",IFERROR(INDEX(Lists!$A$4:$A$203,MATCH(A37,Lists!$B$4:$B$203,0)),""))</f>
        <v>D1028</v>
      </c>
      <c r="C37" s="8" t="str">
        <f>IF(A37="","",IFERROR(INDEX(Lists!$C$4:$C$203,MATCH(A37,Lists!$B$4:$B$203,0)),""))</f>
        <v>Quality Assurance</v>
      </c>
      <c r="D37" s="8" t="s">
        <v>46</v>
      </c>
      <c r="E37" s="10">
        <v>44870</v>
      </c>
      <c r="F37" s="10">
        <f t="shared" si="0"/>
        <v>45601</v>
      </c>
      <c r="G37" s="8" t="str">
        <f t="shared" ca="1" si="1"/>
        <v>Expired</v>
      </c>
      <c r="H37" s="8" t="s">
        <v>52</v>
      </c>
      <c r="I37" s="8" t="s">
        <v>129</v>
      </c>
      <c r="J37" s="4" t="s">
        <v>24</v>
      </c>
      <c r="L37" s="4" t="s">
        <v>130</v>
      </c>
      <c r="M37" s="4"/>
      <c r="N37" s="4"/>
      <c r="O37" s="13"/>
      <c r="P37" s="13"/>
      <c r="Q37" s="4"/>
      <c r="R37" s="4"/>
      <c r="T37" s="1">
        <f t="shared" ca="1" si="2"/>
        <v>1</v>
      </c>
      <c r="U37" s="1">
        <f ca="1">IF(T37="","",COUNTIFS($T$4:$T$503,"&gt;0",$T$4:$T$503,"&lt;"&amp;T37)+COUNTIF($T$4:T37,T37))</f>
        <v>5</v>
      </c>
      <c r="V37" s="1" t="str">
        <f t="shared" si="3"/>
        <v>People Ops / Compliance</v>
      </c>
    </row>
    <row r="38" spans="1:22">
      <c r="A38" s="4" t="s">
        <v>131</v>
      </c>
      <c r="B38" s="52" t="str">
        <f>IF(A38="","",IFERROR(INDEX(Lists!$A$4:$A$203,MATCH(A38,Lists!$B$4:$B$203,0)),""))</f>
        <v>D1029</v>
      </c>
      <c r="C38" s="8" t="str">
        <f>IF(A38="","",IFERROR(INDEX(Lists!$C$4:$C$203,MATCH(A38,Lists!$B$4:$B$203,0)),""))</f>
        <v>Quality Assurance</v>
      </c>
      <c r="D38" s="8" t="s">
        <v>37</v>
      </c>
      <c r="E38" s="10">
        <v>45911</v>
      </c>
      <c r="F38" s="10">
        <f t="shared" si="0"/>
        <v>46276</v>
      </c>
      <c r="G38" s="8" t="str">
        <f t="shared" ca="1" si="1"/>
        <v>Due Soon</v>
      </c>
      <c r="H38" s="8" t="s">
        <v>34</v>
      </c>
      <c r="I38" s="8" t="s">
        <v>132</v>
      </c>
      <c r="J38" s="4" t="s">
        <v>24</v>
      </c>
      <c r="L38" s="4" t="s">
        <v>133</v>
      </c>
      <c r="M38" s="4"/>
      <c r="N38" s="4"/>
      <c r="O38" s="13"/>
      <c r="P38" s="13"/>
      <c r="Q38" s="4"/>
      <c r="R38" s="4"/>
      <c r="T38" s="1">
        <f t="shared" ca="1" si="2"/>
        <v>2</v>
      </c>
      <c r="U38" s="1">
        <f ca="1">IF(T38="","",COUNTIFS($T$4:$T$503,"&gt;0",$T$4:$T$503,"&lt;"&amp;T38)+COUNTIF($T$4:T38,T38))</f>
        <v>8</v>
      </c>
      <c r="V38" s="1" t="str">
        <f t="shared" si="3"/>
        <v>People Ops / Compliance</v>
      </c>
    </row>
    <row r="39" spans="1:22">
      <c r="A39" s="4" t="s">
        <v>134</v>
      </c>
      <c r="B39" s="52" t="str">
        <f>IF(A39="","",IFERROR(INDEX(Lists!$A$4:$A$203,MATCH(A39,Lists!$B$4:$B$203,0)),""))</f>
        <v>D1030</v>
      </c>
      <c r="C39" s="8" t="str">
        <f>IF(A39="","",IFERROR(INDEX(Lists!$C$4:$C$203,MATCH(A39,Lists!$B$4:$B$203,0)),""))</f>
        <v>Quality Assurance</v>
      </c>
      <c r="D39" s="8" t="s">
        <v>21</v>
      </c>
      <c r="E39" s="10">
        <v>46153</v>
      </c>
      <c r="F39" s="10">
        <f t="shared" si="0"/>
        <v>47249</v>
      </c>
      <c r="G39" s="8" t="str">
        <f t="shared" ca="1" si="1"/>
        <v>Current</v>
      </c>
      <c r="H39" s="8" t="s">
        <v>52</v>
      </c>
      <c r="I39" s="8" t="s">
        <v>135</v>
      </c>
      <c r="J39" s="4" t="s">
        <v>24</v>
      </c>
      <c r="L39" s="4" t="s">
        <v>136</v>
      </c>
      <c r="M39" s="4"/>
      <c r="N39" s="4"/>
      <c r="O39" s="13"/>
      <c r="P39" s="13"/>
      <c r="Q39" s="4"/>
      <c r="R39" s="4"/>
      <c r="T39" s="1" t="str">
        <f t="shared" ca="1" si="2"/>
        <v/>
      </c>
      <c r="U39" s="1" t="str">
        <f ca="1">IF(T39="","",COUNTIFS($T$4:$T$503,"&gt;0",$T$4:$T$503,"&lt;"&amp;T39)+COUNTIF($T$4:T39,T39))</f>
        <v/>
      </c>
      <c r="V39" s="1" t="str">
        <f t="shared" si="3"/>
        <v>People Ops / Compliance</v>
      </c>
    </row>
    <row r="40" spans="1:22">
      <c r="A40" s="4" t="s">
        <v>137</v>
      </c>
      <c r="B40" s="52" t="str">
        <f>IF(A40="","",IFERROR(INDEX(Lists!$A$4:$A$203,MATCH(A40,Lists!$B$4:$B$203,0)),""))</f>
        <v>D1031</v>
      </c>
      <c r="C40" s="8" t="str">
        <f>IF(A40="","",IFERROR(INDEX(Lists!$C$4:$C$203,MATCH(A40,Lists!$B$4:$B$203,0)),""))</f>
        <v>Cloud &amp; Reliability</v>
      </c>
      <c r="D40" s="8" t="s">
        <v>51</v>
      </c>
      <c r="E40" s="10">
        <v>46062</v>
      </c>
      <c r="F40" s="10">
        <f t="shared" si="0"/>
        <v>46427</v>
      </c>
      <c r="G40" s="8" t="str">
        <f t="shared" ca="1" si="1"/>
        <v>Current</v>
      </c>
      <c r="H40" s="8" t="s">
        <v>22</v>
      </c>
      <c r="I40" s="8" t="s">
        <v>138</v>
      </c>
      <c r="J40" s="4" t="s">
        <v>24</v>
      </c>
      <c r="L40" s="4" t="s">
        <v>139</v>
      </c>
      <c r="M40" s="4"/>
      <c r="N40" s="4"/>
      <c r="O40" s="13"/>
      <c r="P40" s="13"/>
      <c r="Q40" s="4"/>
      <c r="R40" s="4"/>
      <c r="T40" s="1" t="str">
        <f t="shared" ca="1" si="2"/>
        <v/>
      </c>
      <c r="U40" s="1" t="str">
        <f ca="1">IF(T40="","",COUNTIFS($T$4:$T$503,"&gt;0",$T$4:$T$503,"&lt;"&amp;T40)+COUNTIF($T$4:T40,T40))</f>
        <v/>
      </c>
      <c r="V40" s="1" t="str">
        <f t="shared" si="3"/>
        <v>People Ops / Compliance</v>
      </c>
    </row>
    <row r="41" spans="1:22">
      <c r="A41" s="4" t="s">
        <v>137</v>
      </c>
      <c r="B41" s="52" t="str">
        <f>IF(A41="","",IFERROR(INDEX(Lists!$A$4:$A$203,MATCH(A41,Lists!$B$4:$B$203,0)),""))</f>
        <v>D1031</v>
      </c>
      <c r="C41" s="8" t="str">
        <f>IF(A41="","",IFERROR(INDEX(Lists!$C$4:$C$203,MATCH(A41,Lists!$B$4:$B$203,0)),""))</f>
        <v>Cloud &amp; Reliability</v>
      </c>
      <c r="D41" s="8" t="s">
        <v>37</v>
      </c>
      <c r="E41" s="10">
        <v>46123</v>
      </c>
      <c r="F41" s="10">
        <f t="shared" si="0"/>
        <v>46488</v>
      </c>
      <c r="G41" s="8" t="str">
        <f t="shared" ca="1" si="1"/>
        <v>Current</v>
      </c>
      <c r="H41" s="8" t="s">
        <v>22</v>
      </c>
      <c r="I41" s="8" t="s">
        <v>140</v>
      </c>
      <c r="J41" s="4" t="s">
        <v>24</v>
      </c>
      <c r="L41" s="4" t="s">
        <v>141</v>
      </c>
      <c r="M41" s="4"/>
      <c r="N41" s="4"/>
      <c r="O41" s="13"/>
      <c r="P41" s="13"/>
      <c r="Q41" s="4"/>
      <c r="R41" s="4"/>
      <c r="T41" s="1" t="str">
        <f t="shared" ca="1" si="2"/>
        <v/>
      </c>
      <c r="U41" s="1" t="str">
        <f ca="1">IF(T41="","",COUNTIFS($T$4:$T$503,"&gt;0",$T$4:$T$503,"&lt;"&amp;T41)+COUNTIF($T$4:T41,T41))</f>
        <v/>
      </c>
      <c r="V41" s="1" t="str">
        <f t="shared" si="3"/>
        <v>People Ops / Compliance</v>
      </c>
    </row>
    <row r="42" spans="1:22">
      <c r="A42" s="4" t="s">
        <v>142</v>
      </c>
      <c r="B42" s="52" t="str">
        <f>IF(A42="","",IFERROR(INDEX(Lists!$A$4:$A$203,MATCH(A42,Lists!$B$4:$B$203,0)),""))</f>
        <v>D1032</v>
      </c>
      <c r="C42" s="8" t="str">
        <f>IF(A42="","",IFERROR(INDEX(Lists!$C$4:$C$203,MATCH(A42,Lists!$B$4:$B$203,0)),""))</f>
        <v>Cloud &amp; Reliability</v>
      </c>
      <c r="D42" s="8" t="s">
        <v>39</v>
      </c>
      <c r="E42" s="10">
        <v>46189</v>
      </c>
      <c r="F42" s="10">
        <f t="shared" si="0"/>
        <v>47285</v>
      </c>
      <c r="G42" s="8" t="str">
        <f t="shared" ca="1" si="1"/>
        <v>Current</v>
      </c>
      <c r="H42" s="8" t="s">
        <v>22</v>
      </c>
      <c r="I42" s="8" t="s">
        <v>143</v>
      </c>
      <c r="J42" s="4" t="s">
        <v>24</v>
      </c>
      <c r="L42" s="4" t="s">
        <v>144</v>
      </c>
      <c r="M42" s="4"/>
      <c r="N42" s="4"/>
      <c r="O42" s="13"/>
      <c r="P42" s="13"/>
      <c r="Q42" s="4"/>
      <c r="R42" s="4"/>
      <c r="T42" s="1" t="str">
        <f t="shared" ca="1" si="2"/>
        <v/>
      </c>
      <c r="U42" s="1" t="str">
        <f ca="1">IF(T42="","",COUNTIFS($T$4:$T$503,"&gt;0",$T$4:$T$503,"&lt;"&amp;T42)+COUNTIF($T$4:T42,T42))</f>
        <v/>
      </c>
      <c r="V42" s="1" t="str">
        <f t="shared" si="3"/>
        <v>People Ops / Compliance</v>
      </c>
    </row>
    <row r="43" spans="1:22">
      <c r="A43" s="4" t="s">
        <v>145</v>
      </c>
      <c r="B43" s="52" t="str">
        <f>IF(A43="","",IFERROR(INDEX(Lists!$A$4:$A$203,MATCH(A43,Lists!$B$4:$B$203,0)),""))</f>
        <v>D1033</v>
      </c>
      <c r="C43" s="8" t="str">
        <f>IF(A43="","",IFERROR(INDEX(Lists!$C$4:$C$203,MATCH(A43,Lists!$B$4:$B$203,0)),""))</f>
        <v>Cloud &amp; Reliability</v>
      </c>
      <c r="D43" s="8" t="s">
        <v>39</v>
      </c>
      <c r="E43" s="10">
        <v>46039</v>
      </c>
      <c r="F43" s="10">
        <f t="shared" si="0"/>
        <v>47135</v>
      </c>
      <c r="G43" s="8" t="str">
        <f t="shared" ca="1" si="1"/>
        <v>Current</v>
      </c>
      <c r="H43" s="8" t="s">
        <v>34</v>
      </c>
      <c r="I43" s="8" t="s">
        <v>146</v>
      </c>
      <c r="J43" s="4" t="s">
        <v>24</v>
      </c>
      <c r="L43" s="4" t="s">
        <v>147</v>
      </c>
      <c r="M43" s="4"/>
      <c r="N43" s="4"/>
      <c r="O43" s="13"/>
      <c r="P43" s="13"/>
      <c r="Q43" s="4"/>
      <c r="R43" s="4"/>
      <c r="T43" s="1" t="str">
        <f t="shared" ca="1" si="2"/>
        <v/>
      </c>
      <c r="U43" s="1" t="str">
        <f ca="1">IF(T43="","",COUNTIFS($T$4:$T$503,"&gt;0",$T$4:$T$503,"&lt;"&amp;T43)+COUNTIF($T$4:T43,T43))</f>
        <v/>
      </c>
      <c r="V43" s="1" t="str">
        <f t="shared" si="3"/>
        <v>People Ops / Compliance</v>
      </c>
    </row>
    <row r="44" spans="1:22">
      <c r="A44" s="4" t="s">
        <v>148</v>
      </c>
      <c r="B44" s="52" t="str">
        <f>IF(A44="","",IFERROR(INDEX(Lists!$A$4:$A$203,MATCH(A44,Lists!$B$4:$B$203,0)),""))</f>
        <v>D1034</v>
      </c>
      <c r="C44" s="8" t="str">
        <f>IF(A44="","",IFERROR(INDEX(Lists!$C$4:$C$203,MATCH(A44,Lists!$B$4:$B$203,0)),""))</f>
        <v>Cloud &amp; Reliability</v>
      </c>
      <c r="D44" s="8" t="s">
        <v>39</v>
      </c>
      <c r="E44" s="10">
        <v>46134</v>
      </c>
      <c r="F44" s="10">
        <f t="shared" si="0"/>
        <v>47230</v>
      </c>
      <c r="G44" s="8" t="str">
        <f t="shared" ca="1" si="1"/>
        <v>Current</v>
      </c>
      <c r="H44" s="8" t="s">
        <v>22</v>
      </c>
      <c r="I44" s="8" t="s">
        <v>149</v>
      </c>
      <c r="J44" s="4" t="s">
        <v>24</v>
      </c>
      <c r="L44" s="4" t="s">
        <v>150</v>
      </c>
      <c r="M44" s="4"/>
      <c r="N44" s="4"/>
      <c r="O44" s="13"/>
      <c r="P44" s="13"/>
      <c r="Q44" s="4"/>
      <c r="R44" s="4"/>
      <c r="T44" s="1" t="str">
        <f t="shared" ca="1" si="2"/>
        <v/>
      </c>
      <c r="U44" s="1" t="str">
        <f ca="1">IF(T44="","",COUNTIFS($T$4:$T$503,"&gt;0",$T$4:$T$503,"&lt;"&amp;T44)+COUNTIF($T$4:T44,T44))</f>
        <v/>
      </c>
      <c r="V44" s="1" t="str">
        <f t="shared" si="3"/>
        <v>People Ops / Compliance</v>
      </c>
    </row>
    <row r="45" spans="1:22">
      <c r="A45" s="4" t="s">
        <v>151</v>
      </c>
      <c r="B45" s="52" t="str">
        <f>IF(A45="","",IFERROR(INDEX(Lists!$A$4:$A$203,MATCH(A45,Lists!$B$4:$B$203,0)),""))</f>
        <v>D1035</v>
      </c>
      <c r="C45" s="8" t="str">
        <f>IF(A45="","",IFERROR(INDEX(Lists!$C$4:$C$203,MATCH(A45,Lists!$B$4:$B$203,0)),""))</f>
        <v>Cloud &amp; Reliability</v>
      </c>
      <c r="D45" s="8" t="s">
        <v>51</v>
      </c>
      <c r="E45" s="10">
        <v>46084</v>
      </c>
      <c r="F45" s="10">
        <f t="shared" si="0"/>
        <v>46449</v>
      </c>
      <c r="G45" s="8" t="str">
        <f t="shared" ca="1" si="1"/>
        <v>Current</v>
      </c>
      <c r="H45" s="8" t="s">
        <v>52</v>
      </c>
      <c r="I45" s="8" t="s">
        <v>152</v>
      </c>
      <c r="J45" s="4" t="s">
        <v>24</v>
      </c>
      <c r="L45" s="4" t="s">
        <v>153</v>
      </c>
      <c r="M45" s="4"/>
      <c r="N45" s="4"/>
      <c r="O45" s="13"/>
      <c r="P45" s="13"/>
      <c r="Q45" s="4"/>
      <c r="R45" s="4"/>
      <c r="T45" s="1" t="str">
        <f t="shared" ca="1" si="2"/>
        <v/>
      </c>
      <c r="U45" s="1" t="str">
        <f ca="1">IF(T45="","",COUNTIFS($T$4:$T$503,"&gt;0",$T$4:$T$503,"&lt;"&amp;T45)+COUNTIF($T$4:T45,T45))</f>
        <v/>
      </c>
      <c r="V45" s="1" t="str">
        <f t="shared" si="3"/>
        <v>People Ops / Compliance</v>
      </c>
    </row>
    <row r="46" spans="1:22">
      <c r="A46" s="4" t="s">
        <v>154</v>
      </c>
      <c r="B46" s="52" t="str">
        <f>IF(A46="","",IFERROR(INDEX(Lists!$A$4:$A$203,MATCH(A46,Lists!$B$4:$B$203,0)),""))</f>
        <v>D1036</v>
      </c>
      <c r="C46" s="8" t="str">
        <f>IF(A46="","",IFERROR(INDEX(Lists!$C$4:$C$203,MATCH(A46,Lists!$B$4:$B$203,0)),""))</f>
        <v>Cloud &amp; Reliability</v>
      </c>
      <c r="D46" s="8" t="s">
        <v>31</v>
      </c>
      <c r="E46" s="10">
        <v>45912</v>
      </c>
      <c r="F46" s="10">
        <f t="shared" si="0"/>
        <v>46277</v>
      </c>
      <c r="G46" s="8" t="str">
        <f t="shared" ca="1" si="1"/>
        <v>Due Soon</v>
      </c>
      <c r="H46" s="8" t="s">
        <v>34</v>
      </c>
      <c r="I46" s="8" t="s">
        <v>155</v>
      </c>
      <c r="J46" s="4" t="s">
        <v>24</v>
      </c>
      <c r="L46" s="4" t="s">
        <v>156</v>
      </c>
      <c r="M46" s="4"/>
      <c r="N46" s="4"/>
      <c r="O46" s="13"/>
      <c r="P46" s="13"/>
      <c r="Q46" s="4"/>
      <c r="R46" s="4"/>
      <c r="T46" s="1">
        <f t="shared" ca="1" si="2"/>
        <v>2</v>
      </c>
      <c r="U46" s="1">
        <f ca="1">IF(T46="","",COUNTIFS($T$4:$T$503,"&gt;0",$T$4:$T$503,"&lt;"&amp;T46)+COUNTIF($T$4:T46,T46))</f>
        <v>9</v>
      </c>
      <c r="V46" s="1" t="str">
        <f t="shared" si="3"/>
        <v>People Ops / Compliance</v>
      </c>
    </row>
    <row r="47" spans="1:22">
      <c r="A47" s="4" t="s">
        <v>154</v>
      </c>
      <c r="B47" s="52" t="str">
        <f>IF(A47="","",IFERROR(INDEX(Lists!$A$4:$A$203,MATCH(A47,Lists!$B$4:$B$203,0)),""))</f>
        <v>D1036</v>
      </c>
      <c r="C47" s="8" t="str">
        <f>IF(A47="","",IFERROR(INDEX(Lists!$C$4:$C$203,MATCH(A47,Lists!$B$4:$B$203,0)),""))</f>
        <v>Cloud &amp; Reliability</v>
      </c>
      <c r="D47" s="8" t="s">
        <v>21</v>
      </c>
      <c r="E47" s="10">
        <v>45959</v>
      </c>
      <c r="F47" s="10">
        <f t="shared" si="0"/>
        <v>47055</v>
      </c>
      <c r="G47" s="8" t="str">
        <f t="shared" ca="1" si="1"/>
        <v>Current</v>
      </c>
      <c r="H47" s="8" t="s">
        <v>22</v>
      </c>
      <c r="I47" s="8" t="s">
        <v>157</v>
      </c>
      <c r="J47" s="4" t="s">
        <v>24</v>
      </c>
      <c r="L47" s="4" t="s">
        <v>158</v>
      </c>
      <c r="M47" s="4"/>
      <c r="N47" s="4"/>
      <c r="O47" s="13"/>
      <c r="P47" s="13"/>
      <c r="Q47" s="4"/>
      <c r="R47" s="4"/>
      <c r="T47" s="1" t="str">
        <f t="shared" ca="1" si="2"/>
        <v/>
      </c>
      <c r="U47" s="1" t="str">
        <f ca="1">IF(T47="","",COUNTIFS($T$4:$T$503,"&gt;0",$T$4:$T$503,"&lt;"&amp;T47)+COUNTIF($T$4:T47,T47))</f>
        <v/>
      </c>
      <c r="V47" s="1" t="str">
        <f t="shared" si="3"/>
        <v>People Ops / Compliance</v>
      </c>
    </row>
    <row r="48" spans="1:22">
      <c r="A48" s="4"/>
      <c r="B48" s="52" t="str">
        <f>IF(A48="","",IFERROR(INDEX(Lists!$A$4:$A$203,MATCH(A48,Lists!$B$4:$B$203,0)),""))</f>
        <v/>
      </c>
      <c r="C48" s="8" t="str">
        <f>IF(A48="","",IFERROR(INDEX(Lists!$C$4:$C$203,MATCH(A48,Lists!$B$4:$B$203,0)),""))</f>
        <v/>
      </c>
      <c r="D48" s="8"/>
      <c r="E48" s="10"/>
      <c r="F48" s="10" t="str">
        <f t="shared" si="0"/>
        <v/>
      </c>
      <c r="G48" s="8" t="str">
        <f t="shared" ca="1" si="1"/>
        <v/>
      </c>
      <c r="H48" s="8"/>
      <c r="I48" s="8"/>
      <c r="J48" s="4"/>
      <c r="L48" s="4"/>
      <c r="M48" s="4"/>
      <c r="N48" s="4"/>
      <c r="O48" s="13"/>
      <c r="P48" s="13"/>
      <c r="Q48" s="4"/>
      <c r="R48" s="4"/>
      <c r="T48" s="1" t="str">
        <f t="shared" ca="1" si="2"/>
        <v/>
      </c>
      <c r="U48" s="1" t="str">
        <f ca="1">IF(T48="","",COUNTIFS($T$4:$T$503,"&gt;0",$T$4:$T$503,"&lt;"&amp;T48)+COUNTIF($T$4:T48,T48))</f>
        <v/>
      </c>
      <c r="V48" s="1" t="str">
        <f t="shared" si="3"/>
        <v/>
      </c>
    </row>
    <row r="49" spans="1:22">
      <c r="A49" s="4"/>
      <c r="B49" s="52" t="str">
        <f>IF(A49="","",IFERROR(INDEX(Lists!$A$4:$A$203,MATCH(A49,Lists!$B$4:$B$203,0)),""))</f>
        <v/>
      </c>
      <c r="C49" s="8" t="str">
        <f>IF(A49="","",IFERROR(INDEX(Lists!$C$4:$C$203,MATCH(A49,Lists!$B$4:$B$203,0)),""))</f>
        <v/>
      </c>
      <c r="D49" s="8"/>
      <c r="E49" s="10"/>
      <c r="F49" s="10" t="str">
        <f t="shared" si="0"/>
        <v/>
      </c>
      <c r="G49" s="8" t="str">
        <f t="shared" ca="1" si="1"/>
        <v/>
      </c>
      <c r="H49" s="8"/>
      <c r="I49" s="8"/>
      <c r="J49" s="4"/>
      <c r="L49" s="4"/>
      <c r="M49" s="4"/>
      <c r="N49" s="4"/>
      <c r="O49" s="13"/>
      <c r="P49" s="13"/>
      <c r="Q49" s="4"/>
      <c r="R49" s="4"/>
      <c r="T49" s="1" t="str">
        <f t="shared" ca="1" si="2"/>
        <v/>
      </c>
      <c r="U49" s="1" t="str">
        <f ca="1">IF(T49="","",COUNTIFS($T$4:$T$503,"&gt;0",$T$4:$T$503,"&lt;"&amp;T49)+COUNTIF($T$4:T49,T49))</f>
        <v/>
      </c>
      <c r="V49" s="1" t="str">
        <f t="shared" si="3"/>
        <v/>
      </c>
    </row>
    <row r="50" spans="1:22">
      <c r="A50" s="4"/>
      <c r="B50" s="52" t="str">
        <f>IF(A50="","",IFERROR(INDEX(Lists!$A$4:$A$203,MATCH(A50,Lists!$B$4:$B$203,0)),""))</f>
        <v/>
      </c>
      <c r="C50" s="8" t="str">
        <f>IF(A50="","",IFERROR(INDEX(Lists!$C$4:$C$203,MATCH(A50,Lists!$B$4:$B$203,0)),""))</f>
        <v/>
      </c>
      <c r="D50" s="8"/>
      <c r="E50" s="10"/>
      <c r="F50" s="10" t="str">
        <f t="shared" si="0"/>
        <v/>
      </c>
      <c r="G50" s="8" t="str">
        <f t="shared" ca="1" si="1"/>
        <v/>
      </c>
      <c r="H50" s="8"/>
      <c r="I50" s="8"/>
      <c r="J50" s="4"/>
      <c r="L50" s="4"/>
      <c r="M50" s="4"/>
      <c r="N50" s="4"/>
      <c r="O50" s="13"/>
      <c r="P50" s="13"/>
      <c r="Q50" s="4"/>
      <c r="R50" s="4"/>
      <c r="T50" s="1" t="str">
        <f t="shared" ca="1" si="2"/>
        <v/>
      </c>
      <c r="U50" s="1" t="str">
        <f ca="1">IF(T50="","",COUNTIFS($T$4:$T$503,"&gt;0",$T$4:$T$503,"&lt;"&amp;T50)+COUNTIF($T$4:T50,T50))</f>
        <v/>
      </c>
      <c r="V50" s="1" t="str">
        <f t="shared" si="3"/>
        <v/>
      </c>
    </row>
    <row r="51" spans="1:22">
      <c r="A51" s="4"/>
      <c r="B51" s="52" t="str">
        <f>IF(A51="","",IFERROR(INDEX(Lists!$A$4:$A$203,MATCH(A51,Lists!$B$4:$B$203,0)),""))</f>
        <v/>
      </c>
      <c r="C51" s="8" t="str">
        <f>IF(A51="","",IFERROR(INDEX(Lists!$C$4:$C$203,MATCH(A51,Lists!$B$4:$B$203,0)),""))</f>
        <v/>
      </c>
      <c r="D51" s="8"/>
      <c r="E51" s="10"/>
      <c r="F51" s="10" t="str">
        <f t="shared" si="0"/>
        <v/>
      </c>
      <c r="G51" s="8" t="str">
        <f t="shared" ca="1" si="1"/>
        <v/>
      </c>
      <c r="H51" s="8"/>
      <c r="I51" s="8"/>
      <c r="J51" s="4"/>
      <c r="L51" s="4"/>
      <c r="M51" s="4"/>
      <c r="N51" s="4"/>
      <c r="O51" s="13"/>
      <c r="P51" s="13"/>
      <c r="Q51" s="4"/>
      <c r="R51" s="4"/>
      <c r="T51" s="1" t="str">
        <f t="shared" ca="1" si="2"/>
        <v/>
      </c>
      <c r="U51" s="1" t="str">
        <f ca="1">IF(T51="","",COUNTIFS($T$4:$T$503,"&gt;0",$T$4:$T$503,"&lt;"&amp;T51)+COUNTIF($T$4:T51,T51))</f>
        <v/>
      </c>
      <c r="V51" s="1" t="str">
        <f t="shared" si="3"/>
        <v/>
      </c>
    </row>
    <row r="52" spans="1:22">
      <c r="A52" s="4"/>
      <c r="B52" s="52" t="str">
        <f>IF(A52="","",IFERROR(INDEX(Lists!$A$4:$A$203,MATCH(A52,Lists!$B$4:$B$203,0)),""))</f>
        <v/>
      </c>
      <c r="C52" s="8" t="str">
        <f>IF(A52="","",IFERROR(INDEX(Lists!$C$4:$C$203,MATCH(A52,Lists!$B$4:$B$203,0)),""))</f>
        <v/>
      </c>
      <c r="D52" s="8"/>
      <c r="E52" s="10"/>
      <c r="F52" s="10" t="str">
        <f t="shared" si="0"/>
        <v/>
      </c>
      <c r="G52" s="8" t="str">
        <f t="shared" ca="1" si="1"/>
        <v/>
      </c>
      <c r="H52" s="8"/>
      <c r="I52" s="8"/>
      <c r="J52" s="4"/>
      <c r="L52" s="4"/>
      <c r="M52" s="4"/>
      <c r="N52" s="4"/>
      <c r="O52" s="13"/>
      <c r="P52" s="13"/>
      <c r="Q52" s="4"/>
      <c r="R52" s="4"/>
      <c r="T52" s="1" t="str">
        <f t="shared" ca="1" si="2"/>
        <v/>
      </c>
      <c r="U52" s="1" t="str">
        <f ca="1">IF(T52="","",COUNTIFS($T$4:$T$503,"&gt;0",$T$4:$T$503,"&lt;"&amp;T52)+COUNTIF($T$4:T52,T52))</f>
        <v/>
      </c>
      <c r="V52" s="1" t="str">
        <f t="shared" si="3"/>
        <v/>
      </c>
    </row>
    <row r="53" spans="1:22">
      <c r="A53" s="4"/>
      <c r="B53" s="52" t="str">
        <f>IF(A53="","",IFERROR(INDEX(Lists!$A$4:$A$203,MATCH(A53,Lists!$B$4:$B$203,0)),""))</f>
        <v/>
      </c>
      <c r="C53" s="8" t="str">
        <f>IF(A53="","",IFERROR(INDEX(Lists!$C$4:$C$203,MATCH(A53,Lists!$B$4:$B$203,0)),""))</f>
        <v/>
      </c>
      <c r="D53" s="8"/>
      <c r="E53" s="10"/>
      <c r="F53" s="10" t="str">
        <f t="shared" si="0"/>
        <v/>
      </c>
      <c r="G53" s="8" t="str">
        <f t="shared" ca="1" si="1"/>
        <v/>
      </c>
      <c r="H53" s="8"/>
      <c r="I53" s="8"/>
      <c r="J53" s="4"/>
      <c r="L53" s="4"/>
      <c r="M53" s="4"/>
      <c r="N53" s="4"/>
      <c r="O53" s="13"/>
      <c r="P53" s="13"/>
      <c r="Q53" s="4"/>
      <c r="R53" s="4"/>
      <c r="T53" s="1" t="str">
        <f t="shared" ca="1" si="2"/>
        <v/>
      </c>
      <c r="U53" s="1" t="str">
        <f ca="1">IF(T53="","",COUNTIFS($T$4:$T$503,"&gt;0",$T$4:$T$503,"&lt;"&amp;T53)+COUNTIF($T$4:T53,T53))</f>
        <v/>
      </c>
      <c r="V53" s="1" t="str">
        <f t="shared" si="3"/>
        <v/>
      </c>
    </row>
    <row r="54" spans="1:22">
      <c r="A54" s="4"/>
      <c r="B54" s="52" t="str">
        <f>IF(A54="","",IFERROR(INDEX(Lists!$A$4:$A$203,MATCH(A54,Lists!$B$4:$B$203,0)),""))</f>
        <v/>
      </c>
      <c r="C54" s="8" t="str">
        <f>IF(A54="","",IFERROR(INDEX(Lists!$C$4:$C$203,MATCH(A54,Lists!$B$4:$B$203,0)),""))</f>
        <v/>
      </c>
      <c r="D54" s="8"/>
      <c r="E54" s="10"/>
      <c r="F54" s="10" t="str">
        <f t="shared" si="0"/>
        <v/>
      </c>
      <c r="G54" s="8" t="str">
        <f t="shared" ca="1" si="1"/>
        <v/>
      </c>
      <c r="H54" s="8"/>
      <c r="I54" s="8"/>
      <c r="J54" s="4"/>
      <c r="L54" s="4"/>
      <c r="M54" s="4"/>
      <c r="N54" s="4"/>
      <c r="O54" s="13"/>
      <c r="P54" s="13"/>
      <c r="Q54" s="4"/>
      <c r="R54" s="4"/>
      <c r="T54" s="1" t="str">
        <f t="shared" ca="1" si="2"/>
        <v/>
      </c>
      <c r="U54" s="1" t="str">
        <f ca="1">IF(T54="","",COUNTIFS($T$4:$T$503,"&gt;0",$T$4:$T$503,"&lt;"&amp;T54)+COUNTIF($T$4:T54,T54))</f>
        <v/>
      </c>
      <c r="V54" s="1" t="str">
        <f t="shared" si="3"/>
        <v/>
      </c>
    </row>
    <row r="55" spans="1:22">
      <c r="A55" s="4"/>
      <c r="B55" s="52" t="str">
        <f>IF(A55="","",IFERROR(INDEX(Lists!$A$4:$A$203,MATCH(A55,Lists!$B$4:$B$203,0)),""))</f>
        <v/>
      </c>
      <c r="C55" s="8" t="str">
        <f>IF(A55="","",IFERROR(INDEX(Lists!$C$4:$C$203,MATCH(A55,Lists!$B$4:$B$203,0)),""))</f>
        <v/>
      </c>
      <c r="D55" s="8"/>
      <c r="E55" s="10"/>
      <c r="F55" s="10" t="str">
        <f t="shared" si="0"/>
        <v/>
      </c>
      <c r="G55" s="8" t="str">
        <f t="shared" ca="1" si="1"/>
        <v/>
      </c>
      <c r="H55" s="8"/>
      <c r="I55" s="8"/>
      <c r="J55" s="4"/>
      <c r="L55" s="4"/>
      <c r="M55" s="4"/>
      <c r="N55" s="4"/>
      <c r="O55" s="13"/>
      <c r="P55" s="13"/>
      <c r="Q55" s="4"/>
      <c r="R55" s="4"/>
      <c r="T55" s="1" t="str">
        <f t="shared" ca="1" si="2"/>
        <v/>
      </c>
      <c r="U55" s="1" t="str">
        <f ca="1">IF(T55="","",COUNTIFS($T$4:$T$503,"&gt;0",$T$4:$T$503,"&lt;"&amp;T55)+COUNTIF($T$4:T55,T55))</f>
        <v/>
      </c>
      <c r="V55" s="1" t="str">
        <f t="shared" si="3"/>
        <v/>
      </c>
    </row>
    <row r="56" spans="1:22">
      <c r="A56" s="4"/>
      <c r="B56" s="52" t="str">
        <f>IF(A56="","",IFERROR(INDEX(Lists!$A$4:$A$203,MATCH(A56,Lists!$B$4:$B$203,0)),""))</f>
        <v/>
      </c>
      <c r="C56" s="8" t="str">
        <f>IF(A56="","",IFERROR(INDEX(Lists!$C$4:$C$203,MATCH(A56,Lists!$B$4:$B$203,0)),""))</f>
        <v/>
      </c>
      <c r="D56" s="8"/>
      <c r="E56" s="10"/>
      <c r="F56" s="10" t="str">
        <f t="shared" si="0"/>
        <v/>
      </c>
      <c r="G56" s="8" t="str">
        <f t="shared" ca="1" si="1"/>
        <v/>
      </c>
      <c r="H56" s="8"/>
      <c r="I56" s="8"/>
      <c r="J56" s="4"/>
      <c r="L56" s="4"/>
      <c r="M56" s="4"/>
      <c r="N56" s="4"/>
      <c r="O56" s="13"/>
      <c r="P56" s="13"/>
      <c r="Q56" s="4"/>
      <c r="R56" s="4"/>
      <c r="T56" s="1" t="str">
        <f t="shared" ca="1" si="2"/>
        <v/>
      </c>
      <c r="U56" s="1" t="str">
        <f ca="1">IF(T56="","",COUNTIFS($T$4:$T$503,"&gt;0",$T$4:$T$503,"&lt;"&amp;T56)+COUNTIF($T$4:T56,T56))</f>
        <v/>
      </c>
      <c r="V56" s="1" t="str">
        <f t="shared" si="3"/>
        <v/>
      </c>
    </row>
    <row r="57" spans="1:22">
      <c r="A57" s="4"/>
      <c r="B57" s="52" t="str">
        <f>IF(A57="","",IFERROR(INDEX(Lists!$A$4:$A$203,MATCH(A57,Lists!$B$4:$B$203,0)),""))</f>
        <v/>
      </c>
      <c r="C57" s="8" t="str">
        <f>IF(A57="","",IFERROR(INDEX(Lists!$C$4:$C$203,MATCH(A57,Lists!$B$4:$B$203,0)),""))</f>
        <v/>
      </c>
      <c r="D57" s="8"/>
      <c r="E57" s="10"/>
      <c r="F57" s="10" t="str">
        <f t="shared" si="0"/>
        <v/>
      </c>
      <c r="G57" s="8" t="str">
        <f t="shared" ca="1" si="1"/>
        <v/>
      </c>
      <c r="H57" s="8"/>
      <c r="I57" s="8"/>
      <c r="J57" s="4"/>
      <c r="L57" s="4"/>
      <c r="M57" s="4"/>
      <c r="N57" s="4"/>
      <c r="O57" s="13"/>
      <c r="P57" s="13"/>
      <c r="Q57" s="4"/>
      <c r="R57" s="4"/>
      <c r="T57" s="1" t="str">
        <f t="shared" ca="1" si="2"/>
        <v/>
      </c>
      <c r="U57" s="1" t="str">
        <f ca="1">IF(T57="","",COUNTIFS($T$4:$T$503,"&gt;0",$T$4:$T$503,"&lt;"&amp;T57)+COUNTIF($T$4:T57,T57))</f>
        <v/>
      </c>
      <c r="V57" s="1" t="str">
        <f t="shared" si="3"/>
        <v/>
      </c>
    </row>
    <row r="58" spans="1:22">
      <c r="A58" s="4"/>
      <c r="B58" s="52" t="str">
        <f>IF(A58="","",IFERROR(INDEX(Lists!$A$4:$A$203,MATCH(A58,Lists!$B$4:$B$203,0)),""))</f>
        <v/>
      </c>
      <c r="C58" s="8" t="str">
        <f>IF(A58="","",IFERROR(INDEX(Lists!$C$4:$C$203,MATCH(A58,Lists!$B$4:$B$203,0)),""))</f>
        <v/>
      </c>
      <c r="D58" s="8"/>
      <c r="E58" s="10"/>
      <c r="F58" s="10" t="str">
        <f t="shared" si="0"/>
        <v/>
      </c>
      <c r="G58" s="8" t="str">
        <f t="shared" ca="1" si="1"/>
        <v/>
      </c>
      <c r="H58" s="8"/>
      <c r="I58" s="8"/>
      <c r="J58" s="4"/>
      <c r="L58" s="4"/>
      <c r="M58" s="4"/>
      <c r="N58" s="4"/>
      <c r="O58" s="13"/>
      <c r="P58" s="13"/>
      <c r="Q58" s="4"/>
      <c r="R58" s="4"/>
      <c r="T58" s="1" t="str">
        <f t="shared" ca="1" si="2"/>
        <v/>
      </c>
      <c r="U58" s="1" t="str">
        <f ca="1">IF(T58="","",COUNTIFS($T$4:$T$503,"&gt;0",$T$4:$T$503,"&lt;"&amp;T58)+COUNTIF($T$4:T58,T58))</f>
        <v/>
      </c>
      <c r="V58" s="1" t="str">
        <f t="shared" si="3"/>
        <v/>
      </c>
    </row>
    <row r="59" spans="1:22">
      <c r="A59" s="4"/>
      <c r="B59" s="52" t="str">
        <f>IF(A59="","",IFERROR(INDEX(Lists!$A$4:$A$203,MATCH(A59,Lists!$B$4:$B$203,0)),""))</f>
        <v/>
      </c>
      <c r="C59" s="8" t="str">
        <f>IF(A59="","",IFERROR(INDEX(Lists!$C$4:$C$203,MATCH(A59,Lists!$B$4:$B$203,0)),""))</f>
        <v/>
      </c>
      <c r="D59" s="8"/>
      <c r="E59" s="10"/>
      <c r="F59" s="10" t="str">
        <f t="shared" si="0"/>
        <v/>
      </c>
      <c r="G59" s="8" t="str">
        <f t="shared" ca="1" si="1"/>
        <v/>
      </c>
      <c r="H59" s="8"/>
      <c r="I59" s="8"/>
      <c r="J59" s="4"/>
      <c r="L59" s="4"/>
      <c r="M59" s="4"/>
      <c r="N59" s="4"/>
      <c r="O59" s="13"/>
      <c r="P59" s="13"/>
      <c r="Q59" s="4"/>
      <c r="R59" s="4"/>
      <c r="T59" s="1" t="str">
        <f t="shared" ca="1" si="2"/>
        <v/>
      </c>
      <c r="U59" s="1" t="str">
        <f ca="1">IF(T59="","",COUNTIFS($T$4:$T$503,"&gt;0",$T$4:$T$503,"&lt;"&amp;T59)+COUNTIF($T$4:T59,T59))</f>
        <v/>
      </c>
      <c r="V59" s="1" t="str">
        <f t="shared" si="3"/>
        <v/>
      </c>
    </row>
    <row r="60" spans="1:22">
      <c r="A60" s="4"/>
      <c r="B60" s="52" t="str">
        <f>IF(A60="","",IFERROR(INDEX(Lists!$A$4:$A$203,MATCH(A60,Lists!$B$4:$B$203,0)),""))</f>
        <v/>
      </c>
      <c r="C60" s="8" t="str">
        <f>IF(A60="","",IFERROR(INDEX(Lists!$C$4:$C$203,MATCH(A60,Lists!$B$4:$B$203,0)),""))</f>
        <v/>
      </c>
      <c r="D60" s="8"/>
      <c r="E60" s="10"/>
      <c r="F60" s="10" t="str">
        <f t="shared" si="0"/>
        <v/>
      </c>
      <c r="G60" s="8" t="str">
        <f t="shared" ca="1" si="1"/>
        <v/>
      </c>
      <c r="H60" s="8"/>
      <c r="I60" s="8"/>
      <c r="J60" s="4"/>
      <c r="L60" s="4"/>
      <c r="M60" s="4"/>
      <c r="N60" s="4"/>
      <c r="O60" s="13"/>
      <c r="P60" s="13"/>
      <c r="Q60" s="4"/>
      <c r="R60" s="4"/>
      <c r="T60" s="1" t="str">
        <f t="shared" ca="1" si="2"/>
        <v/>
      </c>
      <c r="U60" s="1" t="str">
        <f ca="1">IF(T60="","",COUNTIFS($T$4:$T$503,"&gt;0",$T$4:$T$503,"&lt;"&amp;T60)+COUNTIF($T$4:T60,T60))</f>
        <v/>
      </c>
      <c r="V60" s="1" t="str">
        <f t="shared" si="3"/>
        <v/>
      </c>
    </row>
    <row r="61" spans="1:22">
      <c r="A61" s="4"/>
      <c r="B61" s="52" t="str">
        <f>IF(A61="","",IFERROR(INDEX(Lists!$A$4:$A$203,MATCH(A61,Lists!$B$4:$B$203,0)),""))</f>
        <v/>
      </c>
      <c r="C61" s="8" t="str">
        <f>IF(A61="","",IFERROR(INDEX(Lists!$C$4:$C$203,MATCH(A61,Lists!$B$4:$B$203,0)),""))</f>
        <v/>
      </c>
      <c r="D61" s="8"/>
      <c r="E61" s="10"/>
      <c r="F61" s="10" t="str">
        <f t="shared" si="0"/>
        <v/>
      </c>
      <c r="G61" s="8" t="str">
        <f t="shared" ca="1" si="1"/>
        <v/>
      </c>
      <c r="H61" s="8"/>
      <c r="I61" s="8"/>
      <c r="J61" s="4"/>
      <c r="L61" s="4"/>
      <c r="M61" s="4"/>
      <c r="N61" s="4"/>
      <c r="O61" s="13"/>
      <c r="P61" s="13"/>
      <c r="Q61" s="4"/>
      <c r="R61" s="4"/>
      <c r="T61" s="1" t="str">
        <f t="shared" ca="1" si="2"/>
        <v/>
      </c>
      <c r="U61" s="1" t="str">
        <f ca="1">IF(T61="","",COUNTIFS($T$4:$T$503,"&gt;0",$T$4:$T$503,"&lt;"&amp;T61)+COUNTIF($T$4:T61,T61))</f>
        <v/>
      </c>
      <c r="V61" s="1" t="str">
        <f t="shared" si="3"/>
        <v/>
      </c>
    </row>
    <row r="62" spans="1:22">
      <c r="A62" s="4"/>
      <c r="B62" s="52" t="str">
        <f>IF(A62="","",IFERROR(INDEX(Lists!$A$4:$A$203,MATCH(A62,Lists!$B$4:$B$203,0)),""))</f>
        <v/>
      </c>
      <c r="C62" s="8" t="str">
        <f>IF(A62="","",IFERROR(INDEX(Lists!$C$4:$C$203,MATCH(A62,Lists!$B$4:$B$203,0)),""))</f>
        <v/>
      </c>
      <c r="D62" s="8"/>
      <c r="E62" s="10"/>
      <c r="F62" s="10" t="str">
        <f t="shared" si="0"/>
        <v/>
      </c>
      <c r="G62" s="8" t="str">
        <f t="shared" ca="1" si="1"/>
        <v/>
      </c>
      <c r="H62" s="8"/>
      <c r="I62" s="8"/>
      <c r="J62" s="4"/>
      <c r="L62" s="4"/>
      <c r="M62" s="4"/>
      <c r="N62" s="4"/>
      <c r="O62" s="13"/>
      <c r="P62" s="13"/>
      <c r="Q62" s="4"/>
      <c r="R62" s="4"/>
      <c r="T62" s="1" t="str">
        <f t="shared" ca="1" si="2"/>
        <v/>
      </c>
      <c r="U62" s="1" t="str">
        <f ca="1">IF(T62="","",COUNTIFS($T$4:$T$503,"&gt;0",$T$4:$T$503,"&lt;"&amp;T62)+COUNTIF($T$4:T62,T62))</f>
        <v/>
      </c>
      <c r="V62" s="1" t="str">
        <f t="shared" si="3"/>
        <v/>
      </c>
    </row>
    <row r="63" spans="1:22">
      <c r="A63" s="4"/>
      <c r="B63" s="52" t="str">
        <f>IF(A63="","",IFERROR(INDEX(Lists!$A$4:$A$203,MATCH(A63,Lists!$B$4:$B$203,0)),""))</f>
        <v/>
      </c>
      <c r="C63" s="8" t="str">
        <f>IF(A63="","",IFERROR(INDEX(Lists!$C$4:$C$203,MATCH(A63,Lists!$B$4:$B$203,0)),""))</f>
        <v/>
      </c>
      <c r="D63" s="8"/>
      <c r="E63" s="10"/>
      <c r="F63" s="10" t="str">
        <f t="shared" si="0"/>
        <v/>
      </c>
      <c r="G63" s="8" t="str">
        <f t="shared" ca="1" si="1"/>
        <v/>
      </c>
      <c r="H63" s="8"/>
      <c r="I63" s="8"/>
      <c r="J63" s="4"/>
      <c r="L63" s="4"/>
      <c r="M63" s="4"/>
      <c r="N63" s="4"/>
      <c r="O63" s="13"/>
      <c r="P63" s="13"/>
      <c r="Q63" s="4"/>
      <c r="R63" s="4"/>
      <c r="T63" s="1" t="str">
        <f t="shared" ca="1" si="2"/>
        <v/>
      </c>
      <c r="U63" s="1" t="str">
        <f ca="1">IF(T63="","",COUNTIFS($T$4:$T$503,"&gt;0",$T$4:$T$503,"&lt;"&amp;T63)+COUNTIF($T$4:T63,T63))</f>
        <v/>
      </c>
      <c r="V63" s="1" t="str">
        <f t="shared" si="3"/>
        <v/>
      </c>
    </row>
    <row r="64" spans="1:22">
      <c r="A64" s="4"/>
      <c r="B64" s="52" t="str">
        <f>IF(A64="","",IFERROR(INDEX(Lists!$A$4:$A$203,MATCH(A64,Lists!$B$4:$B$203,0)),""))</f>
        <v/>
      </c>
      <c r="C64" s="8" t="str">
        <f>IF(A64="","",IFERROR(INDEX(Lists!$C$4:$C$203,MATCH(A64,Lists!$B$4:$B$203,0)),""))</f>
        <v/>
      </c>
      <c r="D64" s="8"/>
      <c r="E64" s="10"/>
      <c r="F64" s="10" t="str">
        <f t="shared" si="0"/>
        <v/>
      </c>
      <c r="G64" s="8" t="str">
        <f t="shared" ca="1" si="1"/>
        <v/>
      </c>
      <c r="H64" s="8"/>
      <c r="I64" s="8"/>
      <c r="J64" s="4"/>
      <c r="T64" s="1" t="str">
        <f t="shared" ca="1" si="2"/>
        <v/>
      </c>
      <c r="U64" s="1" t="str">
        <f ca="1">IF(T64="","",COUNTIFS($T$4:$T$503,"&gt;0",$T$4:$T$503,"&lt;"&amp;T64)+COUNTIF($T$4:T64,T64))</f>
        <v/>
      </c>
      <c r="V64" s="1" t="str">
        <f t="shared" si="3"/>
        <v/>
      </c>
    </row>
    <row r="65" spans="1:22">
      <c r="A65" s="4"/>
      <c r="B65" s="52" t="str">
        <f>IF(A65="","",IFERROR(INDEX(Lists!$A$4:$A$203,MATCH(A65,Lists!$B$4:$B$203,0)),""))</f>
        <v/>
      </c>
      <c r="C65" s="8" t="str">
        <f>IF(A65="","",IFERROR(INDEX(Lists!$C$4:$C$203,MATCH(A65,Lists!$B$4:$B$203,0)),""))</f>
        <v/>
      </c>
      <c r="D65" s="8"/>
      <c r="E65" s="10"/>
      <c r="F65" s="10" t="str">
        <f t="shared" si="0"/>
        <v/>
      </c>
      <c r="G65" s="8" t="str">
        <f t="shared" ca="1" si="1"/>
        <v/>
      </c>
      <c r="H65" s="8"/>
      <c r="I65" s="8"/>
      <c r="J65" s="4"/>
      <c r="T65" s="1" t="str">
        <f t="shared" ca="1" si="2"/>
        <v/>
      </c>
      <c r="U65" s="1" t="str">
        <f ca="1">IF(T65="","",COUNTIFS($T$4:$T$503,"&gt;0",$T$4:$T$503,"&lt;"&amp;T65)+COUNTIF($T$4:T65,T65))</f>
        <v/>
      </c>
      <c r="V65" s="1" t="str">
        <f t="shared" si="3"/>
        <v/>
      </c>
    </row>
    <row r="66" spans="1:22">
      <c r="A66" s="4"/>
      <c r="B66" s="52" t="str">
        <f>IF(A66="","",IFERROR(INDEX(Lists!$A$4:$A$203,MATCH(A66,Lists!$B$4:$B$203,0)),""))</f>
        <v/>
      </c>
      <c r="C66" s="8" t="str">
        <f>IF(A66="","",IFERROR(INDEX(Lists!$C$4:$C$203,MATCH(A66,Lists!$B$4:$B$203,0)),""))</f>
        <v/>
      </c>
      <c r="D66" s="8"/>
      <c r="E66" s="10"/>
      <c r="F66" s="10" t="str">
        <f t="shared" si="0"/>
        <v/>
      </c>
      <c r="G66" s="8" t="str">
        <f t="shared" ca="1" si="1"/>
        <v/>
      </c>
      <c r="H66" s="8"/>
      <c r="I66" s="8"/>
      <c r="J66" s="4"/>
      <c r="T66" s="1" t="str">
        <f t="shared" ca="1" si="2"/>
        <v/>
      </c>
      <c r="U66" s="1" t="str">
        <f ca="1">IF(T66="","",COUNTIFS($T$4:$T$503,"&gt;0",$T$4:$T$503,"&lt;"&amp;T66)+COUNTIF($T$4:T66,T66))</f>
        <v/>
      </c>
      <c r="V66" s="1" t="str">
        <f t="shared" si="3"/>
        <v/>
      </c>
    </row>
    <row r="67" spans="1:22">
      <c r="A67" s="4"/>
      <c r="B67" s="52" t="str">
        <f>IF(A67="","",IFERROR(INDEX(Lists!$A$4:$A$203,MATCH(A67,Lists!$B$4:$B$203,0)),""))</f>
        <v/>
      </c>
      <c r="C67" s="8" t="str">
        <f>IF(A67="","",IFERROR(INDEX(Lists!$C$4:$C$203,MATCH(A67,Lists!$B$4:$B$203,0)),""))</f>
        <v/>
      </c>
      <c r="D67" s="8"/>
      <c r="E67" s="10"/>
      <c r="F67" s="10" t="str">
        <f t="shared" si="0"/>
        <v/>
      </c>
      <c r="G67" s="8" t="str">
        <f t="shared" ca="1" si="1"/>
        <v/>
      </c>
      <c r="H67" s="8"/>
      <c r="I67" s="8"/>
      <c r="J67" s="4"/>
      <c r="T67" s="1" t="str">
        <f t="shared" ca="1" si="2"/>
        <v/>
      </c>
      <c r="U67" s="1" t="str">
        <f ca="1">IF(T67="","",COUNTIFS($T$4:$T$503,"&gt;0",$T$4:$T$503,"&lt;"&amp;T67)+COUNTIF($T$4:T67,T67))</f>
        <v/>
      </c>
      <c r="V67" s="1" t="str">
        <f t="shared" si="3"/>
        <v/>
      </c>
    </row>
    <row r="68" spans="1:22">
      <c r="A68" s="4"/>
      <c r="B68" s="52" t="str">
        <f>IF(A68="","",IFERROR(INDEX(Lists!$A$4:$A$203,MATCH(A68,Lists!$B$4:$B$203,0)),""))</f>
        <v/>
      </c>
      <c r="C68" s="8" t="str">
        <f>IF(A68="","",IFERROR(INDEX(Lists!$C$4:$C$203,MATCH(A68,Lists!$B$4:$B$203,0)),""))</f>
        <v/>
      </c>
      <c r="D68" s="8"/>
      <c r="E68" s="10"/>
      <c r="F68" s="10" t="str">
        <f t="shared" ref="F68:F131" si="4">IF(OR(A68="",D68="",E68=""),"",IFERROR(EDATE(E68,INDEX($O$4:$O$63,MATCH(D68,$M$4:$M$63,0))),""))</f>
        <v/>
      </c>
      <c r="G68" s="8" t="str">
        <f t="shared" ref="G68:G131" ca="1" si="5">IF(A68="","",IF(D68="","Missing Certification",IF(F68="","Missing Date",IF(F68&lt;TODAY(),"Expired",IF(F68&lt;=TODAY()+IFERROR(INDEX($P$4:$P$63,MATCH(D68,$M$4:$M$63,0)),30),"Due Soon","Current")))))</f>
        <v/>
      </c>
      <c r="H68" s="8"/>
      <c r="I68" s="8"/>
      <c r="J68" s="4"/>
      <c r="T68" s="1" t="str">
        <f t="shared" ref="T68:T131" ca="1" si="6">IF(G68="Expired",1,IF(G68="Due Soon",2,IF(OR(G68="Missing Date",G68="Missing Certification"),3,"")))</f>
        <v/>
      </c>
      <c r="U68" s="1" t="str">
        <f ca="1">IF(T68="","",COUNTIFS($T$4:$T$503,"&gt;0",$T$4:$T$503,"&lt;"&amp;T68)+COUNTIF($T$4:T68,T68))</f>
        <v/>
      </c>
      <c r="V68" s="1" t="str">
        <f t="shared" ref="V68:V131" si="7">IFERROR(INDEX($N$4:$N$63,MATCH(D68,$M$4:$M$63,0)),"")</f>
        <v/>
      </c>
    </row>
    <row r="69" spans="1:22">
      <c r="A69" s="4"/>
      <c r="B69" s="52" t="str">
        <f>IF(A69="","",IFERROR(INDEX(Lists!$A$4:$A$203,MATCH(A69,Lists!$B$4:$B$203,0)),""))</f>
        <v/>
      </c>
      <c r="C69" s="8" t="str">
        <f>IF(A69="","",IFERROR(INDEX(Lists!$C$4:$C$203,MATCH(A69,Lists!$B$4:$B$203,0)),""))</f>
        <v/>
      </c>
      <c r="D69" s="8"/>
      <c r="E69" s="10"/>
      <c r="F69" s="10" t="str">
        <f t="shared" si="4"/>
        <v/>
      </c>
      <c r="G69" s="8" t="str">
        <f t="shared" ca="1" si="5"/>
        <v/>
      </c>
      <c r="H69" s="8"/>
      <c r="I69" s="8"/>
      <c r="J69" s="4"/>
      <c r="T69" s="1" t="str">
        <f t="shared" ca="1" si="6"/>
        <v/>
      </c>
      <c r="U69" s="1" t="str">
        <f ca="1">IF(T69="","",COUNTIFS($T$4:$T$503,"&gt;0",$T$4:$T$503,"&lt;"&amp;T69)+COUNTIF($T$4:T69,T69))</f>
        <v/>
      </c>
      <c r="V69" s="1" t="str">
        <f t="shared" si="7"/>
        <v/>
      </c>
    </row>
    <row r="70" spans="1:22">
      <c r="A70" s="4"/>
      <c r="B70" s="52" t="str">
        <f>IF(A70="","",IFERROR(INDEX(Lists!$A$4:$A$203,MATCH(A70,Lists!$B$4:$B$203,0)),""))</f>
        <v/>
      </c>
      <c r="C70" s="8" t="str">
        <f>IF(A70="","",IFERROR(INDEX(Lists!$C$4:$C$203,MATCH(A70,Lists!$B$4:$B$203,0)),""))</f>
        <v/>
      </c>
      <c r="D70" s="8"/>
      <c r="E70" s="10"/>
      <c r="F70" s="10" t="str">
        <f t="shared" si="4"/>
        <v/>
      </c>
      <c r="G70" s="8" t="str">
        <f t="shared" ca="1" si="5"/>
        <v/>
      </c>
      <c r="H70" s="8"/>
      <c r="I70" s="8"/>
      <c r="J70" s="4"/>
      <c r="T70" s="1" t="str">
        <f t="shared" ca="1" si="6"/>
        <v/>
      </c>
      <c r="U70" s="1" t="str">
        <f ca="1">IF(T70="","",COUNTIFS($T$4:$T$503,"&gt;0",$T$4:$T$503,"&lt;"&amp;T70)+COUNTIF($T$4:T70,T70))</f>
        <v/>
      </c>
      <c r="V70" s="1" t="str">
        <f t="shared" si="7"/>
        <v/>
      </c>
    </row>
    <row r="71" spans="1:22">
      <c r="A71" s="4"/>
      <c r="B71" s="52" t="str">
        <f>IF(A71="","",IFERROR(INDEX(Lists!$A$4:$A$203,MATCH(A71,Lists!$B$4:$B$203,0)),""))</f>
        <v/>
      </c>
      <c r="C71" s="8" t="str">
        <f>IF(A71="","",IFERROR(INDEX(Lists!$C$4:$C$203,MATCH(A71,Lists!$B$4:$B$203,0)),""))</f>
        <v/>
      </c>
      <c r="D71" s="8"/>
      <c r="E71" s="10"/>
      <c r="F71" s="10" t="str">
        <f t="shared" si="4"/>
        <v/>
      </c>
      <c r="G71" s="8" t="str">
        <f t="shared" ca="1" si="5"/>
        <v/>
      </c>
      <c r="H71" s="8"/>
      <c r="I71" s="8"/>
      <c r="J71" s="4"/>
      <c r="T71" s="1" t="str">
        <f t="shared" ca="1" si="6"/>
        <v/>
      </c>
      <c r="U71" s="1" t="str">
        <f ca="1">IF(T71="","",COUNTIFS($T$4:$T$503,"&gt;0",$T$4:$T$503,"&lt;"&amp;T71)+COUNTIF($T$4:T71,T71))</f>
        <v/>
      </c>
      <c r="V71" s="1" t="str">
        <f t="shared" si="7"/>
        <v/>
      </c>
    </row>
    <row r="72" spans="1:22">
      <c r="A72" s="4"/>
      <c r="B72" s="52" t="str">
        <f>IF(A72="","",IFERROR(INDEX(Lists!$A$4:$A$203,MATCH(A72,Lists!$B$4:$B$203,0)),""))</f>
        <v/>
      </c>
      <c r="C72" s="8" t="str">
        <f>IF(A72="","",IFERROR(INDEX(Lists!$C$4:$C$203,MATCH(A72,Lists!$B$4:$B$203,0)),""))</f>
        <v/>
      </c>
      <c r="D72" s="8"/>
      <c r="E72" s="10"/>
      <c r="F72" s="10" t="str">
        <f t="shared" si="4"/>
        <v/>
      </c>
      <c r="G72" s="8" t="str">
        <f t="shared" ca="1" si="5"/>
        <v/>
      </c>
      <c r="H72" s="8"/>
      <c r="I72" s="8"/>
      <c r="J72" s="4"/>
      <c r="T72" s="1" t="str">
        <f t="shared" ca="1" si="6"/>
        <v/>
      </c>
      <c r="U72" s="1" t="str">
        <f ca="1">IF(T72="","",COUNTIFS($T$4:$T$503,"&gt;0",$T$4:$T$503,"&lt;"&amp;T72)+COUNTIF($T$4:T72,T72))</f>
        <v/>
      </c>
      <c r="V72" s="1" t="str">
        <f t="shared" si="7"/>
        <v/>
      </c>
    </row>
    <row r="73" spans="1:22">
      <c r="A73" s="4"/>
      <c r="B73" s="52" t="str">
        <f>IF(A73="","",IFERROR(INDEX(Lists!$A$4:$A$203,MATCH(A73,Lists!$B$4:$B$203,0)),""))</f>
        <v/>
      </c>
      <c r="C73" s="8" t="str">
        <f>IF(A73="","",IFERROR(INDEX(Lists!$C$4:$C$203,MATCH(A73,Lists!$B$4:$B$203,0)),""))</f>
        <v/>
      </c>
      <c r="D73" s="8"/>
      <c r="E73" s="10"/>
      <c r="F73" s="10" t="str">
        <f t="shared" si="4"/>
        <v/>
      </c>
      <c r="G73" s="8" t="str">
        <f t="shared" ca="1" si="5"/>
        <v/>
      </c>
      <c r="H73" s="8"/>
      <c r="I73" s="8"/>
      <c r="J73" s="4"/>
      <c r="T73" s="1" t="str">
        <f t="shared" ca="1" si="6"/>
        <v/>
      </c>
      <c r="U73" s="1" t="str">
        <f ca="1">IF(T73="","",COUNTIFS($T$4:$T$503,"&gt;0",$T$4:$T$503,"&lt;"&amp;T73)+COUNTIF($T$4:T73,T73))</f>
        <v/>
      </c>
      <c r="V73" s="1" t="str">
        <f t="shared" si="7"/>
        <v/>
      </c>
    </row>
    <row r="74" spans="1:22">
      <c r="A74" s="4"/>
      <c r="B74" s="52" t="str">
        <f>IF(A74="","",IFERROR(INDEX(Lists!$A$4:$A$203,MATCH(A74,Lists!$B$4:$B$203,0)),""))</f>
        <v/>
      </c>
      <c r="C74" s="8" t="str">
        <f>IF(A74="","",IFERROR(INDEX(Lists!$C$4:$C$203,MATCH(A74,Lists!$B$4:$B$203,0)),""))</f>
        <v/>
      </c>
      <c r="D74" s="8"/>
      <c r="E74" s="10"/>
      <c r="F74" s="10" t="str">
        <f t="shared" si="4"/>
        <v/>
      </c>
      <c r="G74" s="8" t="str">
        <f t="shared" ca="1" si="5"/>
        <v/>
      </c>
      <c r="H74" s="8"/>
      <c r="I74" s="8"/>
      <c r="J74" s="4"/>
      <c r="T74" s="1" t="str">
        <f t="shared" ca="1" si="6"/>
        <v/>
      </c>
      <c r="U74" s="1" t="str">
        <f ca="1">IF(T74="","",COUNTIFS($T$4:$T$503,"&gt;0",$T$4:$T$503,"&lt;"&amp;T74)+COUNTIF($T$4:T74,T74))</f>
        <v/>
      </c>
      <c r="V74" s="1" t="str">
        <f t="shared" si="7"/>
        <v/>
      </c>
    </row>
    <row r="75" spans="1:22">
      <c r="A75" s="4"/>
      <c r="B75" s="52" t="str">
        <f>IF(A75="","",IFERROR(INDEX(Lists!$A$4:$A$203,MATCH(A75,Lists!$B$4:$B$203,0)),""))</f>
        <v/>
      </c>
      <c r="C75" s="8" t="str">
        <f>IF(A75="","",IFERROR(INDEX(Lists!$C$4:$C$203,MATCH(A75,Lists!$B$4:$B$203,0)),""))</f>
        <v/>
      </c>
      <c r="D75" s="8"/>
      <c r="E75" s="10"/>
      <c r="F75" s="10" t="str">
        <f t="shared" si="4"/>
        <v/>
      </c>
      <c r="G75" s="8" t="str">
        <f t="shared" ca="1" si="5"/>
        <v/>
      </c>
      <c r="H75" s="8"/>
      <c r="I75" s="8"/>
      <c r="J75" s="4"/>
      <c r="T75" s="1" t="str">
        <f t="shared" ca="1" si="6"/>
        <v/>
      </c>
      <c r="U75" s="1" t="str">
        <f ca="1">IF(T75="","",COUNTIFS($T$4:$T$503,"&gt;0",$T$4:$T$503,"&lt;"&amp;T75)+COUNTIF($T$4:T75,T75))</f>
        <v/>
      </c>
      <c r="V75" s="1" t="str">
        <f t="shared" si="7"/>
        <v/>
      </c>
    </row>
    <row r="76" spans="1:22">
      <c r="A76" s="4"/>
      <c r="B76" s="52" t="str">
        <f>IF(A76="","",IFERROR(INDEX(Lists!$A$4:$A$203,MATCH(A76,Lists!$B$4:$B$203,0)),""))</f>
        <v/>
      </c>
      <c r="C76" s="8" t="str">
        <f>IF(A76="","",IFERROR(INDEX(Lists!$C$4:$C$203,MATCH(A76,Lists!$B$4:$B$203,0)),""))</f>
        <v/>
      </c>
      <c r="D76" s="8"/>
      <c r="E76" s="10"/>
      <c r="F76" s="10" t="str">
        <f t="shared" si="4"/>
        <v/>
      </c>
      <c r="G76" s="8" t="str">
        <f t="shared" ca="1" si="5"/>
        <v/>
      </c>
      <c r="H76" s="8"/>
      <c r="I76" s="8"/>
      <c r="J76" s="4"/>
      <c r="T76" s="1" t="str">
        <f t="shared" ca="1" si="6"/>
        <v/>
      </c>
      <c r="U76" s="1" t="str">
        <f ca="1">IF(T76="","",COUNTIFS($T$4:$T$503,"&gt;0",$T$4:$T$503,"&lt;"&amp;T76)+COUNTIF($T$4:T76,T76))</f>
        <v/>
      </c>
      <c r="V76" s="1" t="str">
        <f t="shared" si="7"/>
        <v/>
      </c>
    </row>
    <row r="77" spans="1:22">
      <c r="A77" s="4"/>
      <c r="B77" s="52" t="str">
        <f>IF(A77="","",IFERROR(INDEX(Lists!$A$4:$A$203,MATCH(A77,Lists!$B$4:$B$203,0)),""))</f>
        <v/>
      </c>
      <c r="C77" s="8" t="str">
        <f>IF(A77="","",IFERROR(INDEX(Lists!$C$4:$C$203,MATCH(A77,Lists!$B$4:$B$203,0)),""))</f>
        <v/>
      </c>
      <c r="D77" s="8"/>
      <c r="E77" s="10"/>
      <c r="F77" s="10" t="str">
        <f t="shared" si="4"/>
        <v/>
      </c>
      <c r="G77" s="8" t="str">
        <f t="shared" ca="1" si="5"/>
        <v/>
      </c>
      <c r="H77" s="8"/>
      <c r="I77" s="8"/>
      <c r="J77" s="4"/>
      <c r="T77" s="1" t="str">
        <f t="shared" ca="1" si="6"/>
        <v/>
      </c>
      <c r="U77" s="1" t="str">
        <f ca="1">IF(T77="","",COUNTIFS($T$4:$T$503,"&gt;0",$T$4:$T$503,"&lt;"&amp;T77)+COUNTIF($T$4:T77,T77))</f>
        <v/>
      </c>
      <c r="V77" s="1" t="str">
        <f t="shared" si="7"/>
        <v/>
      </c>
    </row>
    <row r="78" spans="1:22">
      <c r="A78" s="4"/>
      <c r="B78" s="52" t="str">
        <f>IF(A78="","",IFERROR(INDEX(Lists!$A$4:$A$203,MATCH(A78,Lists!$B$4:$B$203,0)),""))</f>
        <v/>
      </c>
      <c r="C78" s="8" t="str">
        <f>IF(A78="","",IFERROR(INDEX(Lists!$C$4:$C$203,MATCH(A78,Lists!$B$4:$B$203,0)),""))</f>
        <v/>
      </c>
      <c r="D78" s="8"/>
      <c r="E78" s="10"/>
      <c r="F78" s="10" t="str">
        <f t="shared" si="4"/>
        <v/>
      </c>
      <c r="G78" s="8" t="str">
        <f t="shared" ca="1" si="5"/>
        <v/>
      </c>
      <c r="H78" s="8"/>
      <c r="I78" s="8"/>
      <c r="J78" s="4"/>
      <c r="T78" s="1" t="str">
        <f t="shared" ca="1" si="6"/>
        <v/>
      </c>
      <c r="U78" s="1" t="str">
        <f ca="1">IF(T78="","",COUNTIFS($T$4:$T$503,"&gt;0",$T$4:$T$503,"&lt;"&amp;T78)+COUNTIF($T$4:T78,T78))</f>
        <v/>
      </c>
      <c r="V78" s="1" t="str">
        <f t="shared" si="7"/>
        <v/>
      </c>
    </row>
    <row r="79" spans="1:22">
      <c r="A79" s="4"/>
      <c r="B79" s="52" t="str">
        <f>IF(A79="","",IFERROR(INDEX(Lists!$A$4:$A$203,MATCH(A79,Lists!$B$4:$B$203,0)),""))</f>
        <v/>
      </c>
      <c r="C79" s="8" t="str">
        <f>IF(A79="","",IFERROR(INDEX(Lists!$C$4:$C$203,MATCH(A79,Lists!$B$4:$B$203,0)),""))</f>
        <v/>
      </c>
      <c r="D79" s="8"/>
      <c r="E79" s="10"/>
      <c r="F79" s="10" t="str">
        <f t="shared" si="4"/>
        <v/>
      </c>
      <c r="G79" s="8" t="str">
        <f t="shared" ca="1" si="5"/>
        <v/>
      </c>
      <c r="H79" s="8"/>
      <c r="I79" s="8"/>
      <c r="J79" s="4"/>
      <c r="T79" s="1" t="str">
        <f t="shared" ca="1" si="6"/>
        <v/>
      </c>
      <c r="U79" s="1" t="str">
        <f ca="1">IF(T79="","",COUNTIFS($T$4:$T$503,"&gt;0",$T$4:$T$503,"&lt;"&amp;T79)+COUNTIF($T$4:T79,T79))</f>
        <v/>
      </c>
      <c r="V79" s="1" t="str">
        <f t="shared" si="7"/>
        <v/>
      </c>
    </row>
    <row r="80" spans="1:22">
      <c r="A80" s="4"/>
      <c r="B80" s="52" t="str">
        <f>IF(A80="","",IFERROR(INDEX(Lists!$A$4:$A$203,MATCH(A80,Lists!$B$4:$B$203,0)),""))</f>
        <v/>
      </c>
      <c r="C80" s="8" t="str">
        <f>IF(A80="","",IFERROR(INDEX(Lists!$C$4:$C$203,MATCH(A80,Lists!$B$4:$B$203,0)),""))</f>
        <v/>
      </c>
      <c r="D80" s="8"/>
      <c r="E80" s="10"/>
      <c r="F80" s="10" t="str">
        <f t="shared" si="4"/>
        <v/>
      </c>
      <c r="G80" s="8" t="str">
        <f t="shared" ca="1" si="5"/>
        <v/>
      </c>
      <c r="H80" s="8"/>
      <c r="I80" s="8"/>
      <c r="J80" s="4"/>
      <c r="T80" s="1" t="str">
        <f t="shared" ca="1" si="6"/>
        <v/>
      </c>
      <c r="U80" s="1" t="str">
        <f ca="1">IF(T80="","",COUNTIFS($T$4:$T$503,"&gt;0",$T$4:$T$503,"&lt;"&amp;T80)+COUNTIF($T$4:T80,T80))</f>
        <v/>
      </c>
      <c r="V80" s="1" t="str">
        <f t="shared" si="7"/>
        <v/>
      </c>
    </row>
    <row r="81" spans="1:22">
      <c r="A81" s="4"/>
      <c r="B81" s="52" t="str">
        <f>IF(A81="","",IFERROR(INDEX(Lists!$A$4:$A$203,MATCH(A81,Lists!$B$4:$B$203,0)),""))</f>
        <v/>
      </c>
      <c r="C81" s="8" t="str">
        <f>IF(A81="","",IFERROR(INDEX(Lists!$C$4:$C$203,MATCH(A81,Lists!$B$4:$B$203,0)),""))</f>
        <v/>
      </c>
      <c r="D81" s="8"/>
      <c r="E81" s="10"/>
      <c r="F81" s="10" t="str">
        <f t="shared" si="4"/>
        <v/>
      </c>
      <c r="G81" s="8" t="str">
        <f t="shared" ca="1" si="5"/>
        <v/>
      </c>
      <c r="H81" s="8"/>
      <c r="I81" s="8"/>
      <c r="J81" s="4"/>
      <c r="T81" s="1" t="str">
        <f t="shared" ca="1" si="6"/>
        <v/>
      </c>
      <c r="U81" s="1" t="str">
        <f ca="1">IF(T81="","",COUNTIFS($T$4:$T$503,"&gt;0",$T$4:$T$503,"&lt;"&amp;T81)+COUNTIF($T$4:T81,T81))</f>
        <v/>
      </c>
      <c r="V81" s="1" t="str">
        <f t="shared" si="7"/>
        <v/>
      </c>
    </row>
    <row r="82" spans="1:22">
      <c r="A82" s="4"/>
      <c r="B82" s="52" t="str">
        <f>IF(A82="","",IFERROR(INDEX(Lists!$A$4:$A$203,MATCH(A82,Lists!$B$4:$B$203,0)),""))</f>
        <v/>
      </c>
      <c r="C82" s="8" t="str">
        <f>IF(A82="","",IFERROR(INDEX(Lists!$C$4:$C$203,MATCH(A82,Lists!$B$4:$B$203,0)),""))</f>
        <v/>
      </c>
      <c r="D82" s="8"/>
      <c r="E82" s="10"/>
      <c r="F82" s="10" t="str">
        <f t="shared" si="4"/>
        <v/>
      </c>
      <c r="G82" s="8" t="str">
        <f t="shared" ca="1" si="5"/>
        <v/>
      </c>
      <c r="H82" s="8"/>
      <c r="I82" s="8"/>
      <c r="J82" s="4"/>
      <c r="T82" s="1" t="str">
        <f t="shared" ca="1" si="6"/>
        <v/>
      </c>
      <c r="U82" s="1" t="str">
        <f ca="1">IF(T82="","",COUNTIFS($T$4:$T$503,"&gt;0",$T$4:$T$503,"&lt;"&amp;T82)+COUNTIF($T$4:T82,T82))</f>
        <v/>
      </c>
      <c r="V82" s="1" t="str">
        <f t="shared" si="7"/>
        <v/>
      </c>
    </row>
    <row r="83" spans="1:22">
      <c r="A83" s="4"/>
      <c r="B83" s="52" t="str">
        <f>IF(A83="","",IFERROR(INDEX(Lists!$A$4:$A$203,MATCH(A83,Lists!$B$4:$B$203,0)),""))</f>
        <v/>
      </c>
      <c r="C83" s="8" t="str">
        <f>IF(A83="","",IFERROR(INDEX(Lists!$C$4:$C$203,MATCH(A83,Lists!$B$4:$B$203,0)),""))</f>
        <v/>
      </c>
      <c r="D83" s="8"/>
      <c r="E83" s="10"/>
      <c r="F83" s="10" t="str">
        <f t="shared" si="4"/>
        <v/>
      </c>
      <c r="G83" s="8" t="str">
        <f t="shared" ca="1" si="5"/>
        <v/>
      </c>
      <c r="H83" s="8"/>
      <c r="I83" s="8"/>
      <c r="J83" s="4"/>
      <c r="T83" s="1" t="str">
        <f t="shared" ca="1" si="6"/>
        <v/>
      </c>
      <c r="U83" s="1" t="str">
        <f ca="1">IF(T83="","",COUNTIFS($T$4:$T$503,"&gt;0",$T$4:$T$503,"&lt;"&amp;T83)+COUNTIF($T$4:T83,T83))</f>
        <v/>
      </c>
      <c r="V83" s="1" t="str">
        <f t="shared" si="7"/>
        <v/>
      </c>
    </row>
    <row r="84" spans="1:22">
      <c r="A84" s="4"/>
      <c r="B84" s="52" t="str">
        <f>IF(A84="","",IFERROR(INDEX(Lists!$A$4:$A$203,MATCH(A84,Lists!$B$4:$B$203,0)),""))</f>
        <v/>
      </c>
      <c r="C84" s="8" t="str">
        <f>IF(A84="","",IFERROR(INDEX(Lists!$C$4:$C$203,MATCH(A84,Lists!$B$4:$B$203,0)),""))</f>
        <v/>
      </c>
      <c r="D84" s="8"/>
      <c r="E84" s="10"/>
      <c r="F84" s="10" t="str">
        <f t="shared" si="4"/>
        <v/>
      </c>
      <c r="G84" s="8" t="str">
        <f t="shared" ca="1" si="5"/>
        <v/>
      </c>
      <c r="H84" s="8"/>
      <c r="I84" s="8"/>
      <c r="J84" s="4"/>
      <c r="T84" s="1" t="str">
        <f t="shared" ca="1" si="6"/>
        <v/>
      </c>
      <c r="U84" s="1" t="str">
        <f ca="1">IF(T84="","",COUNTIFS($T$4:$T$503,"&gt;0",$T$4:$T$503,"&lt;"&amp;T84)+COUNTIF($T$4:T84,T84))</f>
        <v/>
      </c>
      <c r="V84" s="1" t="str">
        <f t="shared" si="7"/>
        <v/>
      </c>
    </row>
    <row r="85" spans="1:22">
      <c r="A85" s="4"/>
      <c r="B85" s="52" t="str">
        <f>IF(A85="","",IFERROR(INDEX(Lists!$A$4:$A$203,MATCH(A85,Lists!$B$4:$B$203,0)),""))</f>
        <v/>
      </c>
      <c r="C85" s="8" t="str">
        <f>IF(A85="","",IFERROR(INDEX(Lists!$C$4:$C$203,MATCH(A85,Lists!$B$4:$B$203,0)),""))</f>
        <v/>
      </c>
      <c r="D85" s="8"/>
      <c r="E85" s="10"/>
      <c r="F85" s="10" t="str">
        <f t="shared" si="4"/>
        <v/>
      </c>
      <c r="G85" s="8" t="str">
        <f t="shared" ca="1" si="5"/>
        <v/>
      </c>
      <c r="H85" s="8"/>
      <c r="I85" s="8"/>
      <c r="J85" s="4"/>
      <c r="T85" s="1" t="str">
        <f t="shared" ca="1" si="6"/>
        <v/>
      </c>
      <c r="U85" s="1" t="str">
        <f ca="1">IF(T85="","",COUNTIFS($T$4:$T$503,"&gt;0",$T$4:$T$503,"&lt;"&amp;T85)+COUNTIF($T$4:T85,T85))</f>
        <v/>
      </c>
      <c r="V85" s="1" t="str">
        <f t="shared" si="7"/>
        <v/>
      </c>
    </row>
    <row r="86" spans="1:22">
      <c r="A86" s="4"/>
      <c r="B86" s="52" t="str">
        <f>IF(A86="","",IFERROR(INDEX(Lists!$A$4:$A$203,MATCH(A86,Lists!$B$4:$B$203,0)),""))</f>
        <v/>
      </c>
      <c r="C86" s="8" t="str">
        <f>IF(A86="","",IFERROR(INDEX(Lists!$C$4:$C$203,MATCH(A86,Lists!$B$4:$B$203,0)),""))</f>
        <v/>
      </c>
      <c r="D86" s="8"/>
      <c r="E86" s="10"/>
      <c r="F86" s="10" t="str">
        <f t="shared" si="4"/>
        <v/>
      </c>
      <c r="G86" s="8" t="str">
        <f t="shared" ca="1" si="5"/>
        <v/>
      </c>
      <c r="H86" s="8"/>
      <c r="I86" s="8"/>
      <c r="J86" s="4"/>
      <c r="T86" s="1" t="str">
        <f t="shared" ca="1" si="6"/>
        <v/>
      </c>
      <c r="U86" s="1" t="str">
        <f ca="1">IF(T86="","",COUNTIFS($T$4:$T$503,"&gt;0",$T$4:$T$503,"&lt;"&amp;T86)+COUNTIF($T$4:T86,T86))</f>
        <v/>
      </c>
      <c r="V86" s="1" t="str">
        <f t="shared" si="7"/>
        <v/>
      </c>
    </row>
    <row r="87" spans="1:22">
      <c r="A87" s="4"/>
      <c r="B87" s="52" t="str">
        <f>IF(A87="","",IFERROR(INDEX(Lists!$A$4:$A$203,MATCH(A87,Lists!$B$4:$B$203,0)),""))</f>
        <v/>
      </c>
      <c r="C87" s="8" t="str">
        <f>IF(A87="","",IFERROR(INDEX(Lists!$C$4:$C$203,MATCH(A87,Lists!$B$4:$B$203,0)),""))</f>
        <v/>
      </c>
      <c r="D87" s="8"/>
      <c r="E87" s="10"/>
      <c r="F87" s="10" t="str">
        <f t="shared" si="4"/>
        <v/>
      </c>
      <c r="G87" s="8" t="str">
        <f t="shared" ca="1" si="5"/>
        <v/>
      </c>
      <c r="H87" s="8"/>
      <c r="I87" s="8"/>
      <c r="J87" s="4"/>
      <c r="T87" s="1" t="str">
        <f t="shared" ca="1" si="6"/>
        <v/>
      </c>
      <c r="U87" s="1" t="str">
        <f ca="1">IF(T87="","",COUNTIFS($T$4:$T$503,"&gt;0",$T$4:$T$503,"&lt;"&amp;T87)+COUNTIF($T$4:T87,T87))</f>
        <v/>
      </c>
      <c r="V87" s="1" t="str">
        <f t="shared" si="7"/>
        <v/>
      </c>
    </row>
    <row r="88" spans="1:22">
      <c r="A88" s="4"/>
      <c r="B88" s="52" t="str">
        <f>IF(A88="","",IFERROR(INDEX(Lists!$A$4:$A$203,MATCH(A88,Lists!$B$4:$B$203,0)),""))</f>
        <v/>
      </c>
      <c r="C88" s="8" t="str">
        <f>IF(A88="","",IFERROR(INDEX(Lists!$C$4:$C$203,MATCH(A88,Lists!$B$4:$B$203,0)),""))</f>
        <v/>
      </c>
      <c r="D88" s="8"/>
      <c r="E88" s="10"/>
      <c r="F88" s="10" t="str">
        <f t="shared" si="4"/>
        <v/>
      </c>
      <c r="G88" s="8" t="str">
        <f t="shared" ca="1" si="5"/>
        <v/>
      </c>
      <c r="H88" s="8"/>
      <c r="I88" s="8"/>
      <c r="J88" s="4"/>
      <c r="T88" s="1" t="str">
        <f t="shared" ca="1" si="6"/>
        <v/>
      </c>
      <c r="U88" s="1" t="str">
        <f ca="1">IF(T88="","",COUNTIFS($T$4:$T$503,"&gt;0",$T$4:$T$503,"&lt;"&amp;T88)+COUNTIF($T$4:T88,T88))</f>
        <v/>
      </c>
      <c r="V88" s="1" t="str">
        <f t="shared" si="7"/>
        <v/>
      </c>
    </row>
    <row r="89" spans="1:22">
      <c r="A89" s="4"/>
      <c r="B89" s="52" t="str">
        <f>IF(A89="","",IFERROR(INDEX(Lists!$A$4:$A$203,MATCH(A89,Lists!$B$4:$B$203,0)),""))</f>
        <v/>
      </c>
      <c r="C89" s="8" t="str">
        <f>IF(A89="","",IFERROR(INDEX(Lists!$C$4:$C$203,MATCH(A89,Lists!$B$4:$B$203,0)),""))</f>
        <v/>
      </c>
      <c r="D89" s="8"/>
      <c r="E89" s="10"/>
      <c r="F89" s="10" t="str">
        <f t="shared" si="4"/>
        <v/>
      </c>
      <c r="G89" s="8" t="str">
        <f t="shared" ca="1" si="5"/>
        <v/>
      </c>
      <c r="H89" s="8"/>
      <c r="I89" s="8"/>
      <c r="J89" s="4"/>
      <c r="T89" s="1" t="str">
        <f t="shared" ca="1" si="6"/>
        <v/>
      </c>
      <c r="U89" s="1" t="str">
        <f ca="1">IF(T89="","",COUNTIFS($T$4:$T$503,"&gt;0",$T$4:$T$503,"&lt;"&amp;T89)+COUNTIF($T$4:T89,T89))</f>
        <v/>
      </c>
      <c r="V89" s="1" t="str">
        <f t="shared" si="7"/>
        <v/>
      </c>
    </row>
    <row r="90" spans="1:22">
      <c r="A90" s="4"/>
      <c r="B90" s="52" t="str">
        <f>IF(A90="","",IFERROR(INDEX(Lists!$A$4:$A$203,MATCH(A90,Lists!$B$4:$B$203,0)),""))</f>
        <v/>
      </c>
      <c r="C90" s="8" t="str">
        <f>IF(A90="","",IFERROR(INDEX(Lists!$C$4:$C$203,MATCH(A90,Lists!$B$4:$B$203,0)),""))</f>
        <v/>
      </c>
      <c r="D90" s="8"/>
      <c r="E90" s="10"/>
      <c r="F90" s="10" t="str">
        <f t="shared" si="4"/>
        <v/>
      </c>
      <c r="G90" s="8" t="str">
        <f t="shared" ca="1" si="5"/>
        <v/>
      </c>
      <c r="H90" s="8"/>
      <c r="I90" s="8"/>
      <c r="J90" s="4"/>
      <c r="T90" s="1" t="str">
        <f t="shared" ca="1" si="6"/>
        <v/>
      </c>
      <c r="U90" s="1" t="str">
        <f ca="1">IF(T90="","",COUNTIFS($T$4:$T$503,"&gt;0",$T$4:$T$503,"&lt;"&amp;T90)+COUNTIF($T$4:T90,T90))</f>
        <v/>
      </c>
      <c r="V90" s="1" t="str">
        <f t="shared" si="7"/>
        <v/>
      </c>
    </row>
    <row r="91" spans="1:22">
      <c r="A91" s="4"/>
      <c r="B91" s="52" t="str">
        <f>IF(A91="","",IFERROR(INDEX(Lists!$A$4:$A$203,MATCH(A91,Lists!$B$4:$B$203,0)),""))</f>
        <v/>
      </c>
      <c r="C91" s="8" t="str">
        <f>IF(A91="","",IFERROR(INDEX(Lists!$C$4:$C$203,MATCH(A91,Lists!$B$4:$B$203,0)),""))</f>
        <v/>
      </c>
      <c r="D91" s="8"/>
      <c r="E91" s="10"/>
      <c r="F91" s="10" t="str">
        <f t="shared" si="4"/>
        <v/>
      </c>
      <c r="G91" s="8" t="str">
        <f t="shared" ca="1" si="5"/>
        <v/>
      </c>
      <c r="H91" s="8"/>
      <c r="I91" s="8"/>
      <c r="J91" s="4"/>
      <c r="T91" s="1" t="str">
        <f t="shared" ca="1" si="6"/>
        <v/>
      </c>
      <c r="U91" s="1" t="str">
        <f ca="1">IF(T91="","",COUNTIFS($T$4:$T$503,"&gt;0",$T$4:$T$503,"&lt;"&amp;T91)+COUNTIF($T$4:T91,T91))</f>
        <v/>
      </c>
      <c r="V91" s="1" t="str">
        <f t="shared" si="7"/>
        <v/>
      </c>
    </row>
    <row r="92" spans="1:22">
      <c r="A92" s="4"/>
      <c r="B92" s="52" t="str">
        <f>IF(A92="","",IFERROR(INDEX(Lists!$A$4:$A$203,MATCH(A92,Lists!$B$4:$B$203,0)),""))</f>
        <v/>
      </c>
      <c r="C92" s="8" t="str">
        <f>IF(A92="","",IFERROR(INDEX(Lists!$C$4:$C$203,MATCH(A92,Lists!$B$4:$B$203,0)),""))</f>
        <v/>
      </c>
      <c r="D92" s="8"/>
      <c r="E92" s="10"/>
      <c r="F92" s="10" t="str">
        <f t="shared" si="4"/>
        <v/>
      </c>
      <c r="G92" s="8" t="str">
        <f t="shared" ca="1" si="5"/>
        <v/>
      </c>
      <c r="H92" s="8"/>
      <c r="I92" s="8"/>
      <c r="J92" s="4"/>
      <c r="T92" s="1" t="str">
        <f t="shared" ca="1" si="6"/>
        <v/>
      </c>
      <c r="U92" s="1" t="str">
        <f ca="1">IF(T92="","",COUNTIFS($T$4:$T$503,"&gt;0",$T$4:$T$503,"&lt;"&amp;T92)+COUNTIF($T$4:T92,T92))</f>
        <v/>
      </c>
      <c r="V92" s="1" t="str">
        <f t="shared" si="7"/>
        <v/>
      </c>
    </row>
    <row r="93" spans="1:22">
      <c r="A93" s="4"/>
      <c r="B93" s="52" t="str">
        <f>IF(A93="","",IFERROR(INDEX(Lists!$A$4:$A$203,MATCH(A93,Lists!$B$4:$B$203,0)),""))</f>
        <v/>
      </c>
      <c r="C93" s="8" t="str">
        <f>IF(A93="","",IFERROR(INDEX(Lists!$C$4:$C$203,MATCH(A93,Lists!$B$4:$B$203,0)),""))</f>
        <v/>
      </c>
      <c r="D93" s="8"/>
      <c r="E93" s="10"/>
      <c r="F93" s="10" t="str">
        <f t="shared" si="4"/>
        <v/>
      </c>
      <c r="G93" s="8" t="str">
        <f t="shared" ca="1" si="5"/>
        <v/>
      </c>
      <c r="H93" s="8"/>
      <c r="I93" s="8"/>
      <c r="J93" s="4"/>
      <c r="T93" s="1" t="str">
        <f t="shared" ca="1" si="6"/>
        <v/>
      </c>
      <c r="U93" s="1" t="str">
        <f ca="1">IF(T93="","",COUNTIFS($T$4:$T$503,"&gt;0",$T$4:$T$503,"&lt;"&amp;T93)+COUNTIF($T$4:T93,T93))</f>
        <v/>
      </c>
      <c r="V93" s="1" t="str">
        <f t="shared" si="7"/>
        <v/>
      </c>
    </row>
    <row r="94" spans="1:22">
      <c r="A94" s="4"/>
      <c r="B94" s="52" t="str">
        <f>IF(A94="","",IFERROR(INDEX(Lists!$A$4:$A$203,MATCH(A94,Lists!$B$4:$B$203,0)),""))</f>
        <v/>
      </c>
      <c r="C94" s="8" t="str">
        <f>IF(A94="","",IFERROR(INDEX(Lists!$C$4:$C$203,MATCH(A94,Lists!$B$4:$B$203,0)),""))</f>
        <v/>
      </c>
      <c r="D94" s="8"/>
      <c r="E94" s="10"/>
      <c r="F94" s="10" t="str">
        <f t="shared" si="4"/>
        <v/>
      </c>
      <c r="G94" s="8" t="str">
        <f t="shared" ca="1" si="5"/>
        <v/>
      </c>
      <c r="H94" s="8"/>
      <c r="I94" s="8"/>
      <c r="J94" s="4"/>
      <c r="T94" s="1" t="str">
        <f t="shared" ca="1" si="6"/>
        <v/>
      </c>
      <c r="U94" s="1" t="str">
        <f ca="1">IF(T94="","",COUNTIFS($T$4:$T$503,"&gt;0",$T$4:$T$503,"&lt;"&amp;T94)+COUNTIF($T$4:T94,T94))</f>
        <v/>
      </c>
      <c r="V94" s="1" t="str">
        <f t="shared" si="7"/>
        <v/>
      </c>
    </row>
    <row r="95" spans="1:22">
      <c r="A95" s="4"/>
      <c r="B95" s="52" t="str">
        <f>IF(A95="","",IFERROR(INDEX(Lists!$A$4:$A$203,MATCH(A95,Lists!$B$4:$B$203,0)),""))</f>
        <v/>
      </c>
      <c r="C95" s="8" t="str">
        <f>IF(A95="","",IFERROR(INDEX(Lists!$C$4:$C$203,MATCH(A95,Lists!$B$4:$B$203,0)),""))</f>
        <v/>
      </c>
      <c r="D95" s="8"/>
      <c r="E95" s="10"/>
      <c r="F95" s="10" t="str">
        <f t="shared" si="4"/>
        <v/>
      </c>
      <c r="G95" s="8" t="str">
        <f t="shared" ca="1" si="5"/>
        <v/>
      </c>
      <c r="H95" s="8"/>
      <c r="I95" s="8"/>
      <c r="J95" s="4"/>
      <c r="T95" s="1" t="str">
        <f t="shared" ca="1" si="6"/>
        <v/>
      </c>
      <c r="U95" s="1" t="str">
        <f ca="1">IF(T95="","",COUNTIFS($T$4:$T$503,"&gt;0",$T$4:$T$503,"&lt;"&amp;T95)+COUNTIF($T$4:T95,T95))</f>
        <v/>
      </c>
      <c r="V95" s="1" t="str">
        <f t="shared" si="7"/>
        <v/>
      </c>
    </row>
    <row r="96" spans="1:22">
      <c r="A96" s="4"/>
      <c r="B96" s="52" t="str">
        <f>IF(A96="","",IFERROR(INDEX(Lists!$A$4:$A$203,MATCH(A96,Lists!$B$4:$B$203,0)),""))</f>
        <v/>
      </c>
      <c r="C96" s="8" t="str">
        <f>IF(A96="","",IFERROR(INDEX(Lists!$C$4:$C$203,MATCH(A96,Lists!$B$4:$B$203,0)),""))</f>
        <v/>
      </c>
      <c r="D96" s="8"/>
      <c r="E96" s="10"/>
      <c r="F96" s="10" t="str">
        <f t="shared" si="4"/>
        <v/>
      </c>
      <c r="G96" s="8" t="str">
        <f t="shared" ca="1" si="5"/>
        <v/>
      </c>
      <c r="H96" s="8"/>
      <c r="I96" s="8"/>
      <c r="J96" s="4"/>
      <c r="T96" s="1" t="str">
        <f t="shared" ca="1" si="6"/>
        <v/>
      </c>
      <c r="U96" s="1" t="str">
        <f ca="1">IF(T96="","",COUNTIFS($T$4:$T$503,"&gt;0",$T$4:$T$503,"&lt;"&amp;T96)+COUNTIF($T$4:T96,T96))</f>
        <v/>
      </c>
      <c r="V96" s="1" t="str">
        <f t="shared" si="7"/>
        <v/>
      </c>
    </row>
    <row r="97" spans="1:22">
      <c r="A97" s="4"/>
      <c r="B97" s="52" t="str">
        <f>IF(A97="","",IFERROR(INDEX(Lists!$A$4:$A$203,MATCH(A97,Lists!$B$4:$B$203,0)),""))</f>
        <v/>
      </c>
      <c r="C97" s="8" t="str">
        <f>IF(A97="","",IFERROR(INDEX(Lists!$C$4:$C$203,MATCH(A97,Lists!$B$4:$B$203,0)),""))</f>
        <v/>
      </c>
      <c r="D97" s="8"/>
      <c r="E97" s="10"/>
      <c r="F97" s="10" t="str">
        <f t="shared" si="4"/>
        <v/>
      </c>
      <c r="G97" s="8" t="str">
        <f t="shared" ca="1" si="5"/>
        <v/>
      </c>
      <c r="H97" s="8"/>
      <c r="I97" s="8"/>
      <c r="J97" s="4"/>
      <c r="T97" s="1" t="str">
        <f t="shared" ca="1" si="6"/>
        <v/>
      </c>
      <c r="U97" s="1" t="str">
        <f ca="1">IF(T97="","",COUNTIFS($T$4:$T$503,"&gt;0",$T$4:$T$503,"&lt;"&amp;T97)+COUNTIF($T$4:T97,T97))</f>
        <v/>
      </c>
      <c r="V97" s="1" t="str">
        <f t="shared" si="7"/>
        <v/>
      </c>
    </row>
    <row r="98" spans="1:22">
      <c r="A98" s="4"/>
      <c r="B98" s="52" t="str">
        <f>IF(A98="","",IFERROR(INDEX(Lists!$A$4:$A$203,MATCH(A98,Lists!$B$4:$B$203,0)),""))</f>
        <v/>
      </c>
      <c r="C98" s="8" t="str">
        <f>IF(A98="","",IFERROR(INDEX(Lists!$C$4:$C$203,MATCH(A98,Lists!$B$4:$B$203,0)),""))</f>
        <v/>
      </c>
      <c r="D98" s="8"/>
      <c r="E98" s="10"/>
      <c r="F98" s="10" t="str">
        <f t="shared" si="4"/>
        <v/>
      </c>
      <c r="G98" s="8" t="str">
        <f t="shared" ca="1" si="5"/>
        <v/>
      </c>
      <c r="H98" s="8"/>
      <c r="I98" s="8"/>
      <c r="J98" s="4"/>
      <c r="T98" s="1" t="str">
        <f t="shared" ca="1" si="6"/>
        <v/>
      </c>
      <c r="U98" s="1" t="str">
        <f ca="1">IF(T98="","",COUNTIFS($T$4:$T$503,"&gt;0",$T$4:$T$503,"&lt;"&amp;T98)+COUNTIF($T$4:T98,T98))</f>
        <v/>
      </c>
      <c r="V98" s="1" t="str">
        <f t="shared" si="7"/>
        <v/>
      </c>
    </row>
    <row r="99" spans="1:22">
      <c r="A99" s="4"/>
      <c r="B99" s="52" t="str">
        <f>IF(A99="","",IFERROR(INDEX(Lists!$A$4:$A$203,MATCH(A99,Lists!$B$4:$B$203,0)),""))</f>
        <v/>
      </c>
      <c r="C99" s="8" t="str">
        <f>IF(A99="","",IFERROR(INDEX(Lists!$C$4:$C$203,MATCH(A99,Lists!$B$4:$B$203,0)),""))</f>
        <v/>
      </c>
      <c r="D99" s="8"/>
      <c r="E99" s="10"/>
      <c r="F99" s="10" t="str">
        <f t="shared" si="4"/>
        <v/>
      </c>
      <c r="G99" s="8" t="str">
        <f t="shared" ca="1" si="5"/>
        <v/>
      </c>
      <c r="H99" s="8"/>
      <c r="I99" s="8"/>
      <c r="J99" s="4"/>
      <c r="T99" s="1" t="str">
        <f t="shared" ca="1" si="6"/>
        <v/>
      </c>
      <c r="U99" s="1" t="str">
        <f ca="1">IF(T99="","",COUNTIFS($T$4:$T$503,"&gt;0",$T$4:$T$503,"&lt;"&amp;T99)+COUNTIF($T$4:T99,T99))</f>
        <v/>
      </c>
      <c r="V99" s="1" t="str">
        <f t="shared" si="7"/>
        <v/>
      </c>
    </row>
    <row r="100" spans="1:22">
      <c r="A100" s="4"/>
      <c r="B100" s="52" t="str">
        <f>IF(A100="","",IFERROR(INDEX(Lists!$A$4:$A$203,MATCH(A100,Lists!$B$4:$B$203,0)),""))</f>
        <v/>
      </c>
      <c r="C100" s="8" t="str">
        <f>IF(A100="","",IFERROR(INDEX(Lists!$C$4:$C$203,MATCH(A100,Lists!$B$4:$B$203,0)),""))</f>
        <v/>
      </c>
      <c r="D100" s="8"/>
      <c r="E100" s="10"/>
      <c r="F100" s="10" t="str">
        <f t="shared" si="4"/>
        <v/>
      </c>
      <c r="G100" s="8" t="str">
        <f t="shared" ca="1" si="5"/>
        <v/>
      </c>
      <c r="H100" s="8"/>
      <c r="I100" s="8"/>
      <c r="J100" s="4"/>
      <c r="T100" s="1" t="str">
        <f t="shared" ca="1" si="6"/>
        <v/>
      </c>
      <c r="U100" s="1" t="str">
        <f ca="1">IF(T100="","",COUNTIFS($T$4:$T$503,"&gt;0",$T$4:$T$503,"&lt;"&amp;T100)+COUNTIF($T$4:T100,T100))</f>
        <v/>
      </c>
      <c r="V100" s="1" t="str">
        <f t="shared" si="7"/>
        <v/>
      </c>
    </row>
    <row r="101" spans="1:22">
      <c r="A101" s="4"/>
      <c r="B101" s="52" t="str">
        <f>IF(A101="","",IFERROR(INDEX(Lists!$A$4:$A$203,MATCH(A101,Lists!$B$4:$B$203,0)),""))</f>
        <v/>
      </c>
      <c r="C101" s="8" t="str">
        <f>IF(A101="","",IFERROR(INDEX(Lists!$C$4:$C$203,MATCH(A101,Lists!$B$4:$B$203,0)),""))</f>
        <v/>
      </c>
      <c r="D101" s="8"/>
      <c r="E101" s="10"/>
      <c r="F101" s="10" t="str">
        <f t="shared" si="4"/>
        <v/>
      </c>
      <c r="G101" s="8" t="str">
        <f t="shared" ca="1" si="5"/>
        <v/>
      </c>
      <c r="H101" s="8"/>
      <c r="I101" s="8"/>
      <c r="J101" s="4"/>
      <c r="T101" s="1" t="str">
        <f t="shared" ca="1" si="6"/>
        <v/>
      </c>
      <c r="U101" s="1" t="str">
        <f ca="1">IF(T101="","",COUNTIFS($T$4:$T$503,"&gt;0",$T$4:$T$503,"&lt;"&amp;T101)+COUNTIF($T$4:T101,T101))</f>
        <v/>
      </c>
      <c r="V101" s="1" t="str">
        <f t="shared" si="7"/>
        <v/>
      </c>
    </row>
    <row r="102" spans="1:22">
      <c r="A102" s="4"/>
      <c r="B102" s="52" t="str">
        <f>IF(A102="","",IFERROR(INDEX(Lists!$A$4:$A$203,MATCH(A102,Lists!$B$4:$B$203,0)),""))</f>
        <v/>
      </c>
      <c r="C102" s="8" t="str">
        <f>IF(A102="","",IFERROR(INDEX(Lists!$C$4:$C$203,MATCH(A102,Lists!$B$4:$B$203,0)),""))</f>
        <v/>
      </c>
      <c r="D102" s="8"/>
      <c r="E102" s="10"/>
      <c r="F102" s="10" t="str">
        <f t="shared" si="4"/>
        <v/>
      </c>
      <c r="G102" s="8" t="str">
        <f t="shared" ca="1" si="5"/>
        <v/>
      </c>
      <c r="H102" s="8"/>
      <c r="I102" s="8"/>
      <c r="J102" s="4"/>
      <c r="T102" s="1" t="str">
        <f t="shared" ca="1" si="6"/>
        <v/>
      </c>
      <c r="U102" s="1" t="str">
        <f ca="1">IF(T102="","",COUNTIFS($T$4:$T$503,"&gt;0",$T$4:$T$503,"&lt;"&amp;T102)+COUNTIF($T$4:T102,T102))</f>
        <v/>
      </c>
      <c r="V102" s="1" t="str">
        <f t="shared" si="7"/>
        <v/>
      </c>
    </row>
    <row r="103" spans="1:22">
      <c r="A103" s="4"/>
      <c r="B103" s="52" t="str">
        <f>IF(A103="","",IFERROR(INDEX(Lists!$A$4:$A$203,MATCH(A103,Lists!$B$4:$B$203,0)),""))</f>
        <v/>
      </c>
      <c r="C103" s="8" t="str">
        <f>IF(A103="","",IFERROR(INDEX(Lists!$C$4:$C$203,MATCH(A103,Lists!$B$4:$B$203,0)),""))</f>
        <v/>
      </c>
      <c r="D103" s="8"/>
      <c r="E103" s="10"/>
      <c r="F103" s="10" t="str">
        <f t="shared" si="4"/>
        <v/>
      </c>
      <c r="G103" s="8" t="str">
        <f t="shared" ca="1" si="5"/>
        <v/>
      </c>
      <c r="H103" s="8"/>
      <c r="I103" s="8"/>
      <c r="J103" s="4"/>
      <c r="T103" s="1" t="str">
        <f t="shared" ca="1" si="6"/>
        <v/>
      </c>
      <c r="U103" s="1" t="str">
        <f ca="1">IF(T103="","",COUNTIFS($T$4:$T$503,"&gt;0",$T$4:$T$503,"&lt;"&amp;T103)+COUNTIF($T$4:T103,T103))</f>
        <v/>
      </c>
      <c r="V103" s="1" t="str">
        <f t="shared" si="7"/>
        <v/>
      </c>
    </row>
    <row r="104" spans="1:22">
      <c r="A104" s="4"/>
      <c r="B104" s="52" t="str">
        <f>IF(A104="","",IFERROR(INDEX(Lists!$A$4:$A$203,MATCH(A104,Lists!$B$4:$B$203,0)),""))</f>
        <v/>
      </c>
      <c r="C104" s="8" t="str">
        <f>IF(A104="","",IFERROR(INDEX(Lists!$C$4:$C$203,MATCH(A104,Lists!$B$4:$B$203,0)),""))</f>
        <v/>
      </c>
      <c r="D104" s="8"/>
      <c r="E104" s="10"/>
      <c r="F104" s="10" t="str">
        <f t="shared" si="4"/>
        <v/>
      </c>
      <c r="G104" s="8" t="str">
        <f t="shared" ca="1" si="5"/>
        <v/>
      </c>
      <c r="H104" s="8"/>
      <c r="I104" s="8"/>
      <c r="J104" s="4"/>
      <c r="T104" s="1" t="str">
        <f t="shared" ca="1" si="6"/>
        <v/>
      </c>
      <c r="U104" s="1" t="str">
        <f ca="1">IF(T104="","",COUNTIFS($T$4:$T$503,"&gt;0",$T$4:$T$503,"&lt;"&amp;T104)+COUNTIF($T$4:T104,T104))</f>
        <v/>
      </c>
      <c r="V104" s="1" t="str">
        <f t="shared" si="7"/>
        <v/>
      </c>
    </row>
    <row r="105" spans="1:22">
      <c r="A105" s="4"/>
      <c r="B105" s="52" t="str">
        <f>IF(A105="","",IFERROR(INDEX(Lists!$A$4:$A$203,MATCH(A105,Lists!$B$4:$B$203,0)),""))</f>
        <v/>
      </c>
      <c r="C105" s="8" t="str">
        <f>IF(A105="","",IFERROR(INDEX(Lists!$C$4:$C$203,MATCH(A105,Lists!$B$4:$B$203,0)),""))</f>
        <v/>
      </c>
      <c r="D105" s="8"/>
      <c r="E105" s="10"/>
      <c r="F105" s="10" t="str">
        <f t="shared" si="4"/>
        <v/>
      </c>
      <c r="G105" s="8" t="str">
        <f t="shared" ca="1" si="5"/>
        <v/>
      </c>
      <c r="H105" s="8"/>
      <c r="I105" s="8"/>
      <c r="J105" s="4"/>
      <c r="T105" s="1" t="str">
        <f t="shared" ca="1" si="6"/>
        <v/>
      </c>
      <c r="U105" s="1" t="str">
        <f ca="1">IF(T105="","",COUNTIFS($T$4:$T$503,"&gt;0",$T$4:$T$503,"&lt;"&amp;T105)+COUNTIF($T$4:T105,T105))</f>
        <v/>
      </c>
      <c r="V105" s="1" t="str">
        <f t="shared" si="7"/>
        <v/>
      </c>
    </row>
    <row r="106" spans="1:22">
      <c r="A106" s="4"/>
      <c r="B106" s="52" t="str">
        <f>IF(A106="","",IFERROR(INDEX(Lists!$A$4:$A$203,MATCH(A106,Lists!$B$4:$B$203,0)),""))</f>
        <v/>
      </c>
      <c r="C106" s="8" t="str">
        <f>IF(A106="","",IFERROR(INDEX(Lists!$C$4:$C$203,MATCH(A106,Lists!$B$4:$B$203,0)),""))</f>
        <v/>
      </c>
      <c r="D106" s="8"/>
      <c r="E106" s="10"/>
      <c r="F106" s="10" t="str">
        <f t="shared" si="4"/>
        <v/>
      </c>
      <c r="G106" s="8" t="str">
        <f t="shared" ca="1" si="5"/>
        <v/>
      </c>
      <c r="H106" s="8"/>
      <c r="I106" s="8"/>
      <c r="J106" s="4"/>
      <c r="T106" s="1" t="str">
        <f t="shared" ca="1" si="6"/>
        <v/>
      </c>
      <c r="U106" s="1" t="str">
        <f ca="1">IF(T106="","",COUNTIFS($T$4:$T$503,"&gt;0",$T$4:$T$503,"&lt;"&amp;T106)+COUNTIF($T$4:T106,T106))</f>
        <v/>
      </c>
      <c r="V106" s="1" t="str">
        <f t="shared" si="7"/>
        <v/>
      </c>
    </row>
    <row r="107" spans="1:22">
      <c r="A107" s="4"/>
      <c r="B107" s="52" t="str">
        <f>IF(A107="","",IFERROR(INDEX(Lists!$A$4:$A$203,MATCH(A107,Lists!$B$4:$B$203,0)),""))</f>
        <v/>
      </c>
      <c r="C107" s="8" t="str">
        <f>IF(A107="","",IFERROR(INDEX(Lists!$C$4:$C$203,MATCH(A107,Lists!$B$4:$B$203,0)),""))</f>
        <v/>
      </c>
      <c r="D107" s="8"/>
      <c r="E107" s="10"/>
      <c r="F107" s="10" t="str">
        <f t="shared" si="4"/>
        <v/>
      </c>
      <c r="G107" s="8" t="str">
        <f t="shared" ca="1" si="5"/>
        <v/>
      </c>
      <c r="H107" s="8"/>
      <c r="I107" s="8"/>
      <c r="J107" s="4"/>
      <c r="T107" s="1" t="str">
        <f t="shared" ca="1" si="6"/>
        <v/>
      </c>
      <c r="U107" s="1" t="str">
        <f ca="1">IF(T107="","",COUNTIFS($T$4:$T$503,"&gt;0",$T$4:$T$503,"&lt;"&amp;T107)+COUNTIF($T$4:T107,T107))</f>
        <v/>
      </c>
      <c r="V107" s="1" t="str">
        <f t="shared" si="7"/>
        <v/>
      </c>
    </row>
    <row r="108" spans="1:22">
      <c r="A108" s="4"/>
      <c r="B108" s="52" t="str">
        <f>IF(A108="","",IFERROR(INDEX(Lists!$A$4:$A$203,MATCH(A108,Lists!$B$4:$B$203,0)),""))</f>
        <v/>
      </c>
      <c r="C108" s="8" t="str">
        <f>IF(A108="","",IFERROR(INDEX(Lists!$C$4:$C$203,MATCH(A108,Lists!$B$4:$B$203,0)),""))</f>
        <v/>
      </c>
      <c r="D108" s="8"/>
      <c r="E108" s="10"/>
      <c r="F108" s="10" t="str">
        <f t="shared" si="4"/>
        <v/>
      </c>
      <c r="G108" s="8" t="str">
        <f t="shared" ca="1" si="5"/>
        <v/>
      </c>
      <c r="H108" s="8"/>
      <c r="I108" s="8"/>
      <c r="J108" s="4"/>
      <c r="T108" s="1" t="str">
        <f t="shared" ca="1" si="6"/>
        <v/>
      </c>
      <c r="U108" s="1" t="str">
        <f ca="1">IF(T108="","",COUNTIFS($T$4:$T$503,"&gt;0",$T$4:$T$503,"&lt;"&amp;T108)+COUNTIF($T$4:T108,T108))</f>
        <v/>
      </c>
      <c r="V108" s="1" t="str">
        <f t="shared" si="7"/>
        <v/>
      </c>
    </row>
    <row r="109" spans="1:22">
      <c r="A109" s="4"/>
      <c r="B109" s="52" t="str">
        <f>IF(A109="","",IFERROR(INDEX(Lists!$A$4:$A$203,MATCH(A109,Lists!$B$4:$B$203,0)),""))</f>
        <v/>
      </c>
      <c r="C109" s="8" t="str">
        <f>IF(A109="","",IFERROR(INDEX(Lists!$C$4:$C$203,MATCH(A109,Lists!$B$4:$B$203,0)),""))</f>
        <v/>
      </c>
      <c r="D109" s="8"/>
      <c r="E109" s="10"/>
      <c r="F109" s="10" t="str">
        <f t="shared" si="4"/>
        <v/>
      </c>
      <c r="G109" s="8" t="str">
        <f t="shared" ca="1" si="5"/>
        <v/>
      </c>
      <c r="H109" s="8"/>
      <c r="I109" s="8"/>
      <c r="J109" s="4"/>
      <c r="T109" s="1" t="str">
        <f t="shared" ca="1" si="6"/>
        <v/>
      </c>
      <c r="U109" s="1" t="str">
        <f ca="1">IF(T109="","",COUNTIFS($T$4:$T$503,"&gt;0",$T$4:$T$503,"&lt;"&amp;T109)+COUNTIF($T$4:T109,T109))</f>
        <v/>
      </c>
      <c r="V109" s="1" t="str">
        <f t="shared" si="7"/>
        <v/>
      </c>
    </row>
    <row r="110" spans="1:22">
      <c r="A110" s="4"/>
      <c r="B110" s="52" t="str">
        <f>IF(A110="","",IFERROR(INDEX(Lists!$A$4:$A$203,MATCH(A110,Lists!$B$4:$B$203,0)),""))</f>
        <v/>
      </c>
      <c r="C110" s="8" t="str">
        <f>IF(A110="","",IFERROR(INDEX(Lists!$C$4:$C$203,MATCH(A110,Lists!$B$4:$B$203,0)),""))</f>
        <v/>
      </c>
      <c r="D110" s="8"/>
      <c r="E110" s="10"/>
      <c r="F110" s="10" t="str">
        <f t="shared" si="4"/>
        <v/>
      </c>
      <c r="G110" s="8" t="str">
        <f t="shared" ca="1" si="5"/>
        <v/>
      </c>
      <c r="H110" s="8"/>
      <c r="I110" s="8"/>
      <c r="J110" s="4"/>
      <c r="T110" s="1" t="str">
        <f t="shared" ca="1" si="6"/>
        <v/>
      </c>
      <c r="U110" s="1" t="str">
        <f ca="1">IF(T110="","",COUNTIFS($T$4:$T$503,"&gt;0",$T$4:$T$503,"&lt;"&amp;T110)+COUNTIF($T$4:T110,T110))</f>
        <v/>
      </c>
      <c r="V110" s="1" t="str">
        <f t="shared" si="7"/>
        <v/>
      </c>
    </row>
    <row r="111" spans="1:22">
      <c r="A111" s="4"/>
      <c r="B111" s="52" t="str">
        <f>IF(A111="","",IFERROR(INDEX(Lists!$A$4:$A$203,MATCH(A111,Lists!$B$4:$B$203,0)),""))</f>
        <v/>
      </c>
      <c r="C111" s="8" t="str">
        <f>IF(A111="","",IFERROR(INDEX(Lists!$C$4:$C$203,MATCH(A111,Lists!$B$4:$B$203,0)),""))</f>
        <v/>
      </c>
      <c r="D111" s="8"/>
      <c r="E111" s="10"/>
      <c r="F111" s="10" t="str">
        <f t="shared" si="4"/>
        <v/>
      </c>
      <c r="G111" s="8" t="str">
        <f t="shared" ca="1" si="5"/>
        <v/>
      </c>
      <c r="H111" s="8"/>
      <c r="I111" s="8"/>
      <c r="J111" s="4"/>
      <c r="T111" s="1" t="str">
        <f t="shared" ca="1" si="6"/>
        <v/>
      </c>
      <c r="U111" s="1" t="str">
        <f ca="1">IF(T111="","",COUNTIFS($T$4:$T$503,"&gt;0",$T$4:$T$503,"&lt;"&amp;T111)+COUNTIF($T$4:T111,T111))</f>
        <v/>
      </c>
      <c r="V111" s="1" t="str">
        <f t="shared" si="7"/>
        <v/>
      </c>
    </row>
    <row r="112" spans="1:22">
      <c r="A112" s="4"/>
      <c r="B112" s="52" t="str">
        <f>IF(A112="","",IFERROR(INDEX(Lists!$A$4:$A$203,MATCH(A112,Lists!$B$4:$B$203,0)),""))</f>
        <v/>
      </c>
      <c r="C112" s="8" t="str">
        <f>IF(A112="","",IFERROR(INDEX(Lists!$C$4:$C$203,MATCH(A112,Lists!$B$4:$B$203,0)),""))</f>
        <v/>
      </c>
      <c r="D112" s="8"/>
      <c r="E112" s="10"/>
      <c r="F112" s="10" t="str">
        <f t="shared" si="4"/>
        <v/>
      </c>
      <c r="G112" s="8" t="str">
        <f t="shared" ca="1" si="5"/>
        <v/>
      </c>
      <c r="H112" s="8"/>
      <c r="I112" s="8"/>
      <c r="J112" s="4"/>
      <c r="T112" s="1" t="str">
        <f t="shared" ca="1" si="6"/>
        <v/>
      </c>
      <c r="U112" s="1" t="str">
        <f ca="1">IF(T112="","",COUNTIFS($T$4:$T$503,"&gt;0",$T$4:$T$503,"&lt;"&amp;T112)+COUNTIF($T$4:T112,T112))</f>
        <v/>
      </c>
      <c r="V112" s="1" t="str">
        <f t="shared" si="7"/>
        <v/>
      </c>
    </row>
    <row r="113" spans="1:22">
      <c r="A113" s="4"/>
      <c r="B113" s="52" t="str">
        <f>IF(A113="","",IFERROR(INDEX(Lists!$A$4:$A$203,MATCH(A113,Lists!$B$4:$B$203,0)),""))</f>
        <v/>
      </c>
      <c r="C113" s="8" t="str">
        <f>IF(A113="","",IFERROR(INDEX(Lists!$C$4:$C$203,MATCH(A113,Lists!$B$4:$B$203,0)),""))</f>
        <v/>
      </c>
      <c r="D113" s="8"/>
      <c r="E113" s="10"/>
      <c r="F113" s="10" t="str">
        <f t="shared" si="4"/>
        <v/>
      </c>
      <c r="G113" s="8" t="str">
        <f t="shared" ca="1" si="5"/>
        <v/>
      </c>
      <c r="H113" s="8"/>
      <c r="I113" s="8"/>
      <c r="J113" s="4"/>
      <c r="T113" s="1" t="str">
        <f t="shared" ca="1" si="6"/>
        <v/>
      </c>
      <c r="U113" s="1" t="str">
        <f ca="1">IF(T113="","",COUNTIFS($T$4:$T$503,"&gt;0",$T$4:$T$503,"&lt;"&amp;T113)+COUNTIF($T$4:T113,T113))</f>
        <v/>
      </c>
      <c r="V113" s="1" t="str">
        <f t="shared" si="7"/>
        <v/>
      </c>
    </row>
    <row r="114" spans="1:22">
      <c r="A114" s="4"/>
      <c r="B114" s="52" t="str">
        <f>IF(A114="","",IFERROR(INDEX(Lists!$A$4:$A$203,MATCH(A114,Lists!$B$4:$B$203,0)),""))</f>
        <v/>
      </c>
      <c r="C114" s="8" t="str">
        <f>IF(A114="","",IFERROR(INDEX(Lists!$C$4:$C$203,MATCH(A114,Lists!$B$4:$B$203,0)),""))</f>
        <v/>
      </c>
      <c r="D114" s="8"/>
      <c r="E114" s="10"/>
      <c r="F114" s="10" t="str">
        <f t="shared" si="4"/>
        <v/>
      </c>
      <c r="G114" s="8" t="str">
        <f t="shared" ca="1" si="5"/>
        <v/>
      </c>
      <c r="H114" s="8"/>
      <c r="I114" s="8"/>
      <c r="J114" s="4"/>
      <c r="T114" s="1" t="str">
        <f t="shared" ca="1" si="6"/>
        <v/>
      </c>
      <c r="U114" s="1" t="str">
        <f ca="1">IF(T114="","",COUNTIFS($T$4:$T$503,"&gt;0",$T$4:$T$503,"&lt;"&amp;T114)+COUNTIF($T$4:T114,T114))</f>
        <v/>
      </c>
      <c r="V114" s="1" t="str">
        <f t="shared" si="7"/>
        <v/>
      </c>
    </row>
    <row r="115" spans="1:22">
      <c r="A115" s="4"/>
      <c r="B115" s="52" t="str">
        <f>IF(A115="","",IFERROR(INDEX(Lists!$A$4:$A$203,MATCH(A115,Lists!$B$4:$B$203,0)),""))</f>
        <v/>
      </c>
      <c r="C115" s="8" t="str">
        <f>IF(A115="","",IFERROR(INDEX(Lists!$C$4:$C$203,MATCH(A115,Lists!$B$4:$B$203,0)),""))</f>
        <v/>
      </c>
      <c r="D115" s="8"/>
      <c r="E115" s="10"/>
      <c r="F115" s="10" t="str">
        <f t="shared" si="4"/>
        <v/>
      </c>
      <c r="G115" s="8" t="str">
        <f t="shared" ca="1" si="5"/>
        <v/>
      </c>
      <c r="H115" s="8"/>
      <c r="I115" s="8"/>
      <c r="J115" s="4"/>
      <c r="T115" s="1" t="str">
        <f t="shared" ca="1" si="6"/>
        <v/>
      </c>
      <c r="U115" s="1" t="str">
        <f ca="1">IF(T115="","",COUNTIFS($T$4:$T$503,"&gt;0",$T$4:$T$503,"&lt;"&amp;T115)+COUNTIF($T$4:T115,T115))</f>
        <v/>
      </c>
      <c r="V115" s="1" t="str">
        <f t="shared" si="7"/>
        <v/>
      </c>
    </row>
    <row r="116" spans="1:22">
      <c r="A116" s="4"/>
      <c r="B116" s="52" t="str">
        <f>IF(A116="","",IFERROR(INDEX(Lists!$A$4:$A$203,MATCH(A116,Lists!$B$4:$B$203,0)),""))</f>
        <v/>
      </c>
      <c r="C116" s="8" t="str">
        <f>IF(A116="","",IFERROR(INDEX(Lists!$C$4:$C$203,MATCH(A116,Lists!$B$4:$B$203,0)),""))</f>
        <v/>
      </c>
      <c r="D116" s="8"/>
      <c r="E116" s="10"/>
      <c r="F116" s="10" t="str">
        <f t="shared" si="4"/>
        <v/>
      </c>
      <c r="G116" s="8" t="str">
        <f t="shared" ca="1" si="5"/>
        <v/>
      </c>
      <c r="H116" s="8"/>
      <c r="I116" s="8"/>
      <c r="J116" s="4"/>
      <c r="T116" s="1" t="str">
        <f t="shared" ca="1" si="6"/>
        <v/>
      </c>
      <c r="U116" s="1" t="str">
        <f ca="1">IF(T116="","",COUNTIFS($T$4:$T$503,"&gt;0",$T$4:$T$503,"&lt;"&amp;T116)+COUNTIF($T$4:T116,T116))</f>
        <v/>
      </c>
      <c r="V116" s="1" t="str">
        <f t="shared" si="7"/>
        <v/>
      </c>
    </row>
    <row r="117" spans="1:22">
      <c r="A117" s="4"/>
      <c r="B117" s="52" t="str">
        <f>IF(A117="","",IFERROR(INDEX(Lists!$A$4:$A$203,MATCH(A117,Lists!$B$4:$B$203,0)),""))</f>
        <v/>
      </c>
      <c r="C117" s="8" t="str">
        <f>IF(A117="","",IFERROR(INDEX(Lists!$C$4:$C$203,MATCH(A117,Lists!$B$4:$B$203,0)),""))</f>
        <v/>
      </c>
      <c r="D117" s="8"/>
      <c r="E117" s="10"/>
      <c r="F117" s="10" t="str">
        <f t="shared" si="4"/>
        <v/>
      </c>
      <c r="G117" s="8" t="str">
        <f t="shared" ca="1" si="5"/>
        <v/>
      </c>
      <c r="H117" s="8"/>
      <c r="I117" s="8"/>
      <c r="J117" s="4"/>
      <c r="T117" s="1" t="str">
        <f t="shared" ca="1" si="6"/>
        <v/>
      </c>
      <c r="U117" s="1" t="str">
        <f ca="1">IF(T117="","",COUNTIFS($T$4:$T$503,"&gt;0",$T$4:$T$503,"&lt;"&amp;T117)+COUNTIF($T$4:T117,T117))</f>
        <v/>
      </c>
      <c r="V117" s="1" t="str">
        <f t="shared" si="7"/>
        <v/>
      </c>
    </row>
    <row r="118" spans="1:22">
      <c r="A118" s="4"/>
      <c r="B118" s="52" t="str">
        <f>IF(A118="","",IFERROR(INDEX(Lists!$A$4:$A$203,MATCH(A118,Lists!$B$4:$B$203,0)),""))</f>
        <v/>
      </c>
      <c r="C118" s="8" t="str">
        <f>IF(A118="","",IFERROR(INDEX(Lists!$C$4:$C$203,MATCH(A118,Lists!$B$4:$B$203,0)),""))</f>
        <v/>
      </c>
      <c r="D118" s="8"/>
      <c r="E118" s="10"/>
      <c r="F118" s="10" t="str">
        <f t="shared" si="4"/>
        <v/>
      </c>
      <c r="G118" s="8" t="str">
        <f t="shared" ca="1" si="5"/>
        <v/>
      </c>
      <c r="H118" s="8"/>
      <c r="I118" s="8"/>
      <c r="J118" s="4"/>
      <c r="T118" s="1" t="str">
        <f t="shared" ca="1" si="6"/>
        <v/>
      </c>
      <c r="U118" s="1" t="str">
        <f ca="1">IF(T118="","",COUNTIFS($T$4:$T$503,"&gt;0",$T$4:$T$503,"&lt;"&amp;T118)+COUNTIF($T$4:T118,T118))</f>
        <v/>
      </c>
      <c r="V118" s="1" t="str">
        <f t="shared" si="7"/>
        <v/>
      </c>
    </row>
    <row r="119" spans="1:22">
      <c r="A119" s="4"/>
      <c r="B119" s="52" t="str">
        <f>IF(A119="","",IFERROR(INDEX(Lists!$A$4:$A$203,MATCH(A119,Lists!$B$4:$B$203,0)),""))</f>
        <v/>
      </c>
      <c r="C119" s="8" t="str">
        <f>IF(A119="","",IFERROR(INDEX(Lists!$C$4:$C$203,MATCH(A119,Lists!$B$4:$B$203,0)),""))</f>
        <v/>
      </c>
      <c r="D119" s="8"/>
      <c r="E119" s="10"/>
      <c r="F119" s="10" t="str">
        <f t="shared" si="4"/>
        <v/>
      </c>
      <c r="G119" s="8" t="str">
        <f t="shared" ca="1" si="5"/>
        <v/>
      </c>
      <c r="H119" s="8"/>
      <c r="I119" s="8"/>
      <c r="J119" s="4"/>
      <c r="T119" s="1" t="str">
        <f t="shared" ca="1" si="6"/>
        <v/>
      </c>
      <c r="U119" s="1" t="str">
        <f ca="1">IF(T119="","",COUNTIFS($T$4:$T$503,"&gt;0",$T$4:$T$503,"&lt;"&amp;T119)+COUNTIF($T$4:T119,T119))</f>
        <v/>
      </c>
      <c r="V119" s="1" t="str">
        <f t="shared" si="7"/>
        <v/>
      </c>
    </row>
    <row r="120" spans="1:22">
      <c r="A120" s="4"/>
      <c r="B120" s="52" t="str">
        <f>IF(A120="","",IFERROR(INDEX(Lists!$A$4:$A$203,MATCH(A120,Lists!$B$4:$B$203,0)),""))</f>
        <v/>
      </c>
      <c r="C120" s="8" t="str">
        <f>IF(A120="","",IFERROR(INDEX(Lists!$C$4:$C$203,MATCH(A120,Lists!$B$4:$B$203,0)),""))</f>
        <v/>
      </c>
      <c r="D120" s="8"/>
      <c r="E120" s="10"/>
      <c r="F120" s="10" t="str">
        <f t="shared" si="4"/>
        <v/>
      </c>
      <c r="G120" s="8" t="str">
        <f t="shared" ca="1" si="5"/>
        <v/>
      </c>
      <c r="H120" s="8"/>
      <c r="I120" s="8"/>
      <c r="J120" s="4"/>
      <c r="T120" s="1" t="str">
        <f t="shared" ca="1" si="6"/>
        <v/>
      </c>
      <c r="U120" s="1" t="str">
        <f ca="1">IF(T120="","",COUNTIFS($T$4:$T$503,"&gt;0",$T$4:$T$503,"&lt;"&amp;T120)+COUNTIF($T$4:T120,T120))</f>
        <v/>
      </c>
      <c r="V120" s="1" t="str">
        <f t="shared" si="7"/>
        <v/>
      </c>
    </row>
    <row r="121" spans="1:22">
      <c r="A121" s="4"/>
      <c r="B121" s="52" t="str">
        <f>IF(A121="","",IFERROR(INDEX(Lists!$A$4:$A$203,MATCH(A121,Lists!$B$4:$B$203,0)),""))</f>
        <v/>
      </c>
      <c r="C121" s="8" t="str">
        <f>IF(A121="","",IFERROR(INDEX(Lists!$C$4:$C$203,MATCH(A121,Lists!$B$4:$B$203,0)),""))</f>
        <v/>
      </c>
      <c r="D121" s="8"/>
      <c r="E121" s="10"/>
      <c r="F121" s="10" t="str">
        <f t="shared" si="4"/>
        <v/>
      </c>
      <c r="G121" s="8" t="str">
        <f t="shared" ca="1" si="5"/>
        <v/>
      </c>
      <c r="H121" s="8"/>
      <c r="I121" s="8"/>
      <c r="J121" s="4"/>
      <c r="T121" s="1" t="str">
        <f t="shared" ca="1" si="6"/>
        <v/>
      </c>
      <c r="U121" s="1" t="str">
        <f ca="1">IF(T121="","",COUNTIFS($T$4:$T$503,"&gt;0",$T$4:$T$503,"&lt;"&amp;T121)+COUNTIF($T$4:T121,T121))</f>
        <v/>
      </c>
      <c r="V121" s="1" t="str">
        <f t="shared" si="7"/>
        <v/>
      </c>
    </row>
    <row r="122" spans="1:22">
      <c r="A122" s="4"/>
      <c r="B122" s="52" t="str">
        <f>IF(A122="","",IFERROR(INDEX(Lists!$A$4:$A$203,MATCH(A122,Lists!$B$4:$B$203,0)),""))</f>
        <v/>
      </c>
      <c r="C122" s="8" t="str">
        <f>IF(A122="","",IFERROR(INDEX(Lists!$C$4:$C$203,MATCH(A122,Lists!$B$4:$B$203,0)),""))</f>
        <v/>
      </c>
      <c r="D122" s="8"/>
      <c r="E122" s="10"/>
      <c r="F122" s="10" t="str">
        <f t="shared" si="4"/>
        <v/>
      </c>
      <c r="G122" s="8" t="str">
        <f t="shared" ca="1" si="5"/>
        <v/>
      </c>
      <c r="H122" s="8"/>
      <c r="I122" s="8"/>
      <c r="J122" s="4"/>
      <c r="T122" s="1" t="str">
        <f t="shared" ca="1" si="6"/>
        <v/>
      </c>
      <c r="U122" s="1" t="str">
        <f ca="1">IF(T122="","",COUNTIFS($T$4:$T$503,"&gt;0",$T$4:$T$503,"&lt;"&amp;T122)+COUNTIF($T$4:T122,T122))</f>
        <v/>
      </c>
      <c r="V122" s="1" t="str">
        <f t="shared" si="7"/>
        <v/>
      </c>
    </row>
    <row r="123" spans="1:22">
      <c r="A123" s="4"/>
      <c r="B123" s="52" t="str">
        <f>IF(A123="","",IFERROR(INDEX(Lists!$A$4:$A$203,MATCH(A123,Lists!$B$4:$B$203,0)),""))</f>
        <v/>
      </c>
      <c r="C123" s="8" t="str">
        <f>IF(A123="","",IFERROR(INDEX(Lists!$C$4:$C$203,MATCH(A123,Lists!$B$4:$B$203,0)),""))</f>
        <v/>
      </c>
      <c r="D123" s="8"/>
      <c r="E123" s="10"/>
      <c r="F123" s="10" t="str">
        <f t="shared" si="4"/>
        <v/>
      </c>
      <c r="G123" s="8" t="str">
        <f t="shared" ca="1" si="5"/>
        <v/>
      </c>
      <c r="H123" s="8"/>
      <c r="I123" s="8"/>
      <c r="J123" s="4"/>
      <c r="T123" s="1" t="str">
        <f t="shared" ca="1" si="6"/>
        <v/>
      </c>
      <c r="U123" s="1" t="str">
        <f ca="1">IF(T123="","",COUNTIFS($T$4:$T$503,"&gt;0",$T$4:$T$503,"&lt;"&amp;T123)+COUNTIF($T$4:T123,T123))</f>
        <v/>
      </c>
      <c r="V123" s="1" t="str">
        <f t="shared" si="7"/>
        <v/>
      </c>
    </row>
    <row r="124" spans="1:22">
      <c r="A124" s="4"/>
      <c r="B124" s="52" t="str">
        <f>IF(A124="","",IFERROR(INDEX(Lists!$A$4:$A$203,MATCH(A124,Lists!$B$4:$B$203,0)),""))</f>
        <v/>
      </c>
      <c r="C124" s="8" t="str">
        <f>IF(A124="","",IFERROR(INDEX(Lists!$C$4:$C$203,MATCH(A124,Lists!$B$4:$B$203,0)),""))</f>
        <v/>
      </c>
      <c r="D124" s="8"/>
      <c r="E124" s="10"/>
      <c r="F124" s="10" t="str">
        <f t="shared" si="4"/>
        <v/>
      </c>
      <c r="G124" s="8" t="str">
        <f t="shared" ca="1" si="5"/>
        <v/>
      </c>
      <c r="H124" s="8"/>
      <c r="I124" s="8"/>
      <c r="J124" s="4"/>
      <c r="T124" s="1" t="str">
        <f t="shared" ca="1" si="6"/>
        <v/>
      </c>
      <c r="U124" s="1" t="str">
        <f ca="1">IF(T124="","",COUNTIFS($T$4:$T$503,"&gt;0",$T$4:$T$503,"&lt;"&amp;T124)+COUNTIF($T$4:T124,T124))</f>
        <v/>
      </c>
      <c r="V124" s="1" t="str">
        <f t="shared" si="7"/>
        <v/>
      </c>
    </row>
    <row r="125" spans="1:22">
      <c r="A125" s="4"/>
      <c r="B125" s="52" t="str">
        <f>IF(A125="","",IFERROR(INDEX(Lists!$A$4:$A$203,MATCH(A125,Lists!$B$4:$B$203,0)),""))</f>
        <v/>
      </c>
      <c r="C125" s="8" t="str">
        <f>IF(A125="","",IFERROR(INDEX(Lists!$C$4:$C$203,MATCH(A125,Lists!$B$4:$B$203,0)),""))</f>
        <v/>
      </c>
      <c r="D125" s="8"/>
      <c r="E125" s="10"/>
      <c r="F125" s="10" t="str">
        <f t="shared" si="4"/>
        <v/>
      </c>
      <c r="G125" s="8" t="str">
        <f t="shared" ca="1" si="5"/>
        <v/>
      </c>
      <c r="H125" s="8"/>
      <c r="I125" s="8"/>
      <c r="J125" s="4"/>
      <c r="T125" s="1" t="str">
        <f t="shared" ca="1" si="6"/>
        <v/>
      </c>
      <c r="U125" s="1" t="str">
        <f ca="1">IF(T125="","",COUNTIFS($T$4:$T$503,"&gt;0",$T$4:$T$503,"&lt;"&amp;T125)+COUNTIF($T$4:T125,T125))</f>
        <v/>
      </c>
      <c r="V125" s="1" t="str">
        <f t="shared" si="7"/>
        <v/>
      </c>
    </row>
    <row r="126" spans="1:22">
      <c r="A126" s="4"/>
      <c r="B126" s="52" t="str">
        <f>IF(A126="","",IFERROR(INDEX(Lists!$A$4:$A$203,MATCH(A126,Lists!$B$4:$B$203,0)),""))</f>
        <v/>
      </c>
      <c r="C126" s="8" t="str">
        <f>IF(A126="","",IFERROR(INDEX(Lists!$C$4:$C$203,MATCH(A126,Lists!$B$4:$B$203,0)),""))</f>
        <v/>
      </c>
      <c r="D126" s="8"/>
      <c r="E126" s="10"/>
      <c r="F126" s="10" t="str">
        <f t="shared" si="4"/>
        <v/>
      </c>
      <c r="G126" s="8" t="str">
        <f t="shared" ca="1" si="5"/>
        <v/>
      </c>
      <c r="H126" s="8"/>
      <c r="I126" s="8"/>
      <c r="J126" s="4"/>
      <c r="T126" s="1" t="str">
        <f t="shared" ca="1" si="6"/>
        <v/>
      </c>
      <c r="U126" s="1" t="str">
        <f ca="1">IF(T126="","",COUNTIFS($T$4:$T$503,"&gt;0",$T$4:$T$503,"&lt;"&amp;T126)+COUNTIF($T$4:T126,T126))</f>
        <v/>
      </c>
      <c r="V126" s="1" t="str">
        <f t="shared" si="7"/>
        <v/>
      </c>
    </row>
    <row r="127" spans="1:22">
      <c r="A127" s="4"/>
      <c r="B127" s="52" t="str">
        <f>IF(A127="","",IFERROR(INDEX(Lists!$A$4:$A$203,MATCH(A127,Lists!$B$4:$B$203,0)),""))</f>
        <v/>
      </c>
      <c r="C127" s="8" t="str">
        <f>IF(A127="","",IFERROR(INDEX(Lists!$C$4:$C$203,MATCH(A127,Lists!$B$4:$B$203,0)),""))</f>
        <v/>
      </c>
      <c r="D127" s="8"/>
      <c r="E127" s="10"/>
      <c r="F127" s="10" t="str">
        <f t="shared" si="4"/>
        <v/>
      </c>
      <c r="G127" s="8" t="str">
        <f t="shared" ca="1" si="5"/>
        <v/>
      </c>
      <c r="H127" s="8"/>
      <c r="I127" s="8"/>
      <c r="J127" s="4"/>
      <c r="T127" s="1" t="str">
        <f t="shared" ca="1" si="6"/>
        <v/>
      </c>
      <c r="U127" s="1" t="str">
        <f ca="1">IF(T127="","",COUNTIFS($T$4:$T$503,"&gt;0",$T$4:$T$503,"&lt;"&amp;T127)+COUNTIF($T$4:T127,T127))</f>
        <v/>
      </c>
      <c r="V127" s="1" t="str">
        <f t="shared" si="7"/>
        <v/>
      </c>
    </row>
    <row r="128" spans="1:22">
      <c r="A128" s="4"/>
      <c r="B128" s="52" t="str">
        <f>IF(A128="","",IFERROR(INDEX(Lists!$A$4:$A$203,MATCH(A128,Lists!$B$4:$B$203,0)),""))</f>
        <v/>
      </c>
      <c r="C128" s="8" t="str">
        <f>IF(A128="","",IFERROR(INDEX(Lists!$C$4:$C$203,MATCH(A128,Lists!$B$4:$B$203,0)),""))</f>
        <v/>
      </c>
      <c r="D128" s="8"/>
      <c r="E128" s="10"/>
      <c r="F128" s="10" t="str">
        <f t="shared" si="4"/>
        <v/>
      </c>
      <c r="G128" s="8" t="str">
        <f t="shared" ca="1" si="5"/>
        <v/>
      </c>
      <c r="H128" s="8"/>
      <c r="I128" s="8"/>
      <c r="J128" s="4"/>
      <c r="T128" s="1" t="str">
        <f t="shared" ca="1" si="6"/>
        <v/>
      </c>
      <c r="U128" s="1" t="str">
        <f ca="1">IF(T128="","",COUNTIFS($T$4:$T$503,"&gt;0",$T$4:$T$503,"&lt;"&amp;T128)+COUNTIF($T$4:T128,T128))</f>
        <v/>
      </c>
      <c r="V128" s="1" t="str">
        <f t="shared" si="7"/>
        <v/>
      </c>
    </row>
    <row r="129" spans="1:22">
      <c r="A129" s="4"/>
      <c r="B129" s="52" t="str">
        <f>IF(A129="","",IFERROR(INDEX(Lists!$A$4:$A$203,MATCH(A129,Lists!$B$4:$B$203,0)),""))</f>
        <v/>
      </c>
      <c r="C129" s="8" t="str">
        <f>IF(A129="","",IFERROR(INDEX(Lists!$C$4:$C$203,MATCH(A129,Lists!$B$4:$B$203,0)),""))</f>
        <v/>
      </c>
      <c r="D129" s="8"/>
      <c r="E129" s="10"/>
      <c r="F129" s="10" t="str">
        <f t="shared" si="4"/>
        <v/>
      </c>
      <c r="G129" s="8" t="str">
        <f t="shared" ca="1" si="5"/>
        <v/>
      </c>
      <c r="H129" s="8"/>
      <c r="I129" s="8"/>
      <c r="J129" s="4"/>
      <c r="T129" s="1" t="str">
        <f t="shared" ca="1" si="6"/>
        <v/>
      </c>
      <c r="U129" s="1" t="str">
        <f ca="1">IF(T129="","",COUNTIFS($T$4:$T$503,"&gt;0",$T$4:$T$503,"&lt;"&amp;T129)+COUNTIF($T$4:T129,T129))</f>
        <v/>
      </c>
      <c r="V129" s="1" t="str">
        <f t="shared" si="7"/>
        <v/>
      </c>
    </row>
    <row r="130" spans="1:22">
      <c r="A130" s="4"/>
      <c r="B130" s="52" t="str">
        <f>IF(A130="","",IFERROR(INDEX(Lists!$A$4:$A$203,MATCH(A130,Lists!$B$4:$B$203,0)),""))</f>
        <v/>
      </c>
      <c r="C130" s="8" t="str">
        <f>IF(A130="","",IFERROR(INDEX(Lists!$C$4:$C$203,MATCH(A130,Lists!$B$4:$B$203,0)),""))</f>
        <v/>
      </c>
      <c r="D130" s="8"/>
      <c r="E130" s="10"/>
      <c r="F130" s="10" t="str">
        <f t="shared" si="4"/>
        <v/>
      </c>
      <c r="G130" s="8" t="str">
        <f t="shared" ca="1" si="5"/>
        <v/>
      </c>
      <c r="H130" s="8"/>
      <c r="I130" s="8"/>
      <c r="J130" s="4"/>
      <c r="T130" s="1" t="str">
        <f t="shared" ca="1" si="6"/>
        <v/>
      </c>
      <c r="U130" s="1" t="str">
        <f ca="1">IF(T130="","",COUNTIFS($T$4:$T$503,"&gt;0",$T$4:$T$503,"&lt;"&amp;T130)+COUNTIF($T$4:T130,T130))</f>
        <v/>
      </c>
      <c r="V130" s="1" t="str">
        <f t="shared" si="7"/>
        <v/>
      </c>
    </row>
    <row r="131" spans="1:22">
      <c r="A131" s="4"/>
      <c r="B131" s="52" t="str">
        <f>IF(A131="","",IFERROR(INDEX(Lists!$A$4:$A$203,MATCH(A131,Lists!$B$4:$B$203,0)),""))</f>
        <v/>
      </c>
      <c r="C131" s="8" t="str">
        <f>IF(A131="","",IFERROR(INDEX(Lists!$C$4:$C$203,MATCH(A131,Lists!$B$4:$B$203,0)),""))</f>
        <v/>
      </c>
      <c r="D131" s="8"/>
      <c r="E131" s="10"/>
      <c r="F131" s="10" t="str">
        <f t="shared" si="4"/>
        <v/>
      </c>
      <c r="G131" s="8" t="str">
        <f t="shared" ca="1" si="5"/>
        <v/>
      </c>
      <c r="H131" s="8"/>
      <c r="I131" s="8"/>
      <c r="J131" s="4"/>
      <c r="T131" s="1" t="str">
        <f t="shared" ca="1" si="6"/>
        <v/>
      </c>
      <c r="U131" s="1" t="str">
        <f ca="1">IF(T131="","",COUNTIFS($T$4:$T$503,"&gt;0",$T$4:$T$503,"&lt;"&amp;T131)+COUNTIF($T$4:T131,T131))</f>
        <v/>
      </c>
      <c r="V131" s="1" t="str">
        <f t="shared" si="7"/>
        <v/>
      </c>
    </row>
    <row r="132" spans="1:22">
      <c r="A132" s="4"/>
      <c r="B132" s="52" t="str">
        <f>IF(A132="","",IFERROR(INDEX(Lists!$A$4:$A$203,MATCH(A132,Lists!$B$4:$B$203,0)),""))</f>
        <v/>
      </c>
      <c r="C132" s="8" t="str">
        <f>IF(A132="","",IFERROR(INDEX(Lists!$C$4:$C$203,MATCH(A132,Lists!$B$4:$B$203,0)),""))</f>
        <v/>
      </c>
      <c r="D132" s="8"/>
      <c r="E132" s="10"/>
      <c r="F132" s="10" t="str">
        <f t="shared" ref="F132:F195" si="8">IF(OR(A132="",D132="",E132=""),"",IFERROR(EDATE(E132,INDEX($O$4:$O$63,MATCH(D132,$M$4:$M$63,0))),""))</f>
        <v/>
      </c>
      <c r="G132" s="8" t="str">
        <f t="shared" ref="G132:G195" ca="1" si="9">IF(A132="","",IF(D132="","Missing Certification",IF(F132="","Missing Date",IF(F132&lt;TODAY(),"Expired",IF(F132&lt;=TODAY()+IFERROR(INDEX($P$4:$P$63,MATCH(D132,$M$4:$M$63,0)),30),"Due Soon","Current")))))</f>
        <v/>
      </c>
      <c r="H132" s="8"/>
      <c r="I132" s="8"/>
      <c r="J132" s="4"/>
      <c r="T132" s="1" t="str">
        <f t="shared" ref="T132:T195" ca="1" si="10">IF(G132="Expired",1,IF(G132="Due Soon",2,IF(OR(G132="Missing Date",G132="Missing Certification"),3,"")))</f>
        <v/>
      </c>
      <c r="U132" s="1" t="str">
        <f ca="1">IF(T132="","",COUNTIFS($T$4:$T$503,"&gt;0",$T$4:$T$503,"&lt;"&amp;T132)+COUNTIF($T$4:T132,T132))</f>
        <v/>
      </c>
      <c r="V132" s="1" t="str">
        <f t="shared" ref="V132:V195" si="11">IFERROR(INDEX($N$4:$N$63,MATCH(D132,$M$4:$M$63,0)),"")</f>
        <v/>
      </c>
    </row>
    <row r="133" spans="1:22">
      <c r="A133" s="4"/>
      <c r="B133" s="52" t="str">
        <f>IF(A133="","",IFERROR(INDEX(Lists!$A$4:$A$203,MATCH(A133,Lists!$B$4:$B$203,0)),""))</f>
        <v/>
      </c>
      <c r="C133" s="8" t="str">
        <f>IF(A133="","",IFERROR(INDEX(Lists!$C$4:$C$203,MATCH(A133,Lists!$B$4:$B$203,0)),""))</f>
        <v/>
      </c>
      <c r="D133" s="8"/>
      <c r="E133" s="10"/>
      <c r="F133" s="10" t="str">
        <f t="shared" si="8"/>
        <v/>
      </c>
      <c r="G133" s="8" t="str">
        <f t="shared" ca="1" si="9"/>
        <v/>
      </c>
      <c r="H133" s="8"/>
      <c r="I133" s="8"/>
      <c r="J133" s="4"/>
      <c r="T133" s="1" t="str">
        <f t="shared" ca="1" si="10"/>
        <v/>
      </c>
      <c r="U133" s="1" t="str">
        <f ca="1">IF(T133="","",COUNTIFS($T$4:$T$503,"&gt;0",$T$4:$T$503,"&lt;"&amp;T133)+COUNTIF($T$4:T133,T133))</f>
        <v/>
      </c>
      <c r="V133" s="1" t="str">
        <f t="shared" si="11"/>
        <v/>
      </c>
    </row>
    <row r="134" spans="1:22">
      <c r="A134" s="4"/>
      <c r="B134" s="52" t="str">
        <f>IF(A134="","",IFERROR(INDEX(Lists!$A$4:$A$203,MATCH(A134,Lists!$B$4:$B$203,0)),""))</f>
        <v/>
      </c>
      <c r="C134" s="8" t="str">
        <f>IF(A134="","",IFERROR(INDEX(Lists!$C$4:$C$203,MATCH(A134,Lists!$B$4:$B$203,0)),""))</f>
        <v/>
      </c>
      <c r="D134" s="8"/>
      <c r="E134" s="10"/>
      <c r="F134" s="10" t="str">
        <f t="shared" si="8"/>
        <v/>
      </c>
      <c r="G134" s="8" t="str">
        <f t="shared" ca="1" si="9"/>
        <v/>
      </c>
      <c r="H134" s="8"/>
      <c r="I134" s="8"/>
      <c r="J134" s="4"/>
      <c r="T134" s="1" t="str">
        <f t="shared" ca="1" si="10"/>
        <v/>
      </c>
      <c r="U134" s="1" t="str">
        <f ca="1">IF(T134="","",COUNTIFS($T$4:$T$503,"&gt;0",$T$4:$T$503,"&lt;"&amp;T134)+COUNTIF($T$4:T134,T134))</f>
        <v/>
      </c>
      <c r="V134" s="1" t="str">
        <f t="shared" si="11"/>
        <v/>
      </c>
    </row>
    <row r="135" spans="1:22">
      <c r="A135" s="4"/>
      <c r="B135" s="52" t="str">
        <f>IF(A135="","",IFERROR(INDEX(Lists!$A$4:$A$203,MATCH(A135,Lists!$B$4:$B$203,0)),""))</f>
        <v/>
      </c>
      <c r="C135" s="8" t="str">
        <f>IF(A135="","",IFERROR(INDEX(Lists!$C$4:$C$203,MATCH(A135,Lists!$B$4:$B$203,0)),""))</f>
        <v/>
      </c>
      <c r="D135" s="8"/>
      <c r="E135" s="10"/>
      <c r="F135" s="10" t="str">
        <f t="shared" si="8"/>
        <v/>
      </c>
      <c r="G135" s="8" t="str">
        <f t="shared" ca="1" si="9"/>
        <v/>
      </c>
      <c r="H135" s="8"/>
      <c r="I135" s="8"/>
      <c r="J135" s="4"/>
      <c r="T135" s="1" t="str">
        <f t="shared" ca="1" si="10"/>
        <v/>
      </c>
      <c r="U135" s="1" t="str">
        <f ca="1">IF(T135="","",COUNTIFS($T$4:$T$503,"&gt;0",$T$4:$T$503,"&lt;"&amp;T135)+COUNTIF($T$4:T135,T135))</f>
        <v/>
      </c>
      <c r="V135" s="1" t="str">
        <f t="shared" si="11"/>
        <v/>
      </c>
    </row>
    <row r="136" spans="1:22">
      <c r="A136" s="4"/>
      <c r="B136" s="52" t="str">
        <f>IF(A136="","",IFERROR(INDEX(Lists!$A$4:$A$203,MATCH(A136,Lists!$B$4:$B$203,0)),""))</f>
        <v/>
      </c>
      <c r="C136" s="8" t="str">
        <f>IF(A136="","",IFERROR(INDEX(Lists!$C$4:$C$203,MATCH(A136,Lists!$B$4:$B$203,0)),""))</f>
        <v/>
      </c>
      <c r="D136" s="8"/>
      <c r="E136" s="10"/>
      <c r="F136" s="10" t="str">
        <f t="shared" si="8"/>
        <v/>
      </c>
      <c r="G136" s="8" t="str">
        <f t="shared" ca="1" si="9"/>
        <v/>
      </c>
      <c r="H136" s="8"/>
      <c r="I136" s="8"/>
      <c r="J136" s="4"/>
      <c r="T136" s="1" t="str">
        <f t="shared" ca="1" si="10"/>
        <v/>
      </c>
      <c r="U136" s="1" t="str">
        <f ca="1">IF(T136="","",COUNTIFS($T$4:$T$503,"&gt;0",$T$4:$T$503,"&lt;"&amp;T136)+COUNTIF($T$4:T136,T136))</f>
        <v/>
      </c>
      <c r="V136" s="1" t="str">
        <f t="shared" si="11"/>
        <v/>
      </c>
    </row>
    <row r="137" spans="1:22">
      <c r="A137" s="4"/>
      <c r="B137" s="52" t="str">
        <f>IF(A137="","",IFERROR(INDEX(Lists!$A$4:$A$203,MATCH(A137,Lists!$B$4:$B$203,0)),""))</f>
        <v/>
      </c>
      <c r="C137" s="8" t="str">
        <f>IF(A137="","",IFERROR(INDEX(Lists!$C$4:$C$203,MATCH(A137,Lists!$B$4:$B$203,0)),""))</f>
        <v/>
      </c>
      <c r="D137" s="8"/>
      <c r="E137" s="10"/>
      <c r="F137" s="10" t="str">
        <f t="shared" si="8"/>
        <v/>
      </c>
      <c r="G137" s="8" t="str">
        <f t="shared" ca="1" si="9"/>
        <v/>
      </c>
      <c r="H137" s="8"/>
      <c r="I137" s="8"/>
      <c r="J137" s="4"/>
      <c r="T137" s="1" t="str">
        <f t="shared" ca="1" si="10"/>
        <v/>
      </c>
      <c r="U137" s="1" t="str">
        <f ca="1">IF(T137="","",COUNTIFS($T$4:$T$503,"&gt;0",$T$4:$T$503,"&lt;"&amp;T137)+COUNTIF($T$4:T137,T137))</f>
        <v/>
      </c>
      <c r="V137" s="1" t="str">
        <f t="shared" si="11"/>
        <v/>
      </c>
    </row>
    <row r="138" spans="1:22">
      <c r="A138" s="4"/>
      <c r="B138" s="52" t="str">
        <f>IF(A138="","",IFERROR(INDEX(Lists!$A$4:$A$203,MATCH(A138,Lists!$B$4:$B$203,0)),""))</f>
        <v/>
      </c>
      <c r="C138" s="8" t="str">
        <f>IF(A138="","",IFERROR(INDEX(Lists!$C$4:$C$203,MATCH(A138,Lists!$B$4:$B$203,0)),""))</f>
        <v/>
      </c>
      <c r="D138" s="8"/>
      <c r="E138" s="10"/>
      <c r="F138" s="10" t="str">
        <f t="shared" si="8"/>
        <v/>
      </c>
      <c r="G138" s="8" t="str">
        <f t="shared" ca="1" si="9"/>
        <v/>
      </c>
      <c r="H138" s="8"/>
      <c r="I138" s="8"/>
      <c r="J138" s="4"/>
      <c r="T138" s="1" t="str">
        <f t="shared" ca="1" si="10"/>
        <v/>
      </c>
      <c r="U138" s="1" t="str">
        <f ca="1">IF(T138="","",COUNTIFS($T$4:$T$503,"&gt;0",$T$4:$T$503,"&lt;"&amp;T138)+COUNTIF($T$4:T138,T138))</f>
        <v/>
      </c>
      <c r="V138" s="1" t="str">
        <f t="shared" si="11"/>
        <v/>
      </c>
    </row>
    <row r="139" spans="1:22">
      <c r="A139" s="4"/>
      <c r="B139" s="52" t="str">
        <f>IF(A139="","",IFERROR(INDEX(Lists!$A$4:$A$203,MATCH(A139,Lists!$B$4:$B$203,0)),""))</f>
        <v/>
      </c>
      <c r="C139" s="8" t="str">
        <f>IF(A139="","",IFERROR(INDEX(Lists!$C$4:$C$203,MATCH(A139,Lists!$B$4:$B$203,0)),""))</f>
        <v/>
      </c>
      <c r="D139" s="8"/>
      <c r="E139" s="10"/>
      <c r="F139" s="10" t="str">
        <f t="shared" si="8"/>
        <v/>
      </c>
      <c r="G139" s="8" t="str">
        <f t="shared" ca="1" si="9"/>
        <v/>
      </c>
      <c r="H139" s="8"/>
      <c r="I139" s="8"/>
      <c r="J139" s="4"/>
      <c r="T139" s="1" t="str">
        <f t="shared" ca="1" si="10"/>
        <v/>
      </c>
      <c r="U139" s="1" t="str">
        <f ca="1">IF(T139="","",COUNTIFS($T$4:$T$503,"&gt;0",$T$4:$T$503,"&lt;"&amp;T139)+COUNTIF($T$4:T139,T139))</f>
        <v/>
      </c>
      <c r="V139" s="1" t="str">
        <f t="shared" si="11"/>
        <v/>
      </c>
    </row>
    <row r="140" spans="1:22">
      <c r="A140" s="4"/>
      <c r="B140" s="52" t="str">
        <f>IF(A140="","",IFERROR(INDEX(Lists!$A$4:$A$203,MATCH(A140,Lists!$B$4:$B$203,0)),""))</f>
        <v/>
      </c>
      <c r="C140" s="8" t="str">
        <f>IF(A140="","",IFERROR(INDEX(Lists!$C$4:$C$203,MATCH(A140,Lists!$B$4:$B$203,0)),""))</f>
        <v/>
      </c>
      <c r="D140" s="8"/>
      <c r="E140" s="10"/>
      <c r="F140" s="10" t="str">
        <f t="shared" si="8"/>
        <v/>
      </c>
      <c r="G140" s="8" t="str">
        <f t="shared" ca="1" si="9"/>
        <v/>
      </c>
      <c r="H140" s="8"/>
      <c r="I140" s="8"/>
      <c r="J140" s="4"/>
      <c r="T140" s="1" t="str">
        <f t="shared" ca="1" si="10"/>
        <v/>
      </c>
      <c r="U140" s="1" t="str">
        <f ca="1">IF(T140="","",COUNTIFS($T$4:$T$503,"&gt;0",$T$4:$T$503,"&lt;"&amp;T140)+COUNTIF($T$4:T140,T140))</f>
        <v/>
      </c>
      <c r="V140" s="1" t="str">
        <f t="shared" si="11"/>
        <v/>
      </c>
    </row>
    <row r="141" spans="1:22">
      <c r="A141" s="4"/>
      <c r="B141" s="52" t="str">
        <f>IF(A141="","",IFERROR(INDEX(Lists!$A$4:$A$203,MATCH(A141,Lists!$B$4:$B$203,0)),""))</f>
        <v/>
      </c>
      <c r="C141" s="8" t="str">
        <f>IF(A141="","",IFERROR(INDEX(Lists!$C$4:$C$203,MATCH(A141,Lists!$B$4:$B$203,0)),""))</f>
        <v/>
      </c>
      <c r="D141" s="8"/>
      <c r="E141" s="10"/>
      <c r="F141" s="10" t="str">
        <f t="shared" si="8"/>
        <v/>
      </c>
      <c r="G141" s="8" t="str">
        <f t="shared" ca="1" si="9"/>
        <v/>
      </c>
      <c r="H141" s="8"/>
      <c r="I141" s="8"/>
      <c r="J141" s="4"/>
      <c r="T141" s="1" t="str">
        <f t="shared" ca="1" si="10"/>
        <v/>
      </c>
      <c r="U141" s="1" t="str">
        <f ca="1">IF(T141="","",COUNTIFS($T$4:$T$503,"&gt;0",$T$4:$T$503,"&lt;"&amp;T141)+COUNTIF($T$4:T141,T141))</f>
        <v/>
      </c>
      <c r="V141" s="1" t="str">
        <f t="shared" si="11"/>
        <v/>
      </c>
    </row>
    <row r="142" spans="1:22">
      <c r="A142" s="4"/>
      <c r="B142" s="52" t="str">
        <f>IF(A142="","",IFERROR(INDEX(Lists!$A$4:$A$203,MATCH(A142,Lists!$B$4:$B$203,0)),""))</f>
        <v/>
      </c>
      <c r="C142" s="8" t="str">
        <f>IF(A142="","",IFERROR(INDEX(Lists!$C$4:$C$203,MATCH(A142,Lists!$B$4:$B$203,0)),""))</f>
        <v/>
      </c>
      <c r="D142" s="8"/>
      <c r="E142" s="10"/>
      <c r="F142" s="10" t="str">
        <f t="shared" si="8"/>
        <v/>
      </c>
      <c r="G142" s="8" t="str">
        <f t="shared" ca="1" si="9"/>
        <v/>
      </c>
      <c r="H142" s="8"/>
      <c r="I142" s="8"/>
      <c r="J142" s="4"/>
      <c r="T142" s="1" t="str">
        <f t="shared" ca="1" si="10"/>
        <v/>
      </c>
      <c r="U142" s="1" t="str">
        <f ca="1">IF(T142="","",COUNTIFS($T$4:$T$503,"&gt;0",$T$4:$T$503,"&lt;"&amp;T142)+COUNTIF($T$4:T142,T142))</f>
        <v/>
      </c>
      <c r="V142" s="1" t="str">
        <f t="shared" si="11"/>
        <v/>
      </c>
    </row>
    <row r="143" spans="1:22">
      <c r="A143" s="4"/>
      <c r="B143" s="52" t="str">
        <f>IF(A143="","",IFERROR(INDEX(Lists!$A$4:$A$203,MATCH(A143,Lists!$B$4:$B$203,0)),""))</f>
        <v/>
      </c>
      <c r="C143" s="8" t="str">
        <f>IF(A143="","",IFERROR(INDEX(Lists!$C$4:$C$203,MATCH(A143,Lists!$B$4:$B$203,0)),""))</f>
        <v/>
      </c>
      <c r="D143" s="8"/>
      <c r="E143" s="10"/>
      <c r="F143" s="10" t="str">
        <f t="shared" si="8"/>
        <v/>
      </c>
      <c r="G143" s="8" t="str">
        <f t="shared" ca="1" si="9"/>
        <v/>
      </c>
      <c r="H143" s="8"/>
      <c r="I143" s="8"/>
      <c r="J143" s="4"/>
      <c r="T143" s="1" t="str">
        <f t="shared" ca="1" si="10"/>
        <v/>
      </c>
      <c r="U143" s="1" t="str">
        <f ca="1">IF(T143="","",COUNTIFS($T$4:$T$503,"&gt;0",$T$4:$T$503,"&lt;"&amp;T143)+COUNTIF($T$4:T143,T143))</f>
        <v/>
      </c>
      <c r="V143" s="1" t="str">
        <f t="shared" si="11"/>
        <v/>
      </c>
    </row>
    <row r="144" spans="1:22">
      <c r="A144" s="4"/>
      <c r="B144" s="52" t="str">
        <f>IF(A144="","",IFERROR(INDEX(Lists!$A$4:$A$203,MATCH(A144,Lists!$B$4:$B$203,0)),""))</f>
        <v/>
      </c>
      <c r="C144" s="8" t="str">
        <f>IF(A144="","",IFERROR(INDEX(Lists!$C$4:$C$203,MATCH(A144,Lists!$B$4:$B$203,0)),""))</f>
        <v/>
      </c>
      <c r="D144" s="8"/>
      <c r="E144" s="10"/>
      <c r="F144" s="10" t="str">
        <f t="shared" si="8"/>
        <v/>
      </c>
      <c r="G144" s="8" t="str">
        <f t="shared" ca="1" si="9"/>
        <v/>
      </c>
      <c r="H144" s="8"/>
      <c r="I144" s="8"/>
      <c r="J144" s="4"/>
      <c r="T144" s="1" t="str">
        <f t="shared" ca="1" si="10"/>
        <v/>
      </c>
      <c r="U144" s="1" t="str">
        <f ca="1">IF(T144="","",COUNTIFS($T$4:$T$503,"&gt;0",$T$4:$T$503,"&lt;"&amp;T144)+COUNTIF($T$4:T144,T144))</f>
        <v/>
      </c>
      <c r="V144" s="1" t="str">
        <f t="shared" si="11"/>
        <v/>
      </c>
    </row>
    <row r="145" spans="1:22">
      <c r="A145" s="4"/>
      <c r="B145" s="52" t="str">
        <f>IF(A145="","",IFERROR(INDEX(Lists!$A$4:$A$203,MATCH(A145,Lists!$B$4:$B$203,0)),""))</f>
        <v/>
      </c>
      <c r="C145" s="8" t="str">
        <f>IF(A145="","",IFERROR(INDEX(Lists!$C$4:$C$203,MATCH(A145,Lists!$B$4:$B$203,0)),""))</f>
        <v/>
      </c>
      <c r="D145" s="8"/>
      <c r="E145" s="10"/>
      <c r="F145" s="10" t="str">
        <f t="shared" si="8"/>
        <v/>
      </c>
      <c r="G145" s="8" t="str">
        <f t="shared" ca="1" si="9"/>
        <v/>
      </c>
      <c r="H145" s="8"/>
      <c r="I145" s="8"/>
      <c r="J145" s="4"/>
      <c r="T145" s="1" t="str">
        <f t="shared" ca="1" si="10"/>
        <v/>
      </c>
      <c r="U145" s="1" t="str">
        <f ca="1">IF(T145="","",COUNTIFS($T$4:$T$503,"&gt;0",$T$4:$T$503,"&lt;"&amp;T145)+COUNTIF($T$4:T145,T145))</f>
        <v/>
      </c>
      <c r="V145" s="1" t="str">
        <f t="shared" si="11"/>
        <v/>
      </c>
    </row>
    <row r="146" spans="1:22">
      <c r="A146" s="4"/>
      <c r="B146" s="52" t="str">
        <f>IF(A146="","",IFERROR(INDEX(Lists!$A$4:$A$203,MATCH(A146,Lists!$B$4:$B$203,0)),""))</f>
        <v/>
      </c>
      <c r="C146" s="8" t="str">
        <f>IF(A146="","",IFERROR(INDEX(Lists!$C$4:$C$203,MATCH(A146,Lists!$B$4:$B$203,0)),""))</f>
        <v/>
      </c>
      <c r="D146" s="8"/>
      <c r="E146" s="10"/>
      <c r="F146" s="10" t="str">
        <f t="shared" si="8"/>
        <v/>
      </c>
      <c r="G146" s="8" t="str">
        <f t="shared" ca="1" si="9"/>
        <v/>
      </c>
      <c r="H146" s="8"/>
      <c r="I146" s="8"/>
      <c r="J146" s="4"/>
      <c r="T146" s="1" t="str">
        <f t="shared" ca="1" si="10"/>
        <v/>
      </c>
      <c r="U146" s="1" t="str">
        <f ca="1">IF(T146="","",COUNTIFS($T$4:$T$503,"&gt;0",$T$4:$T$503,"&lt;"&amp;T146)+COUNTIF($T$4:T146,T146))</f>
        <v/>
      </c>
      <c r="V146" s="1" t="str">
        <f t="shared" si="11"/>
        <v/>
      </c>
    </row>
    <row r="147" spans="1:22">
      <c r="A147" s="4"/>
      <c r="B147" s="52" t="str">
        <f>IF(A147="","",IFERROR(INDEX(Lists!$A$4:$A$203,MATCH(A147,Lists!$B$4:$B$203,0)),""))</f>
        <v/>
      </c>
      <c r="C147" s="8" t="str">
        <f>IF(A147="","",IFERROR(INDEX(Lists!$C$4:$C$203,MATCH(A147,Lists!$B$4:$B$203,0)),""))</f>
        <v/>
      </c>
      <c r="D147" s="8"/>
      <c r="E147" s="10"/>
      <c r="F147" s="10" t="str">
        <f t="shared" si="8"/>
        <v/>
      </c>
      <c r="G147" s="8" t="str">
        <f t="shared" ca="1" si="9"/>
        <v/>
      </c>
      <c r="H147" s="8"/>
      <c r="I147" s="8"/>
      <c r="J147" s="4"/>
      <c r="T147" s="1" t="str">
        <f t="shared" ca="1" si="10"/>
        <v/>
      </c>
      <c r="U147" s="1" t="str">
        <f ca="1">IF(T147="","",COUNTIFS($T$4:$T$503,"&gt;0",$T$4:$T$503,"&lt;"&amp;T147)+COUNTIF($T$4:T147,T147))</f>
        <v/>
      </c>
      <c r="V147" s="1" t="str">
        <f t="shared" si="11"/>
        <v/>
      </c>
    </row>
    <row r="148" spans="1:22">
      <c r="A148" s="4"/>
      <c r="B148" s="52" t="str">
        <f>IF(A148="","",IFERROR(INDEX(Lists!$A$4:$A$203,MATCH(A148,Lists!$B$4:$B$203,0)),""))</f>
        <v/>
      </c>
      <c r="C148" s="8" t="str">
        <f>IF(A148="","",IFERROR(INDEX(Lists!$C$4:$C$203,MATCH(A148,Lists!$B$4:$B$203,0)),""))</f>
        <v/>
      </c>
      <c r="D148" s="8"/>
      <c r="E148" s="10"/>
      <c r="F148" s="10" t="str">
        <f t="shared" si="8"/>
        <v/>
      </c>
      <c r="G148" s="8" t="str">
        <f t="shared" ca="1" si="9"/>
        <v/>
      </c>
      <c r="H148" s="8"/>
      <c r="I148" s="8"/>
      <c r="J148" s="4"/>
      <c r="T148" s="1" t="str">
        <f t="shared" ca="1" si="10"/>
        <v/>
      </c>
      <c r="U148" s="1" t="str">
        <f ca="1">IF(T148="","",COUNTIFS($T$4:$T$503,"&gt;0",$T$4:$T$503,"&lt;"&amp;T148)+COUNTIF($T$4:T148,T148))</f>
        <v/>
      </c>
      <c r="V148" s="1" t="str">
        <f t="shared" si="11"/>
        <v/>
      </c>
    </row>
    <row r="149" spans="1:22">
      <c r="A149" s="4"/>
      <c r="B149" s="52" t="str">
        <f>IF(A149="","",IFERROR(INDEX(Lists!$A$4:$A$203,MATCH(A149,Lists!$B$4:$B$203,0)),""))</f>
        <v/>
      </c>
      <c r="C149" s="8" t="str">
        <f>IF(A149="","",IFERROR(INDEX(Lists!$C$4:$C$203,MATCH(A149,Lists!$B$4:$B$203,0)),""))</f>
        <v/>
      </c>
      <c r="D149" s="8"/>
      <c r="E149" s="10"/>
      <c r="F149" s="10" t="str">
        <f t="shared" si="8"/>
        <v/>
      </c>
      <c r="G149" s="8" t="str">
        <f t="shared" ca="1" si="9"/>
        <v/>
      </c>
      <c r="H149" s="8"/>
      <c r="I149" s="8"/>
      <c r="J149" s="4"/>
      <c r="T149" s="1" t="str">
        <f t="shared" ca="1" si="10"/>
        <v/>
      </c>
      <c r="U149" s="1" t="str">
        <f ca="1">IF(T149="","",COUNTIFS($T$4:$T$503,"&gt;0",$T$4:$T$503,"&lt;"&amp;T149)+COUNTIF($T$4:T149,T149))</f>
        <v/>
      </c>
      <c r="V149" s="1" t="str">
        <f t="shared" si="11"/>
        <v/>
      </c>
    </row>
    <row r="150" spans="1:22">
      <c r="A150" s="4"/>
      <c r="B150" s="52" t="str">
        <f>IF(A150="","",IFERROR(INDEX(Lists!$A$4:$A$203,MATCH(A150,Lists!$B$4:$B$203,0)),""))</f>
        <v/>
      </c>
      <c r="C150" s="8" t="str">
        <f>IF(A150="","",IFERROR(INDEX(Lists!$C$4:$C$203,MATCH(A150,Lists!$B$4:$B$203,0)),""))</f>
        <v/>
      </c>
      <c r="D150" s="8"/>
      <c r="E150" s="10"/>
      <c r="F150" s="10" t="str">
        <f t="shared" si="8"/>
        <v/>
      </c>
      <c r="G150" s="8" t="str">
        <f t="shared" ca="1" si="9"/>
        <v/>
      </c>
      <c r="H150" s="8"/>
      <c r="I150" s="8"/>
      <c r="J150" s="4"/>
      <c r="T150" s="1" t="str">
        <f t="shared" ca="1" si="10"/>
        <v/>
      </c>
      <c r="U150" s="1" t="str">
        <f ca="1">IF(T150="","",COUNTIFS($T$4:$T$503,"&gt;0",$T$4:$T$503,"&lt;"&amp;T150)+COUNTIF($T$4:T150,T150))</f>
        <v/>
      </c>
      <c r="V150" s="1" t="str">
        <f t="shared" si="11"/>
        <v/>
      </c>
    </row>
    <row r="151" spans="1:22">
      <c r="A151" s="4"/>
      <c r="B151" s="52" t="str">
        <f>IF(A151="","",IFERROR(INDEX(Lists!$A$4:$A$203,MATCH(A151,Lists!$B$4:$B$203,0)),""))</f>
        <v/>
      </c>
      <c r="C151" s="8" t="str">
        <f>IF(A151="","",IFERROR(INDEX(Lists!$C$4:$C$203,MATCH(A151,Lists!$B$4:$B$203,0)),""))</f>
        <v/>
      </c>
      <c r="D151" s="8"/>
      <c r="E151" s="10"/>
      <c r="F151" s="10" t="str">
        <f t="shared" si="8"/>
        <v/>
      </c>
      <c r="G151" s="8" t="str">
        <f t="shared" ca="1" si="9"/>
        <v/>
      </c>
      <c r="H151" s="8"/>
      <c r="I151" s="8"/>
      <c r="J151" s="4"/>
      <c r="T151" s="1" t="str">
        <f t="shared" ca="1" si="10"/>
        <v/>
      </c>
      <c r="U151" s="1" t="str">
        <f ca="1">IF(T151="","",COUNTIFS($T$4:$T$503,"&gt;0",$T$4:$T$503,"&lt;"&amp;T151)+COUNTIF($T$4:T151,T151))</f>
        <v/>
      </c>
      <c r="V151" s="1" t="str">
        <f t="shared" si="11"/>
        <v/>
      </c>
    </row>
    <row r="152" spans="1:22">
      <c r="A152" s="4"/>
      <c r="B152" s="52" t="str">
        <f>IF(A152="","",IFERROR(INDEX(Lists!$A$4:$A$203,MATCH(A152,Lists!$B$4:$B$203,0)),""))</f>
        <v/>
      </c>
      <c r="C152" s="8" t="str">
        <f>IF(A152="","",IFERROR(INDEX(Lists!$C$4:$C$203,MATCH(A152,Lists!$B$4:$B$203,0)),""))</f>
        <v/>
      </c>
      <c r="D152" s="8"/>
      <c r="E152" s="10"/>
      <c r="F152" s="10" t="str">
        <f t="shared" si="8"/>
        <v/>
      </c>
      <c r="G152" s="8" t="str">
        <f t="shared" ca="1" si="9"/>
        <v/>
      </c>
      <c r="H152" s="8"/>
      <c r="I152" s="8"/>
      <c r="J152" s="4"/>
      <c r="T152" s="1" t="str">
        <f t="shared" ca="1" si="10"/>
        <v/>
      </c>
      <c r="U152" s="1" t="str">
        <f ca="1">IF(T152="","",COUNTIFS($T$4:$T$503,"&gt;0",$T$4:$T$503,"&lt;"&amp;T152)+COUNTIF($T$4:T152,T152))</f>
        <v/>
      </c>
      <c r="V152" s="1" t="str">
        <f t="shared" si="11"/>
        <v/>
      </c>
    </row>
    <row r="153" spans="1:22">
      <c r="A153" s="4"/>
      <c r="B153" s="52" t="str">
        <f>IF(A153="","",IFERROR(INDEX(Lists!$A$4:$A$203,MATCH(A153,Lists!$B$4:$B$203,0)),""))</f>
        <v/>
      </c>
      <c r="C153" s="8" t="str">
        <f>IF(A153="","",IFERROR(INDEX(Lists!$C$4:$C$203,MATCH(A153,Lists!$B$4:$B$203,0)),""))</f>
        <v/>
      </c>
      <c r="D153" s="8"/>
      <c r="E153" s="10"/>
      <c r="F153" s="10" t="str">
        <f t="shared" si="8"/>
        <v/>
      </c>
      <c r="G153" s="8" t="str">
        <f t="shared" ca="1" si="9"/>
        <v/>
      </c>
      <c r="H153" s="8"/>
      <c r="I153" s="8"/>
      <c r="J153" s="4"/>
      <c r="T153" s="1" t="str">
        <f t="shared" ca="1" si="10"/>
        <v/>
      </c>
      <c r="U153" s="1" t="str">
        <f ca="1">IF(T153="","",COUNTIFS($T$4:$T$503,"&gt;0",$T$4:$T$503,"&lt;"&amp;T153)+COUNTIF($T$4:T153,T153))</f>
        <v/>
      </c>
      <c r="V153" s="1" t="str">
        <f t="shared" si="11"/>
        <v/>
      </c>
    </row>
    <row r="154" spans="1:22">
      <c r="A154" s="4"/>
      <c r="B154" s="52" t="str">
        <f>IF(A154="","",IFERROR(INDEX(Lists!$A$4:$A$203,MATCH(A154,Lists!$B$4:$B$203,0)),""))</f>
        <v/>
      </c>
      <c r="C154" s="8" t="str">
        <f>IF(A154="","",IFERROR(INDEX(Lists!$C$4:$C$203,MATCH(A154,Lists!$B$4:$B$203,0)),""))</f>
        <v/>
      </c>
      <c r="D154" s="8"/>
      <c r="E154" s="10"/>
      <c r="F154" s="10" t="str">
        <f t="shared" si="8"/>
        <v/>
      </c>
      <c r="G154" s="8" t="str">
        <f t="shared" ca="1" si="9"/>
        <v/>
      </c>
      <c r="H154" s="8"/>
      <c r="I154" s="8"/>
      <c r="J154" s="4"/>
      <c r="T154" s="1" t="str">
        <f t="shared" ca="1" si="10"/>
        <v/>
      </c>
      <c r="U154" s="1" t="str">
        <f ca="1">IF(T154="","",COUNTIFS($T$4:$T$503,"&gt;0",$T$4:$T$503,"&lt;"&amp;T154)+COUNTIF($T$4:T154,T154))</f>
        <v/>
      </c>
      <c r="V154" s="1" t="str">
        <f t="shared" si="11"/>
        <v/>
      </c>
    </row>
    <row r="155" spans="1:22">
      <c r="A155" s="4"/>
      <c r="B155" s="52" t="str">
        <f>IF(A155="","",IFERROR(INDEX(Lists!$A$4:$A$203,MATCH(A155,Lists!$B$4:$B$203,0)),""))</f>
        <v/>
      </c>
      <c r="C155" s="8" t="str">
        <f>IF(A155="","",IFERROR(INDEX(Lists!$C$4:$C$203,MATCH(A155,Lists!$B$4:$B$203,0)),""))</f>
        <v/>
      </c>
      <c r="D155" s="8"/>
      <c r="E155" s="10"/>
      <c r="F155" s="10" t="str">
        <f t="shared" si="8"/>
        <v/>
      </c>
      <c r="G155" s="8" t="str">
        <f t="shared" ca="1" si="9"/>
        <v/>
      </c>
      <c r="H155" s="8"/>
      <c r="I155" s="8"/>
      <c r="J155" s="4"/>
      <c r="T155" s="1" t="str">
        <f t="shared" ca="1" si="10"/>
        <v/>
      </c>
      <c r="U155" s="1" t="str">
        <f ca="1">IF(T155="","",COUNTIFS($T$4:$T$503,"&gt;0",$T$4:$T$503,"&lt;"&amp;T155)+COUNTIF($T$4:T155,T155))</f>
        <v/>
      </c>
      <c r="V155" s="1" t="str">
        <f t="shared" si="11"/>
        <v/>
      </c>
    </row>
    <row r="156" spans="1:22">
      <c r="A156" s="4"/>
      <c r="B156" s="52" t="str">
        <f>IF(A156="","",IFERROR(INDEX(Lists!$A$4:$A$203,MATCH(A156,Lists!$B$4:$B$203,0)),""))</f>
        <v/>
      </c>
      <c r="C156" s="8" t="str">
        <f>IF(A156="","",IFERROR(INDEX(Lists!$C$4:$C$203,MATCH(A156,Lists!$B$4:$B$203,0)),""))</f>
        <v/>
      </c>
      <c r="D156" s="8"/>
      <c r="E156" s="10"/>
      <c r="F156" s="10" t="str">
        <f t="shared" si="8"/>
        <v/>
      </c>
      <c r="G156" s="8" t="str">
        <f t="shared" ca="1" si="9"/>
        <v/>
      </c>
      <c r="H156" s="8"/>
      <c r="I156" s="8"/>
      <c r="J156" s="4"/>
      <c r="T156" s="1" t="str">
        <f t="shared" ca="1" si="10"/>
        <v/>
      </c>
      <c r="U156" s="1" t="str">
        <f ca="1">IF(T156="","",COUNTIFS($T$4:$T$503,"&gt;0",$T$4:$T$503,"&lt;"&amp;T156)+COUNTIF($T$4:T156,T156))</f>
        <v/>
      </c>
      <c r="V156" s="1" t="str">
        <f t="shared" si="11"/>
        <v/>
      </c>
    </row>
    <row r="157" spans="1:22">
      <c r="A157" s="4"/>
      <c r="B157" s="52" t="str">
        <f>IF(A157="","",IFERROR(INDEX(Lists!$A$4:$A$203,MATCH(A157,Lists!$B$4:$B$203,0)),""))</f>
        <v/>
      </c>
      <c r="C157" s="8" t="str">
        <f>IF(A157="","",IFERROR(INDEX(Lists!$C$4:$C$203,MATCH(A157,Lists!$B$4:$B$203,0)),""))</f>
        <v/>
      </c>
      <c r="D157" s="8"/>
      <c r="E157" s="10"/>
      <c r="F157" s="10" t="str">
        <f t="shared" si="8"/>
        <v/>
      </c>
      <c r="G157" s="8" t="str">
        <f t="shared" ca="1" si="9"/>
        <v/>
      </c>
      <c r="H157" s="8"/>
      <c r="I157" s="8"/>
      <c r="J157" s="4"/>
      <c r="T157" s="1" t="str">
        <f t="shared" ca="1" si="10"/>
        <v/>
      </c>
      <c r="U157" s="1" t="str">
        <f ca="1">IF(T157="","",COUNTIFS($T$4:$T$503,"&gt;0",$T$4:$T$503,"&lt;"&amp;T157)+COUNTIF($T$4:T157,T157))</f>
        <v/>
      </c>
      <c r="V157" s="1" t="str">
        <f t="shared" si="11"/>
        <v/>
      </c>
    </row>
    <row r="158" spans="1:22">
      <c r="A158" s="4"/>
      <c r="B158" s="52" t="str">
        <f>IF(A158="","",IFERROR(INDEX(Lists!$A$4:$A$203,MATCH(A158,Lists!$B$4:$B$203,0)),""))</f>
        <v/>
      </c>
      <c r="C158" s="8" t="str">
        <f>IF(A158="","",IFERROR(INDEX(Lists!$C$4:$C$203,MATCH(A158,Lists!$B$4:$B$203,0)),""))</f>
        <v/>
      </c>
      <c r="D158" s="8"/>
      <c r="E158" s="10"/>
      <c r="F158" s="10" t="str">
        <f t="shared" si="8"/>
        <v/>
      </c>
      <c r="G158" s="8" t="str">
        <f t="shared" ca="1" si="9"/>
        <v/>
      </c>
      <c r="H158" s="8"/>
      <c r="I158" s="8"/>
      <c r="J158" s="4"/>
      <c r="T158" s="1" t="str">
        <f t="shared" ca="1" si="10"/>
        <v/>
      </c>
      <c r="U158" s="1" t="str">
        <f ca="1">IF(T158="","",COUNTIFS($T$4:$T$503,"&gt;0",$T$4:$T$503,"&lt;"&amp;T158)+COUNTIF($T$4:T158,T158))</f>
        <v/>
      </c>
      <c r="V158" s="1" t="str">
        <f t="shared" si="11"/>
        <v/>
      </c>
    </row>
    <row r="159" spans="1:22">
      <c r="A159" s="4"/>
      <c r="B159" s="52" t="str">
        <f>IF(A159="","",IFERROR(INDEX(Lists!$A$4:$A$203,MATCH(A159,Lists!$B$4:$B$203,0)),""))</f>
        <v/>
      </c>
      <c r="C159" s="8" t="str">
        <f>IF(A159="","",IFERROR(INDEX(Lists!$C$4:$C$203,MATCH(A159,Lists!$B$4:$B$203,0)),""))</f>
        <v/>
      </c>
      <c r="D159" s="8"/>
      <c r="E159" s="10"/>
      <c r="F159" s="10" t="str">
        <f t="shared" si="8"/>
        <v/>
      </c>
      <c r="G159" s="8" t="str">
        <f t="shared" ca="1" si="9"/>
        <v/>
      </c>
      <c r="H159" s="8"/>
      <c r="I159" s="8"/>
      <c r="J159" s="4"/>
      <c r="T159" s="1" t="str">
        <f t="shared" ca="1" si="10"/>
        <v/>
      </c>
      <c r="U159" s="1" t="str">
        <f ca="1">IF(T159="","",COUNTIFS($T$4:$T$503,"&gt;0",$T$4:$T$503,"&lt;"&amp;T159)+COUNTIF($T$4:T159,T159))</f>
        <v/>
      </c>
      <c r="V159" s="1" t="str">
        <f t="shared" si="11"/>
        <v/>
      </c>
    </row>
    <row r="160" spans="1:22">
      <c r="A160" s="4"/>
      <c r="B160" s="52" t="str">
        <f>IF(A160="","",IFERROR(INDEX(Lists!$A$4:$A$203,MATCH(A160,Lists!$B$4:$B$203,0)),""))</f>
        <v/>
      </c>
      <c r="C160" s="8" t="str">
        <f>IF(A160="","",IFERROR(INDEX(Lists!$C$4:$C$203,MATCH(A160,Lists!$B$4:$B$203,0)),""))</f>
        <v/>
      </c>
      <c r="D160" s="8"/>
      <c r="E160" s="10"/>
      <c r="F160" s="10" t="str">
        <f t="shared" si="8"/>
        <v/>
      </c>
      <c r="G160" s="8" t="str">
        <f t="shared" ca="1" si="9"/>
        <v/>
      </c>
      <c r="H160" s="8"/>
      <c r="I160" s="8"/>
      <c r="J160" s="4"/>
      <c r="T160" s="1" t="str">
        <f t="shared" ca="1" si="10"/>
        <v/>
      </c>
      <c r="U160" s="1" t="str">
        <f ca="1">IF(T160="","",COUNTIFS($T$4:$T$503,"&gt;0",$T$4:$T$503,"&lt;"&amp;T160)+COUNTIF($T$4:T160,T160))</f>
        <v/>
      </c>
      <c r="V160" s="1" t="str">
        <f t="shared" si="11"/>
        <v/>
      </c>
    </row>
    <row r="161" spans="1:22">
      <c r="A161" s="4"/>
      <c r="B161" s="52" t="str">
        <f>IF(A161="","",IFERROR(INDEX(Lists!$A$4:$A$203,MATCH(A161,Lists!$B$4:$B$203,0)),""))</f>
        <v/>
      </c>
      <c r="C161" s="8" t="str">
        <f>IF(A161="","",IFERROR(INDEX(Lists!$C$4:$C$203,MATCH(A161,Lists!$B$4:$B$203,0)),""))</f>
        <v/>
      </c>
      <c r="D161" s="8"/>
      <c r="E161" s="10"/>
      <c r="F161" s="10" t="str">
        <f t="shared" si="8"/>
        <v/>
      </c>
      <c r="G161" s="8" t="str">
        <f t="shared" ca="1" si="9"/>
        <v/>
      </c>
      <c r="H161" s="8"/>
      <c r="I161" s="8"/>
      <c r="J161" s="4"/>
      <c r="T161" s="1" t="str">
        <f t="shared" ca="1" si="10"/>
        <v/>
      </c>
      <c r="U161" s="1" t="str">
        <f ca="1">IF(T161="","",COUNTIFS($T$4:$T$503,"&gt;0",$T$4:$T$503,"&lt;"&amp;T161)+COUNTIF($T$4:T161,T161))</f>
        <v/>
      </c>
      <c r="V161" s="1" t="str">
        <f t="shared" si="11"/>
        <v/>
      </c>
    </row>
    <row r="162" spans="1:22">
      <c r="A162" s="4"/>
      <c r="B162" s="52" t="str">
        <f>IF(A162="","",IFERROR(INDEX(Lists!$A$4:$A$203,MATCH(A162,Lists!$B$4:$B$203,0)),""))</f>
        <v/>
      </c>
      <c r="C162" s="8" t="str">
        <f>IF(A162="","",IFERROR(INDEX(Lists!$C$4:$C$203,MATCH(A162,Lists!$B$4:$B$203,0)),""))</f>
        <v/>
      </c>
      <c r="D162" s="8"/>
      <c r="E162" s="10"/>
      <c r="F162" s="10" t="str">
        <f t="shared" si="8"/>
        <v/>
      </c>
      <c r="G162" s="8" t="str">
        <f t="shared" ca="1" si="9"/>
        <v/>
      </c>
      <c r="H162" s="8"/>
      <c r="I162" s="8"/>
      <c r="J162" s="4"/>
      <c r="T162" s="1" t="str">
        <f t="shared" ca="1" si="10"/>
        <v/>
      </c>
      <c r="U162" s="1" t="str">
        <f ca="1">IF(T162="","",COUNTIFS($T$4:$T$503,"&gt;0",$T$4:$T$503,"&lt;"&amp;T162)+COUNTIF($T$4:T162,T162))</f>
        <v/>
      </c>
      <c r="V162" s="1" t="str">
        <f t="shared" si="11"/>
        <v/>
      </c>
    </row>
    <row r="163" spans="1:22">
      <c r="A163" s="4"/>
      <c r="B163" s="52" t="str">
        <f>IF(A163="","",IFERROR(INDEX(Lists!$A$4:$A$203,MATCH(A163,Lists!$B$4:$B$203,0)),""))</f>
        <v/>
      </c>
      <c r="C163" s="8" t="str">
        <f>IF(A163="","",IFERROR(INDEX(Lists!$C$4:$C$203,MATCH(A163,Lists!$B$4:$B$203,0)),""))</f>
        <v/>
      </c>
      <c r="D163" s="8"/>
      <c r="E163" s="10"/>
      <c r="F163" s="10" t="str">
        <f t="shared" si="8"/>
        <v/>
      </c>
      <c r="G163" s="8" t="str">
        <f t="shared" ca="1" si="9"/>
        <v/>
      </c>
      <c r="H163" s="8"/>
      <c r="I163" s="8"/>
      <c r="J163" s="4"/>
      <c r="T163" s="1" t="str">
        <f t="shared" ca="1" si="10"/>
        <v/>
      </c>
      <c r="U163" s="1" t="str">
        <f ca="1">IF(T163="","",COUNTIFS($T$4:$T$503,"&gt;0",$T$4:$T$503,"&lt;"&amp;T163)+COUNTIF($T$4:T163,T163))</f>
        <v/>
      </c>
      <c r="V163" s="1" t="str">
        <f t="shared" si="11"/>
        <v/>
      </c>
    </row>
    <row r="164" spans="1:22">
      <c r="A164" s="4"/>
      <c r="B164" s="52" t="str">
        <f>IF(A164="","",IFERROR(INDEX(Lists!$A$4:$A$203,MATCH(A164,Lists!$B$4:$B$203,0)),""))</f>
        <v/>
      </c>
      <c r="C164" s="8" t="str">
        <f>IF(A164="","",IFERROR(INDEX(Lists!$C$4:$C$203,MATCH(A164,Lists!$B$4:$B$203,0)),""))</f>
        <v/>
      </c>
      <c r="D164" s="8"/>
      <c r="E164" s="10"/>
      <c r="F164" s="10" t="str">
        <f t="shared" si="8"/>
        <v/>
      </c>
      <c r="G164" s="8" t="str">
        <f t="shared" ca="1" si="9"/>
        <v/>
      </c>
      <c r="H164" s="8"/>
      <c r="I164" s="8"/>
      <c r="J164" s="4"/>
      <c r="T164" s="1" t="str">
        <f t="shared" ca="1" si="10"/>
        <v/>
      </c>
      <c r="U164" s="1" t="str">
        <f ca="1">IF(T164="","",COUNTIFS($T$4:$T$503,"&gt;0",$T$4:$T$503,"&lt;"&amp;T164)+COUNTIF($T$4:T164,T164))</f>
        <v/>
      </c>
      <c r="V164" s="1" t="str">
        <f t="shared" si="11"/>
        <v/>
      </c>
    </row>
    <row r="165" spans="1:22">
      <c r="A165" s="4"/>
      <c r="B165" s="52" t="str">
        <f>IF(A165="","",IFERROR(INDEX(Lists!$A$4:$A$203,MATCH(A165,Lists!$B$4:$B$203,0)),""))</f>
        <v/>
      </c>
      <c r="C165" s="8" t="str">
        <f>IF(A165="","",IFERROR(INDEX(Lists!$C$4:$C$203,MATCH(A165,Lists!$B$4:$B$203,0)),""))</f>
        <v/>
      </c>
      <c r="D165" s="8"/>
      <c r="E165" s="10"/>
      <c r="F165" s="10" t="str">
        <f t="shared" si="8"/>
        <v/>
      </c>
      <c r="G165" s="8" t="str">
        <f t="shared" ca="1" si="9"/>
        <v/>
      </c>
      <c r="H165" s="8"/>
      <c r="I165" s="8"/>
      <c r="J165" s="4"/>
      <c r="T165" s="1" t="str">
        <f t="shared" ca="1" si="10"/>
        <v/>
      </c>
      <c r="U165" s="1" t="str">
        <f ca="1">IF(T165="","",COUNTIFS($T$4:$T$503,"&gt;0",$T$4:$T$503,"&lt;"&amp;T165)+COUNTIF($T$4:T165,T165))</f>
        <v/>
      </c>
      <c r="V165" s="1" t="str">
        <f t="shared" si="11"/>
        <v/>
      </c>
    </row>
    <row r="166" spans="1:22">
      <c r="A166" s="4"/>
      <c r="B166" s="52" t="str">
        <f>IF(A166="","",IFERROR(INDEX(Lists!$A$4:$A$203,MATCH(A166,Lists!$B$4:$B$203,0)),""))</f>
        <v/>
      </c>
      <c r="C166" s="8" t="str">
        <f>IF(A166="","",IFERROR(INDEX(Lists!$C$4:$C$203,MATCH(A166,Lists!$B$4:$B$203,0)),""))</f>
        <v/>
      </c>
      <c r="D166" s="8"/>
      <c r="E166" s="10"/>
      <c r="F166" s="10" t="str">
        <f t="shared" si="8"/>
        <v/>
      </c>
      <c r="G166" s="8" t="str">
        <f t="shared" ca="1" si="9"/>
        <v/>
      </c>
      <c r="H166" s="8"/>
      <c r="I166" s="8"/>
      <c r="J166" s="4"/>
      <c r="T166" s="1" t="str">
        <f t="shared" ca="1" si="10"/>
        <v/>
      </c>
      <c r="U166" s="1" t="str">
        <f ca="1">IF(T166="","",COUNTIFS($T$4:$T$503,"&gt;0",$T$4:$T$503,"&lt;"&amp;T166)+COUNTIF($T$4:T166,T166))</f>
        <v/>
      </c>
      <c r="V166" s="1" t="str">
        <f t="shared" si="11"/>
        <v/>
      </c>
    </row>
    <row r="167" spans="1:22">
      <c r="A167" s="4"/>
      <c r="B167" s="52" t="str">
        <f>IF(A167="","",IFERROR(INDEX(Lists!$A$4:$A$203,MATCH(A167,Lists!$B$4:$B$203,0)),""))</f>
        <v/>
      </c>
      <c r="C167" s="8" t="str">
        <f>IF(A167="","",IFERROR(INDEX(Lists!$C$4:$C$203,MATCH(A167,Lists!$B$4:$B$203,0)),""))</f>
        <v/>
      </c>
      <c r="D167" s="8"/>
      <c r="E167" s="10"/>
      <c r="F167" s="10" t="str">
        <f t="shared" si="8"/>
        <v/>
      </c>
      <c r="G167" s="8" t="str">
        <f t="shared" ca="1" si="9"/>
        <v/>
      </c>
      <c r="H167" s="8"/>
      <c r="I167" s="8"/>
      <c r="J167" s="4"/>
      <c r="T167" s="1" t="str">
        <f t="shared" ca="1" si="10"/>
        <v/>
      </c>
      <c r="U167" s="1" t="str">
        <f ca="1">IF(T167="","",COUNTIFS($T$4:$T$503,"&gt;0",$T$4:$T$503,"&lt;"&amp;T167)+COUNTIF($T$4:T167,T167))</f>
        <v/>
      </c>
      <c r="V167" s="1" t="str">
        <f t="shared" si="11"/>
        <v/>
      </c>
    </row>
    <row r="168" spans="1:22">
      <c r="A168" s="4"/>
      <c r="B168" s="52" t="str">
        <f>IF(A168="","",IFERROR(INDEX(Lists!$A$4:$A$203,MATCH(A168,Lists!$B$4:$B$203,0)),""))</f>
        <v/>
      </c>
      <c r="C168" s="8" t="str">
        <f>IF(A168="","",IFERROR(INDEX(Lists!$C$4:$C$203,MATCH(A168,Lists!$B$4:$B$203,0)),""))</f>
        <v/>
      </c>
      <c r="D168" s="8"/>
      <c r="E168" s="10"/>
      <c r="F168" s="10" t="str">
        <f t="shared" si="8"/>
        <v/>
      </c>
      <c r="G168" s="8" t="str">
        <f t="shared" ca="1" si="9"/>
        <v/>
      </c>
      <c r="H168" s="8"/>
      <c r="I168" s="8"/>
      <c r="J168" s="4"/>
      <c r="T168" s="1" t="str">
        <f t="shared" ca="1" si="10"/>
        <v/>
      </c>
      <c r="U168" s="1" t="str">
        <f ca="1">IF(T168="","",COUNTIFS($T$4:$T$503,"&gt;0",$T$4:$T$503,"&lt;"&amp;T168)+COUNTIF($T$4:T168,T168))</f>
        <v/>
      </c>
      <c r="V168" s="1" t="str">
        <f t="shared" si="11"/>
        <v/>
      </c>
    </row>
    <row r="169" spans="1:22">
      <c r="A169" s="4"/>
      <c r="B169" s="52" t="str">
        <f>IF(A169="","",IFERROR(INDEX(Lists!$A$4:$A$203,MATCH(A169,Lists!$B$4:$B$203,0)),""))</f>
        <v/>
      </c>
      <c r="C169" s="8" t="str">
        <f>IF(A169="","",IFERROR(INDEX(Lists!$C$4:$C$203,MATCH(A169,Lists!$B$4:$B$203,0)),""))</f>
        <v/>
      </c>
      <c r="D169" s="8"/>
      <c r="E169" s="10"/>
      <c r="F169" s="10" t="str">
        <f t="shared" si="8"/>
        <v/>
      </c>
      <c r="G169" s="8" t="str">
        <f t="shared" ca="1" si="9"/>
        <v/>
      </c>
      <c r="H169" s="8"/>
      <c r="I169" s="8"/>
      <c r="J169" s="4"/>
      <c r="T169" s="1" t="str">
        <f t="shared" ca="1" si="10"/>
        <v/>
      </c>
      <c r="U169" s="1" t="str">
        <f ca="1">IF(T169="","",COUNTIFS($T$4:$T$503,"&gt;0",$T$4:$T$503,"&lt;"&amp;T169)+COUNTIF($T$4:T169,T169))</f>
        <v/>
      </c>
      <c r="V169" s="1" t="str">
        <f t="shared" si="11"/>
        <v/>
      </c>
    </row>
    <row r="170" spans="1:22">
      <c r="A170" s="4"/>
      <c r="B170" s="52" t="str">
        <f>IF(A170="","",IFERROR(INDEX(Lists!$A$4:$A$203,MATCH(A170,Lists!$B$4:$B$203,0)),""))</f>
        <v/>
      </c>
      <c r="C170" s="8" t="str">
        <f>IF(A170="","",IFERROR(INDEX(Lists!$C$4:$C$203,MATCH(A170,Lists!$B$4:$B$203,0)),""))</f>
        <v/>
      </c>
      <c r="D170" s="8"/>
      <c r="E170" s="10"/>
      <c r="F170" s="10" t="str">
        <f t="shared" si="8"/>
        <v/>
      </c>
      <c r="G170" s="8" t="str">
        <f t="shared" ca="1" si="9"/>
        <v/>
      </c>
      <c r="H170" s="8"/>
      <c r="I170" s="8"/>
      <c r="J170" s="4"/>
      <c r="T170" s="1" t="str">
        <f t="shared" ca="1" si="10"/>
        <v/>
      </c>
      <c r="U170" s="1" t="str">
        <f ca="1">IF(T170="","",COUNTIFS($T$4:$T$503,"&gt;0",$T$4:$T$503,"&lt;"&amp;T170)+COUNTIF($T$4:T170,T170))</f>
        <v/>
      </c>
      <c r="V170" s="1" t="str">
        <f t="shared" si="11"/>
        <v/>
      </c>
    </row>
    <row r="171" spans="1:22">
      <c r="A171" s="4"/>
      <c r="B171" s="52" t="str">
        <f>IF(A171="","",IFERROR(INDEX(Lists!$A$4:$A$203,MATCH(A171,Lists!$B$4:$B$203,0)),""))</f>
        <v/>
      </c>
      <c r="C171" s="8" t="str">
        <f>IF(A171="","",IFERROR(INDEX(Lists!$C$4:$C$203,MATCH(A171,Lists!$B$4:$B$203,0)),""))</f>
        <v/>
      </c>
      <c r="D171" s="8"/>
      <c r="E171" s="10"/>
      <c r="F171" s="10" t="str">
        <f t="shared" si="8"/>
        <v/>
      </c>
      <c r="G171" s="8" t="str">
        <f t="shared" ca="1" si="9"/>
        <v/>
      </c>
      <c r="H171" s="8"/>
      <c r="I171" s="8"/>
      <c r="J171" s="4"/>
      <c r="T171" s="1" t="str">
        <f t="shared" ca="1" si="10"/>
        <v/>
      </c>
      <c r="U171" s="1" t="str">
        <f ca="1">IF(T171="","",COUNTIFS($T$4:$T$503,"&gt;0",$T$4:$T$503,"&lt;"&amp;T171)+COUNTIF($T$4:T171,T171))</f>
        <v/>
      </c>
      <c r="V171" s="1" t="str">
        <f t="shared" si="11"/>
        <v/>
      </c>
    </row>
    <row r="172" spans="1:22">
      <c r="A172" s="4"/>
      <c r="B172" s="52" t="str">
        <f>IF(A172="","",IFERROR(INDEX(Lists!$A$4:$A$203,MATCH(A172,Lists!$B$4:$B$203,0)),""))</f>
        <v/>
      </c>
      <c r="C172" s="8" t="str">
        <f>IF(A172="","",IFERROR(INDEX(Lists!$C$4:$C$203,MATCH(A172,Lists!$B$4:$B$203,0)),""))</f>
        <v/>
      </c>
      <c r="D172" s="8"/>
      <c r="E172" s="10"/>
      <c r="F172" s="10" t="str">
        <f t="shared" si="8"/>
        <v/>
      </c>
      <c r="G172" s="8" t="str">
        <f t="shared" ca="1" si="9"/>
        <v/>
      </c>
      <c r="H172" s="8"/>
      <c r="I172" s="8"/>
      <c r="J172" s="4"/>
      <c r="T172" s="1" t="str">
        <f t="shared" ca="1" si="10"/>
        <v/>
      </c>
      <c r="U172" s="1" t="str">
        <f ca="1">IF(T172="","",COUNTIFS($T$4:$T$503,"&gt;0",$T$4:$T$503,"&lt;"&amp;T172)+COUNTIF($T$4:T172,T172))</f>
        <v/>
      </c>
      <c r="V172" s="1" t="str">
        <f t="shared" si="11"/>
        <v/>
      </c>
    </row>
    <row r="173" spans="1:22">
      <c r="A173" s="4"/>
      <c r="B173" s="52" t="str">
        <f>IF(A173="","",IFERROR(INDEX(Lists!$A$4:$A$203,MATCH(A173,Lists!$B$4:$B$203,0)),""))</f>
        <v/>
      </c>
      <c r="C173" s="8" t="str">
        <f>IF(A173="","",IFERROR(INDEX(Lists!$C$4:$C$203,MATCH(A173,Lists!$B$4:$B$203,0)),""))</f>
        <v/>
      </c>
      <c r="D173" s="8"/>
      <c r="E173" s="10"/>
      <c r="F173" s="10" t="str">
        <f t="shared" si="8"/>
        <v/>
      </c>
      <c r="G173" s="8" t="str">
        <f t="shared" ca="1" si="9"/>
        <v/>
      </c>
      <c r="H173" s="8"/>
      <c r="I173" s="8"/>
      <c r="J173" s="4"/>
      <c r="T173" s="1" t="str">
        <f t="shared" ca="1" si="10"/>
        <v/>
      </c>
      <c r="U173" s="1" t="str">
        <f ca="1">IF(T173="","",COUNTIFS($T$4:$T$503,"&gt;0",$T$4:$T$503,"&lt;"&amp;T173)+COUNTIF($T$4:T173,T173))</f>
        <v/>
      </c>
      <c r="V173" s="1" t="str">
        <f t="shared" si="11"/>
        <v/>
      </c>
    </row>
    <row r="174" spans="1:22">
      <c r="A174" s="4"/>
      <c r="B174" s="52" t="str">
        <f>IF(A174="","",IFERROR(INDEX(Lists!$A$4:$A$203,MATCH(A174,Lists!$B$4:$B$203,0)),""))</f>
        <v/>
      </c>
      <c r="C174" s="8" t="str">
        <f>IF(A174="","",IFERROR(INDEX(Lists!$C$4:$C$203,MATCH(A174,Lists!$B$4:$B$203,0)),""))</f>
        <v/>
      </c>
      <c r="D174" s="8"/>
      <c r="E174" s="10"/>
      <c r="F174" s="10" t="str">
        <f t="shared" si="8"/>
        <v/>
      </c>
      <c r="G174" s="8" t="str">
        <f t="shared" ca="1" si="9"/>
        <v/>
      </c>
      <c r="H174" s="8"/>
      <c r="I174" s="8"/>
      <c r="J174" s="4"/>
      <c r="T174" s="1" t="str">
        <f t="shared" ca="1" si="10"/>
        <v/>
      </c>
      <c r="U174" s="1" t="str">
        <f ca="1">IF(T174="","",COUNTIFS($T$4:$T$503,"&gt;0",$T$4:$T$503,"&lt;"&amp;T174)+COUNTIF($T$4:T174,T174))</f>
        <v/>
      </c>
      <c r="V174" s="1" t="str">
        <f t="shared" si="11"/>
        <v/>
      </c>
    </row>
    <row r="175" spans="1:22">
      <c r="A175" s="4"/>
      <c r="B175" s="52" t="str">
        <f>IF(A175="","",IFERROR(INDEX(Lists!$A$4:$A$203,MATCH(A175,Lists!$B$4:$B$203,0)),""))</f>
        <v/>
      </c>
      <c r="C175" s="8" t="str">
        <f>IF(A175="","",IFERROR(INDEX(Lists!$C$4:$C$203,MATCH(A175,Lists!$B$4:$B$203,0)),""))</f>
        <v/>
      </c>
      <c r="D175" s="8"/>
      <c r="E175" s="10"/>
      <c r="F175" s="10" t="str">
        <f t="shared" si="8"/>
        <v/>
      </c>
      <c r="G175" s="8" t="str">
        <f t="shared" ca="1" si="9"/>
        <v/>
      </c>
      <c r="H175" s="8"/>
      <c r="I175" s="8"/>
      <c r="J175" s="4"/>
      <c r="T175" s="1" t="str">
        <f t="shared" ca="1" si="10"/>
        <v/>
      </c>
      <c r="U175" s="1" t="str">
        <f ca="1">IF(T175="","",COUNTIFS($T$4:$T$503,"&gt;0",$T$4:$T$503,"&lt;"&amp;T175)+COUNTIF($T$4:T175,T175))</f>
        <v/>
      </c>
      <c r="V175" s="1" t="str">
        <f t="shared" si="11"/>
        <v/>
      </c>
    </row>
    <row r="176" spans="1:22">
      <c r="A176" s="4"/>
      <c r="B176" s="52" t="str">
        <f>IF(A176="","",IFERROR(INDEX(Lists!$A$4:$A$203,MATCH(A176,Lists!$B$4:$B$203,0)),""))</f>
        <v/>
      </c>
      <c r="C176" s="8" t="str">
        <f>IF(A176="","",IFERROR(INDEX(Lists!$C$4:$C$203,MATCH(A176,Lists!$B$4:$B$203,0)),""))</f>
        <v/>
      </c>
      <c r="D176" s="8"/>
      <c r="E176" s="10"/>
      <c r="F176" s="10" t="str">
        <f t="shared" si="8"/>
        <v/>
      </c>
      <c r="G176" s="8" t="str">
        <f t="shared" ca="1" si="9"/>
        <v/>
      </c>
      <c r="H176" s="8"/>
      <c r="I176" s="8"/>
      <c r="J176" s="4"/>
      <c r="T176" s="1" t="str">
        <f t="shared" ca="1" si="10"/>
        <v/>
      </c>
      <c r="U176" s="1" t="str">
        <f ca="1">IF(T176="","",COUNTIFS($T$4:$T$503,"&gt;0",$T$4:$T$503,"&lt;"&amp;T176)+COUNTIF($T$4:T176,T176))</f>
        <v/>
      </c>
      <c r="V176" s="1" t="str">
        <f t="shared" si="11"/>
        <v/>
      </c>
    </row>
    <row r="177" spans="1:22">
      <c r="A177" s="4"/>
      <c r="B177" s="52" t="str">
        <f>IF(A177="","",IFERROR(INDEX(Lists!$A$4:$A$203,MATCH(A177,Lists!$B$4:$B$203,0)),""))</f>
        <v/>
      </c>
      <c r="C177" s="8" t="str">
        <f>IF(A177="","",IFERROR(INDEX(Lists!$C$4:$C$203,MATCH(A177,Lists!$B$4:$B$203,0)),""))</f>
        <v/>
      </c>
      <c r="D177" s="8"/>
      <c r="E177" s="10"/>
      <c r="F177" s="10" t="str">
        <f t="shared" si="8"/>
        <v/>
      </c>
      <c r="G177" s="8" t="str">
        <f t="shared" ca="1" si="9"/>
        <v/>
      </c>
      <c r="H177" s="8"/>
      <c r="I177" s="8"/>
      <c r="J177" s="4"/>
      <c r="T177" s="1" t="str">
        <f t="shared" ca="1" si="10"/>
        <v/>
      </c>
      <c r="U177" s="1" t="str">
        <f ca="1">IF(T177="","",COUNTIFS($T$4:$T$503,"&gt;0",$T$4:$T$503,"&lt;"&amp;T177)+COUNTIF($T$4:T177,T177))</f>
        <v/>
      </c>
      <c r="V177" s="1" t="str">
        <f t="shared" si="11"/>
        <v/>
      </c>
    </row>
    <row r="178" spans="1:22">
      <c r="A178" s="4"/>
      <c r="B178" s="52" t="str">
        <f>IF(A178="","",IFERROR(INDEX(Lists!$A$4:$A$203,MATCH(A178,Lists!$B$4:$B$203,0)),""))</f>
        <v/>
      </c>
      <c r="C178" s="8" t="str">
        <f>IF(A178="","",IFERROR(INDEX(Lists!$C$4:$C$203,MATCH(A178,Lists!$B$4:$B$203,0)),""))</f>
        <v/>
      </c>
      <c r="D178" s="8"/>
      <c r="E178" s="10"/>
      <c r="F178" s="10" t="str">
        <f t="shared" si="8"/>
        <v/>
      </c>
      <c r="G178" s="8" t="str">
        <f t="shared" ca="1" si="9"/>
        <v/>
      </c>
      <c r="H178" s="8"/>
      <c r="I178" s="8"/>
      <c r="J178" s="4"/>
      <c r="T178" s="1" t="str">
        <f t="shared" ca="1" si="10"/>
        <v/>
      </c>
      <c r="U178" s="1" t="str">
        <f ca="1">IF(T178="","",COUNTIFS($T$4:$T$503,"&gt;0",$T$4:$T$503,"&lt;"&amp;T178)+COUNTIF($T$4:T178,T178))</f>
        <v/>
      </c>
      <c r="V178" s="1" t="str">
        <f t="shared" si="11"/>
        <v/>
      </c>
    </row>
    <row r="179" spans="1:22">
      <c r="A179" s="4"/>
      <c r="B179" s="52" t="str">
        <f>IF(A179="","",IFERROR(INDEX(Lists!$A$4:$A$203,MATCH(A179,Lists!$B$4:$B$203,0)),""))</f>
        <v/>
      </c>
      <c r="C179" s="8" t="str">
        <f>IF(A179="","",IFERROR(INDEX(Lists!$C$4:$C$203,MATCH(A179,Lists!$B$4:$B$203,0)),""))</f>
        <v/>
      </c>
      <c r="D179" s="8"/>
      <c r="E179" s="10"/>
      <c r="F179" s="10" t="str">
        <f t="shared" si="8"/>
        <v/>
      </c>
      <c r="G179" s="8" t="str">
        <f t="shared" ca="1" si="9"/>
        <v/>
      </c>
      <c r="H179" s="8"/>
      <c r="I179" s="8"/>
      <c r="J179" s="4"/>
      <c r="T179" s="1" t="str">
        <f t="shared" ca="1" si="10"/>
        <v/>
      </c>
      <c r="U179" s="1" t="str">
        <f ca="1">IF(T179="","",COUNTIFS($T$4:$T$503,"&gt;0",$T$4:$T$503,"&lt;"&amp;T179)+COUNTIF($T$4:T179,T179))</f>
        <v/>
      </c>
      <c r="V179" s="1" t="str">
        <f t="shared" si="11"/>
        <v/>
      </c>
    </row>
    <row r="180" spans="1:22">
      <c r="A180" s="4"/>
      <c r="B180" s="52" t="str">
        <f>IF(A180="","",IFERROR(INDEX(Lists!$A$4:$A$203,MATCH(A180,Lists!$B$4:$B$203,0)),""))</f>
        <v/>
      </c>
      <c r="C180" s="8" t="str">
        <f>IF(A180="","",IFERROR(INDEX(Lists!$C$4:$C$203,MATCH(A180,Lists!$B$4:$B$203,0)),""))</f>
        <v/>
      </c>
      <c r="D180" s="8"/>
      <c r="E180" s="10"/>
      <c r="F180" s="10" t="str">
        <f t="shared" si="8"/>
        <v/>
      </c>
      <c r="G180" s="8" t="str">
        <f t="shared" ca="1" si="9"/>
        <v/>
      </c>
      <c r="H180" s="8"/>
      <c r="I180" s="8"/>
      <c r="J180" s="4"/>
      <c r="T180" s="1" t="str">
        <f t="shared" ca="1" si="10"/>
        <v/>
      </c>
      <c r="U180" s="1" t="str">
        <f ca="1">IF(T180="","",COUNTIFS($T$4:$T$503,"&gt;0",$T$4:$T$503,"&lt;"&amp;T180)+COUNTIF($T$4:T180,T180))</f>
        <v/>
      </c>
      <c r="V180" s="1" t="str">
        <f t="shared" si="11"/>
        <v/>
      </c>
    </row>
    <row r="181" spans="1:22">
      <c r="A181" s="4"/>
      <c r="B181" s="52" t="str">
        <f>IF(A181="","",IFERROR(INDEX(Lists!$A$4:$A$203,MATCH(A181,Lists!$B$4:$B$203,0)),""))</f>
        <v/>
      </c>
      <c r="C181" s="8" t="str">
        <f>IF(A181="","",IFERROR(INDEX(Lists!$C$4:$C$203,MATCH(A181,Lists!$B$4:$B$203,0)),""))</f>
        <v/>
      </c>
      <c r="D181" s="8"/>
      <c r="E181" s="10"/>
      <c r="F181" s="10" t="str">
        <f t="shared" si="8"/>
        <v/>
      </c>
      <c r="G181" s="8" t="str">
        <f t="shared" ca="1" si="9"/>
        <v/>
      </c>
      <c r="H181" s="8"/>
      <c r="I181" s="8"/>
      <c r="J181" s="4"/>
      <c r="T181" s="1" t="str">
        <f t="shared" ca="1" si="10"/>
        <v/>
      </c>
      <c r="U181" s="1" t="str">
        <f ca="1">IF(T181="","",COUNTIFS($T$4:$T$503,"&gt;0",$T$4:$T$503,"&lt;"&amp;T181)+COUNTIF($T$4:T181,T181))</f>
        <v/>
      </c>
      <c r="V181" s="1" t="str">
        <f t="shared" si="11"/>
        <v/>
      </c>
    </row>
    <row r="182" spans="1:22">
      <c r="A182" s="4"/>
      <c r="B182" s="52" t="str">
        <f>IF(A182="","",IFERROR(INDEX(Lists!$A$4:$A$203,MATCH(A182,Lists!$B$4:$B$203,0)),""))</f>
        <v/>
      </c>
      <c r="C182" s="8" t="str">
        <f>IF(A182="","",IFERROR(INDEX(Lists!$C$4:$C$203,MATCH(A182,Lists!$B$4:$B$203,0)),""))</f>
        <v/>
      </c>
      <c r="D182" s="8"/>
      <c r="E182" s="10"/>
      <c r="F182" s="10" t="str">
        <f t="shared" si="8"/>
        <v/>
      </c>
      <c r="G182" s="8" t="str">
        <f t="shared" ca="1" si="9"/>
        <v/>
      </c>
      <c r="H182" s="8"/>
      <c r="I182" s="8"/>
      <c r="J182" s="4"/>
      <c r="T182" s="1" t="str">
        <f t="shared" ca="1" si="10"/>
        <v/>
      </c>
      <c r="U182" s="1" t="str">
        <f ca="1">IF(T182="","",COUNTIFS($T$4:$T$503,"&gt;0",$T$4:$T$503,"&lt;"&amp;T182)+COUNTIF($T$4:T182,T182))</f>
        <v/>
      </c>
      <c r="V182" s="1" t="str">
        <f t="shared" si="11"/>
        <v/>
      </c>
    </row>
    <row r="183" spans="1:22">
      <c r="A183" s="4"/>
      <c r="B183" s="52" t="str">
        <f>IF(A183="","",IFERROR(INDEX(Lists!$A$4:$A$203,MATCH(A183,Lists!$B$4:$B$203,0)),""))</f>
        <v/>
      </c>
      <c r="C183" s="8" t="str">
        <f>IF(A183="","",IFERROR(INDEX(Lists!$C$4:$C$203,MATCH(A183,Lists!$B$4:$B$203,0)),""))</f>
        <v/>
      </c>
      <c r="D183" s="8"/>
      <c r="E183" s="10"/>
      <c r="F183" s="10" t="str">
        <f t="shared" si="8"/>
        <v/>
      </c>
      <c r="G183" s="8" t="str">
        <f t="shared" ca="1" si="9"/>
        <v/>
      </c>
      <c r="H183" s="8"/>
      <c r="I183" s="8"/>
      <c r="J183" s="4"/>
      <c r="T183" s="1" t="str">
        <f t="shared" ca="1" si="10"/>
        <v/>
      </c>
      <c r="U183" s="1" t="str">
        <f ca="1">IF(T183="","",COUNTIFS($T$4:$T$503,"&gt;0",$T$4:$T$503,"&lt;"&amp;T183)+COUNTIF($T$4:T183,T183))</f>
        <v/>
      </c>
      <c r="V183" s="1" t="str">
        <f t="shared" si="11"/>
        <v/>
      </c>
    </row>
    <row r="184" spans="1:22">
      <c r="A184" s="4"/>
      <c r="B184" s="52" t="str">
        <f>IF(A184="","",IFERROR(INDEX(Lists!$A$4:$A$203,MATCH(A184,Lists!$B$4:$B$203,0)),""))</f>
        <v/>
      </c>
      <c r="C184" s="8" t="str">
        <f>IF(A184="","",IFERROR(INDEX(Lists!$C$4:$C$203,MATCH(A184,Lists!$B$4:$B$203,0)),""))</f>
        <v/>
      </c>
      <c r="D184" s="8"/>
      <c r="E184" s="10"/>
      <c r="F184" s="10" t="str">
        <f t="shared" si="8"/>
        <v/>
      </c>
      <c r="G184" s="8" t="str">
        <f t="shared" ca="1" si="9"/>
        <v/>
      </c>
      <c r="H184" s="8"/>
      <c r="I184" s="8"/>
      <c r="J184" s="4"/>
      <c r="T184" s="1" t="str">
        <f t="shared" ca="1" si="10"/>
        <v/>
      </c>
      <c r="U184" s="1" t="str">
        <f ca="1">IF(T184="","",COUNTIFS($T$4:$T$503,"&gt;0",$T$4:$T$503,"&lt;"&amp;T184)+COUNTIF($T$4:T184,T184))</f>
        <v/>
      </c>
      <c r="V184" s="1" t="str">
        <f t="shared" si="11"/>
        <v/>
      </c>
    </row>
    <row r="185" spans="1:22">
      <c r="A185" s="4"/>
      <c r="B185" s="52" t="str">
        <f>IF(A185="","",IFERROR(INDEX(Lists!$A$4:$A$203,MATCH(A185,Lists!$B$4:$B$203,0)),""))</f>
        <v/>
      </c>
      <c r="C185" s="8" t="str">
        <f>IF(A185="","",IFERROR(INDEX(Lists!$C$4:$C$203,MATCH(A185,Lists!$B$4:$B$203,0)),""))</f>
        <v/>
      </c>
      <c r="D185" s="8"/>
      <c r="E185" s="10"/>
      <c r="F185" s="10" t="str">
        <f t="shared" si="8"/>
        <v/>
      </c>
      <c r="G185" s="8" t="str">
        <f t="shared" ca="1" si="9"/>
        <v/>
      </c>
      <c r="H185" s="8"/>
      <c r="I185" s="8"/>
      <c r="J185" s="4"/>
      <c r="T185" s="1" t="str">
        <f t="shared" ca="1" si="10"/>
        <v/>
      </c>
      <c r="U185" s="1" t="str">
        <f ca="1">IF(T185="","",COUNTIFS($T$4:$T$503,"&gt;0",$T$4:$T$503,"&lt;"&amp;T185)+COUNTIF($T$4:T185,T185))</f>
        <v/>
      </c>
      <c r="V185" s="1" t="str">
        <f t="shared" si="11"/>
        <v/>
      </c>
    </row>
    <row r="186" spans="1:22">
      <c r="A186" s="4"/>
      <c r="B186" s="52" t="str">
        <f>IF(A186="","",IFERROR(INDEX(Lists!$A$4:$A$203,MATCH(A186,Lists!$B$4:$B$203,0)),""))</f>
        <v/>
      </c>
      <c r="C186" s="8" t="str">
        <f>IF(A186="","",IFERROR(INDEX(Lists!$C$4:$C$203,MATCH(A186,Lists!$B$4:$B$203,0)),""))</f>
        <v/>
      </c>
      <c r="D186" s="8"/>
      <c r="E186" s="10"/>
      <c r="F186" s="10" t="str">
        <f t="shared" si="8"/>
        <v/>
      </c>
      <c r="G186" s="8" t="str">
        <f t="shared" ca="1" si="9"/>
        <v/>
      </c>
      <c r="H186" s="8"/>
      <c r="I186" s="8"/>
      <c r="J186" s="4"/>
      <c r="T186" s="1" t="str">
        <f t="shared" ca="1" si="10"/>
        <v/>
      </c>
      <c r="U186" s="1" t="str">
        <f ca="1">IF(T186="","",COUNTIFS($T$4:$T$503,"&gt;0",$T$4:$T$503,"&lt;"&amp;T186)+COUNTIF($T$4:T186,T186))</f>
        <v/>
      </c>
      <c r="V186" s="1" t="str">
        <f t="shared" si="11"/>
        <v/>
      </c>
    </row>
    <row r="187" spans="1:22">
      <c r="A187" s="4"/>
      <c r="B187" s="52" t="str">
        <f>IF(A187="","",IFERROR(INDEX(Lists!$A$4:$A$203,MATCH(A187,Lists!$B$4:$B$203,0)),""))</f>
        <v/>
      </c>
      <c r="C187" s="8" t="str">
        <f>IF(A187="","",IFERROR(INDEX(Lists!$C$4:$C$203,MATCH(A187,Lists!$B$4:$B$203,0)),""))</f>
        <v/>
      </c>
      <c r="D187" s="8"/>
      <c r="E187" s="10"/>
      <c r="F187" s="10" t="str">
        <f t="shared" si="8"/>
        <v/>
      </c>
      <c r="G187" s="8" t="str">
        <f t="shared" ca="1" si="9"/>
        <v/>
      </c>
      <c r="H187" s="8"/>
      <c r="I187" s="8"/>
      <c r="J187" s="4"/>
      <c r="T187" s="1" t="str">
        <f t="shared" ca="1" si="10"/>
        <v/>
      </c>
      <c r="U187" s="1" t="str">
        <f ca="1">IF(T187="","",COUNTIFS($T$4:$T$503,"&gt;0",$T$4:$T$503,"&lt;"&amp;T187)+COUNTIF($T$4:T187,T187))</f>
        <v/>
      </c>
      <c r="V187" s="1" t="str">
        <f t="shared" si="11"/>
        <v/>
      </c>
    </row>
    <row r="188" spans="1:22">
      <c r="A188" s="4"/>
      <c r="B188" s="52" t="str">
        <f>IF(A188="","",IFERROR(INDEX(Lists!$A$4:$A$203,MATCH(A188,Lists!$B$4:$B$203,0)),""))</f>
        <v/>
      </c>
      <c r="C188" s="8" t="str">
        <f>IF(A188="","",IFERROR(INDEX(Lists!$C$4:$C$203,MATCH(A188,Lists!$B$4:$B$203,0)),""))</f>
        <v/>
      </c>
      <c r="D188" s="8"/>
      <c r="E188" s="10"/>
      <c r="F188" s="10" t="str">
        <f t="shared" si="8"/>
        <v/>
      </c>
      <c r="G188" s="8" t="str">
        <f t="shared" ca="1" si="9"/>
        <v/>
      </c>
      <c r="H188" s="8"/>
      <c r="I188" s="8"/>
      <c r="J188" s="4"/>
      <c r="T188" s="1" t="str">
        <f t="shared" ca="1" si="10"/>
        <v/>
      </c>
      <c r="U188" s="1" t="str">
        <f ca="1">IF(T188="","",COUNTIFS($T$4:$T$503,"&gt;0",$T$4:$T$503,"&lt;"&amp;T188)+COUNTIF($T$4:T188,T188))</f>
        <v/>
      </c>
      <c r="V188" s="1" t="str">
        <f t="shared" si="11"/>
        <v/>
      </c>
    </row>
    <row r="189" spans="1:22">
      <c r="A189" s="4"/>
      <c r="B189" s="52" t="str">
        <f>IF(A189="","",IFERROR(INDEX(Lists!$A$4:$A$203,MATCH(A189,Lists!$B$4:$B$203,0)),""))</f>
        <v/>
      </c>
      <c r="C189" s="8" t="str">
        <f>IF(A189="","",IFERROR(INDEX(Lists!$C$4:$C$203,MATCH(A189,Lists!$B$4:$B$203,0)),""))</f>
        <v/>
      </c>
      <c r="D189" s="8"/>
      <c r="E189" s="10"/>
      <c r="F189" s="10" t="str">
        <f t="shared" si="8"/>
        <v/>
      </c>
      <c r="G189" s="8" t="str">
        <f t="shared" ca="1" si="9"/>
        <v/>
      </c>
      <c r="H189" s="8"/>
      <c r="I189" s="8"/>
      <c r="J189" s="4"/>
      <c r="T189" s="1" t="str">
        <f t="shared" ca="1" si="10"/>
        <v/>
      </c>
      <c r="U189" s="1" t="str">
        <f ca="1">IF(T189="","",COUNTIFS($T$4:$T$503,"&gt;0",$T$4:$T$503,"&lt;"&amp;T189)+COUNTIF($T$4:T189,T189))</f>
        <v/>
      </c>
      <c r="V189" s="1" t="str">
        <f t="shared" si="11"/>
        <v/>
      </c>
    </row>
    <row r="190" spans="1:22">
      <c r="A190" s="4"/>
      <c r="B190" s="52" t="str">
        <f>IF(A190="","",IFERROR(INDEX(Lists!$A$4:$A$203,MATCH(A190,Lists!$B$4:$B$203,0)),""))</f>
        <v/>
      </c>
      <c r="C190" s="8" t="str">
        <f>IF(A190="","",IFERROR(INDEX(Lists!$C$4:$C$203,MATCH(A190,Lists!$B$4:$B$203,0)),""))</f>
        <v/>
      </c>
      <c r="D190" s="8"/>
      <c r="E190" s="10"/>
      <c r="F190" s="10" t="str">
        <f t="shared" si="8"/>
        <v/>
      </c>
      <c r="G190" s="8" t="str">
        <f t="shared" ca="1" si="9"/>
        <v/>
      </c>
      <c r="H190" s="8"/>
      <c r="I190" s="8"/>
      <c r="J190" s="4"/>
      <c r="T190" s="1" t="str">
        <f t="shared" ca="1" si="10"/>
        <v/>
      </c>
      <c r="U190" s="1" t="str">
        <f ca="1">IF(T190="","",COUNTIFS($T$4:$T$503,"&gt;0",$T$4:$T$503,"&lt;"&amp;T190)+COUNTIF($T$4:T190,T190))</f>
        <v/>
      </c>
      <c r="V190" s="1" t="str">
        <f t="shared" si="11"/>
        <v/>
      </c>
    </row>
    <row r="191" spans="1:22">
      <c r="A191" s="4"/>
      <c r="B191" s="52" t="str">
        <f>IF(A191="","",IFERROR(INDEX(Lists!$A$4:$A$203,MATCH(A191,Lists!$B$4:$B$203,0)),""))</f>
        <v/>
      </c>
      <c r="C191" s="8" t="str">
        <f>IF(A191="","",IFERROR(INDEX(Lists!$C$4:$C$203,MATCH(A191,Lists!$B$4:$B$203,0)),""))</f>
        <v/>
      </c>
      <c r="D191" s="8"/>
      <c r="E191" s="10"/>
      <c r="F191" s="10" t="str">
        <f t="shared" si="8"/>
        <v/>
      </c>
      <c r="G191" s="8" t="str">
        <f t="shared" ca="1" si="9"/>
        <v/>
      </c>
      <c r="H191" s="8"/>
      <c r="I191" s="8"/>
      <c r="J191" s="4"/>
      <c r="T191" s="1" t="str">
        <f t="shared" ca="1" si="10"/>
        <v/>
      </c>
      <c r="U191" s="1" t="str">
        <f ca="1">IF(T191="","",COUNTIFS($T$4:$T$503,"&gt;0",$T$4:$T$503,"&lt;"&amp;T191)+COUNTIF($T$4:T191,T191))</f>
        <v/>
      </c>
      <c r="V191" s="1" t="str">
        <f t="shared" si="11"/>
        <v/>
      </c>
    </row>
    <row r="192" spans="1:22">
      <c r="A192" s="4"/>
      <c r="B192" s="52" t="str">
        <f>IF(A192="","",IFERROR(INDEX(Lists!$A$4:$A$203,MATCH(A192,Lists!$B$4:$B$203,0)),""))</f>
        <v/>
      </c>
      <c r="C192" s="8" t="str">
        <f>IF(A192="","",IFERROR(INDEX(Lists!$C$4:$C$203,MATCH(A192,Lists!$B$4:$B$203,0)),""))</f>
        <v/>
      </c>
      <c r="D192" s="8"/>
      <c r="E192" s="10"/>
      <c r="F192" s="10" t="str">
        <f t="shared" si="8"/>
        <v/>
      </c>
      <c r="G192" s="8" t="str">
        <f t="shared" ca="1" si="9"/>
        <v/>
      </c>
      <c r="H192" s="8"/>
      <c r="I192" s="8"/>
      <c r="J192" s="4"/>
      <c r="T192" s="1" t="str">
        <f t="shared" ca="1" si="10"/>
        <v/>
      </c>
      <c r="U192" s="1" t="str">
        <f ca="1">IF(T192="","",COUNTIFS($T$4:$T$503,"&gt;0",$T$4:$T$503,"&lt;"&amp;T192)+COUNTIF($T$4:T192,T192))</f>
        <v/>
      </c>
      <c r="V192" s="1" t="str">
        <f t="shared" si="11"/>
        <v/>
      </c>
    </row>
    <row r="193" spans="1:22">
      <c r="A193" s="4"/>
      <c r="B193" s="52" t="str">
        <f>IF(A193="","",IFERROR(INDEX(Lists!$A$4:$A$203,MATCH(A193,Lists!$B$4:$B$203,0)),""))</f>
        <v/>
      </c>
      <c r="C193" s="8" t="str">
        <f>IF(A193="","",IFERROR(INDEX(Lists!$C$4:$C$203,MATCH(A193,Lists!$B$4:$B$203,0)),""))</f>
        <v/>
      </c>
      <c r="D193" s="8"/>
      <c r="E193" s="10"/>
      <c r="F193" s="10" t="str">
        <f t="shared" si="8"/>
        <v/>
      </c>
      <c r="G193" s="8" t="str">
        <f t="shared" ca="1" si="9"/>
        <v/>
      </c>
      <c r="H193" s="8"/>
      <c r="I193" s="8"/>
      <c r="J193" s="4"/>
      <c r="T193" s="1" t="str">
        <f t="shared" ca="1" si="10"/>
        <v/>
      </c>
      <c r="U193" s="1" t="str">
        <f ca="1">IF(T193="","",COUNTIFS($T$4:$T$503,"&gt;0",$T$4:$T$503,"&lt;"&amp;T193)+COUNTIF($T$4:T193,T193))</f>
        <v/>
      </c>
      <c r="V193" s="1" t="str">
        <f t="shared" si="11"/>
        <v/>
      </c>
    </row>
    <row r="194" spans="1:22">
      <c r="A194" s="4"/>
      <c r="B194" s="52" t="str">
        <f>IF(A194="","",IFERROR(INDEX(Lists!$A$4:$A$203,MATCH(A194,Lists!$B$4:$B$203,0)),""))</f>
        <v/>
      </c>
      <c r="C194" s="8" t="str">
        <f>IF(A194="","",IFERROR(INDEX(Lists!$C$4:$C$203,MATCH(A194,Lists!$B$4:$B$203,0)),""))</f>
        <v/>
      </c>
      <c r="D194" s="8"/>
      <c r="E194" s="10"/>
      <c r="F194" s="10" t="str">
        <f t="shared" si="8"/>
        <v/>
      </c>
      <c r="G194" s="8" t="str">
        <f t="shared" ca="1" si="9"/>
        <v/>
      </c>
      <c r="H194" s="8"/>
      <c r="I194" s="8"/>
      <c r="J194" s="4"/>
      <c r="T194" s="1" t="str">
        <f t="shared" ca="1" si="10"/>
        <v/>
      </c>
      <c r="U194" s="1" t="str">
        <f ca="1">IF(T194="","",COUNTIFS($T$4:$T$503,"&gt;0",$T$4:$T$503,"&lt;"&amp;T194)+COUNTIF($T$4:T194,T194))</f>
        <v/>
      </c>
      <c r="V194" s="1" t="str">
        <f t="shared" si="11"/>
        <v/>
      </c>
    </row>
    <row r="195" spans="1:22">
      <c r="A195" s="4"/>
      <c r="B195" s="52" t="str">
        <f>IF(A195="","",IFERROR(INDEX(Lists!$A$4:$A$203,MATCH(A195,Lists!$B$4:$B$203,0)),""))</f>
        <v/>
      </c>
      <c r="C195" s="8" t="str">
        <f>IF(A195="","",IFERROR(INDEX(Lists!$C$4:$C$203,MATCH(A195,Lists!$B$4:$B$203,0)),""))</f>
        <v/>
      </c>
      <c r="D195" s="8"/>
      <c r="E195" s="10"/>
      <c r="F195" s="10" t="str">
        <f t="shared" si="8"/>
        <v/>
      </c>
      <c r="G195" s="8" t="str">
        <f t="shared" ca="1" si="9"/>
        <v/>
      </c>
      <c r="H195" s="8"/>
      <c r="I195" s="8"/>
      <c r="J195" s="4"/>
      <c r="T195" s="1" t="str">
        <f t="shared" ca="1" si="10"/>
        <v/>
      </c>
      <c r="U195" s="1" t="str">
        <f ca="1">IF(T195="","",COUNTIFS($T$4:$T$503,"&gt;0",$T$4:$T$503,"&lt;"&amp;T195)+COUNTIF($T$4:T195,T195))</f>
        <v/>
      </c>
      <c r="V195" s="1" t="str">
        <f t="shared" si="11"/>
        <v/>
      </c>
    </row>
    <row r="196" spans="1:22">
      <c r="A196" s="4"/>
      <c r="B196" s="52" t="str">
        <f>IF(A196="","",IFERROR(INDEX(Lists!$A$4:$A$203,MATCH(A196,Lists!$B$4:$B$203,0)),""))</f>
        <v/>
      </c>
      <c r="C196" s="8" t="str">
        <f>IF(A196="","",IFERROR(INDEX(Lists!$C$4:$C$203,MATCH(A196,Lists!$B$4:$B$203,0)),""))</f>
        <v/>
      </c>
      <c r="D196" s="8"/>
      <c r="E196" s="10"/>
      <c r="F196" s="10" t="str">
        <f t="shared" ref="F196:F259" si="12">IF(OR(A196="",D196="",E196=""),"",IFERROR(EDATE(E196,INDEX($O$4:$O$63,MATCH(D196,$M$4:$M$63,0))),""))</f>
        <v/>
      </c>
      <c r="G196" s="8" t="str">
        <f t="shared" ref="G196:G259" ca="1" si="13">IF(A196="","",IF(D196="","Missing Certification",IF(F196="","Missing Date",IF(F196&lt;TODAY(),"Expired",IF(F196&lt;=TODAY()+IFERROR(INDEX($P$4:$P$63,MATCH(D196,$M$4:$M$63,0)),30),"Due Soon","Current")))))</f>
        <v/>
      </c>
      <c r="H196" s="8"/>
      <c r="I196" s="8"/>
      <c r="J196" s="4"/>
      <c r="T196" s="1" t="str">
        <f t="shared" ref="T196:T259" ca="1" si="14">IF(G196="Expired",1,IF(G196="Due Soon",2,IF(OR(G196="Missing Date",G196="Missing Certification"),3,"")))</f>
        <v/>
      </c>
      <c r="U196" s="1" t="str">
        <f ca="1">IF(T196="","",COUNTIFS($T$4:$T$503,"&gt;0",$T$4:$T$503,"&lt;"&amp;T196)+COUNTIF($T$4:T196,T196))</f>
        <v/>
      </c>
      <c r="V196" s="1" t="str">
        <f t="shared" ref="V196:V259" si="15">IFERROR(INDEX($N$4:$N$63,MATCH(D196,$M$4:$M$63,0)),"")</f>
        <v/>
      </c>
    </row>
    <row r="197" spans="1:22">
      <c r="A197" s="4"/>
      <c r="B197" s="52" t="str">
        <f>IF(A197="","",IFERROR(INDEX(Lists!$A$4:$A$203,MATCH(A197,Lists!$B$4:$B$203,0)),""))</f>
        <v/>
      </c>
      <c r="C197" s="8" t="str">
        <f>IF(A197="","",IFERROR(INDEX(Lists!$C$4:$C$203,MATCH(A197,Lists!$B$4:$B$203,0)),""))</f>
        <v/>
      </c>
      <c r="D197" s="8"/>
      <c r="E197" s="10"/>
      <c r="F197" s="10" t="str">
        <f t="shared" si="12"/>
        <v/>
      </c>
      <c r="G197" s="8" t="str">
        <f t="shared" ca="1" si="13"/>
        <v/>
      </c>
      <c r="H197" s="8"/>
      <c r="I197" s="8"/>
      <c r="J197" s="4"/>
      <c r="T197" s="1" t="str">
        <f t="shared" ca="1" si="14"/>
        <v/>
      </c>
      <c r="U197" s="1" t="str">
        <f ca="1">IF(T197="","",COUNTIFS($T$4:$T$503,"&gt;0",$T$4:$T$503,"&lt;"&amp;T197)+COUNTIF($T$4:T197,T197))</f>
        <v/>
      </c>
      <c r="V197" s="1" t="str">
        <f t="shared" si="15"/>
        <v/>
      </c>
    </row>
    <row r="198" spans="1:22">
      <c r="A198" s="4"/>
      <c r="B198" s="52" t="str">
        <f>IF(A198="","",IFERROR(INDEX(Lists!$A$4:$A$203,MATCH(A198,Lists!$B$4:$B$203,0)),""))</f>
        <v/>
      </c>
      <c r="C198" s="8" t="str">
        <f>IF(A198="","",IFERROR(INDEX(Lists!$C$4:$C$203,MATCH(A198,Lists!$B$4:$B$203,0)),""))</f>
        <v/>
      </c>
      <c r="D198" s="8"/>
      <c r="E198" s="10"/>
      <c r="F198" s="10" t="str">
        <f t="shared" si="12"/>
        <v/>
      </c>
      <c r="G198" s="8" t="str">
        <f t="shared" ca="1" si="13"/>
        <v/>
      </c>
      <c r="H198" s="8"/>
      <c r="I198" s="8"/>
      <c r="J198" s="4"/>
      <c r="T198" s="1" t="str">
        <f t="shared" ca="1" si="14"/>
        <v/>
      </c>
      <c r="U198" s="1" t="str">
        <f ca="1">IF(T198="","",COUNTIFS($T$4:$T$503,"&gt;0",$T$4:$T$503,"&lt;"&amp;T198)+COUNTIF($T$4:T198,T198))</f>
        <v/>
      </c>
      <c r="V198" s="1" t="str">
        <f t="shared" si="15"/>
        <v/>
      </c>
    </row>
    <row r="199" spans="1:22">
      <c r="A199" s="4"/>
      <c r="B199" s="52" t="str">
        <f>IF(A199="","",IFERROR(INDEX(Lists!$A$4:$A$203,MATCH(A199,Lists!$B$4:$B$203,0)),""))</f>
        <v/>
      </c>
      <c r="C199" s="8" t="str">
        <f>IF(A199="","",IFERROR(INDEX(Lists!$C$4:$C$203,MATCH(A199,Lists!$B$4:$B$203,0)),""))</f>
        <v/>
      </c>
      <c r="D199" s="8"/>
      <c r="E199" s="10"/>
      <c r="F199" s="10" t="str">
        <f t="shared" si="12"/>
        <v/>
      </c>
      <c r="G199" s="8" t="str">
        <f t="shared" ca="1" si="13"/>
        <v/>
      </c>
      <c r="H199" s="8"/>
      <c r="I199" s="8"/>
      <c r="J199" s="4"/>
      <c r="T199" s="1" t="str">
        <f t="shared" ca="1" si="14"/>
        <v/>
      </c>
      <c r="U199" s="1" t="str">
        <f ca="1">IF(T199="","",COUNTIFS($T$4:$T$503,"&gt;0",$T$4:$T$503,"&lt;"&amp;T199)+COUNTIF($T$4:T199,T199))</f>
        <v/>
      </c>
      <c r="V199" s="1" t="str">
        <f t="shared" si="15"/>
        <v/>
      </c>
    </row>
    <row r="200" spans="1:22">
      <c r="A200" s="4"/>
      <c r="B200" s="52" t="str">
        <f>IF(A200="","",IFERROR(INDEX(Lists!$A$4:$A$203,MATCH(A200,Lists!$B$4:$B$203,0)),""))</f>
        <v/>
      </c>
      <c r="C200" s="8" t="str">
        <f>IF(A200="","",IFERROR(INDEX(Lists!$C$4:$C$203,MATCH(A200,Lists!$B$4:$B$203,0)),""))</f>
        <v/>
      </c>
      <c r="D200" s="8"/>
      <c r="E200" s="10"/>
      <c r="F200" s="10" t="str">
        <f t="shared" si="12"/>
        <v/>
      </c>
      <c r="G200" s="8" t="str">
        <f t="shared" ca="1" si="13"/>
        <v/>
      </c>
      <c r="H200" s="8"/>
      <c r="I200" s="8"/>
      <c r="J200" s="4"/>
      <c r="T200" s="1" t="str">
        <f t="shared" ca="1" si="14"/>
        <v/>
      </c>
      <c r="U200" s="1" t="str">
        <f ca="1">IF(T200="","",COUNTIFS($T$4:$T$503,"&gt;0",$T$4:$T$503,"&lt;"&amp;T200)+COUNTIF($T$4:T200,T200))</f>
        <v/>
      </c>
      <c r="V200" s="1" t="str">
        <f t="shared" si="15"/>
        <v/>
      </c>
    </row>
    <row r="201" spans="1:22">
      <c r="A201" s="4"/>
      <c r="B201" s="52" t="str">
        <f>IF(A201="","",IFERROR(INDEX(Lists!$A$4:$A$203,MATCH(A201,Lists!$B$4:$B$203,0)),""))</f>
        <v/>
      </c>
      <c r="C201" s="8" t="str">
        <f>IF(A201="","",IFERROR(INDEX(Lists!$C$4:$C$203,MATCH(A201,Lists!$B$4:$B$203,0)),""))</f>
        <v/>
      </c>
      <c r="D201" s="8"/>
      <c r="E201" s="10"/>
      <c r="F201" s="10" t="str">
        <f t="shared" si="12"/>
        <v/>
      </c>
      <c r="G201" s="8" t="str">
        <f t="shared" ca="1" si="13"/>
        <v/>
      </c>
      <c r="H201" s="8"/>
      <c r="I201" s="8"/>
      <c r="J201" s="4"/>
      <c r="T201" s="1" t="str">
        <f t="shared" ca="1" si="14"/>
        <v/>
      </c>
      <c r="U201" s="1" t="str">
        <f ca="1">IF(T201="","",COUNTIFS($T$4:$T$503,"&gt;0",$T$4:$T$503,"&lt;"&amp;T201)+COUNTIF($T$4:T201,T201))</f>
        <v/>
      </c>
      <c r="V201" s="1" t="str">
        <f t="shared" si="15"/>
        <v/>
      </c>
    </row>
    <row r="202" spans="1:22">
      <c r="A202" s="4"/>
      <c r="B202" s="52" t="str">
        <f>IF(A202="","",IFERROR(INDEX(Lists!$A$4:$A$203,MATCH(A202,Lists!$B$4:$B$203,0)),""))</f>
        <v/>
      </c>
      <c r="C202" s="8" t="str">
        <f>IF(A202="","",IFERROR(INDEX(Lists!$C$4:$C$203,MATCH(A202,Lists!$B$4:$B$203,0)),""))</f>
        <v/>
      </c>
      <c r="D202" s="8"/>
      <c r="E202" s="10"/>
      <c r="F202" s="10" t="str">
        <f t="shared" si="12"/>
        <v/>
      </c>
      <c r="G202" s="8" t="str">
        <f t="shared" ca="1" si="13"/>
        <v/>
      </c>
      <c r="H202" s="8"/>
      <c r="I202" s="8"/>
      <c r="J202" s="4"/>
      <c r="T202" s="1" t="str">
        <f t="shared" ca="1" si="14"/>
        <v/>
      </c>
      <c r="U202" s="1" t="str">
        <f ca="1">IF(T202="","",COUNTIFS($T$4:$T$503,"&gt;0",$T$4:$T$503,"&lt;"&amp;T202)+COUNTIF($T$4:T202,T202))</f>
        <v/>
      </c>
      <c r="V202" s="1" t="str">
        <f t="shared" si="15"/>
        <v/>
      </c>
    </row>
    <row r="203" spans="1:22">
      <c r="A203" s="4"/>
      <c r="B203" s="52" t="str">
        <f>IF(A203="","",IFERROR(INDEX(Lists!$A$4:$A$203,MATCH(A203,Lists!$B$4:$B$203,0)),""))</f>
        <v/>
      </c>
      <c r="C203" s="8" t="str">
        <f>IF(A203="","",IFERROR(INDEX(Lists!$C$4:$C$203,MATCH(A203,Lists!$B$4:$B$203,0)),""))</f>
        <v/>
      </c>
      <c r="D203" s="8"/>
      <c r="E203" s="10"/>
      <c r="F203" s="10" t="str">
        <f t="shared" si="12"/>
        <v/>
      </c>
      <c r="G203" s="8" t="str">
        <f t="shared" ca="1" si="13"/>
        <v/>
      </c>
      <c r="H203" s="8"/>
      <c r="I203" s="8"/>
      <c r="J203" s="4"/>
      <c r="T203" s="1" t="str">
        <f t="shared" ca="1" si="14"/>
        <v/>
      </c>
      <c r="U203" s="1" t="str">
        <f ca="1">IF(T203="","",COUNTIFS($T$4:$T$503,"&gt;0",$T$4:$T$503,"&lt;"&amp;T203)+COUNTIF($T$4:T203,T203))</f>
        <v/>
      </c>
      <c r="V203" s="1" t="str">
        <f t="shared" si="15"/>
        <v/>
      </c>
    </row>
    <row r="204" spans="1:22">
      <c r="A204" s="4"/>
      <c r="B204" s="52" t="str">
        <f>IF(A204="","",IFERROR(INDEX(Lists!$A$4:$A$203,MATCH(A204,Lists!$B$4:$B$203,0)),""))</f>
        <v/>
      </c>
      <c r="C204" s="8" t="str">
        <f>IF(A204="","",IFERROR(INDEX(Lists!$C$4:$C$203,MATCH(A204,Lists!$B$4:$B$203,0)),""))</f>
        <v/>
      </c>
      <c r="D204" s="8"/>
      <c r="E204" s="10"/>
      <c r="F204" s="10" t="str">
        <f t="shared" si="12"/>
        <v/>
      </c>
      <c r="G204" s="8" t="str">
        <f t="shared" ca="1" si="13"/>
        <v/>
      </c>
      <c r="H204" s="8"/>
      <c r="I204" s="8"/>
      <c r="J204" s="4"/>
      <c r="T204" s="1" t="str">
        <f t="shared" ca="1" si="14"/>
        <v/>
      </c>
      <c r="U204" s="1" t="str">
        <f ca="1">IF(T204="","",COUNTIFS($T$4:$T$503,"&gt;0",$T$4:$T$503,"&lt;"&amp;T204)+COUNTIF($T$4:T204,T204))</f>
        <v/>
      </c>
      <c r="V204" s="1" t="str">
        <f t="shared" si="15"/>
        <v/>
      </c>
    </row>
    <row r="205" spans="1:22">
      <c r="A205" s="4"/>
      <c r="B205" s="52" t="str">
        <f>IF(A205="","",IFERROR(INDEX(Lists!$A$4:$A$203,MATCH(A205,Lists!$B$4:$B$203,0)),""))</f>
        <v/>
      </c>
      <c r="C205" s="8" t="str">
        <f>IF(A205="","",IFERROR(INDEX(Lists!$C$4:$C$203,MATCH(A205,Lists!$B$4:$B$203,0)),""))</f>
        <v/>
      </c>
      <c r="D205" s="8"/>
      <c r="E205" s="10"/>
      <c r="F205" s="10" t="str">
        <f t="shared" si="12"/>
        <v/>
      </c>
      <c r="G205" s="8" t="str">
        <f t="shared" ca="1" si="13"/>
        <v/>
      </c>
      <c r="H205" s="8"/>
      <c r="I205" s="8"/>
      <c r="J205" s="4"/>
      <c r="T205" s="1" t="str">
        <f t="shared" ca="1" si="14"/>
        <v/>
      </c>
      <c r="U205" s="1" t="str">
        <f ca="1">IF(T205="","",COUNTIFS($T$4:$T$503,"&gt;0",$T$4:$T$503,"&lt;"&amp;T205)+COUNTIF($T$4:T205,T205))</f>
        <v/>
      </c>
      <c r="V205" s="1" t="str">
        <f t="shared" si="15"/>
        <v/>
      </c>
    </row>
    <row r="206" spans="1:22">
      <c r="A206" s="4"/>
      <c r="B206" s="52" t="str">
        <f>IF(A206="","",IFERROR(INDEX(Lists!$A$4:$A$203,MATCH(A206,Lists!$B$4:$B$203,0)),""))</f>
        <v/>
      </c>
      <c r="C206" s="8" t="str">
        <f>IF(A206="","",IFERROR(INDEX(Lists!$C$4:$C$203,MATCH(A206,Lists!$B$4:$B$203,0)),""))</f>
        <v/>
      </c>
      <c r="D206" s="8"/>
      <c r="E206" s="10"/>
      <c r="F206" s="10" t="str">
        <f t="shared" si="12"/>
        <v/>
      </c>
      <c r="G206" s="8" t="str">
        <f t="shared" ca="1" si="13"/>
        <v/>
      </c>
      <c r="H206" s="8"/>
      <c r="I206" s="8"/>
      <c r="J206" s="4"/>
      <c r="T206" s="1" t="str">
        <f t="shared" ca="1" si="14"/>
        <v/>
      </c>
      <c r="U206" s="1" t="str">
        <f ca="1">IF(T206="","",COUNTIFS($T$4:$T$503,"&gt;0",$T$4:$T$503,"&lt;"&amp;T206)+COUNTIF($T$4:T206,T206))</f>
        <v/>
      </c>
      <c r="V206" s="1" t="str">
        <f t="shared" si="15"/>
        <v/>
      </c>
    </row>
    <row r="207" spans="1:22">
      <c r="A207" s="4"/>
      <c r="B207" s="52" t="str">
        <f>IF(A207="","",IFERROR(INDEX(Lists!$A$4:$A$203,MATCH(A207,Lists!$B$4:$B$203,0)),""))</f>
        <v/>
      </c>
      <c r="C207" s="8" t="str">
        <f>IF(A207="","",IFERROR(INDEX(Lists!$C$4:$C$203,MATCH(A207,Lists!$B$4:$B$203,0)),""))</f>
        <v/>
      </c>
      <c r="D207" s="8"/>
      <c r="E207" s="10"/>
      <c r="F207" s="10" t="str">
        <f t="shared" si="12"/>
        <v/>
      </c>
      <c r="G207" s="8" t="str">
        <f t="shared" ca="1" si="13"/>
        <v/>
      </c>
      <c r="H207" s="8"/>
      <c r="I207" s="8"/>
      <c r="J207" s="4"/>
      <c r="T207" s="1" t="str">
        <f t="shared" ca="1" si="14"/>
        <v/>
      </c>
      <c r="U207" s="1" t="str">
        <f ca="1">IF(T207="","",COUNTIFS($T$4:$T$503,"&gt;0",$T$4:$T$503,"&lt;"&amp;T207)+COUNTIF($T$4:T207,T207))</f>
        <v/>
      </c>
      <c r="V207" s="1" t="str">
        <f t="shared" si="15"/>
        <v/>
      </c>
    </row>
    <row r="208" spans="1:22">
      <c r="A208" s="4"/>
      <c r="B208" s="52" t="str">
        <f>IF(A208="","",IFERROR(INDEX(Lists!$A$4:$A$203,MATCH(A208,Lists!$B$4:$B$203,0)),""))</f>
        <v/>
      </c>
      <c r="C208" s="8" t="str">
        <f>IF(A208="","",IFERROR(INDEX(Lists!$C$4:$C$203,MATCH(A208,Lists!$B$4:$B$203,0)),""))</f>
        <v/>
      </c>
      <c r="D208" s="8"/>
      <c r="E208" s="10"/>
      <c r="F208" s="10" t="str">
        <f t="shared" si="12"/>
        <v/>
      </c>
      <c r="G208" s="8" t="str">
        <f t="shared" ca="1" si="13"/>
        <v/>
      </c>
      <c r="H208" s="8"/>
      <c r="I208" s="8"/>
      <c r="J208" s="4"/>
      <c r="T208" s="1" t="str">
        <f t="shared" ca="1" si="14"/>
        <v/>
      </c>
      <c r="U208" s="1" t="str">
        <f ca="1">IF(T208="","",COUNTIFS($T$4:$T$503,"&gt;0",$T$4:$T$503,"&lt;"&amp;T208)+COUNTIF($T$4:T208,T208))</f>
        <v/>
      </c>
      <c r="V208" s="1" t="str">
        <f t="shared" si="15"/>
        <v/>
      </c>
    </row>
    <row r="209" spans="1:22">
      <c r="A209" s="4"/>
      <c r="B209" s="52" t="str">
        <f>IF(A209="","",IFERROR(INDEX(Lists!$A$4:$A$203,MATCH(A209,Lists!$B$4:$B$203,0)),""))</f>
        <v/>
      </c>
      <c r="C209" s="8" t="str">
        <f>IF(A209="","",IFERROR(INDEX(Lists!$C$4:$C$203,MATCH(A209,Lists!$B$4:$B$203,0)),""))</f>
        <v/>
      </c>
      <c r="D209" s="8"/>
      <c r="E209" s="10"/>
      <c r="F209" s="10" t="str">
        <f t="shared" si="12"/>
        <v/>
      </c>
      <c r="G209" s="8" t="str">
        <f t="shared" ca="1" si="13"/>
        <v/>
      </c>
      <c r="H209" s="8"/>
      <c r="I209" s="8"/>
      <c r="J209" s="4"/>
      <c r="T209" s="1" t="str">
        <f t="shared" ca="1" si="14"/>
        <v/>
      </c>
      <c r="U209" s="1" t="str">
        <f ca="1">IF(T209="","",COUNTIFS($T$4:$T$503,"&gt;0",$T$4:$T$503,"&lt;"&amp;T209)+COUNTIF($T$4:T209,T209))</f>
        <v/>
      </c>
      <c r="V209" s="1" t="str">
        <f t="shared" si="15"/>
        <v/>
      </c>
    </row>
    <row r="210" spans="1:22">
      <c r="A210" s="4"/>
      <c r="B210" s="52" t="str">
        <f>IF(A210="","",IFERROR(INDEX(Lists!$A$4:$A$203,MATCH(A210,Lists!$B$4:$B$203,0)),""))</f>
        <v/>
      </c>
      <c r="C210" s="8" t="str">
        <f>IF(A210="","",IFERROR(INDEX(Lists!$C$4:$C$203,MATCH(A210,Lists!$B$4:$B$203,0)),""))</f>
        <v/>
      </c>
      <c r="D210" s="8"/>
      <c r="E210" s="10"/>
      <c r="F210" s="10" t="str">
        <f t="shared" si="12"/>
        <v/>
      </c>
      <c r="G210" s="8" t="str">
        <f t="shared" ca="1" si="13"/>
        <v/>
      </c>
      <c r="H210" s="8"/>
      <c r="I210" s="8"/>
      <c r="J210" s="4"/>
      <c r="T210" s="1" t="str">
        <f t="shared" ca="1" si="14"/>
        <v/>
      </c>
      <c r="U210" s="1" t="str">
        <f ca="1">IF(T210="","",COUNTIFS($T$4:$T$503,"&gt;0",$T$4:$T$503,"&lt;"&amp;T210)+COUNTIF($T$4:T210,T210))</f>
        <v/>
      </c>
      <c r="V210" s="1" t="str">
        <f t="shared" si="15"/>
        <v/>
      </c>
    </row>
    <row r="211" spans="1:22">
      <c r="A211" s="4"/>
      <c r="B211" s="52" t="str">
        <f>IF(A211="","",IFERROR(INDEX(Lists!$A$4:$A$203,MATCH(A211,Lists!$B$4:$B$203,0)),""))</f>
        <v/>
      </c>
      <c r="C211" s="8" t="str">
        <f>IF(A211="","",IFERROR(INDEX(Lists!$C$4:$C$203,MATCH(A211,Lists!$B$4:$B$203,0)),""))</f>
        <v/>
      </c>
      <c r="D211" s="8"/>
      <c r="E211" s="10"/>
      <c r="F211" s="10" t="str">
        <f t="shared" si="12"/>
        <v/>
      </c>
      <c r="G211" s="8" t="str">
        <f t="shared" ca="1" si="13"/>
        <v/>
      </c>
      <c r="H211" s="8"/>
      <c r="I211" s="8"/>
      <c r="J211" s="4"/>
      <c r="T211" s="1" t="str">
        <f t="shared" ca="1" si="14"/>
        <v/>
      </c>
      <c r="U211" s="1" t="str">
        <f ca="1">IF(T211="","",COUNTIFS($T$4:$T$503,"&gt;0",$T$4:$T$503,"&lt;"&amp;T211)+COUNTIF($T$4:T211,T211))</f>
        <v/>
      </c>
      <c r="V211" s="1" t="str">
        <f t="shared" si="15"/>
        <v/>
      </c>
    </row>
    <row r="212" spans="1:22">
      <c r="A212" s="4"/>
      <c r="B212" s="52" t="str">
        <f>IF(A212="","",IFERROR(INDEX(Lists!$A$4:$A$203,MATCH(A212,Lists!$B$4:$B$203,0)),""))</f>
        <v/>
      </c>
      <c r="C212" s="8" t="str">
        <f>IF(A212="","",IFERROR(INDEX(Lists!$C$4:$C$203,MATCH(A212,Lists!$B$4:$B$203,0)),""))</f>
        <v/>
      </c>
      <c r="D212" s="8"/>
      <c r="E212" s="10"/>
      <c r="F212" s="10" t="str">
        <f t="shared" si="12"/>
        <v/>
      </c>
      <c r="G212" s="8" t="str">
        <f t="shared" ca="1" si="13"/>
        <v/>
      </c>
      <c r="H212" s="8"/>
      <c r="I212" s="8"/>
      <c r="J212" s="4"/>
      <c r="T212" s="1" t="str">
        <f t="shared" ca="1" si="14"/>
        <v/>
      </c>
      <c r="U212" s="1" t="str">
        <f ca="1">IF(T212="","",COUNTIFS($T$4:$T$503,"&gt;0",$T$4:$T$503,"&lt;"&amp;T212)+COUNTIF($T$4:T212,T212))</f>
        <v/>
      </c>
      <c r="V212" s="1" t="str">
        <f t="shared" si="15"/>
        <v/>
      </c>
    </row>
    <row r="213" spans="1:22">
      <c r="A213" s="4"/>
      <c r="B213" s="52" t="str">
        <f>IF(A213="","",IFERROR(INDEX(Lists!$A$4:$A$203,MATCH(A213,Lists!$B$4:$B$203,0)),""))</f>
        <v/>
      </c>
      <c r="C213" s="8" t="str">
        <f>IF(A213="","",IFERROR(INDEX(Lists!$C$4:$C$203,MATCH(A213,Lists!$B$4:$B$203,0)),""))</f>
        <v/>
      </c>
      <c r="D213" s="8"/>
      <c r="E213" s="10"/>
      <c r="F213" s="10" t="str">
        <f t="shared" si="12"/>
        <v/>
      </c>
      <c r="G213" s="8" t="str">
        <f t="shared" ca="1" si="13"/>
        <v/>
      </c>
      <c r="H213" s="8"/>
      <c r="I213" s="8"/>
      <c r="J213" s="4"/>
      <c r="T213" s="1" t="str">
        <f t="shared" ca="1" si="14"/>
        <v/>
      </c>
      <c r="U213" s="1" t="str">
        <f ca="1">IF(T213="","",COUNTIFS($T$4:$T$503,"&gt;0",$T$4:$T$503,"&lt;"&amp;T213)+COUNTIF($T$4:T213,T213))</f>
        <v/>
      </c>
      <c r="V213" s="1" t="str">
        <f t="shared" si="15"/>
        <v/>
      </c>
    </row>
    <row r="214" spans="1:22">
      <c r="A214" s="4"/>
      <c r="B214" s="52" t="str">
        <f>IF(A214="","",IFERROR(INDEX(Lists!$A$4:$A$203,MATCH(A214,Lists!$B$4:$B$203,0)),""))</f>
        <v/>
      </c>
      <c r="C214" s="8" t="str">
        <f>IF(A214="","",IFERROR(INDEX(Lists!$C$4:$C$203,MATCH(A214,Lists!$B$4:$B$203,0)),""))</f>
        <v/>
      </c>
      <c r="D214" s="8"/>
      <c r="E214" s="10"/>
      <c r="F214" s="10" t="str">
        <f t="shared" si="12"/>
        <v/>
      </c>
      <c r="G214" s="8" t="str">
        <f t="shared" ca="1" si="13"/>
        <v/>
      </c>
      <c r="H214" s="8"/>
      <c r="I214" s="8"/>
      <c r="J214" s="4"/>
      <c r="T214" s="1" t="str">
        <f t="shared" ca="1" si="14"/>
        <v/>
      </c>
      <c r="U214" s="1" t="str">
        <f ca="1">IF(T214="","",COUNTIFS($T$4:$T$503,"&gt;0",$T$4:$T$503,"&lt;"&amp;T214)+COUNTIF($T$4:T214,T214))</f>
        <v/>
      </c>
      <c r="V214" s="1" t="str">
        <f t="shared" si="15"/>
        <v/>
      </c>
    </row>
    <row r="215" spans="1:22">
      <c r="A215" s="4"/>
      <c r="B215" s="52" t="str">
        <f>IF(A215="","",IFERROR(INDEX(Lists!$A$4:$A$203,MATCH(A215,Lists!$B$4:$B$203,0)),""))</f>
        <v/>
      </c>
      <c r="C215" s="8" t="str">
        <f>IF(A215="","",IFERROR(INDEX(Lists!$C$4:$C$203,MATCH(A215,Lists!$B$4:$B$203,0)),""))</f>
        <v/>
      </c>
      <c r="D215" s="8"/>
      <c r="E215" s="10"/>
      <c r="F215" s="10" t="str">
        <f t="shared" si="12"/>
        <v/>
      </c>
      <c r="G215" s="8" t="str">
        <f t="shared" ca="1" si="13"/>
        <v/>
      </c>
      <c r="H215" s="8"/>
      <c r="I215" s="8"/>
      <c r="J215" s="4"/>
      <c r="T215" s="1" t="str">
        <f t="shared" ca="1" si="14"/>
        <v/>
      </c>
      <c r="U215" s="1" t="str">
        <f ca="1">IF(T215="","",COUNTIFS($T$4:$T$503,"&gt;0",$T$4:$T$503,"&lt;"&amp;T215)+COUNTIF($T$4:T215,T215))</f>
        <v/>
      </c>
      <c r="V215" s="1" t="str">
        <f t="shared" si="15"/>
        <v/>
      </c>
    </row>
    <row r="216" spans="1:22">
      <c r="A216" s="4"/>
      <c r="B216" s="52" t="str">
        <f>IF(A216="","",IFERROR(INDEX(Lists!$A$4:$A$203,MATCH(A216,Lists!$B$4:$B$203,0)),""))</f>
        <v/>
      </c>
      <c r="C216" s="8" t="str">
        <f>IF(A216="","",IFERROR(INDEX(Lists!$C$4:$C$203,MATCH(A216,Lists!$B$4:$B$203,0)),""))</f>
        <v/>
      </c>
      <c r="D216" s="8"/>
      <c r="E216" s="10"/>
      <c r="F216" s="10" t="str">
        <f t="shared" si="12"/>
        <v/>
      </c>
      <c r="G216" s="8" t="str">
        <f t="shared" ca="1" si="13"/>
        <v/>
      </c>
      <c r="H216" s="8"/>
      <c r="I216" s="8"/>
      <c r="J216" s="4"/>
      <c r="T216" s="1" t="str">
        <f t="shared" ca="1" si="14"/>
        <v/>
      </c>
      <c r="U216" s="1" t="str">
        <f ca="1">IF(T216="","",COUNTIFS($T$4:$T$503,"&gt;0",$T$4:$T$503,"&lt;"&amp;T216)+COUNTIF($T$4:T216,T216))</f>
        <v/>
      </c>
      <c r="V216" s="1" t="str">
        <f t="shared" si="15"/>
        <v/>
      </c>
    </row>
    <row r="217" spans="1:22">
      <c r="A217" s="4"/>
      <c r="B217" s="52" t="str">
        <f>IF(A217="","",IFERROR(INDEX(Lists!$A$4:$A$203,MATCH(A217,Lists!$B$4:$B$203,0)),""))</f>
        <v/>
      </c>
      <c r="C217" s="8" t="str">
        <f>IF(A217="","",IFERROR(INDEX(Lists!$C$4:$C$203,MATCH(A217,Lists!$B$4:$B$203,0)),""))</f>
        <v/>
      </c>
      <c r="D217" s="8"/>
      <c r="E217" s="10"/>
      <c r="F217" s="10" t="str">
        <f t="shared" si="12"/>
        <v/>
      </c>
      <c r="G217" s="8" t="str">
        <f t="shared" ca="1" si="13"/>
        <v/>
      </c>
      <c r="H217" s="8"/>
      <c r="I217" s="8"/>
      <c r="J217" s="4"/>
      <c r="T217" s="1" t="str">
        <f t="shared" ca="1" si="14"/>
        <v/>
      </c>
      <c r="U217" s="1" t="str">
        <f ca="1">IF(T217="","",COUNTIFS($T$4:$T$503,"&gt;0",$T$4:$T$503,"&lt;"&amp;T217)+COUNTIF($T$4:T217,T217))</f>
        <v/>
      </c>
      <c r="V217" s="1" t="str">
        <f t="shared" si="15"/>
        <v/>
      </c>
    </row>
    <row r="218" spans="1:22">
      <c r="A218" s="4"/>
      <c r="B218" s="52" t="str">
        <f>IF(A218="","",IFERROR(INDEX(Lists!$A$4:$A$203,MATCH(A218,Lists!$B$4:$B$203,0)),""))</f>
        <v/>
      </c>
      <c r="C218" s="8" t="str">
        <f>IF(A218="","",IFERROR(INDEX(Lists!$C$4:$C$203,MATCH(A218,Lists!$B$4:$B$203,0)),""))</f>
        <v/>
      </c>
      <c r="D218" s="8"/>
      <c r="E218" s="10"/>
      <c r="F218" s="10" t="str">
        <f t="shared" si="12"/>
        <v/>
      </c>
      <c r="G218" s="8" t="str">
        <f t="shared" ca="1" si="13"/>
        <v/>
      </c>
      <c r="H218" s="8"/>
      <c r="I218" s="8"/>
      <c r="J218" s="4"/>
      <c r="T218" s="1" t="str">
        <f t="shared" ca="1" si="14"/>
        <v/>
      </c>
      <c r="U218" s="1" t="str">
        <f ca="1">IF(T218="","",COUNTIFS($T$4:$T$503,"&gt;0",$T$4:$T$503,"&lt;"&amp;T218)+COUNTIF($T$4:T218,T218))</f>
        <v/>
      </c>
      <c r="V218" s="1" t="str">
        <f t="shared" si="15"/>
        <v/>
      </c>
    </row>
    <row r="219" spans="1:22">
      <c r="A219" s="4"/>
      <c r="B219" s="52" t="str">
        <f>IF(A219="","",IFERROR(INDEX(Lists!$A$4:$A$203,MATCH(A219,Lists!$B$4:$B$203,0)),""))</f>
        <v/>
      </c>
      <c r="C219" s="8" t="str">
        <f>IF(A219="","",IFERROR(INDEX(Lists!$C$4:$C$203,MATCH(A219,Lists!$B$4:$B$203,0)),""))</f>
        <v/>
      </c>
      <c r="D219" s="8"/>
      <c r="E219" s="10"/>
      <c r="F219" s="10" t="str">
        <f t="shared" si="12"/>
        <v/>
      </c>
      <c r="G219" s="8" t="str">
        <f t="shared" ca="1" si="13"/>
        <v/>
      </c>
      <c r="H219" s="8"/>
      <c r="I219" s="8"/>
      <c r="J219" s="4"/>
      <c r="T219" s="1" t="str">
        <f t="shared" ca="1" si="14"/>
        <v/>
      </c>
      <c r="U219" s="1" t="str">
        <f ca="1">IF(T219="","",COUNTIFS($T$4:$T$503,"&gt;0",$T$4:$T$503,"&lt;"&amp;T219)+COUNTIF($T$4:T219,T219))</f>
        <v/>
      </c>
      <c r="V219" s="1" t="str">
        <f t="shared" si="15"/>
        <v/>
      </c>
    </row>
    <row r="220" spans="1:22">
      <c r="A220" s="4"/>
      <c r="B220" s="52" t="str">
        <f>IF(A220="","",IFERROR(INDEX(Lists!$A$4:$A$203,MATCH(A220,Lists!$B$4:$B$203,0)),""))</f>
        <v/>
      </c>
      <c r="C220" s="8" t="str">
        <f>IF(A220="","",IFERROR(INDEX(Lists!$C$4:$C$203,MATCH(A220,Lists!$B$4:$B$203,0)),""))</f>
        <v/>
      </c>
      <c r="D220" s="8"/>
      <c r="E220" s="10"/>
      <c r="F220" s="10" t="str">
        <f t="shared" si="12"/>
        <v/>
      </c>
      <c r="G220" s="8" t="str">
        <f t="shared" ca="1" si="13"/>
        <v/>
      </c>
      <c r="H220" s="8"/>
      <c r="I220" s="8"/>
      <c r="J220" s="4"/>
      <c r="T220" s="1" t="str">
        <f t="shared" ca="1" si="14"/>
        <v/>
      </c>
      <c r="U220" s="1" t="str">
        <f ca="1">IF(T220="","",COUNTIFS($T$4:$T$503,"&gt;0",$T$4:$T$503,"&lt;"&amp;T220)+COUNTIF($T$4:T220,T220))</f>
        <v/>
      </c>
      <c r="V220" s="1" t="str">
        <f t="shared" si="15"/>
        <v/>
      </c>
    </row>
    <row r="221" spans="1:22">
      <c r="A221" s="4"/>
      <c r="B221" s="52" t="str">
        <f>IF(A221="","",IFERROR(INDEX(Lists!$A$4:$A$203,MATCH(A221,Lists!$B$4:$B$203,0)),""))</f>
        <v/>
      </c>
      <c r="C221" s="8" t="str">
        <f>IF(A221="","",IFERROR(INDEX(Lists!$C$4:$C$203,MATCH(A221,Lists!$B$4:$B$203,0)),""))</f>
        <v/>
      </c>
      <c r="D221" s="8"/>
      <c r="E221" s="10"/>
      <c r="F221" s="10" t="str">
        <f t="shared" si="12"/>
        <v/>
      </c>
      <c r="G221" s="8" t="str">
        <f t="shared" ca="1" si="13"/>
        <v/>
      </c>
      <c r="H221" s="8"/>
      <c r="I221" s="8"/>
      <c r="J221" s="4"/>
      <c r="T221" s="1" t="str">
        <f t="shared" ca="1" si="14"/>
        <v/>
      </c>
      <c r="U221" s="1" t="str">
        <f ca="1">IF(T221="","",COUNTIFS($T$4:$T$503,"&gt;0",$T$4:$T$503,"&lt;"&amp;T221)+COUNTIF($T$4:T221,T221))</f>
        <v/>
      </c>
      <c r="V221" s="1" t="str">
        <f t="shared" si="15"/>
        <v/>
      </c>
    </row>
    <row r="222" spans="1:22">
      <c r="A222" s="4"/>
      <c r="B222" s="52" t="str">
        <f>IF(A222="","",IFERROR(INDEX(Lists!$A$4:$A$203,MATCH(A222,Lists!$B$4:$B$203,0)),""))</f>
        <v/>
      </c>
      <c r="C222" s="8" t="str">
        <f>IF(A222="","",IFERROR(INDEX(Lists!$C$4:$C$203,MATCH(A222,Lists!$B$4:$B$203,0)),""))</f>
        <v/>
      </c>
      <c r="D222" s="8"/>
      <c r="E222" s="10"/>
      <c r="F222" s="10" t="str">
        <f t="shared" si="12"/>
        <v/>
      </c>
      <c r="G222" s="8" t="str">
        <f t="shared" ca="1" si="13"/>
        <v/>
      </c>
      <c r="H222" s="8"/>
      <c r="I222" s="8"/>
      <c r="J222" s="4"/>
      <c r="T222" s="1" t="str">
        <f t="shared" ca="1" si="14"/>
        <v/>
      </c>
      <c r="U222" s="1" t="str">
        <f ca="1">IF(T222="","",COUNTIFS($T$4:$T$503,"&gt;0",$T$4:$T$503,"&lt;"&amp;T222)+COUNTIF($T$4:T222,T222))</f>
        <v/>
      </c>
      <c r="V222" s="1" t="str">
        <f t="shared" si="15"/>
        <v/>
      </c>
    </row>
    <row r="223" spans="1:22">
      <c r="A223" s="4"/>
      <c r="B223" s="52" t="str">
        <f>IF(A223="","",IFERROR(INDEX(Lists!$A$4:$A$203,MATCH(A223,Lists!$B$4:$B$203,0)),""))</f>
        <v/>
      </c>
      <c r="C223" s="8" t="str">
        <f>IF(A223="","",IFERROR(INDEX(Lists!$C$4:$C$203,MATCH(A223,Lists!$B$4:$B$203,0)),""))</f>
        <v/>
      </c>
      <c r="D223" s="8"/>
      <c r="E223" s="10"/>
      <c r="F223" s="10" t="str">
        <f t="shared" si="12"/>
        <v/>
      </c>
      <c r="G223" s="8" t="str">
        <f t="shared" ca="1" si="13"/>
        <v/>
      </c>
      <c r="H223" s="8"/>
      <c r="I223" s="8"/>
      <c r="J223" s="4"/>
      <c r="T223" s="1" t="str">
        <f t="shared" ca="1" si="14"/>
        <v/>
      </c>
      <c r="U223" s="1" t="str">
        <f ca="1">IF(T223="","",COUNTIFS($T$4:$T$503,"&gt;0",$T$4:$T$503,"&lt;"&amp;T223)+COUNTIF($T$4:T223,T223))</f>
        <v/>
      </c>
      <c r="V223" s="1" t="str">
        <f t="shared" si="15"/>
        <v/>
      </c>
    </row>
    <row r="224" spans="1:22">
      <c r="A224" s="4"/>
      <c r="B224" s="52" t="str">
        <f>IF(A224="","",IFERROR(INDEX(Lists!$A$4:$A$203,MATCH(A224,Lists!$B$4:$B$203,0)),""))</f>
        <v/>
      </c>
      <c r="C224" s="8" t="str">
        <f>IF(A224="","",IFERROR(INDEX(Lists!$C$4:$C$203,MATCH(A224,Lists!$B$4:$B$203,0)),""))</f>
        <v/>
      </c>
      <c r="D224" s="8"/>
      <c r="E224" s="10"/>
      <c r="F224" s="10" t="str">
        <f t="shared" si="12"/>
        <v/>
      </c>
      <c r="G224" s="8" t="str">
        <f t="shared" ca="1" si="13"/>
        <v/>
      </c>
      <c r="H224" s="8"/>
      <c r="I224" s="8"/>
      <c r="J224" s="4"/>
      <c r="T224" s="1" t="str">
        <f t="shared" ca="1" si="14"/>
        <v/>
      </c>
      <c r="U224" s="1" t="str">
        <f ca="1">IF(T224="","",COUNTIFS($T$4:$T$503,"&gt;0",$T$4:$T$503,"&lt;"&amp;T224)+COUNTIF($T$4:T224,T224))</f>
        <v/>
      </c>
      <c r="V224" s="1" t="str">
        <f t="shared" si="15"/>
        <v/>
      </c>
    </row>
    <row r="225" spans="1:22">
      <c r="A225" s="4"/>
      <c r="B225" s="52" t="str">
        <f>IF(A225="","",IFERROR(INDEX(Lists!$A$4:$A$203,MATCH(A225,Lists!$B$4:$B$203,0)),""))</f>
        <v/>
      </c>
      <c r="C225" s="8" t="str">
        <f>IF(A225="","",IFERROR(INDEX(Lists!$C$4:$C$203,MATCH(A225,Lists!$B$4:$B$203,0)),""))</f>
        <v/>
      </c>
      <c r="D225" s="8"/>
      <c r="E225" s="10"/>
      <c r="F225" s="10" t="str">
        <f t="shared" si="12"/>
        <v/>
      </c>
      <c r="G225" s="8" t="str">
        <f t="shared" ca="1" si="13"/>
        <v/>
      </c>
      <c r="H225" s="8"/>
      <c r="I225" s="8"/>
      <c r="J225" s="4"/>
      <c r="T225" s="1" t="str">
        <f t="shared" ca="1" si="14"/>
        <v/>
      </c>
      <c r="U225" s="1" t="str">
        <f ca="1">IF(T225="","",COUNTIFS($T$4:$T$503,"&gt;0",$T$4:$T$503,"&lt;"&amp;T225)+COUNTIF($T$4:T225,T225))</f>
        <v/>
      </c>
      <c r="V225" s="1" t="str">
        <f t="shared" si="15"/>
        <v/>
      </c>
    </row>
    <row r="226" spans="1:22">
      <c r="A226" s="4"/>
      <c r="B226" s="52" t="str">
        <f>IF(A226="","",IFERROR(INDEX(Lists!$A$4:$A$203,MATCH(A226,Lists!$B$4:$B$203,0)),""))</f>
        <v/>
      </c>
      <c r="C226" s="8" t="str">
        <f>IF(A226="","",IFERROR(INDEX(Lists!$C$4:$C$203,MATCH(A226,Lists!$B$4:$B$203,0)),""))</f>
        <v/>
      </c>
      <c r="D226" s="8"/>
      <c r="E226" s="10"/>
      <c r="F226" s="10" t="str">
        <f t="shared" si="12"/>
        <v/>
      </c>
      <c r="G226" s="8" t="str">
        <f t="shared" ca="1" si="13"/>
        <v/>
      </c>
      <c r="H226" s="8"/>
      <c r="I226" s="8"/>
      <c r="J226" s="4"/>
      <c r="T226" s="1" t="str">
        <f t="shared" ca="1" si="14"/>
        <v/>
      </c>
      <c r="U226" s="1" t="str">
        <f ca="1">IF(T226="","",COUNTIFS($T$4:$T$503,"&gt;0",$T$4:$T$503,"&lt;"&amp;T226)+COUNTIF($T$4:T226,T226))</f>
        <v/>
      </c>
      <c r="V226" s="1" t="str">
        <f t="shared" si="15"/>
        <v/>
      </c>
    </row>
    <row r="227" spans="1:22">
      <c r="A227" s="4"/>
      <c r="B227" s="52" t="str">
        <f>IF(A227="","",IFERROR(INDEX(Lists!$A$4:$A$203,MATCH(A227,Lists!$B$4:$B$203,0)),""))</f>
        <v/>
      </c>
      <c r="C227" s="8" t="str">
        <f>IF(A227="","",IFERROR(INDEX(Lists!$C$4:$C$203,MATCH(A227,Lists!$B$4:$B$203,0)),""))</f>
        <v/>
      </c>
      <c r="D227" s="8"/>
      <c r="E227" s="10"/>
      <c r="F227" s="10" t="str">
        <f t="shared" si="12"/>
        <v/>
      </c>
      <c r="G227" s="8" t="str">
        <f t="shared" ca="1" si="13"/>
        <v/>
      </c>
      <c r="H227" s="8"/>
      <c r="I227" s="8"/>
      <c r="J227" s="4"/>
      <c r="T227" s="1" t="str">
        <f t="shared" ca="1" si="14"/>
        <v/>
      </c>
      <c r="U227" s="1" t="str">
        <f ca="1">IF(T227="","",COUNTIFS($T$4:$T$503,"&gt;0",$T$4:$T$503,"&lt;"&amp;T227)+COUNTIF($T$4:T227,T227))</f>
        <v/>
      </c>
      <c r="V227" s="1" t="str">
        <f t="shared" si="15"/>
        <v/>
      </c>
    </row>
    <row r="228" spans="1:22">
      <c r="A228" s="4"/>
      <c r="B228" s="52" t="str">
        <f>IF(A228="","",IFERROR(INDEX(Lists!$A$4:$A$203,MATCH(A228,Lists!$B$4:$B$203,0)),""))</f>
        <v/>
      </c>
      <c r="C228" s="8" t="str">
        <f>IF(A228="","",IFERROR(INDEX(Lists!$C$4:$C$203,MATCH(A228,Lists!$B$4:$B$203,0)),""))</f>
        <v/>
      </c>
      <c r="D228" s="8"/>
      <c r="E228" s="10"/>
      <c r="F228" s="10" t="str">
        <f t="shared" si="12"/>
        <v/>
      </c>
      <c r="G228" s="8" t="str">
        <f t="shared" ca="1" si="13"/>
        <v/>
      </c>
      <c r="H228" s="8"/>
      <c r="I228" s="8"/>
      <c r="J228" s="4"/>
      <c r="T228" s="1" t="str">
        <f t="shared" ca="1" si="14"/>
        <v/>
      </c>
      <c r="U228" s="1" t="str">
        <f ca="1">IF(T228="","",COUNTIFS($T$4:$T$503,"&gt;0",$T$4:$T$503,"&lt;"&amp;T228)+COUNTIF($T$4:T228,T228))</f>
        <v/>
      </c>
      <c r="V228" s="1" t="str">
        <f t="shared" si="15"/>
        <v/>
      </c>
    </row>
    <row r="229" spans="1:22">
      <c r="A229" s="4"/>
      <c r="B229" s="52" t="str">
        <f>IF(A229="","",IFERROR(INDEX(Lists!$A$4:$A$203,MATCH(A229,Lists!$B$4:$B$203,0)),""))</f>
        <v/>
      </c>
      <c r="C229" s="8" t="str">
        <f>IF(A229="","",IFERROR(INDEX(Lists!$C$4:$C$203,MATCH(A229,Lists!$B$4:$B$203,0)),""))</f>
        <v/>
      </c>
      <c r="D229" s="8"/>
      <c r="E229" s="10"/>
      <c r="F229" s="10" t="str">
        <f t="shared" si="12"/>
        <v/>
      </c>
      <c r="G229" s="8" t="str">
        <f t="shared" ca="1" si="13"/>
        <v/>
      </c>
      <c r="H229" s="8"/>
      <c r="I229" s="8"/>
      <c r="J229" s="4"/>
      <c r="T229" s="1" t="str">
        <f t="shared" ca="1" si="14"/>
        <v/>
      </c>
      <c r="U229" s="1" t="str">
        <f ca="1">IF(T229="","",COUNTIFS($T$4:$T$503,"&gt;0",$T$4:$T$503,"&lt;"&amp;T229)+COUNTIF($T$4:T229,T229))</f>
        <v/>
      </c>
      <c r="V229" s="1" t="str">
        <f t="shared" si="15"/>
        <v/>
      </c>
    </row>
    <row r="230" spans="1:22">
      <c r="A230" s="4"/>
      <c r="B230" s="52" t="str">
        <f>IF(A230="","",IFERROR(INDEX(Lists!$A$4:$A$203,MATCH(A230,Lists!$B$4:$B$203,0)),""))</f>
        <v/>
      </c>
      <c r="C230" s="8" t="str">
        <f>IF(A230="","",IFERROR(INDEX(Lists!$C$4:$C$203,MATCH(A230,Lists!$B$4:$B$203,0)),""))</f>
        <v/>
      </c>
      <c r="D230" s="8"/>
      <c r="E230" s="10"/>
      <c r="F230" s="10" t="str">
        <f t="shared" si="12"/>
        <v/>
      </c>
      <c r="G230" s="8" t="str">
        <f t="shared" ca="1" si="13"/>
        <v/>
      </c>
      <c r="H230" s="8"/>
      <c r="I230" s="8"/>
      <c r="J230" s="4"/>
      <c r="T230" s="1" t="str">
        <f t="shared" ca="1" si="14"/>
        <v/>
      </c>
      <c r="U230" s="1" t="str">
        <f ca="1">IF(T230="","",COUNTIFS($T$4:$T$503,"&gt;0",$T$4:$T$503,"&lt;"&amp;T230)+COUNTIF($T$4:T230,T230))</f>
        <v/>
      </c>
      <c r="V230" s="1" t="str">
        <f t="shared" si="15"/>
        <v/>
      </c>
    </row>
    <row r="231" spans="1:22">
      <c r="A231" s="4"/>
      <c r="B231" s="52" t="str">
        <f>IF(A231="","",IFERROR(INDEX(Lists!$A$4:$A$203,MATCH(A231,Lists!$B$4:$B$203,0)),""))</f>
        <v/>
      </c>
      <c r="C231" s="8" t="str">
        <f>IF(A231="","",IFERROR(INDEX(Lists!$C$4:$C$203,MATCH(A231,Lists!$B$4:$B$203,0)),""))</f>
        <v/>
      </c>
      <c r="D231" s="8"/>
      <c r="E231" s="10"/>
      <c r="F231" s="10" t="str">
        <f t="shared" si="12"/>
        <v/>
      </c>
      <c r="G231" s="8" t="str">
        <f t="shared" ca="1" si="13"/>
        <v/>
      </c>
      <c r="H231" s="8"/>
      <c r="I231" s="8"/>
      <c r="J231" s="4"/>
      <c r="T231" s="1" t="str">
        <f t="shared" ca="1" si="14"/>
        <v/>
      </c>
      <c r="U231" s="1" t="str">
        <f ca="1">IF(T231="","",COUNTIFS($T$4:$T$503,"&gt;0",$T$4:$T$503,"&lt;"&amp;T231)+COUNTIF($T$4:T231,T231))</f>
        <v/>
      </c>
      <c r="V231" s="1" t="str">
        <f t="shared" si="15"/>
        <v/>
      </c>
    </row>
    <row r="232" spans="1:22">
      <c r="A232" s="4"/>
      <c r="B232" s="52" t="str">
        <f>IF(A232="","",IFERROR(INDEX(Lists!$A$4:$A$203,MATCH(A232,Lists!$B$4:$B$203,0)),""))</f>
        <v/>
      </c>
      <c r="C232" s="8" t="str">
        <f>IF(A232="","",IFERROR(INDEX(Lists!$C$4:$C$203,MATCH(A232,Lists!$B$4:$B$203,0)),""))</f>
        <v/>
      </c>
      <c r="D232" s="8"/>
      <c r="E232" s="10"/>
      <c r="F232" s="10" t="str">
        <f t="shared" si="12"/>
        <v/>
      </c>
      <c r="G232" s="8" t="str">
        <f t="shared" ca="1" si="13"/>
        <v/>
      </c>
      <c r="H232" s="8"/>
      <c r="I232" s="8"/>
      <c r="J232" s="4"/>
      <c r="T232" s="1" t="str">
        <f t="shared" ca="1" si="14"/>
        <v/>
      </c>
      <c r="U232" s="1" t="str">
        <f ca="1">IF(T232="","",COUNTIFS($T$4:$T$503,"&gt;0",$T$4:$T$503,"&lt;"&amp;T232)+COUNTIF($T$4:T232,T232))</f>
        <v/>
      </c>
      <c r="V232" s="1" t="str">
        <f t="shared" si="15"/>
        <v/>
      </c>
    </row>
    <row r="233" spans="1:22">
      <c r="A233" s="4"/>
      <c r="B233" s="52" t="str">
        <f>IF(A233="","",IFERROR(INDEX(Lists!$A$4:$A$203,MATCH(A233,Lists!$B$4:$B$203,0)),""))</f>
        <v/>
      </c>
      <c r="C233" s="8" t="str">
        <f>IF(A233="","",IFERROR(INDEX(Lists!$C$4:$C$203,MATCH(A233,Lists!$B$4:$B$203,0)),""))</f>
        <v/>
      </c>
      <c r="D233" s="8"/>
      <c r="E233" s="10"/>
      <c r="F233" s="10" t="str">
        <f t="shared" si="12"/>
        <v/>
      </c>
      <c r="G233" s="8" t="str">
        <f t="shared" ca="1" si="13"/>
        <v/>
      </c>
      <c r="H233" s="8"/>
      <c r="I233" s="8"/>
      <c r="J233" s="4"/>
      <c r="T233" s="1" t="str">
        <f t="shared" ca="1" si="14"/>
        <v/>
      </c>
      <c r="U233" s="1" t="str">
        <f ca="1">IF(T233="","",COUNTIFS($T$4:$T$503,"&gt;0",$T$4:$T$503,"&lt;"&amp;T233)+COUNTIF($T$4:T233,T233))</f>
        <v/>
      </c>
      <c r="V233" s="1" t="str">
        <f t="shared" si="15"/>
        <v/>
      </c>
    </row>
    <row r="234" spans="1:22">
      <c r="A234" s="4"/>
      <c r="B234" s="52" t="str">
        <f>IF(A234="","",IFERROR(INDEX(Lists!$A$4:$A$203,MATCH(A234,Lists!$B$4:$B$203,0)),""))</f>
        <v/>
      </c>
      <c r="C234" s="8" t="str">
        <f>IF(A234="","",IFERROR(INDEX(Lists!$C$4:$C$203,MATCH(A234,Lists!$B$4:$B$203,0)),""))</f>
        <v/>
      </c>
      <c r="D234" s="8"/>
      <c r="E234" s="10"/>
      <c r="F234" s="10" t="str">
        <f t="shared" si="12"/>
        <v/>
      </c>
      <c r="G234" s="8" t="str">
        <f t="shared" ca="1" si="13"/>
        <v/>
      </c>
      <c r="H234" s="8"/>
      <c r="I234" s="8"/>
      <c r="J234" s="4"/>
      <c r="T234" s="1" t="str">
        <f t="shared" ca="1" si="14"/>
        <v/>
      </c>
      <c r="U234" s="1" t="str">
        <f ca="1">IF(T234="","",COUNTIFS($T$4:$T$503,"&gt;0",$T$4:$T$503,"&lt;"&amp;T234)+COUNTIF($T$4:T234,T234))</f>
        <v/>
      </c>
      <c r="V234" s="1" t="str">
        <f t="shared" si="15"/>
        <v/>
      </c>
    </row>
    <row r="235" spans="1:22">
      <c r="A235" s="4"/>
      <c r="B235" s="52" t="str">
        <f>IF(A235="","",IFERROR(INDEX(Lists!$A$4:$A$203,MATCH(A235,Lists!$B$4:$B$203,0)),""))</f>
        <v/>
      </c>
      <c r="C235" s="8" t="str">
        <f>IF(A235="","",IFERROR(INDEX(Lists!$C$4:$C$203,MATCH(A235,Lists!$B$4:$B$203,0)),""))</f>
        <v/>
      </c>
      <c r="D235" s="8"/>
      <c r="E235" s="10"/>
      <c r="F235" s="10" t="str">
        <f t="shared" si="12"/>
        <v/>
      </c>
      <c r="G235" s="8" t="str">
        <f t="shared" ca="1" si="13"/>
        <v/>
      </c>
      <c r="H235" s="8"/>
      <c r="I235" s="8"/>
      <c r="J235" s="4"/>
      <c r="T235" s="1" t="str">
        <f t="shared" ca="1" si="14"/>
        <v/>
      </c>
      <c r="U235" s="1" t="str">
        <f ca="1">IF(T235="","",COUNTIFS($T$4:$T$503,"&gt;0",$T$4:$T$503,"&lt;"&amp;T235)+COUNTIF($T$4:T235,T235))</f>
        <v/>
      </c>
      <c r="V235" s="1" t="str">
        <f t="shared" si="15"/>
        <v/>
      </c>
    </row>
    <row r="236" spans="1:22">
      <c r="A236" s="4"/>
      <c r="B236" s="52" t="str">
        <f>IF(A236="","",IFERROR(INDEX(Lists!$A$4:$A$203,MATCH(A236,Lists!$B$4:$B$203,0)),""))</f>
        <v/>
      </c>
      <c r="C236" s="8" t="str">
        <f>IF(A236="","",IFERROR(INDEX(Lists!$C$4:$C$203,MATCH(A236,Lists!$B$4:$B$203,0)),""))</f>
        <v/>
      </c>
      <c r="D236" s="8"/>
      <c r="E236" s="10"/>
      <c r="F236" s="10" t="str">
        <f t="shared" si="12"/>
        <v/>
      </c>
      <c r="G236" s="8" t="str">
        <f t="shared" ca="1" si="13"/>
        <v/>
      </c>
      <c r="H236" s="8"/>
      <c r="I236" s="8"/>
      <c r="J236" s="4"/>
      <c r="T236" s="1" t="str">
        <f t="shared" ca="1" si="14"/>
        <v/>
      </c>
      <c r="U236" s="1" t="str">
        <f ca="1">IF(T236="","",COUNTIFS($T$4:$T$503,"&gt;0",$T$4:$T$503,"&lt;"&amp;T236)+COUNTIF($T$4:T236,T236))</f>
        <v/>
      </c>
      <c r="V236" s="1" t="str">
        <f t="shared" si="15"/>
        <v/>
      </c>
    </row>
    <row r="237" spans="1:22">
      <c r="A237" s="4"/>
      <c r="B237" s="52" t="str">
        <f>IF(A237="","",IFERROR(INDEX(Lists!$A$4:$A$203,MATCH(A237,Lists!$B$4:$B$203,0)),""))</f>
        <v/>
      </c>
      <c r="C237" s="8" t="str">
        <f>IF(A237="","",IFERROR(INDEX(Lists!$C$4:$C$203,MATCH(A237,Lists!$B$4:$B$203,0)),""))</f>
        <v/>
      </c>
      <c r="D237" s="8"/>
      <c r="E237" s="10"/>
      <c r="F237" s="10" t="str">
        <f t="shared" si="12"/>
        <v/>
      </c>
      <c r="G237" s="8" t="str">
        <f t="shared" ca="1" si="13"/>
        <v/>
      </c>
      <c r="H237" s="8"/>
      <c r="I237" s="8"/>
      <c r="J237" s="4"/>
      <c r="T237" s="1" t="str">
        <f t="shared" ca="1" si="14"/>
        <v/>
      </c>
      <c r="U237" s="1" t="str">
        <f ca="1">IF(T237="","",COUNTIFS($T$4:$T$503,"&gt;0",$T$4:$T$503,"&lt;"&amp;T237)+COUNTIF($T$4:T237,T237))</f>
        <v/>
      </c>
      <c r="V237" s="1" t="str">
        <f t="shared" si="15"/>
        <v/>
      </c>
    </row>
    <row r="238" spans="1:22">
      <c r="A238" s="4"/>
      <c r="B238" s="52" t="str">
        <f>IF(A238="","",IFERROR(INDEX(Lists!$A$4:$A$203,MATCH(A238,Lists!$B$4:$B$203,0)),""))</f>
        <v/>
      </c>
      <c r="C238" s="8" t="str">
        <f>IF(A238="","",IFERROR(INDEX(Lists!$C$4:$C$203,MATCH(A238,Lists!$B$4:$B$203,0)),""))</f>
        <v/>
      </c>
      <c r="D238" s="8"/>
      <c r="E238" s="10"/>
      <c r="F238" s="10" t="str">
        <f t="shared" si="12"/>
        <v/>
      </c>
      <c r="G238" s="8" t="str">
        <f t="shared" ca="1" si="13"/>
        <v/>
      </c>
      <c r="H238" s="8"/>
      <c r="I238" s="8"/>
      <c r="J238" s="4"/>
      <c r="T238" s="1" t="str">
        <f t="shared" ca="1" si="14"/>
        <v/>
      </c>
      <c r="U238" s="1" t="str">
        <f ca="1">IF(T238="","",COUNTIFS($T$4:$T$503,"&gt;0",$T$4:$T$503,"&lt;"&amp;T238)+COUNTIF($T$4:T238,T238))</f>
        <v/>
      </c>
      <c r="V238" s="1" t="str">
        <f t="shared" si="15"/>
        <v/>
      </c>
    </row>
    <row r="239" spans="1:22">
      <c r="A239" s="4"/>
      <c r="B239" s="52" t="str">
        <f>IF(A239="","",IFERROR(INDEX(Lists!$A$4:$A$203,MATCH(A239,Lists!$B$4:$B$203,0)),""))</f>
        <v/>
      </c>
      <c r="C239" s="8" t="str">
        <f>IF(A239="","",IFERROR(INDEX(Lists!$C$4:$C$203,MATCH(A239,Lists!$B$4:$B$203,0)),""))</f>
        <v/>
      </c>
      <c r="D239" s="8"/>
      <c r="E239" s="10"/>
      <c r="F239" s="10" t="str">
        <f t="shared" si="12"/>
        <v/>
      </c>
      <c r="G239" s="8" t="str">
        <f t="shared" ca="1" si="13"/>
        <v/>
      </c>
      <c r="H239" s="8"/>
      <c r="I239" s="8"/>
      <c r="J239" s="4"/>
      <c r="T239" s="1" t="str">
        <f t="shared" ca="1" si="14"/>
        <v/>
      </c>
      <c r="U239" s="1" t="str">
        <f ca="1">IF(T239="","",COUNTIFS($T$4:$T$503,"&gt;0",$T$4:$T$503,"&lt;"&amp;T239)+COUNTIF($T$4:T239,T239))</f>
        <v/>
      </c>
      <c r="V239" s="1" t="str">
        <f t="shared" si="15"/>
        <v/>
      </c>
    </row>
    <row r="240" spans="1:22">
      <c r="A240" s="4"/>
      <c r="B240" s="52" t="str">
        <f>IF(A240="","",IFERROR(INDEX(Lists!$A$4:$A$203,MATCH(A240,Lists!$B$4:$B$203,0)),""))</f>
        <v/>
      </c>
      <c r="C240" s="8" t="str">
        <f>IF(A240="","",IFERROR(INDEX(Lists!$C$4:$C$203,MATCH(A240,Lists!$B$4:$B$203,0)),""))</f>
        <v/>
      </c>
      <c r="D240" s="8"/>
      <c r="E240" s="10"/>
      <c r="F240" s="10" t="str">
        <f t="shared" si="12"/>
        <v/>
      </c>
      <c r="G240" s="8" t="str">
        <f t="shared" ca="1" si="13"/>
        <v/>
      </c>
      <c r="H240" s="8"/>
      <c r="I240" s="8"/>
      <c r="J240" s="4"/>
      <c r="T240" s="1" t="str">
        <f t="shared" ca="1" si="14"/>
        <v/>
      </c>
      <c r="U240" s="1" t="str">
        <f ca="1">IF(T240="","",COUNTIFS($T$4:$T$503,"&gt;0",$T$4:$T$503,"&lt;"&amp;T240)+COUNTIF($T$4:T240,T240))</f>
        <v/>
      </c>
      <c r="V240" s="1" t="str">
        <f t="shared" si="15"/>
        <v/>
      </c>
    </row>
    <row r="241" spans="1:22">
      <c r="A241" s="4"/>
      <c r="B241" s="52" t="str">
        <f>IF(A241="","",IFERROR(INDEX(Lists!$A$4:$A$203,MATCH(A241,Lists!$B$4:$B$203,0)),""))</f>
        <v/>
      </c>
      <c r="C241" s="8" t="str">
        <f>IF(A241="","",IFERROR(INDEX(Lists!$C$4:$C$203,MATCH(A241,Lists!$B$4:$B$203,0)),""))</f>
        <v/>
      </c>
      <c r="D241" s="8"/>
      <c r="E241" s="10"/>
      <c r="F241" s="10" t="str">
        <f t="shared" si="12"/>
        <v/>
      </c>
      <c r="G241" s="8" t="str">
        <f t="shared" ca="1" si="13"/>
        <v/>
      </c>
      <c r="H241" s="8"/>
      <c r="I241" s="8"/>
      <c r="J241" s="4"/>
      <c r="T241" s="1" t="str">
        <f t="shared" ca="1" si="14"/>
        <v/>
      </c>
      <c r="U241" s="1" t="str">
        <f ca="1">IF(T241="","",COUNTIFS($T$4:$T$503,"&gt;0",$T$4:$T$503,"&lt;"&amp;T241)+COUNTIF($T$4:T241,T241))</f>
        <v/>
      </c>
      <c r="V241" s="1" t="str">
        <f t="shared" si="15"/>
        <v/>
      </c>
    </row>
    <row r="242" spans="1:22">
      <c r="A242" s="4"/>
      <c r="B242" s="52" t="str">
        <f>IF(A242="","",IFERROR(INDEX(Lists!$A$4:$A$203,MATCH(A242,Lists!$B$4:$B$203,0)),""))</f>
        <v/>
      </c>
      <c r="C242" s="8" t="str">
        <f>IF(A242="","",IFERROR(INDEX(Lists!$C$4:$C$203,MATCH(A242,Lists!$B$4:$B$203,0)),""))</f>
        <v/>
      </c>
      <c r="D242" s="8"/>
      <c r="E242" s="10"/>
      <c r="F242" s="10" t="str">
        <f t="shared" si="12"/>
        <v/>
      </c>
      <c r="G242" s="8" t="str">
        <f t="shared" ca="1" si="13"/>
        <v/>
      </c>
      <c r="H242" s="8"/>
      <c r="I242" s="8"/>
      <c r="J242" s="4"/>
      <c r="T242" s="1" t="str">
        <f t="shared" ca="1" si="14"/>
        <v/>
      </c>
      <c r="U242" s="1" t="str">
        <f ca="1">IF(T242="","",COUNTIFS($T$4:$T$503,"&gt;0",$T$4:$T$503,"&lt;"&amp;T242)+COUNTIF($T$4:T242,T242))</f>
        <v/>
      </c>
      <c r="V242" s="1" t="str">
        <f t="shared" si="15"/>
        <v/>
      </c>
    </row>
    <row r="243" spans="1:22">
      <c r="A243" s="4"/>
      <c r="B243" s="52" t="str">
        <f>IF(A243="","",IFERROR(INDEX(Lists!$A$4:$A$203,MATCH(A243,Lists!$B$4:$B$203,0)),""))</f>
        <v/>
      </c>
      <c r="C243" s="8" t="str">
        <f>IF(A243="","",IFERROR(INDEX(Lists!$C$4:$C$203,MATCH(A243,Lists!$B$4:$B$203,0)),""))</f>
        <v/>
      </c>
      <c r="D243" s="8"/>
      <c r="E243" s="10"/>
      <c r="F243" s="10" t="str">
        <f t="shared" si="12"/>
        <v/>
      </c>
      <c r="G243" s="8" t="str">
        <f t="shared" ca="1" si="13"/>
        <v/>
      </c>
      <c r="H243" s="8"/>
      <c r="I243" s="8"/>
      <c r="J243" s="4"/>
      <c r="T243" s="1" t="str">
        <f t="shared" ca="1" si="14"/>
        <v/>
      </c>
      <c r="U243" s="1" t="str">
        <f ca="1">IF(T243="","",COUNTIFS($T$4:$T$503,"&gt;0",$T$4:$T$503,"&lt;"&amp;T243)+COUNTIF($T$4:T243,T243))</f>
        <v/>
      </c>
      <c r="V243" s="1" t="str">
        <f t="shared" si="15"/>
        <v/>
      </c>
    </row>
    <row r="244" spans="1:22">
      <c r="A244" s="4"/>
      <c r="B244" s="52" t="str">
        <f>IF(A244="","",IFERROR(INDEX(Lists!$A$4:$A$203,MATCH(A244,Lists!$B$4:$B$203,0)),""))</f>
        <v/>
      </c>
      <c r="C244" s="8" t="str">
        <f>IF(A244="","",IFERROR(INDEX(Lists!$C$4:$C$203,MATCH(A244,Lists!$B$4:$B$203,0)),""))</f>
        <v/>
      </c>
      <c r="D244" s="8"/>
      <c r="E244" s="10"/>
      <c r="F244" s="10" t="str">
        <f t="shared" si="12"/>
        <v/>
      </c>
      <c r="G244" s="8" t="str">
        <f t="shared" ca="1" si="13"/>
        <v/>
      </c>
      <c r="H244" s="8"/>
      <c r="I244" s="8"/>
      <c r="J244" s="4"/>
      <c r="T244" s="1" t="str">
        <f t="shared" ca="1" si="14"/>
        <v/>
      </c>
      <c r="U244" s="1" t="str">
        <f ca="1">IF(T244="","",COUNTIFS($T$4:$T$503,"&gt;0",$T$4:$T$503,"&lt;"&amp;T244)+COUNTIF($T$4:T244,T244))</f>
        <v/>
      </c>
      <c r="V244" s="1" t="str">
        <f t="shared" si="15"/>
        <v/>
      </c>
    </row>
    <row r="245" spans="1:22">
      <c r="A245" s="4"/>
      <c r="B245" s="52" t="str">
        <f>IF(A245="","",IFERROR(INDEX(Lists!$A$4:$A$203,MATCH(A245,Lists!$B$4:$B$203,0)),""))</f>
        <v/>
      </c>
      <c r="C245" s="8" t="str">
        <f>IF(A245="","",IFERROR(INDEX(Lists!$C$4:$C$203,MATCH(A245,Lists!$B$4:$B$203,0)),""))</f>
        <v/>
      </c>
      <c r="D245" s="8"/>
      <c r="E245" s="10"/>
      <c r="F245" s="10" t="str">
        <f t="shared" si="12"/>
        <v/>
      </c>
      <c r="G245" s="8" t="str">
        <f t="shared" ca="1" si="13"/>
        <v/>
      </c>
      <c r="H245" s="8"/>
      <c r="I245" s="8"/>
      <c r="J245" s="4"/>
      <c r="T245" s="1" t="str">
        <f t="shared" ca="1" si="14"/>
        <v/>
      </c>
      <c r="U245" s="1" t="str">
        <f ca="1">IF(T245="","",COUNTIFS($T$4:$T$503,"&gt;0",$T$4:$T$503,"&lt;"&amp;T245)+COUNTIF($T$4:T245,T245))</f>
        <v/>
      </c>
      <c r="V245" s="1" t="str">
        <f t="shared" si="15"/>
        <v/>
      </c>
    </row>
    <row r="246" spans="1:22">
      <c r="A246" s="4"/>
      <c r="B246" s="52" t="str">
        <f>IF(A246="","",IFERROR(INDEX(Lists!$A$4:$A$203,MATCH(A246,Lists!$B$4:$B$203,0)),""))</f>
        <v/>
      </c>
      <c r="C246" s="8" t="str">
        <f>IF(A246="","",IFERROR(INDEX(Lists!$C$4:$C$203,MATCH(A246,Lists!$B$4:$B$203,0)),""))</f>
        <v/>
      </c>
      <c r="D246" s="8"/>
      <c r="E246" s="10"/>
      <c r="F246" s="10" t="str">
        <f t="shared" si="12"/>
        <v/>
      </c>
      <c r="G246" s="8" t="str">
        <f t="shared" ca="1" si="13"/>
        <v/>
      </c>
      <c r="H246" s="8"/>
      <c r="I246" s="8"/>
      <c r="J246" s="4"/>
      <c r="T246" s="1" t="str">
        <f t="shared" ca="1" si="14"/>
        <v/>
      </c>
      <c r="U246" s="1" t="str">
        <f ca="1">IF(T246="","",COUNTIFS($T$4:$T$503,"&gt;0",$T$4:$T$503,"&lt;"&amp;T246)+COUNTIF($T$4:T246,T246))</f>
        <v/>
      </c>
      <c r="V246" s="1" t="str">
        <f t="shared" si="15"/>
        <v/>
      </c>
    </row>
    <row r="247" spans="1:22">
      <c r="A247" s="4"/>
      <c r="B247" s="52" t="str">
        <f>IF(A247="","",IFERROR(INDEX(Lists!$A$4:$A$203,MATCH(A247,Lists!$B$4:$B$203,0)),""))</f>
        <v/>
      </c>
      <c r="C247" s="8" t="str">
        <f>IF(A247="","",IFERROR(INDEX(Lists!$C$4:$C$203,MATCH(A247,Lists!$B$4:$B$203,0)),""))</f>
        <v/>
      </c>
      <c r="D247" s="8"/>
      <c r="E247" s="10"/>
      <c r="F247" s="10" t="str">
        <f t="shared" si="12"/>
        <v/>
      </c>
      <c r="G247" s="8" t="str">
        <f t="shared" ca="1" si="13"/>
        <v/>
      </c>
      <c r="H247" s="8"/>
      <c r="I247" s="8"/>
      <c r="J247" s="4"/>
      <c r="T247" s="1" t="str">
        <f t="shared" ca="1" si="14"/>
        <v/>
      </c>
      <c r="U247" s="1" t="str">
        <f ca="1">IF(T247="","",COUNTIFS($T$4:$T$503,"&gt;0",$T$4:$T$503,"&lt;"&amp;T247)+COUNTIF($T$4:T247,T247))</f>
        <v/>
      </c>
      <c r="V247" s="1" t="str">
        <f t="shared" si="15"/>
        <v/>
      </c>
    </row>
    <row r="248" spans="1:22">
      <c r="A248" s="4"/>
      <c r="B248" s="52" t="str">
        <f>IF(A248="","",IFERROR(INDEX(Lists!$A$4:$A$203,MATCH(A248,Lists!$B$4:$B$203,0)),""))</f>
        <v/>
      </c>
      <c r="C248" s="8" t="str">
        <f>IF(A248="","",IFERROR(INDEX(Lists!$C$4:$C$203,MATCH(A248,Lists!$B$4:$B$203,0)),""))</f>
        <v/>
      </c>
      <c r="D248" s="8"/>
      <c r="E248" s="10"/>
      <c r="F248" s="10" t="str">
        <f t="shared" si="12"/>
        <v/>
      </c>
      <c r="G248" s="8" t="str">
        <f t="shared" ca="1" si="13"/>
        <v/>
      </c>
      <c r="H248" s="8"/>
      <c r="I248" s="8"/>
      <c r="J248" s="4"/>
      <c r="T248" s="1" t="str">
        <f t="shared" ca="1" si="14"/>
        <v/>
      </c>
      <c r="U248" s="1" t="str">
        <f ca="1">IF(T248="","",COUNTIFS($T$4:$T$503,"&gt;0",$T$4:$T$503,"&lt;"&amp;T248)+COUNTIF($T$4:T248,T248))</f>
        <v/>
      </c>
      <c r="V248" s="1" t="str">
        <f t="shared" si="15"/>
        <v/>
      </c>
    </row>
    <row r="249" spans="1:22">
      <c r="A249" s="4"/>
      <c r="B249" s="52" t="str">
        <f>IF(A249="","",IFERROR(INDEX(Lists!$A$4:$A$203,MATCH(A249,Lists!$B$4:$B$203,0)),""))</f>
        <v/>
      </c>
      <c r="C249" s="8" t="str">
        <f>IF(A249="","",IFERROR(INDEX(Lists!$C$4:$C$203,MATCH(A249,Lists!$B$4:$B$203,0)),""))</f>
        <v/>
      </c>
      <c r="D249" s="8"/>
      <c r="E249" s="10"/>
      <c r="F249" s="10" t="str">
        <f t="shared" si="12"/>
        <v/>
      </c>
      <c r="G249" s="8" t="str">
        <f t="shared" ca="1" si="13"/>
        <v/>
      </c>
      <c r="H249" s="8"/>
      <c r="I249" s="8"/>
      <c r="J249" s="4"/>
      <c r="T249" s="1" t="str">
        <f t="shared" ca="1" si="14"/>
        <v/>
      </c>
      <c r="U249" s="1" t="str">
        <f ca="1">IF(T249="","",COUNTIFS($T$4:$T$503,"&gt;0",$T$4:$T$503,"&lt;"&amp;T249)+COUNTIF($T$4:T249,T249))</f>
        <v/>
      </c>
      <c r="V249" s="1" t="str">
        <f t="shared" si="15"/>
        <v/>
      </c>
    </row>
    <row r="250" spans="1:22">
      <c r="A250" s="4"/>
      <c r="B250" s="52" t="str">
        <f>IF(A250="","",IFERROR(INDEX(Lists!$A$4:$A$203,MATCH(A250,Lists!$B$4:$B$203,0)),""))</f>
        <v/>
      </c>
      <c r="C250" s="8" t="str">
        <f>IF(A250="","",IFERROR(INDEX(Lists!$C$4:$C$203,MATCH(A250,Lists!$B$4:$B$203,0)),""))</f>
        <v/>
      </c>
      <c r="D250" s="8"/>
      <c r="E250" s="10"/>
      <c r="F250" s="10" t="str">
        <f t="shared" si="12"/>
        <v/>
      </c>
      <c r="G250" s="8" t="str">
        <f t="shared" ca="1" si="13"/>
        <v/>
      </c>
      <c r="H250" s="8"/>
      <c r="I250" s="8"/>
      <c r="J250" s="4"/>
      <c r="T250" s="1" t="str">
        <f t="shared" ca="1" si="14"/>
        <v/>
      </c>
      <c r="U250" s="1" t="str">
        <f ca="1">IF(T250="","",COUNTIFS($T$4:$T$503,"&gt;0",$T$4:$T$503,"&lt;"&amp;T250)+COUNTIF($T$4:T250,T250))</f>
        <v/>
      </c>
      <c r="V250" s="1" t="str">
        <f t="shared" si="15"/>
        <v/>
      </c>
    </row>
    <row r="251" spans="1:22">
      <c r="A251" s="4"/>
      <c r="B251" s="52" t="str">
        <f>IF(A251="","",IFERROR(INDEX(Lists!$A$4:$A$203,MATCH(A251,Lists!$B$4:$B$203,0)),""))</f>
        <v/>
      </c>
      <c r="C251" s="8" t="str">
        <f>IF(A251="","",IFERROR(INDEX(Lists!$C$4:$C$203,MATCH(A251,Lists!$B$4:$B$203,0)),""))</f>
        <v/>
      </c>
      <c r="D251" s="8"/>
      <c r="E251" s="10"/>
      <c r="F251" s="10" t="str">
        <f t="shared" si="12"/>
        <v/>
      </c>
      <c r="G251" s="8" t="str">
        <f t="shared" ca="1" si="13"/>
        <v/>
      </c>
      <c r="H251" s="8"/>
      <c r="I251" s="8"/>
      <c r="J251" s="4"/>
      <c r="T251" s="1" t="str">
        <f t="shared" ca="1" si="14"/>
        <v/>
      </c>
      <c r="U251" s="1" t="str">
        <f ca="1">IF(T251="","",COUNTIFS($T$4:$T$503,"&gt;0",$T$4:$T$503,"&lt;"&amp;T251)+COUNTIF($T$4:T251,T251))</f>
        <v/>
      </c>
      <c r="V251" s="1" t="str">
        <f t="shared" si="15"/>
        <v/>
      </c>
    </row>
    <row r="252" spans="1:22">
      <c r="A252" s="4"/>
      <c r="B252" s="52" t="str">
        <f>IF(A252="","",IFERROR(INDEX(Lists!$A$4:$A$203,MATCH(A252,Lists!$B$4:$B$203,0)),""))</f>
        <v/>
      </c>
      <c r="C252" s="8" t="str">
        <f>IF(A252="","",IFERROR(INDEX(Lists!$C$4:$C$203,MATCH(A252,Lists!$B$4:$B$203,0)),""))</f>
        <v/>
      </c>
      <c r="D252" s="8"/>
      <c r="E252" s="10"/>
      <c r="F252" s="10" t="str">
        <f t="shared" si="12"/>
        <v/>
      </c>
      <c r="G252" s="8" t="str">
        <f t="shared" ca="1" si="13"/>
        <v/>
      </c>
      <c r="H252" s="8"/>
      <c r="I252" s="8"/>
      <c r="J252" s="4"/>
      <c r="T252" s="1" t="str">
        <f t="shared" ca="1" si="14"/>
        <v/>
      </c>
      <c r="U252" s="1" t="str">
        <f ca="1">IF(T252="","",COUNTIFS($T$4:$T$503,"&gt;0",$T$4:$T$503,"&lt;"&amp;T252)+COUNTIF($T$4:T252,T252))</f>
        <v/>
      </c>
      <c r="V252" s="1" t="str">
        <f t="shared" si="15"/>
        <v/>
      </c>
    </row>
    <row r="253" spans="1:22">
      <c r="A253" s="4"/>
      <c r="B253" s="52" t="str">
        <f>IF(A253="","",IFERROR(INDEX(Lists!$A$4:$A$203,MATCH(A253,Lists!$B$4:$B$203,0)),""))</f>
        <v/>
      </c>
      <c r="C253" s="8" t="str">
        <f>IF(A253="","",IFERROR(INDEX(Lists!$C$4:$C$203,MATCH(A253,Lists!$B$4:$B$203,0)),""))</f>
        <v/>
      </c>
      <c r="D253" s="8"/>
      <c r="E253" s="10"/>
      <c r="F253" s="10" t="str">
        <f t="shared" si="12"/>
        <v/>
      </c>
      <c r="G253" s="8" t="str">
        <f t="shared" ca="1" si="13"/>
        <v/>
      </c>
      <c r="H253" s="8"/>
      <c r="I253" s="8"/>
      <c r="J253" s="4"/>
      <c r="T253" s="1" t="str">
        <f t="shared" ca="1" si="14"/>
        <v/>
      </c>
      <c r="U253" s="1" t="str">
        <f ca="1">IF(T253="","",COUNTIFS($T$4:$T$503,"&gt;0",$T$4:$T$503,"&lt;"&amp;T253)+COUNTIF($T$4:T253,T253))</f>
        <v/>
      </c>
      <c r="V253" s="1" t="str">
        <f t="shared" si="15"/>
        <v/>
      </c>
    </row>
    <row r="254" spans="1:22">
      <c r="A254" s="4"/>
      <c r="B254" s="52" t="str">
        <f>IF(A254="","",IFERROR(INDEX(Lists!$A$4:$A$203,MATCH(A254,Lists!$B$4:$B$203,0)),""))</f>
        <v/>
      </c>
      <c r="C254" s="8" t="str">
        <f>IF(A254="","",IFERROR(INDEX(Lists!$C$4:$C$203,MATCH(A254,Lists!$B$4:$B$203,0)),""))</f>
        <v/>
      </c>
      <c r="D254" s="8"/>
      <c r="E254" s="10"/>
      <c r="F254" s="10" t="str">
        <f t="shared" si="12"/>
        <v/>
      </c>
      <c r="G254" s="8" t="str">
        <f t="shared" ca="1" si="13"/>
        <v/>
      </c>
      <c r="H254" s="8"/>
      <c r="I254" s="8"/>
      <c r="J254" s="4"/>
      <c r="T254" s="1" t="str">
        <f t="shared" ca="1" si="14"/>
        <v/>
      </c>
      <c r="U254" s="1" t="str">
        <f ca="1">IF(T254="","",COUNTIFS($T$4:$T$503,"&gt;0",$T$4:$T$503,"&lt;"&amp;T254)+COUNTIF($T$4:T254,T254))</f>
        <v/>
      </c>
      <c r="V254" s="1" t="str">
        <f t="shared" si="15"/>
        <v/>
      </c>
    </row>
    <row r="255" spans="1:22">
      <c r="A255" s="4"/>
      <c r="B255" s="52" t="str">
        <f>IF(A255="","",IFERROR(INDEX(Lists!$A$4:$A$203,MATCH(A255,Lists!$B$4:$B$203,0)),""))</f>
        <v/>
      </c>
      <c r="C255" s="8" t="str">
        <f>IF(A255="","",IFERROR(INDEX(Lists!$C$4:$C$203,MATCH(A255,Lists!$B$4:$B$203,0)),""))</f>
        <v/>
      </c>
      <c r="D255" s="8"/>
      <c r="E255" s="10"/>
      <c r="F255" s="10" t="str">
        <f t="shared" si="12"/>
        <v/>
      </c>
      <c r="G255" s="8" t="str">
        <f t="shared" ca="1" si="13"/>
        <v/>
      </c>
      <c r="H255" s="8"/>
      <c r="I255" s="8"/>
      <c r="J255" s="4"/>
      <c r="T255" s="1" t="str">
        <f t="shared" ca="1" si="14"/>
        <v/>
      </c>
      <c r="U255" s="1" t="str">
        <f ca="1">IF(T255="","",COUNTIFS($T$4:$T$503,"&gt;0",$T$4:$T$503,"&lt;"&amp;T255)+COUNTIF($T$4:T255,T255))</f>
        <v/>
      </c>
      <c r="V255" s="1" t="str">
        <f t="shared" si="15"/>
        <v/>
      </c>
    </row>
    <row r="256" spans="1:22">
      <c r="A256" s="4"/>
      <c r="B256" s="52" t="str">
        <f>IF(A256="","",IFERROR(INDEX(Lists!$A$4:$A$203,MATCH(A256,Lists!$B$4:$B$203,0)),""))</f>
        <v/>
      </c>
      <c r="C256" s="8" t="str">
        <f>IF(A256="","",IFERROR(INDEX(Lists!$C$4:$C$203,MATCH(A256,Lists!$B$4:$B$203,0)),""))</f>
        <v/>
      </c>
      <c r="D256" s="8"/>
      <c r="E256" s="10"/>
      <c r="F256" s="10" t="str">
        <f t="shared" si="12"/>
        <v/>
      </c>
      <c r="G256" s="8" t="str">
        <f t="shared" ca="1" si="13"/>
        <v/>
      </c>
      <c r="H256" s="8"/>
      <c r="I256" s="8"/>
      <c r="J256" s="4"/>
      <c r="T256" s="1" t="str">
        <f t="shared" ca="1" si="14"/>
        <v/>
      </c>
      <c r="U256" s="1" t="str">
        <f ca="1">IF(T256="","",COUNTIFS($T$4:$T$503,"&gt;0",$T$4:$T$503,"&lt;"&amp;T256)+COUNTIF($T$4:T256,T256))</f>
        <v/>
      </c>
      <c r="V256" s="1" t="str">
        <f t="shared" si="15"/>
        <v/>
      </c>
    </row>
    <row r="257" spans="1:22">
      <c r="A257" s="4"/>
      <c r="B257" s="52" t="str">
        <f>IF(A257="","",IFERROR(INDEX(Lists!$A$4:$A$203,MATCH(A257,Lists!$B$4:$B$203,0)),""))</f>
        <v/>
      </c>
      <c r="C257" s="8" t="str">
        <f>IF(A257="","",IFERROR(INDEX(Lists!$C$4:$C$203,MATCH(A257,Lists!$B$4:$B$203,0)),""))</f>
        <v/>
      </c>
      <c r="D257" s="8"/>
      <c r="E257" s="10"/>
      <c r="F257" s="10" t="str">
        <f t="shared" si="12"/>
        <v/>
      </c>
      <c r="G257" s="8" t="str">
        <f t="shared" ca="1" si="13"/>
        <v/>
      </c>
      <c r="H257" s="8"/>
      <c r="I257" s="8"/>
      <c r="J257" s="4"/>
      <c r="T257" s="1" t="str">
        <f t="shared" ca="1" si="14"/>
        <v/>
      </c>
      <c r="U257" s="1" t="str">
        <f ca="1">IF(T257="","",COUNTIFS($T$4:$T$503,"&gt;0",$T$4:$T$503,"&lt;"&amp;T257)+COUNTIF($T$4:T257,T257))</f>
        <v/>
      </c>
      <c r="V257" s="1" t="str">
        <f t="shared" si="15"/>
        <v/>
      </c>
    </row>
    <row r="258" spans="1:22">
      <c r="A258" s="4"/>
      <c r="B258" s="52" t="str">
        <f>IF(A258="","",IFERROR(INDEX(Lists!$A$4:$A$203,MATCH(A258,Lists!$B$4:$B$203,0)),""))</f>
        <v/>
      </c>
      <c r="C258" s="8" t="str">
        <f>IF(A258="","",IFERROR(INDEX(Lists!$C$4:$C$203,MATCH(A258,Lists!$B$4:$B$203,0)),""))</f>
        <v/>
      </c>
      <c r="D258" s="8"/>
      <c r="E258" s="10"/>
      <c r="F258" s="10" t="str">
        <f t="shared" si="12"/>
        <v/>
      </c>
      <c r="G258" s="8" t="str">
        <f t="shared" ca="1" si="13"/>
        <v/>
      </c>
      <c r="H258" s="8"/>
      <c r="I258" s="8"/>
      <c r="J258" s="4"/>
      <c r="T258" s="1" t="str">
        <f t="shared" ca="1" si="14"/>
        <v/>
      </c>
      <c r="U258" s="1" t="str">
        <f ca="1">IF(T258="","",COUNTIFS($T$4:$T$503,"&gt;0",$T$4:$T$503,"&lt;"&amp;T258)+COUNTIF($T$4:T258,T258))</f>
        <v/>
      </c>
      <c r="V258" s="1" t="str">
        <f t="shared" si="15"/>
        <v/>
      </c>
    </row>
    <row r="259" spans="1:22">
      <c r="A259" s="4"/>
      <c r="B259" s="52" t="str">
        <f>IF(A259="","",IFERROR(INDEX(Lists!$A$4:$A$203,MATCH(A259,Lists!$B$4:$B$203,0)),""))</f>
        <v/>
      </c>
      <c r="C259" s="8" t="str">
        <f>IF(A259="","",IFERROR(INDEX(Lists!$C$4:$C$203,MATCH(A259,Lists!$B$4:$B$203,0)),""))</f>
        <v/>
      </c>
      <c r="D259" s="8"/>
      <c r="E259" s="10"/>
      <c r="F259" s="10" t="str">
        <f t="shared" si="12"/>
        <v/>
      </c>
      <c r="G259" s="8" t="str">
        <f t="shared" ca="1" si="13"/>
        <v/>
      </c>
      <c r="H259" s="8"/>
      <c r="I259" s="8"/>
      <c r="J259" s="4"/>
      <c r="T259" s="1" t="str">
        <f t="shared" ca="1" si="14"/>
        <v/>
      </c>
      <c r="U259" s="1" t="str">
        <f ca="1">IF(T259="","",COUNTIFS($T$4:$T$503,"&gt;0",$T$4:$T$503,"&lt;"&amp;T259)+COUNTIF($T$4:T259,T259))</f>
        <v/>
      </c>
      <c r="V259" s="1" t="str">
        <f t="shared" si="15"/>
        <v/>
      </c>
    </row>
    <row r="260" spans="1:22">
      <c r="A260" s="4"/>
      <c r="B260" s="52" t="str">
        <f>IF(A260="","",IFERROR(INDEX(Lists!$A$4:$A$203,MATCH(A260,Lists!$B$4:$B$203,0)),""))</f>
        <v/>
      </c>
      <c r="C260" s="8" t="str">
        <f>IF(A260="","",IFERROR(INDEX(Lists!$C$4:$C$203,MATCH(A260,Lists!$B$4:$B$203,0)),""))</f>
        <v/>
      </c>
      <c r="D260" s="8"/>
      <c r="E260" s="10"/>
      <c r="F260" s="10" t="str">
        <f t="shared" ref="F260:F323" si="16">IF(OR(A260="",D260="",E260=""),"",IFERROR(EDATE(E260,INDEX($O$4:$O$63,MATCH(D260,$M$4:$M$63,0))),""))</f>
        <v/>
      </c>
      <c r="G260" s="8" t="str">
        <f t="shared" ref="G260:G323" ca="1" si="17">IF(A260="","",IF(D260="","Missing Certification",IF(F260="","Missing Date",IF(F260&lt;TODAY(),"Expired",IF(F260&lt;=TODAY()+IFERROR(INDEX($P$4:$P$63,MATCH(D260,$M$4:$M$63,0)),30),"Due Soon","Current")))))</f>
        <v/>
      </c>
      <c r="H260" s="8"/>
      <c r="I260" s="8"/>
      <c r="J260" s="4"/>
      <c r="T260" s="1" t="str">
        <f t="shared" ref="T260:T323" ca="1" si="18">IF(G260="Expired",1,IF(G260="Due Soon",2,IF(OR(G260="Missing Date",G260="Missing Certification"),3,"")))</f>
        <v/>
      </c>
      <c r="U260" s="1" t="str">
        <f ca="1">IF(T260="","",COUNTIFS($T$4:$T$503,"&gt;0",$T$4:$T$503,"&lt;"&amp;T260)+COUNTIF($T$4:T260,T260))</f>
        <v/>
      </c>
      <c r="V260" s="1" t="str">
        <f t="shared" ref="V260:V323" si="19">IFERROR(INDEX($N$4:$N$63,MATCH(D260,$M$4:$M$63,0)),"")</f>
        <v/>
      </c>
    </row>
    <row r="261" spans="1:22">
      <c r="A261" s="4"/>
      <c r="B261" s="52" t="str">
        <f>IF(A261="","",IFERROR(INDEX(Lists!$A$4:$A$203,MATCH(A261,Lists!$B$4:$B$203,0)),""))</f>
        <v/>
      </c>
      <c r="C261" s="8" t="str">
        <f>IF(A261="","",IFERROR(INDEX(Lists!$C$4:$C$203,MATCH(A261,Lists!$B$4:$B$203,0)),""))</f>
        <v/>
      </c>
      <c r="D261" s="8"/>
      <c r="E261" s="10"/>
      <c r="F261" s="10" t="str">
        <f t="shared" si="16"/>
        <v/>
      </c>
      <c r="G261" s="8" t="str">
        <f t="shared" ca="1" si="17"/>
        <v/>
      </c>
      <c r="H261" s="8"/>
      <c r="I261" s="8"/>
      <c r="J261" s="4"/>
      <c r="T261" s="1" t="str">
        <f t="shared" ca="1" si="18"/>
        <v/>
      </c>
      <c r="U261" s="1" t="str">
        <f ca="1">IF(T261="","",COUNTIFS($T$4:$T$503,"&gt;0",$T$4:$T$503,"&lt;"&amp;T261)+COUNTIF($T$4:T261,T261))</f>
        <v/>
      </c>
      <c r="V261" s="1" t="str">
        <f t="shared" si="19"/>
        <v/>
      </c>
    </row>
    <row r="262" spans="1:22">
      <c r="A262" s="4"/>
      <c r="B262" s="52" t="str">
        <f>IF(A262="","",IFERROR(INDEX(Lists!$A$4:$A$203,MATCH(A262,Lists!$B$4:$B$203,0)),""))</f>
        <v/>
      </c>
      <c r="C262" s="8" t="str">
        <f>IF(A262="","",IFERROR(INDEX(Lists!$C$4:$C$203,MATCH(A262,Lists!$B$4:$B$203,0)),""))</f>
        <v/>
      </c>
      <c r="D262" s="8"/>
      <c r="E262" s="10"/>
      <c r="F262" s="10" t="str">
        <f t="shared" si="16"/>
        <v/>
      </c>
      <c r="G262" s="8" t="str">
        <f t="shared" ca="1" si="17"/>
        <v/>
      </c>
      <c r="H262" s="8"/>
      <c r="I262" s="8"/>
      <c r="J262" s="4"/>
      <c r="T262" s="1" t="str">
        <f t="shared" ca="1" si="18"/>
        <v/>
      </c>
      <c r="U262" s="1" t="str">
        <f ca="1">IF(T262="","",COUNTIFS($T$4:$T$503,"&gt;0",$T$4:$T$503,"&lt;"&amp;T262)+COUNTIF($T$4:T262,T262))</f>
        <v/>
      </c>
      <c r="V262" s="1" t="str">
        <f t="shared" si="19"/>
        <v/>
      </c>
    </row>
    <row r="263" spans="1:22">
      <c r="A263" s="4"/>
      <c r="B263" s="52" t="str">
        <f>IF(A263="","",IFERROR(INDEX(Lists!$A$4:$A$203,MATCH(A263,Lists!$B$4:$B$203,0)),""))</f>
        <v/>
      </c>
      <c r="C263" s="8" t="str">
        <f>IF(A263="","",IFERROR(INDEX(Lists!$C$4:$C$203,MATCH(A263,Lists!$B$4:$B$203,0)),""))</f>
        <v/>
      </c>
      <c r="D263" s="8"/>
      <c r="E263" s="10"/>
      <c r="F263" s="10" t="str">
        <f t="shared" si="16"/>
        <v/>
      </c>
      <c r="G263" s="8" t="str">
        <f t="shared" ca="1" si="17"/>
        <v/>
      </c>
      <c r="H263" s="8"/>
      <c r="I263" s="8"/>
      <c r="J263" s="4"/>
      <c r="T263" s="1" t="str">
        <f t="shared" ca="1" si="18"/>
        <v/>
      </c>
      <c r="U263" s="1" t="str">
        <f ca="1">IF(T263="","",COUNTIFS($T$4:$T$503,"&gt;0",$T$4:$T$503,"&lt;"&amp;T263)+COUNTIF($T$4:T263,T263))</f>
        <v/>
      </c>
      <c r="V263" s="1" t="str">
        <f t="shared" si="19"/>
        <v/>
      </c>
    </row>
    <row r="264" spans="1:22">
      <c r="A264" s="4"/>
      <c r="B264" s="52" t="str">
        <f>IF(A264="","",IFERROR(INDEX(Lists!$A$4:$A$203,MATCH(A264,Lists!$B$4:$B$203,0)),""))</f>
        <v/>
      </c>
      <c r="C264" s="8" t="str">
        <f>IF(A264="","",IFERROR(INDEX(Lists!$C$4:$C$203,MATCH(A264,Lists!$B$4:$B$203,0)),""))</f>
        <v/>
      </c>
      <c r="D264" s="8"/>
      <c r="E264" s="10"/>
      <c r="F264" s="10" t="str">
        <f t="shared" si="16"/>
        <v/>
      </c>
      <c r="G264" s="8" t="str">
        <f t="shared" ca="1" si="17"/>
        <v/>
      </c>
      <c r="H264" s="8"/>
      <c r="I264" s="8"/>
      <c r="J264" s="4"/>
      <c r="T264" s="1" t="str">
        <f t="shared" ca="1" si="18"/>
        <v/>
      </c>
      <c r="U264" s="1" t="str">
        <f ca="1">IF(T264="","",COUNTIFS($T$4:$T$503,"&gt;0",$T$4:$T$503,"&lt;"&amp;T264)+COUNTIF($T$4:T264,T264))</f>
        <v/>
      </c>
      <c r="V264" s="1" t="str">
        <f t="shared" si="19"/>
        <v/>
      </c>
    </row>
    <row r="265" spans="1:22">
      <c r="A265" s="4"/>
      <c r="B265" s="52" t="str">
        <f>IF(A265="","",IFERROR(INDEX(Lists!$A$4:$A$203,MATCH(A265,Lists!$B$4:$B$203,0)),""))</f>
        <v/>
      </c>
      <c r="C265" s="8" t="str">
        <f>IF(A265="","",IFERROR(INDEX(Lists!$C$4:$C$203,MATCH(A265,Lists!$B$4:$B$203,0)),""))</f>
        <v/>
      </c>
      <c r="D265" s="8"/>
      <c r="E265" s="10"/>
      <c r="F265" s="10" t="str">
        <f t="shared" si="16"/>
        <v/>
      </c>
      <c r="G265" s="8" t="str">
        <f t="shared" ca="1" si="17"/>
        <v/>
      </c>
      <c r="H265" s="8"/>
      <c r="I265" s="8"/>
      <c r="J265" s="4"/>
      <c r="T265" s="1" t="str">
        <f t="shared" ca="1" si="18"/>
        <v/>
      </c>
      <c r="U265" s="1" t="str">
        <f ca="1">IF(T265="","",COUNTIFS($T$4:$T$503,"&gt;0",$T$4:$T$503,"&lt;"&amp;T265)+COUNTIF($T$4:T265,T265))</f>
        <v/>
      </c>
      <c r="V265" s="1" t="str">
        <f t="shared" si="19"/>
        <v/>
      </c>
    </row>
    <row r="266" spans="1:22">
      <c r="A266" s="4"/>
      <c r="B266" s="52" t="str">
        <f>IF(A266="","",IFERROR(INDEX(Lists!$A$4:$A$203,MATCH(A266,Lists!$B$4:$B$203,0)),""))</f>
        <v/>
      </c>
      <c r="C266" s="8" t="str">
        <f>IF(A266="","",IFERROR(INDEX(Lists!$C$4:$C$203,MATCH(A266,Lists!$B$4:$B$203,0)),""))</f>
        <v/>
      </c>
      <c r="D266" s="8"/>
      <c r="E266" s="10"/>
      <c r="F266" s="10" t="str">
        <f t="shared" si="16"/>
        <v/>
      </c>
      <c r="G266" s="8" t="str">
        <f t="shared" ca="1" si="17"/>
        <v/>
      </c>
      <c r="H266" s="8"/>
      <c r="I266" s="8"/>
      <c r="J266" s="4"/>
      <c r="T266" s="1" t="str">
        <f t="shared" ca="1" si="18"/>
        <v/>
      </c>
      <c r="U266" s="1" t="str">
        <f ca="1">IF(T266="","",COUNTIFS($T$4:$T$503,"&gt;0",$T$4:$T$503,"&lt;"&amp;T266)+COUNTIF($T$4:T266,T266))</f>
        <v/>
      </c>
      <c r="V266" s="1" t="str">
        <f t="shared" si="19"/>
        <v/>
      </c>
    </row>
    <row r="267" spans="1:22">
      <c r="A267" s="4"/>
      <c r="B267" s="52" t="str">
        <f>IF(A267="","",IFERROR(INDEX(Lists!$A$4:$A$203,MATCH(A267,Lists!$B$4:$B$203,0)),""))</f>
        <v/>
      </c>
      <c r="C267" s="8" t="str">
        <f>IF(A267="","",IFERROR(INDEX(Lists!$C$4:$C$203,MATCH(A267,Lists!$B$4:$B$203,0)),""))</f>
        <v/>
      </c>
      <c r="D267" s="8"/>
      <c r="E267" s="10"/>
      <c r="F267" s="10" t="str">
        <f t="shared" si="16"/>
        <v/>
      </c>
      <c r="G267" s="8" t="str">
        <f t="shared" ca="1" si="17"/>
        <v/>
      </c>
      <c r="H267" s="8"/>
      <c r="I267" s="8"/>
      <c r="J267" s="4"/>
      <c r="T267" s="1" t="str">
        <f t="shared" ca="1" si="18"/>
        <v/>
      </c>
      <c r="U267" s="1" t="str">
        <f ca="1">IF(T267="","",COUNTIFS($T$4:$T$503,"&gt;0",$T$4:$T$503,"&lt;"&amp;T267)+COUNTIF($T$4:T267,T267))</f>
        <v/>
      </c>
      <c r="V267" s="1" t="str">
        <f t="shared" si="19"/>
        <v/>
      </c>
    </row>
    <row r="268" spans="1:22">
      <c r="A268" s="4"/>
      <c r="B268" s="52" t="str">
        <f>IF(A268="","",IFERROR(INDEX(Lists!$A$4:$A$203,MATCH(A268,Lists!$B$4:$B$203,0)),""))</f>
        <v/>
      </c>
      <c r="C268" s="8" t="str">
        <f>IF(A268="","",IFERROR(INDEX(Lists!$C$4:$C$203,MATCH(A268,Lists!$B$4:$B$203,0)),""))</f>
        <v/>
      </c>
      <c r="D268" s="8"/>
      <c r="E268" s="10"/>
      <c r="F268" s="10" t="str">
        <f t="shared" si="16"/>
        <v/>
      </c>
      <c r="G268" s="8" t="str">
        <f t="shared" ca="1" si="17"/>
        <v/>
      </c>
      <c r="H268" s="8"/>
      <c r="I268" s="8"/>
      <c r="J268" s="4"/>
      <c r="T268" s="1" t="str">
        <f t="shared" ca="1" si="18"/>
        <v/>
      </c>
      <c r="U268" s="1" t="str">
        <f ca="1">IF(T268="","",COUNTIFS($T$4:$T$503,"&gt;0",$T$4:$T$503,"&lt;"&amp;T268)+COUNTIF($T$4:T268,T268))</f>
        <v/>
      </c>
      <c r="V268" s="1" t="str">
        <f t="shared" si="19"/>
        <v/>
      </c>
    </row>
    <row r="269" spans="1:22">
      <c r="A269" s="4"/>
      <c r="B269" s="52" t="str">
        <f>IF(A269="","",IFERROR(INDEX(Lists!$A$4:$A$203,MATCH(A269,Lists!$B$4:$B$203,0)),""))</f>
        <v/>
      </c>
      <c r="C269" s="8" t="str">
        <f>IF(A269="","",IFERROR(INDEX(Lists!$C$4:$C$203,MATCH(A269,Lists!$B$4:$B$203,0)),""))</f>
        <v/>
      </c>
      <c r="D269" s="8"/>
      <c r="E269" s="10"/>
      <c r="F269" s="10" t="str">
        <f t="shared" si="16"/>
        <v/>
      </c>
      <c r="G269" s="8" t="str">
        <f t="shared" ca="1" si="17"/>
        <v/>
      </c>
      <c r="H269" s="8"/>
      <c r="I269" s="8"/>
      <c r="J269" s="4"/>
      <c r="T269" s="1" t="str">
        <f t="shared" ca="1" si="18"/>
        <v/>
      </c>
      <c r="U269" s="1" t="str">
        <f ca="1">IF(T269="","",COUNTIFS($T$4:$T$503,"&gt;0",$T$4:$T$503,"&lt;"&amp;T269)+COUNTIF($T$4:T269,T269))</f>
        <v/>
      </c>
      <c r="V269" s="1" t="str">
        <f t="shared" si="19"/>
        <v/>
      </c>
    </row>
    <row r="270" spans="1:22">
      <c r="A270" s="4"/>
      <c r="B270" s="52" t="str">
        <f>IF(A270="","",IFERROR(INDEX(Lists!$A$4:$A$203,MATCH(A270,Lists!$B$4:$B$203,0)),""))</f>
        <v/>
      </c>
      <c r="C270" s="8" t="str">
        <f>IF(A270="","",IFERROR(INDEX(Lists!$C$4:$C$203,MATCH(A270,Lists!$B$4:$B$203,0)),""))</f>
        <v/>
      </c>
      <c r="D270" s="8"/>
      <c r="E270" s="10"/>
      <c r="F270" s="10" t="str">
        <f t="shared" si="16"/>
        <v/>
      </c>
      <c r="G270" s="8" t="str">
        <f t="shared" ca="1" si="17"/>
        <v/>
      </c>
      <c r="H270" s="8"/>
      <c r="I270" s="8"/>
      <c r="J270" s="4"/>
      <c r="T270" s="1" t="str">
        <f t="shared" ca="1" si="18"/>
        <v/>
      </c>
      <c r="U270" s="1" t="str">
        <f ca="1">IF(T270="","",COUNTIFS($T$4:$T$503,"&gt;0",$T$4:$T$503,"&lt;"&amp;T270)+COUNTIF($T$4:T270,T270))</f>
        <v/>
      </c>
      <c r="V270" s="1" t="str">
        <f t="shared" si="19"/>
        <v/>
      </c>
    </row>
    <row r="271" spans="1:22">
      <c r="A271" s="4"/>
      <c r="B271" s="52" t="str">
        <f>IF(A271="","",IFERROR(INDEX(Lists!$A$4:$A$203,MATCH(A271,Lists!$B$4:$B$203,0)),""))</f>
        <v/>
      </c>
      <c r="C271" s="8" t="str">
        <f>IF(A271="","",IFERROR(INDEX(Lists!$C$4:$C$203,MATCH(A271,Lists!$B$4:$B$203,0)),""))</f>
        <v/>
      </c>
      <c r="D271" s="8"/>
      <c r="E271" s="10"/>
      <c r="F271" s="10" t="str">
        <f t="shared" si="16"/>
        <v/>
      </c>
      <c r="G271" s="8" t="str">
        <f t="shared" ca="1" si="17"/>
        <v/>
      </c>
      <c r="H271" s="8"/>
      <c r="I271" s="8"/>
      <c r="J271" s="4"/>
      <c r="T271" s="1" t="str">
        <f t="shared" ca="1" si="18"/>
        <v/>
      </c>
      <c r="U271" s="1" t="str">
        <f ca="1">IF(T271="","",COUNTIFS($T$4:$T$503,"&gt;0",$T$4:$T$503,"&lt;"&amp;T271)+COUNTIF($T$4:T271,T271))</f>
        <v/>
      </c>
      <c r="V271" s="1" t="str">
        <f t="shared" si="19"/>
        <v/>
      </c>
    </row>
    <row r="272" spans="1:22">
      <c r="A272" s="4"/>
      <c r="B272" s="52" t="str">
        <f>IF(A272="","",IFERROR(INDEX(Lists!$A$4:$A$203,MATCH(A272,Lists!$B$4:$B$203,0)),""))</f>
        <v/>
      </c>
      <c r="C272" s="8" t="str">
        <f>IF(A272="","",IFERROR(INDEX(Lists!$C$4:$C$203,MATCH(A272,Lists!$B$4:$B$203,0)),""))</f>
        <v/>
      </c>
      <c r="D272" s="8"/>
      <c r="E272" s="10"/>
      <c r="F272" s="10" t="str">
        <f t="shared" si="16"/>
        <v/>
      </c>
      <c r="G272" s="8" t="str">
        <f t="shared" ca="1" si="17"/>
        <v/>
      </c>
      <c r="H272" s="8"/>
      <c r="I272" s="8"/>
      <c r="J272" s="4"/>
      <c r="T272" s="1" t="str">
        <f t="shared" ca="1" si="18"/>
        <v/>
      </c>
      <c r="U272" s="1" t="str">
        <f ca="1">IF(T272="","",COUNTIFS($T$4:$T$503,"&gt;0",$T$4:$T$503,"&lt;"&amp;T272)+COUNTIF($T$4:T272,T272))</f>
        <v/>
      </c>
      <c r="V272" s="1" t="str">
        <f t="shared" si="19"/>
        <v/>
      </c>
    </row>
    <row r="273" spans="1:22">
      <c r="A273" s="4"/>
      <c r="B273" s="52" t="str">
        <f>IF(A273="","",IFERROR(INDEX(Lists!$A$4:$A$203,MATCH(A273,Lists!$B$4:$B$203,0)),""))</f>
        <v/>
      </c>
      <c r="C273" s="8" t="str">
        <f>IF(A273="","",IFERROR(INDEX(Lists!$C$4:$C$203,MATCH(A273,Lists!$B$4:$B$203,0)),""))</f>
        <v/>
      </c>
      <c r="D273" s="8"/>
      <c r="E273" s="10"/>
      <c r="F273" s="10" t="str">
        <f t="shared" si="16"/>
        <v/>
      </c>
      <c r="G273" s="8" t="str">
        <f t="shared" ca="1" si="17"/>
        <v/>
      </c>
      <c r="H273" s="8"/>
      <c r="I273" s="8"/>
      <c r="J273" s="4"/>
      <c r="T273" s="1" t="str">
        <f t="shared" ca="1" si="18"/>
        <v/>
      </c>
      <c r="U273" s="1" t="str">
        <f ca="1">IF(T273="","",COUNTIFS($T$4:$T$503,"&gt;0",$T$4:$T$503,"&lt;"&amp;T273)+COUNTIF($T$4:T273,T273))</f>
        <v/>
      </c>
      <c r="V273" s="1" t="str">
        <f t="shared" si="19"/>
        <v/>
      </c>
    </row>
    <row r="274" spans="1:22">
      <c r="A274" s="4"/>
      <c r="B274" s="52" t="str">
        <f>IF(A274="","",IFERROR(INDEX(Lists!$A$4:$A$203,MATCH(A274,Lists!$B$4:$B$203,0)),""))</f>
        <v/>
      </c>
      <c r="C274" s="8" t="str">
        <f>IF(A274="","",IFERROR(INDEX(Lists!$C$4:$C$203,MATCH(A274,Lists!$B$4:$B$203,0)),""))</f>
        <v/>
      </c>
      <c r="D274" s="8"/>
      <c r="E274" s="10"/>
      <c r="F274" s="10" t="str">
        <f t="shared" si="16"/>
        <v/>
      </c>
      <c r="G274" s="8" t="str">
        <f t="shared" ca="1" si="17"/>
        <v/>
      </c>
      <c r="H274" s="8"/>
      <c r="I274" s="8"/>
      <c r="J274" s="4"/>
      <c r="T274" s="1" t="str">
        <f t="shared" ca="1" si="18"/>
        <v/>
      </c>
      <c r="U274" s="1" t="str">
        <f ca="1">IF(T274="","",COUNTIFS($T$4:$T$503,"&gt;0",$T$4:$T$503,"&lt;"&amp;T274)+COUNTIF($T$4:T274,T274))</f>
        <v/>
      </c>
      <c r="V274" s="1" t="str">
        <f t="shared" si="19"/>
        <v/>
      </c>
    </row>
    <row r="275" spans="1:22">
      <c r="A275" s="4"/>
      <c r="B275" s="52" t="str">
        <f>IF(A275="","",IFERROR(INDEX(Lists!$A$4:$A$203,MATCH(A275,Lists!$B$4:$B$203,0)),""))</f>
        <v/>
      </c>
      <c r="C275" s="8" t="str">
        <f>IF(A275="","",IFERROR(INDEX(Lists!$C$4:$C$203,MATCH(A275,Lists!$B$4:$B$203,0)),""))</f>
        <v/>
      </c>
      <c r="D275" s="8"/>
      <c r="E275" s="10"/>
      <c r="F275" s="10" t="str">
        <f t="shared" si="16"/>
        <v/>
      </c>
      <c r="G275" s="8" t="str">
        <f t="shared" ca="1" si="17"/>
        <v/>
      </c>
      <c r="H275" s="8"/>
      <c r="I275" s="8"/>
      <c r="J275" s="4"/>
      <c r="T275" s="1" t="str">
        <f t="shared" ca="1" si="18"/>
        <v/>
      </c>
      <c r="U275" s="1" t="str">
        <f ca="1">IF(T275="","",COUNTIFS($T$4:$T$503,"&gt;0",$T$4:$T$503,"&lt;"&amp;T275)+COUNTIF($T$4:T275,T275))</f>
        <v/>
      </c>
      <c r="V275" s="1" t="str">
        <f t="shared" si="19"/>
        <v/>
      </c>
    </row>
    <row r="276" spans="1:22">
      <c r="A276" s="4"/>
      <c r="B276" s="52" t="str">
        <f>IF(A276="","",IFERROR(INDEX(Lists!$A$4:$A$203,MATCH(A276,Lists!$B$4:$B$203,0)),""))</f>
        <v/>
      </c>
      <c r="C276" s="8" t="str">
        <f>IF(A276="","",IFERROR(INDEX(Lists!$C$4:$C$203,MATCH(A276,Lists!$B$4:$B$203,0)),""))</f>
        <v/>
      </c>
      <c r="D276" s="8"/>
      <c r="E276" s="10"/>
      <c r="F276" s="10" t="str">
        <f t="shared" si="16"/>
        <v/>
      </c>
      <c r="G276" s="8" t="str">
        <f t="shared" ca="1" si="17"/>
        <v/>
      </c>
      <c r="H276" s="8"/>
      <c r="I276" s="8"/>
      <c r="J276" s="4"/>
      <c r="T276" s="1" t="str">
        <f t="shared" ca="1" si="18"/>
        <v/>
      </c>
      <c r="U276" s="1" t="str">
        <f ca="1">IF(T276="","",COUNTIFS($T$4:$T$503,"&gt;0",$T$4:$T$503,"&lt;"&amp;T276)+COUNTIF($T$4:T276,T276))</f>
        <v/>
      </c>
      <c r="V276" s="1" t="str">
        <f t="shared" si="19"/>
        <v/>
      </c>
    </row>
    <row r="277" spans="1:22">
      <c r="A277" s="4"/>
      <c r="B277" s="52" t="str">
        <f>IF(A277="","",IFERROR(INDEX(Lists!$A$4:$A$203,MATCH(A277,Lists!$B$4:$B$203,0)),""))</f>
        <v/>
      </c>
      <c r="C277" s="8" t="str">
        <f>IF(A277="","",IFERROR(INDEX(Lists!$C$4:$C$203,MATCH(A277,Lists!$B$4:$B$203,0)),""))</f>
        <v/>
      </c>
      <c r="D277" s="8"/>
      <c r="E277" s="10"/>
      <c r="F277" s="10" t="str">
        <f t="shared" si="16"/>
        <v/>
      </c>
      <c r="G277" s="8" t="str">
        <f t="shared" ca="1" si="17"/>
        <v/>
      </c>
      <c r="H277" s="8"/>
      <c r="I277" s="8"/>
      <c r="J277" s="4"/>
      <c r="T277" s="1" t="str">
        <f t="shared" ca="1" si="18"/>
        <v/>
      </c>
      <c r="U277" s="1" t="str">
        <f ca="1">IF(T277="","",COUNTIFS($T$4:$T$503,"&gt;0",$T$4:$T$503,"&lt;"&amp;T277)+COUNTIF($T$4:T277,T277))</f>
        <v/>
      </c>
      <c r="V277" s="1" t="str">
        <f t="shared" si="19"/>
        <v/>
      </c>
    </row>
    <row r="278" spans="1:22">
      <c r="A278" s="4"/>
      <c r="B278" s="52" t="str">
        <f>IF(A278="","",IFERROR(INDEX(Lists!$A$4:$A$203,MATCH(A278,Lists!$B$4:$B$203,0)),""))</f>
        <v/>
      </c>
      <c r="C278" s="8" t="str">
        <f>IF(A278="","",IFERROR(INDEX(Lists!$C$4:$C$203,MATCH(A278,Lists!$B$4:$B$203,0)),""))</f>
        <v/>
      </c>
      <c r="D278" s="8"/>
      <c r="E278" s="10"/>
      <c r="F278" s="10" t="str">
        <f t="shared" si="16"/>
        <v/>
      </c>
      <c r="G278" s="8" t="str">
        <f t="shared" ca="1" si="17"/>
        <v/>
      </c>
      <c r="H278" s="8"/>
      <c r="I278" s="8"/>
      <c r="J278" s="4"/>
      <c r="T278" s="1" t="str">
        <f t="shared" ca="1" si="18"/>
        <v/>
      </c>
      <c r="U278" s="1" t="str">
        <f ca="1">IF(T278="","",COUNTIFS($T$4:$T$503,"&gt;0",$T$4:$T$503,"&lt;"&amp;T278)+COUNTIF($T$4:T278,T278))</f>
        <v/>
      </c>
      <c r="V278" s="1" t="str">
        <f t="shared" si="19"/>
        <v/>
      </c>
    </row>
    <row r="279" spans="1:22">
      <c r="A279" s="4"/>
      <c r="B279" s="52" t="str">
        <f>IF(A279="","",IFERROR(INDEX(Lists!$A$4:$A$203,MATCH(A279,Lists!$B$4:$B$203,0)),""))</f>
        <v/>
      </c>
      <c r="C279" s="8" t="str">
        <f>IF(A279="","",IFERROR(INDEX(Lists!$C$4:$C$203,MATCH(A279,Lists!$B$4:$B$203,0)),""))</f>
        <v/>
      </c>
      <c r="D279" s="8"/>
      <c r="E279" s="10"/>
      <c r="F279" s="10" t="str">
        <f t="shared" si="16"/>
        <v/>
      </c>
      <c r="G279" s="8" t="str">
        <f t="shared" ca="1" si="17"/>
        <v/>
      </c>
      <c r="H279" s="8"/>
      <c r="I279" s="8"/>
      <c r="J279" s="4"/>
      <c r="T279" s="1" t="str">
        <f t="shared" ca="1" si="18"/>
        <v/>
      </c>
      <c r="U279" s="1" t="str">
        <f ca="1">IF(T279="","",COUNTIFS($T$4:$T$503,"&gt;0",$T$4:$T$503,"&lt;"&amp;T279)+COUNTIF($T$4:T279,T279))</f>
        <v/>
      </c>
      <c r="V279" s="1" t="str">
        <f t="shared" si="19"/>
        <v/>
      </c>
    </row>
    <row r="280" spans="1:22">
      <c r="A280" s="4"/>
      <c r="B280" s="52" t="str">
        <f>IF(A280="","",IFERROR(INDEX(Lists!$A$4:$A$203,MATCH(A280,Lists!$B$4:$B$203,0)),""))</f>
        <v/>
      </c>
      <c r="C280" s="8" t="str">
        <f>IF(A280="","",IFERROR(INDEX(Lists!$C$4:$C$203,MATCH(A280,Lists!$B$4:$B$203,0)),""))</f>
        <v/>
      </c>
      <c r="D280" s="8"/>
      <c r="E280" s="10"/>
      <c r="F280" s="10" t="str">
        <f t="shared" si="16"/>
        <v/>
      </c>
      <c r="G280" s="8" t="str">
        <f t="shared" ca="1" si="17"/>
        <v/>
      </c>
      <c r="H280" s="8"/>
      <c r="I280" s="8"/>
      <c r="J280" s="4"/>
      <c r="T280" s="1" t="str">
        <f t="shared" ca="1" si="18"/>
        <v/>
      </c>
      <c r="U280" s="1" t="str">
        <f ca="1">IF(T280="","",COUNTIFS($T$4:$T$503,"&gt;0",$T$4:$T$503,"&lt;"&amp;T280)+COUNTIF($T$4:T280,T280))</f>
        <v/>
      </c>
      <c r="V280" s="1" t="str">
        <f t="shared" si="19"/>
        <v/>
      </c>
    </row>
    <row r="281" spans="1:22">
      <c r="A281" s="4"/>
      <c r="B281" s="52" t="str">
        <f>IF(A281="","",IFERROR(INDEX(Lists!$A$4:$A$203,MATCH(A281,Lists!$B$4:$B$203,0)),""))</f>
        <v/>
      </c>
      <c r="C281" s="8" t="str">
        <f>IF(A281="","",IFERROR(INDEX(Lists!$C$4:$C$203,MATCH(A281,Lists!$B$4:$B$203,0)),""))</f>
        <v/>
      </c>
      <c r="D281" s="8"/>
      <c r="E281" s="10"/>
      <c r="F281" s="10" t="str">
        <f t="shared" si="16"/>
        <v/>
      </c>
      <c r="G281" s="8" t="str">
        <f t="shared" ca="1" si="17"/>
        <v/>
      </c>
      <c r="H281" s="8"/>
      <c r="I281" s="8"/>
      <c r="J281" s="4"/>
      <c r="T281" s="1" t="str">
        <f t="shared" ca="1" si="18"/>
        <v/>
      </c>
      <c r="U281" s="1" t="str">
        <f ca="1">IF(T281="","",COUNTIFS($T$4:$T$503,"&gt;0",$T$4:$T$503,"&lt;"&amp;T281)+COUNTIF($T$4:T281,T281))</f>
        <v/>
      </c>
      <c r="V281" s="1" t="str">
        <f t="shared" si="19"/>
        <v/>
      </c>
    </row>
    <row r="282" spans="1:22">
      <c r="A282" s="4"/>
      <c r="B282" s="52" t="str">
        <f>IF(A282="","",IFERROR(INDEX(Lists!$A$4:$A$203,MATCH(A282,Lists!$B$4:$B$203,0)),""))</f>
        <v/>
      </c>
      <c r="C282" s="8" t="str">
        <f>IF(A282="","",IFERROR(INDEX(Lists!$C$4:$C$203,MATCH(A282,Lists!$B$4:$B$203,0)),""))</f>
        <v/>
      </c>
      <c r="D282" s="8"/>
      <c r="E282" s="10"/>
      <c r="F282" s="10" t="str">
        <f t="shared" si="16"/>
        <v/>
      </c>
      <c r="G282" s="8" t="str">
        <f t="shared" ca="1" si="17"/>
        <v/>
      </c>
      <c r="H282" s="8"/>
      <c r="I282" s="8"/>
      <c r="J282" s="4"/>
      <c r="T282" s="1" t="str">
        <f t="shared" ca="1" si="18"/>
        <v/>
      </c>
      <c r="U282" s="1" t="str">
        <f ca="1">IF(T282="","",COUNTIFS($T$4:$T$503,"&gt;0",$T$4:$T$503,"&lt;"&amp;T282)+COUNTIF($T$4:T282,T282))</f>
        <v/>
      </c>
      <c r="V282" s="1" t="str">
        <f t="shared" si="19"/>
        <v/>
      </c>
    </row>
    <row r="283" spans="1:22">
      <c r="A283" s="4"/>
      <c r="B283" s="52" t="str">
        <f>IF(A283="","",IFERROR(INDEX(Lists!$A$4:$A$203,MATCH(A283,Lists!$B$4:$B$203,0)),""))</f>
        <v/>
      </c>
      <c r="C283" s="8" t="str">
        <f>IF(A283="","",IFERROR(INDEX(Lists!$C$4:$C$203,MATCH(A283,Lists!$B$4:$B$203,0)),""))</f>
        <v/>
      </c>
      <c r="D283" s="8"/>
      <c r="E283" s="10"/>
      <c r="F283" s="10" t="str">
        <f t="shared" si="16"/>
        <v/>
      </c>
      <c r="G283" s="8" t="str">
        <f t="shared" ca="1" si="17"/>
        <v/>
      </c>
      <c r="H283" s="8"/>
      <c r="I283" s="8"/>
      <c r="J283" s="4"/>
      <c r="T283" s="1" t="str">
        <f t="shared" ca="1" si="18"/>
        <v/>
      </c>
      <c r="U283" s="1" t="str">
        <f ca="1">IF(T283="","",COUNTIFS($T$4:$T$503,"&gt;0",$T$4:$T$503,"&lt;"&amp;T283)+COUNTIF($T$4:T283,T283))</f>
        <v/>
      </c>
      <c r="V283" s="1" t="str">
        <f t="shared" si="19"/>
        <v/>
      </c>
    </row>
    <row r="284" spans="1:22">
      <c r="A284" s="4"/>
      <c r="B284" s="52" t="str">
        <f>IF(A284="","",IFERROR(INDEX(Lists!$A$4:$A$203,MATCH(A284,Lists!$B$4:$B$203,0)),""))</f>
        <v/>
      </c>
      <c r="C284" s="8" t="str">
        <f>IF(A284="","",IFERROR(INDEX(Lists!$C$4:$C$203,MATCH(A284,Lists!$B$4:$B$203,0)),""))</f>
        <v/>
      </c>
      <c r="D284" s="8"/>
      <c r="E284" s="10"/>
      <c r="F284" s="10" t="str">
        <f t="shared" si="16"/>
        <v/>
      </c>
      <c r="G284" s="8" t="str">
        <f t="shared" ca="1" si="17"/>
        <v/>
      </c>
      <c r="H284" s="8"/>
      <c r="I284" s="8"/>
      <c r="J284" s="4"/>
      <c r="T284" s="1" t="str">
        <f t="shared" ca="1" si="18"/>
        <v/>
      </c>
      <c r="U284" s="1" t="str">
        <f ca="1">IF(T284="","",COUNTIFS($T$4:$T$503,"&gt;0",$T$4:$T$503,"&lt;"&amp;T284)+COUNTIF($T$4:T284,T284))</f>
        <v/>
      </c>
      <c r="V284" s="1" t="str">
        <f t="shared" si="19"/>
        <v/>
      </c>
    </row>
    <row r="285" spans="1:22">
      <c r="A285" s="4"/>
      <c r="B285" s="52" t="str">
        <f>IF(A285="","",IFERROR(INDEX(Lists!$A$4:$A$203,MATCH(A285,Lists!$B$4:$B$203,0)),""))</f>
        <v/>
      </c>
      <c r="C285" s="8" t="str">
        <f>IF(A285="","",IFERROR(INDEX(Lists!$C$4:$C$203,MATCH(A285,Lists!$B$4:$B$203,0)),""))</f>
        <v/>
      </c>
      <c r="D285" s="8"/>
      <c r="E285" s="10"/>
      <c r="F285" s="10" t="str">
        <f t="shared" si="16"/>
        <v/>
      </c>
      <c r="G285" s="8" t="str">
        <f t="shared" ca="1" si="17"/>
        <v/>
      </c>
      <c r="H285" s="8"/>
      <c r="I285" s="8"/>
      <c r="J285" s="4"/>
      <c r="T285" s="1" t="str">
        <f t="shared" ca="1" si="18"/>
        <v/>
      </c>
      <c r="U285" s="1" t="str">
        <f ca="1">IF(T285="","",COUNTIFS($T$4:$T$503,"&gt;0",$T$4:$T$503,"&lt;"&amp;T285)+COUNTIF($T$4:T285,T285))</f>
        <v/>
      </c>
      <c r="V285" s="1" t="str">
        <f t="shared" si="19"/>
        <v/>
      </c>
    </row>
    <row r="286" spans="1:22">
      <c r="A286" s="4"/>
      <c r="B286" s="52" t="str">
        <f>IF(A286="","",IFERROR(INDEX(Lists!$A$4:$A$203,MATCH(A286,Lists!$B$4:$B$203,0)),""))</f>
        <v/>
      </c>
      <c r="C286" s="8" t="str">
        <f>IF(A286="","",IFERROR(INDEX(Lists!$C$4:$C$203,MATCH(A286,Lists!$B$4:$B$203,0)),""))</f>
        <v/>
      </c>
      <c r="D286" s="8"/>
      <c r="E286" s="10"/>
      <c r="F286" s="10" t="str">
        <f t="shared" si="16"/>
        <v/>
      </c>
      <c r="G286" s="8" t="str">
        <f t="shared" ca="1" si="17"/>
        <v/>
      </c>
      <c r="H286" s="8"/>
      <c r="I286" s="8"/>
      <c r="J286" s="4"/>
      <c r="T286" s="1" t="str">
        <f t="shared" ca="1" si="18"/>
        <v/>
      </c>
      <c r="U286" s="1" t="str">
        <f ca="1">IF(T286="","",COUNTIFS($T$4:$T$503,"&gt;0",$T$4:$T$503,"&lt;"&amp;T286)+COUNTIF($T$4:T286,T286))</f>
        <v/>
      </c>
      <c r="V286" s="1" t="str">
        <f t="shared" si="19"/>
        <v/>
      </c>
    </row>
    <row r="287" spans="1:22">
      <c r="A287" s="4"/>
      <c r="B287" s="52" t="str">
        <f>IF(A287="","",IFERROR(INDEX(Lists!$A$4:$A$203,MATCH(A287,Lists!$B$4:$B$203,0)),""))</f>
        <v/>
      </c>
      <c r="C287" s="8" t="str">
        <f>IF(A287="","",IFERROR(INDEX(Lists!$C$4:$C$203,MATCH(A287,Lists!$B$4:$B$203,0)),""))</f>
        <v/>
      </c>
      <c r="D287" s="8"/>
      <c r="E287" s="10"/>
      <c r="F287" s="10" t="str">
        <f t="shared" si="16"/>
        <v/>
      </c>
      <c r="G287" s="8" t="str">
        <f t="shared" ca="1" si="17"/>
        <v/>
      </c>
      <c r="H287" s="8"/>
      <c r="I287" s="8"/>
      <c r="J287" s="4"/>
      <c r="T287" s="1" t="str">
        <f t="shared" ca="1" si="18"/>
        <v/>
      </c>
      <c r="U287" s="1" t="str">
        <f ca="1">IF(T287="","",COUNTIFS($T$4:$T$503,"&gt;0",$T$4:$T$503,"&lt;"&amp;T287)+COUNTIF($T$4:T287,T287))</f>
        <v/>
      </c>
      <c r="V287" s="1" t="str">
        <f t="shared" si="19"/>
        <v/>
      </c>
    </row>
    <row r="288" spans="1:22">
      <c r="A288" s="4"/>
      <c r="B288" s="52" t="str">
        <f>IF(A288="","",IFERROR(INDEX(Lists!$A$4:$A$203,MATCH(A288,Lists!$B$4:$B$203,0)),""))</f>
        <v/>
      </c>
      <c r="C288" s="8" t="str">
        <f>IF(A288="","",IFERROR(INDEX(Lists!$C$4:$C$203,MATCH(A288,Lists!$B$4:$B$203,0)),""))</f>
        <v/>
      </c>
      <c r="D288" s="8"/>
      <c r="E288" s="10"/>
      <c r="F288" s="10" t="str">
        <f t="shared" si="16"/>
        <v/>
      </c>
      <c r="G288" s="8" t="str">
        <f t="shared" ca="1" si="17"/>
        <v/>
      </c>
      <c r="H288" s="8"/>
      <c r="I288" s="8"/>
      <c r="J288" s="4"/>
      <c r="T288" s="1" t="str">
        <f t="shared" ca="1" si="18"/>
        <v/>
      </c>
      <c r="U288" s="1" t="str">
        <f ca="1">IF(T288="","",COUNTIFS($T$4:$T$503,"&gt;0",$T$4:$T$503,"&lt;"&amp;T288)+COUNTIF($T$4:T288,T288))</f>
        <v/>
      </c>
      <c r="V288" s="1" t="str">
        <f t="shared" si="19"/>
        <v/>
      </c>
    </row>
    <row r="289" spans="1:22">
      <c r="A289" s="4"/>
      <c r="B289" s="52" t="str">
        <f>IF(A289="","",IFERROR(INDEX(Lists!$A$4:$A$203,MATCH(A289,Lists!$B$4:$B$203,0)),""))</f>
        <v/>
      </c>
      <c r="C289" s="8" t="str">
        <f>IF(A289="","",IFERROR(INDEX(Lists!$C$4:$C$203,MATCH(A289,Lists!$B$4:$B$203,0)),""))</f>
        <v/>
      </c>
      <c r="D289" s="8"/>
      <c r="E289" s="10"/>
      <c r="F289" s="10" t="str">
        <f t="shared" si="16"/>
        <v/>
      </c>
      <c r="G289" s="8" t="str">
        <f t="shared" ca="1" si="17"/>
        <v/>
      </c>
      <c r="H289" s="8"/>
      <c r="I289" s="8"/>
      <c r="J289" s="4"/>
      <c r="T289" s="1" t="str">
        <f t="shared" ca="1" si="18"/>
        <v/>
      </c>
      <c r="U289" s="1" t="str">
        <f ca="1">IF(T289="","",COUNTIFS($T$4:$T$503,"&gt;0",$T$4:$T$503,"&lt;"&amp;T289)+COUNTIF($T$4:T289,T289))</f>
        <v/>
      </c>
      <c r="V289" s="1" t="str">
        <f t="shared" si="19"/>
        <v/>
      </c>
    </row>
    <row r="290" spans="1:22">
      <c r="A290" s="4"/>
      <c r="B290" s="52" t="str">
        <f>IF(A290="","",IFERROR(INDEX(Lists!$A$4:$A$203,MATCH(A290,Lists!$B$4:$B$203,0)),""))</f>
        <v/>
      </c>
      <c r="C290" s="8" t="str">
        <f>IF(A290="","",IFERROR(INDEX(Lists!$C$4:$C$203,MATCH(A290,Lists!$B$4:$B$203,0)),""))</f>
        <v/>
      </c>
      <c r="D290" s="8"/>
      <c r="E290" s="10"/>
      <c r="F290" s="10" t="str">
        <f t="shared" si="16"/>
        <v/>
      </c>
      <c r="G290" s="8" t="str">
        <f t="shared" ca="1" si="17"/>
        <v/>
      </c>
      <c r="H290" s="8"/>
      <c r="I290" s="8"/>
      <c r="J290" s="4"/>
      <c r="T290" s="1" t="str">
        <f t="shared" ca="1" si="18"/>
        <v/>
      </c>
      <c r="U290" s="1" t="str">
        <f ca="1">IF(T290="","",COUNTIFS($T$4:$T$503,"&gt;0",$T$4:$T$503,"&lt;"&amp;T290)+COUNTIF($T$4:T290,T290))</f>
        <v/>
      </c>
      <c r="V290" s="1" t="str">
        <f t="shared" si="19"/>
        <v/>
      </c>
    </row>
    <row r="291" spans="1:22">
      <c r="A291" s="4"/>
      <c r="B291" s="52" t="str">
        <f>IF(A291="","",IFERROR(INDEX(Lists!$A$4:$A$203,MATCH(A291,Lists!$B$4:$B$203,0)),""))</f>
        <v/>
      </c>
      <c r="C291" s="8" t="str">
        <f>IF(A291="","",IFERROR(INDEX(Lists!$C$4:$C$203,MATCH(A291,Lists!$B$4:$B$203,0)),""))</f>
        <v/>
      </c>
      <c r="D291" s="8"/>
      <c r="E291" s="10"/>
      <c r="F291" s="10" t="str">
        <f t="shared" si="16"/>
        <v/>
      </c>
      <c r="G291" s="8" t="str">
        <f t="shared" ca="1" si="17"/>
        <v/>
      </c>
      <c r="H291" s="8"/>
      <c r="I291" s="8"/>
      <c r="J291" s="4"/>
      <c r="T291" s="1" t="str">
        <f t="shared" ca="1" si="18"/>
        <v/>
      </c>
      <c r="U291" s="1" t="str">
        <f ca="1">IF(T291="","",COUNTIFS($T$4:$T$503,"&gt;0",$T$4:$T$503,"&lt;"&amp;T291)+COUNTIF($T$4:T291,T291))</f>
        <v/>
      </c>
      <c r="V291" s="1" t="str">
        <f t="shared" si="19"/>
        <v/>
      </c>
    </row>
    <row r="292" spans="1:22">
      <c r="A292" s="4"/>
      <c r="B292" s="52" t="str">
        <f>IF(A292="","",IFERROR(INDEX(Lists!$A$4:$A$203,MATCH(A292,Lists!$B$4:$B$203,0)),""))</f>
        <v/>
      </c>
      <c r="C292" s="8" t="str">
        <f>IF(A292="","",IFERROR(INDEX(Lists!$C$4:$C$203,MATCH(A292,Lists!$B$4:$B$203,0)),""))</f>
        <v/>
      </c>
      <c r="D292" s="8"/>
      <c r="E292" s="10"/>
      <c r="F292" s="10" t="str">
        <f t="shared" si="16"/>
        <v/>
      </c>
      <c r="G292" s="8" t="str">
        <f t="shared" ca="1" si="17"/>
        <v/>
      </c>
      <c r="H292" s="8"/>
      <c r="I292" s="8"/>
      <c r="J292" s="4"/>
      <c r="T292" s="1" t="str">
        <f t="shared" ca="1" si="18"/>
        <v/>
      </c>
      <c r="U292" s="1" t="str">
        <f ca="1">IF(T292="","",COUNTIFS($T$4:$T$503,"&gt;0",$T$4:$T$503,"&lt;"&amp;T292)+COUNTIF($T$4:T292,T292))</f>
        <v/>
      </c>
      <c r="V292" s="1" t="str">
        <f t="shared" si="19"/>
        <v/>
      </c>
    </row>
    <row r="293" spans="1:22">
      <c r="A293" s="4"/>
      <c r="B293" s="52" t="str">
        <f>IF(A293="","",IFERROR(INDEX(Lists!$A$4:$A$203,MATCH(A293,Lists!$B$4:$B$203,0)),""))</f>
        <v/>
      </c>
      <c r="C293" s="8" t="str">
        <f>IF(A293="","",IFERROR(INDEX(Lists!$C$4:$C$203,MATCH(A293,Lists!$B$4:$B$203,0)),""))</f>
        <v/>
      </c>
      <c r="D293" s="8"/>
      <c r="E293" s="10"/>
      <c r="F293" s="10" t="str">
        <f t="shared" si="16"/>
        <v/>
      </c>
      <c r="G293" s="8" t="str">
        <f t="shared" ca="1" si="17"/>
        <v/>
      </c>
      <c r="H293" s="8"/>
      <c r="I293" s="8"/>
      <c r="J293" s="4"/>
      <c r="T293" s="1" t="str">
        <f t="shared" ca="1" si="18"/>
        <v/>
      </c>
      <c r="U293" s="1" t="str">
        <f ca="1">IF(T293="","",COUNTIFS($T$4:$T$503,"&gt;0",$T$4:$T$503,"&lt;"&amp;T293)+COUNTIF($T$4:T293,T293))</f>
        <v/>
      </c>
      <c r="V293" s="1" t="str">
        <f t="shared" si="19"/>
        <v/>
      </c>
    </row>
    <row r="294" spans="1:22">
      <c r="A294" s="4"/>
      <c r="B294" s="52" t="str">
        <f>IF(A294="","",IFERROR(INDEX(Lists!$A$4:$A$203,MATCH(A294,Lists!$B$4:$B$203,0)),""))</f>
        <v/>
      </c>
      <c r="C294" s="8" t="str">
        <f>IF(A294="","",IFERROR(INDEX(Lists!$C$4:$C$203,MATCH(A294,Lists!$B$4:$B$203,0)),""))</f>
        <v/>
      </c>
      <c r="D294" s="8"/>
      <c r="E294" s="10"/>
      <c r="F294" s="10" t="str">
        <f t="shared" si="16"/>
        <v/>
      </c>
      <c r="G294" s="8" t="str">
        <f t="shared" ca="1" si="17"/>
        <v/>
      </c>
      <c r="H294" s="8"/>
      <c r="I294" s="8"/>
      <c r="J294" s="4"/>
      <c r="T294" s="1" t="str">
        <f t="shared" ca="1" si="18"/>
        <v/>
      </c>
      <c r="U294" s="1" t="str">
        <f ca="1">IF(T294="","",COUNTIFS($T$4:$T$503,"&gt;0",$T$4:$T$503,"&lt;"&amp;T294)+COUNTIF($T$4:T294,T294))</f>
        <v/>
      </c>
      <c r="V294" s="1" t="str">
        <f t="shared" si="19"/>
        <v/>
      </c>
    </row>
    <row r="295" spans="1:22">
      <c r="A295" s="4"/>
      <c r="B295" s="52" t="str">
        <f>IF(A295="","",IFERROR(INDEX(Lists!$A$4:$A$203,MATCH(A295,Lists!$B$4:$B$203,0)),""))</f>
        <v/>
      </c>
      <c r="C295" s="8" t="str">
        <f>IF(A295="","",IFERROR(INDEX(Lists!$C$4:$C$203,MATCH(A295,Lists!$B$4:$B$203,0)),""))</f>
        <v/>
      </c>
      <c r="D295" s="8"/>
      <c r="E295" s="10"/>
      <c r="F295" s="10" t="str">
        <f t="shared" si="16"/>
        <v/>
      </c>
      <c r="G295" s="8" t="str">
        <f t="shared" ca="1" si="17"/>
        <v/>
      </c>
      <c r="H295" s="8"/>
      <c r="I295" s="8"/>
      <c r="J295" s="4"/>
      <c r="T295" s="1" t="str">
        <f t="shared" ca="1" si="18"/>
        <v/>
      </c>
      <c r="U295" s="1" t="str">
        <f ca="1">IF(T295="","",COUNTIFS($T$4:$T$503,"&gt;0",$T$4:$T$503,"&lt;"&amp;T295)+COUNTIF($T$4:T295,T295))</f>
        <v/>
      </c>
      <c r="V295" s="1" t="str">
        <f t="shared" si="19"/>
        <v/>
      </c>
    </row>
    <row r="296" spans="1:22">
      <c r="A296" s="4"/>
      <c r="B296" s="52" t="str">
        <f>IF(A296="","",IFERROR(INDEX(Lists!$A$4:$A$203,MATCH(A296,Lists!$B$4:$B$203,0)),""))</f>
        <v/>
      </c>
      <c r="C296" s="8" t="str">
        <f>IF(A296="","",IFERROR(INDEX(Lists!$C$4:$C$203,MATCH(A296,Lists!$B$4:$B$203,0)),""))</f>
        <v/>
      </c>
      <c r="D296" s="8"/>
      <c r="E296" s="10"/>
      <c r="F296" s="10" t="str">
        <f t="shared" si="16"/>
        <v/>
      </c>
      <c r="G296" s="8" t="str">
        <f t="shared" ca="1" si="17"/>
        <v/>
      </c>
      <c r="H296" s="8"/>
      <c r="I296" s="8"/>
      <c r="J296" s="4"/>
      <c r="T296" s="1" t="str">
        <f t="shared" ca="1" si="18"/>
        <v/>
      </c>
      <c r="U296" s="1" t="str">
        <f ca="1">IF(T296="","",COUNTIFS($T$4:$T$503,"&gt;0",$T$4:$T$503,"&lt;"&amp;T296)+COUNTIF($T$4:T296,T296))</f>
        <v/>
      </c>
      <c r="V296" s="1" t="str">
        <f t="shared" si="19"/>
        <v/>
      </c>
    </row>
    <row r="297" spans="1:22">
      <c r="A297" s="4"/>
      <c r="B297" s="52" t="str">
        <f>IF(A297="","",IFERROR(INDEX(Lists!$A$4:$A$203,MATCH(A297,Lists!$B$4:$B$203,0)),""))</f>
        <v/>
      </c>
      <c r="C297" s="8" t="str">
        <f>IF(A297="","",IFERROR(INDEX(Lists!$C$4:$C$203,MATCH(A297,Lists!$B$4:$B$203,0)),""))</f>
        <v/>
      </c>
      <c r="D297" s="8"/>
      <c r="E297" s="10"/>
      <c r="F297" s="10" t="str">
        <f t="shared" si="16"/>
        <v/>
      </c>
      <c r="G297" s="8" t="str">
        <f t="shared" ca="1" si="17"/>
        <v/>
      </c>
      <c r="H297" s="8"/>
      <c r="I297" s="8"/>
      <c r="J297" s="4"/>
      <c r="T297" s="1" t="str">
        <f t="shared" ca="1" si="18"/>
        <v/>
      </c>
      <c r="U297" s="1" t="str">
        <f ca="1">IF(T297="","",COUNTIFS($T$4:$T$503,"&gt;0",$T$4:$T$503,"&lt;"&amp;T297)+COUNTIF($T$4:T297,T297))</f>
        <v/>
      </c>
      <c r="V297" s="1" t="str">
        <f t="shared" si="19"/>
        <v/>
      </c>
    </row>
    <row r="298" spans="1:22">
      <c r="A298" s="4"/>
      <c r="B298" s="52" t="str">
        <f>IF(A298="","",IFERROR(INDEX(Lists!$A$4:$A$203,MATCH(A298,Lists!$B$4:$B$203,0)),""))</f>
        <v/>
      </c>
      <c r="C298" s="8" t="str">
        <f>IF(A298="","",IFERROR(INDEX(Lists!$C$4:$C$203,MATCH(A298,Lists!$B$4:$B$203,0)),""))</f>
        <v/>
      </c>
      <c r="D298" s="8"/>
      <c r="E298" s="10"/>
      <c r="F298" s="10" t="str">
        <f t="shared" si="16"/>
        <v/>
      </c>
      <c r="G298" s="8" t="str">
        <f t="shared" ca="1" si="17"/>
        <v/>
      </c>
      <c r="H298" s="8"/>
      <c r="I298" s="8"/>
      <c r="J298" s="4"/>
      <c r="T298" s="1" t="str">
        <f t="shared" ca="1" si="18"/>
        <v/>
      </c>
      <c r="U298" s="1" t="str">
        <f ca="1">IF(T298="","",COUNTIFS($T$4:$T$503,"&gt;0",$T$4:$T$503,"&lt;"&amp;T298)+COUNTIF($T$4:T298,T298))</f>
        <v/>
      </c>
      <c r="V298" s="1" t="str">
        <f t="shared" si="19"/>
        <v/>
      </c>
    </row>
    <row r="299" spans="1:22">
      <c r="A299" s="4"/>
      <c r="B299" s="52" t="str">
        <f>IF(A299="","",IFERROR(INDEX(Lists!$A$4:$A$203,MATCH(A299,Lists!$B$4:$B$203,0)),""))</f>
        <v/>
      </c>
      <c r="C299" s="8" t="str">
        <f>IF(A299="","",IFERROR(INDEX(Lists!$C$4:$C$203,MATCH(A299,Lists!$B$4:$B$203,0)),""))</f>
        <v/>
      </c>
      <c r="D299" s="8"/>
      <c r="E299" s="10"/>
      <c r="F299" s="10" t="str">
        <f t="shared" si="16"/>
        <v/>
      </c>
      <c r="G299" s="8" t="str">
        <f t="shared" ca="1" si="17"/>
        <v/>
      </c>
      <c r="H299" s="8"/>
      <c r="I299" s="8"/>
      <c r="J299" s="4"/>
      <c r="T299" s="1" t="str">
        <f t="shared" ca="1" si="18"/>
        <v/>
      </c>
      <c r="U299" s="1" t="str">
        <f ca="1">IF(T299="","",COUNTIFS($T$4:$T$503,"&gt;0",$T$4:$T$503,"&lt;"&amp;T299)+COUNTIF($T$4:T299,T299))</f>
        <v/>
      </c>
      <c r="V299" s="1" t="str">
        <f t="shared" si="19"/>
        <v/>
      </c>
    </row>
    <row r="300" spans="1:22">
      <c r="A300" s="4"/>
      <c r="B300" s="52" t="str">
        <f>IF(A300="","",IFERROR(INDEX(Lists!$A$4:$A$203,MATCH(A300,Lists!$B$4:$B$203,0)),""))</f>
        <v/>
      </c>
      <c r="C300" s="8" t="str">
        <f>IF(A300="","",IFERROR(INDEX(Lists!$C$4:$C$203,MATCH(A300,Lists!$B$4:$B$203,0)),""))</f>
        <v/>
      </c>
      <c r="D300" s="8"/>
      <c r="E300" s="10"/>
      <c r="F300" s="10" t="str">
        <f t="shared" si="16"/>
        <v/>
      </c>
      <c r="G300" s="8" t="str">
        <f t="shared" ca="1" si="17"/>
        <v/>
      </c>
      <c r="H300" s="8"/>
      <c r="I300" s="8"/>
      <c r="J300" s="4"/>
      <c r="T300" s="1" t="str">
        <f t="shared" ca="1" si="18"/>
        <v/>
      </c>
      <c r="U300" s="1" t="str">
        <f ca="1">IF(T300="","",COUNTIFS($T$4:$T$503,"&gt;0",$T$4:$T$503,"&lt;"&amp;T300)+COUNTIF($T$4:T300,T300))</f>
        <v/>
      </c>
      <c r="V300" s="1" t="str">
        <f t="shared" si="19"/>
        <v/>
      </c>
    </row>
    <row r="301" spans="1:22">
      <c r="A301" s="4"/>
      <c r="B301" s="52" t="str">
        <f>IF(A301="","",IFERROR(INDEX(Lists!$A$4:$A$203,MATCH(A301,Lists!$B$4:$B$203,0)),""))</f>
        <v/>
      </c>
      <c r="C301" s="8" t="str">
        <f>IF(A301="","",IFERROR(INDEX(Lists!$C$4:$C$203,MATCH(A301,Lists!$B$4:$B$203,0)),""))</f>
        <v/>
      </c>
      <c r="D301" s="8"/>
      <c r="E301" s="10"/>
      <c r="F301" s="10" t="str">
        <f t="shared" si="16"/>
        <v/>
      </c>
      <c r="G301" s="8" t="str">
        <f t="shared" ca="1" si="17"/>
        <v/>
      </c>
      <c r="H301" s="8"/>
      <c r="I301" s="8"/>
      <c r="J301" s="4"/>
      <c r="T301" s="1" t="str">
        <f t="shared" ca="1" si="18"/>
        <v/>
      </c>
      <c r="U301" s="1" t="str">
        <f ca="1">IF(T301="","",COUNTIFS($T$4:$T$503,"&gt;0",$T$4:$T$503,"&lt;"&amp;T301)+COUNTIF($T$4:T301,T301))</f>
        <v/>
      </c>
      <c r="V301" s="1" t="str">
        <f t="shared" si="19"/>
        <v/>
      </c>
    </row>
    <row r="302" spans="1:22">
      <c r="A302" s="4"/>
      <c r="B302" s="52" t="str">
        <f>IF(A302="","",IFERROR(INDEX(Lists!$A$4:$A$203,MATCH(A302,Lists!$B$4:$B$203,0)),""))</f>
        <v/>
      </c>
      <c r="C302" s="8" t="str">
        <f>IF(A302="","",IFERROR(INDEX(Lists!$C$4:$C$203,MATCH(A302,Lists!$B$4:$B$203,0)),""))</f>
        <v/>
      </c>
      <c r="D302" s="8"/>
      <c r="E302" s="10"/>
      <c r="F302" s="10" t="str">
        <f t="shared" si="16"/>
        <v/>
      </c>
      <c r="G302" s="8" t="str">
        <f t="shared" ca="1" si="17"/>
        <v/>
      </c>
      <c r="H302" s="8"/>
      <c r="I302" s="8"/>
      <c r="J302" s="4"/>
      <c r="T302" s="1" t="str">
        <f t="shared" ca="1" si="18"/>
        <v/>
      </c>
      <c r="U302" s="1" t="str">
        <f ca="1">IF(T302="","",COUNTIFS($T$4:$T$503,"&gt;0",$T$4:$T$503,"&lt;"&amp;T302)+COUNTIF($T$4:T302,T302))</f>
        <v/>
      </c>
      <c r="V302" s="1" t="str">
        <f t="shared" si="19"/>
        <v/>
      </c>
    </row>
    <row r="303" spans="1:22">
      <c r="A303" s="4"/>
      <c r="B303" s="52" t="str">
        <f>IF(A303="","",IFERROR(INDEX(Lists!$A$4:$A$203,MATCH(A303,Lists!$B$4:$B$203,0)),""))</f>
        <v/>
      </c>
      <c r="C303" s="8" t="str">
        <f>IF(A303="","",IFERROR(INDEX(Lists!$C$4:$C$203,MATCH(A303,Lists!$B$4:$B$203,0)),""))</f>
        <v/>
      </c>
      <c r="D303" s="8"/>
      <c r="E303" s="10"/>
      <c r="F303" s="10" t="str">
        <f t="shared" si="16"/>
        <v/>
      </c>
      <c r="G303" s="8" t="str">
        <f t="shared" ca="1" si="17"/>
        <v/>
      </c>
      <c r="H303" s="8"/>
      <c r="I303" s="8"/>
      <c r="J303" s="4"/>
      <c r="T303" s="1" t="str">
        <f t="shared" ca="1" si="18"/>
        <v/>
      </c>
      <c r="U303" s="1" t="str">
        <f ca="1">IF(T303="","",COUNTIFS($T$4:$T$503,"&gt;0",$T$4:$T$503,"&lt;"&amp;T303)+COUNTIF($T$4:T303,T303))</f>
        <v/>
      </c>
      <c r="V303" s="1" t="str">
        <f t="shared" si="19"/>
        <v/>
      </c>
    </row>
    <row r="304" spans="1:22">
      <c r="A304" s="4"/>
      <c r="B304" s="52" t="str">
        <f>IF(A304="","",IFERROR(INDEX(Lists!$A$4:$A$203,MATCH(A304,Lists!$B$4:$B$203,0)),""))</f>
        <v/>
      </c>
      <c r="C304" s="8" t="str">
        <f>IF(A304="","",IFERROR(INDEX(Lists!$C$4:$C$203,MATCH(A304,Lists!$B$4:$B$203,0)),""))</f>
        <v/>
      </c>
      <c r="D304" s="8"/>
      <c r="E304" s="10"/>
      <c r="F304" s="10" t="str">
        <f t="shared" si="16"/>
        <v/>
      </c>
      <c r="G304" s="8" t="str">
        <f t="shared" ca="1" si="17"/>
        <v/>
      </c>
      <c r="H304" s="8"/>
      <c r="I304" s="8"/>
      <c r="J304" s="4"/>
      <c r="T304" s="1" t="str">
        <f t="shared" ca="1" si="18"/>
        <v/>
      </c>
      <c r="U304" s="1" t="str">
        <f ca="1">IF(T304="","",COUNTIFS($T$4:$T$503,"&gt;0",$T$4:$T$503,"&lt;"&amp;T304)+COUNTIF($T$4:T304,T304))</f>
        <v/>
      </c>
      <c r="V304" s="1" t="str">
        <f t="shared" si="19"/>
        <v/>
      </c>
    </row>
    <row r="305" spans="1:22">
      <c r="A305" s="4"/>
      <c r="B305" s="52" t="str">
        <f>IF(A305="","",IFERROR(INDEX(Lists!$A$4:$A$203,MATCH(A305,Lists!$B$4:$B$203,0)),""))</f>
        <v/>
      </c>
      <c r="C305" s="8" t="str">
        <f>IF(A305="","",IFERROR(INDEX(Lists!$C$4:$C$203,MATCH(A305,Lists!$B$4:$B$203,0)),""))</f>
        <v/>
      </c>
      <c r="D305" s="8"/>
      <c r="E305" s="10"/>
      <c r="F305" s="10" t="str">
        <f t="shared" si="16"/>
        <v/>
      </c>
      <c r="G305" s="8" t="str">
        <f t="shared" ca="1" si="17"/>
        <v/>
      </c>
      <c r="H305" s="8"/>
      <c r="I305" s="8"/>
      <c r="J305" s="4"/>
      <c r="T305" s="1" t="str">
        <f t="shared" ca="1" si="18"/>
        <v/>
      </c>
      <c r="U305" s="1" t="str">
        <f ca="1">IF(T305="","",COUNTIFS($T$4:$T$503,"&gt;0",$T$4:$T$503,"&lt;"&amp;T305)+COUNTIF($T$4:T305,T305))</f>
        <v/>
      </c>
      <c r="V305" s="1" t="str">
        <f t="shared" si="19"/>
        <v/>
      </c>
    </row>
    <row r="306" spans="1:22">
      <c r="A306" s="4"/>
      <c r="B306" s="52" t="str">
        <f>IF(A306="","",IFERROR(INDEX(Lists!$A$4:$A$203,MATCH(A306,Lists!$B$4:$B$203,0)),""))</f>
        <v/>
      </c>
      <c r="C306" s="8" t="str">
        <f>IF(A306="","",IFERROR(INDEX(Lists!$C$4:$C$203,MATCH(A306,Lists!$B$4:$B$203,0)),""))</f>
        <v/>
      </c>
      <c r="D306" s="8"/>
      <c r="E306" s="10"/>
      <c r="F306" s="10" t="str">
        <f t="shared" si="16"/>
        <v/>
      </c>
      <c r="G306" s="8" t="str">
        <f t="shared" ca="1" si="17"/>
        <v/>
      </c>
      <c r="H306" s="8"/>
      <c r="I306" s="8"/>
      <c r="J306" s="4"/>
      <c r="T306" s="1" t="str">
        <f t="shared" ca="1" si="18"/>
        <v/>
      </c>
      <c r="U306" s="1" t="str">
        <f ca="1">IF(T306="","",COUNTIFS($T$4:$T$503,"&gt;0",$T$4:$T$503,"&lt;"&amp;T306)+COUNTIF($T$4:T306,T306))</f>
        <v/>
      </c>
      <c r="V306" s="1" t="str">
        <f t="shared" si="19"/>
        <v/>
      </c>
    </row>
    <row r="307" spans="1:22">
      <c r="A307" s="4"/>
      <c r="B307" s="52" t="str">
        <f>IF(A307="","",IFERROR(INDEX(Lists!$A$4:$A$203,MATCH(A307,Lists!$B$4:$B$203,0)),""))</f>
        <v/>
      </c>
      <c r="C307" s="8" t="str">
        <f>IF(A307="","",IFERROR(INDEX(Lists!$C$4:$C$203,MATCH(A307,Lists!$B$4:$B$203,0)),""))</f>
        <v/>
      </c>
      <c r="D307" s="8"/>
      <c r="E307" s="10"/>
      <c r="F307" s="10" t="str">
        <f t="shared" si="16"/>
        <v/>
      </c>
      <c r="G307" s="8" t="str">
        <f t="shared" ca="1" si="17"/>
        <v/>
      </c>
      <c r="H307" s="8"/>
      <c r="I307" s="8"/>
      <c r="J307" s="4"/>
      <c r="T307" s="1" t="str">
        <f t="shared" ca="1" si="18"/>
        <v/>
      </c>
      <c r="U307" s="1" t="str">
        <f ca="1">IF(T307="","",COUNTIFS($T$4:$T$503,"&gt;0",$T$4:$T$503,"&lt;"&amp;T307)+COUNTIF($T$4:T307,T307))</f>
        <v/>
      </c>
      <c r="V307" s="1" t="str">
        <f t="shared" si="19"/>
        <v/>
      </c>
    </row>
    <row r="308" spans="1:22">
      <c r="A308" s="4"/>
      <c r="B308" s="52" t="str">
        <f>IF(A308="","",IFERROR(INDEX(Lists!$A$4:$A$203,MATCH(A308,Lists!$B$4:$B$203,0)),""))</f>
        <v/>
      </c>
      <c r="C308" s="8" t="str">
        <f>IF(A308="","",IFERROR(INDEX(Lists!$C$4:$C$203,MATCH(A308,Lists!$B$4:$B$203,0)),""))</f>
        <v/>
      </c>
      <c r="D308" s="8"/>
      <c r="E308" s="10"/>
      <c r="F308" s="10" t="str">
        <f t="shared" si="16"/>
        <v/>
      </c>
      <c r="G308" s="8" t="str">
        <f t="shared" ca="1" si="17"/>
        <v/>
      </c>
      <c r="H308" s="8"/>
      <c r="I308" s="8"/>
      <c r="J308" s="4"/>
      <c r="T308" s="1" t="str">
        <f t="shared" ca="1" si="18"/>
        <v/>
      </c>
      <c r="U308" s="1" t="str">
        <f ca="1">IF(T308="","",COUNTIFS($T$4:$T$503,"&gt;0",$T$4:$T$503,"&lt;"&amp;T308)+COUNTIF($T$4:T308,T308))</f>
        <v/>
      </c>
      <c r="V308" s="1" t="str">
        <f t="shared" si="19"/>
        <v/>
      </c>
    </row>
    <row r="309" spans="1:22">
      <c r="A309" s="4"/>
      <c r="B309" s="52" t="str">
        <f>IF(A309="","",IFERROR(INDEX(Lists!$A$4:$A$203,MATCH(A309,Lists!$B$4:$B$203,0)),""))</f>
        <v/>
      </c>
      <c r="C309" s="8" t="str">
        <f>IF(A309="","",IFERROR(INDEX(Lists!$C$4:$C$203,MATCH(A309,Lists!$B$4:$B$203,0)),""))</f>
        <v/>
      </c>
      <c r="D309" s="8"/>
      <c r="E309" s="10"/>
      <c r="F309" s="10" t="str">
        <f t="shared" si="16"/>
        <v/>
      </c>
      <c r="G309" s="8" t="str">
        <f t="shared" ca="1" si="17"/>
        <v/>
      </c>
      <c r="H309" s="8"/>
      <c r="I309" s="8"/>
      <c r="J309" s="4"/>
      <c r="T309" s="1" t="str">
        <f t="shared" ca="1" si="18"/>
        <v/>
      </c>
      <c r="U309" s="1" t="str">
        <f ca="1">IF(T309="","",COUNTIFS($T$4:$T$503,"&gt;0",$T$4:$T$503,"&lt;"&amp;T309)+COUNTIF($T$4:T309,T309))</f>
        <v/>
      </c>
      <c r="V309" s="1" t="str">
        <f t="shared" si="19"/>
        <v/>
      </c>
    </row>
    <row r="310" spans="1:22">
      <c r="A310" s="4"/>
      <c r="B310" s="52" t="str">
        <f>IF(A310="","",IFERROR(INDEX(Lists!$A$4:$A$203,MATCH(A310,Lists!$B$4:$B$203,0)),""))</f>
        <v/>
      </c>
      <c r="C310" s="8" t="str">
        <f>IF(A310="","",IFERROR(INDEX(Lists!$C$4:$C$203,MATCH(A310,Lists!$B$4:$B$203,0)),""))</f>
        <v/>
      </c>
      <c r="D310" s="8"/>
      <c r="E310" s="10"/>
      <c r="F310" s="10" t="str">
        <f t="shared" si="16"/>
        <v/>
      </c>
      <c r="G310" s="8" t="str">
        <f t="shared" ca="1" si="17"/>
        <v/>
      </c>
      <c r="H310" s="8"/>
      <c r="I310" s="8"/>
      <c r="J310" s="4"/>
      <c r="T310" s="1" t="str">
        <f t="shared" ca="1" si="18"/>
        <v/>
      </c>
      <c r="U310" s="1" t="str">
        <f ca="1">IF(T310="","",COUNTIFS($T$4:$T$503,"&gt;0",$T$4:$T$503,"&lt;"&amp;T310)+COUNTIF($T$4:T310,T310))</f>
        <v/>
      </c>
      <c r="V310" s="1" t="str">
        <f t="shared" si="19"/>
        <v/>
      </c>
    </row>
    <row r="311" spans="1:22">
      <c r="A311" s="4"/>
      <c r="B311" s="52" t="str">
        <f>IF(A311="","",IFERROR(INDEX(Lists!$A$4:$A$203,MATCH(A311,Lists!$B$4:$B$203,0)),""))</f>
        <v/>
      </c>
      <c r="C311" s="8" t="str">
        <f>IF(A311="","",IFERROR(INDEX(Lists!$C$4:$C$203,MATCH(A311,Lists!$B$4:$B$203,0)),""))</f>
        <v/>
      </c>
      <c r="D311" s="8"/>
      <c r="E311" s="10"/>
      <c r="F311" s="10" t="str">
        <f t="shared" si="16"/>
        <v/>
      </c>
      <c r="G311" s="8" t="str">
        <f t="shared" ca="1" si="17"/>
        <v/>
      </c>
      <c r="H311" s="8"/>
      <c r="I311" s="8"/>
      <c r="J311" s="4"/>
      <c r="T311" s="1" t="str">
        <f t="shared" ca="1" si="18"/>
        <v/>
      </c>
      <c r="U311" s="1" t="str">
        <f ca="1">IF(T311="","",COUNTIFS($T$4:$T$503,"&gt;0",$T$4:$T$503,"&lt;"&amp;T311)+COUNTIF($T$4:T311,T311))</f>
        <v/>
      </c>
      <c r="V311" s="1" t="str">
        <f t="shared" si="19"/>
        <v/>
      </c>
    </row>
    <row r="312" spans="1:22">
      <c r="A312" s="4"/>
      <c r="B312" s="52" t="str">
        <f>IF(A312="","",IFERROR(INDEX(Lists!$A$4:$A$203,MATCH(A312,Lists!$B$4:$B$203,0)),""))</f>
        <v/>
      </c>
      <c r="C312" s="8" t="str">
        <f>IF(A312="","",IFERROR(INDEX(Lists!$C$4:$C$203,MATCH(A312,Lists!$B$4:$B$203,0)),""))</f>
        <v/>
      </c>
      <c r="D312" s="8"/>
      <c r="E312" s="10"/>
      <c r="F312" s="10" t="str">
        <f t="shared" si="16"/>
        <v/>
      </c>
      <c r="G312" s="8" t="str">
        <f t="shared" ca="1" si="17"/>
        <v/>
      </c>
      <c r="H312" s="8"/>
      <c r="I312" s="8"/>
      <c r="J312" s="4"/>
      <c r="T312" s="1" t="str">
        <f t="shared" ca="1" si="18"/>
        <v/>
      </c>
      <c r="U312" s="1" t="str">
        <f ca="1">IF(T312="","",COUNTIFS($T$4:$T$503,"&gt;0",$T$4:$T$503,"&lt;"&amp;T312)+COUNTIF($T$4:T312,T312))</f>
        <v/>
      </c>
      <c r="V312" s="1" t="str">
        <f t="shared" si="19"/>
        <v/>
      </c>
    </row>
    <row r="313" spans="1:22">
      <c r="A313" s="4"/>
      <c r="B313" s="52" t="str">
        <f>IF(A313="","",IFERROR(INDEX(Lists!$A$4:$A$203,MATCH(A313,Lists!$B$4:$B$203,0)),""))</f>
        <v/>
      </c>
      <c r="C313" s="8" t="str">
        <f>IF(A313="","",IFERROR(INDEX(Lists!$C$4:$C$203,MATCH(A313,Lists!$B$4:$B$203,0)),""))</f>
        <v/>
      </c>
      <c r="D313" s="8"/>
      <c r="E313" s="10"/>
      <c r="F313" s="10" t="str">
        <f t="shared" si="16"/>
        <v/>
      </c>
      <c r="G313" s="8" t="str">
        <f t="shared" ca="1" si="17"/>
        <v/>
      </c>
      <c r="H313" s="8"/>
      <c r="I313" s="8"/>
      <c r="J313" s="4"/>
      <c r="T313" s="1" t="str">
        <f t="shared" ca="1" si="18"/>
        <v/>
      </c>
      <c r="U313" s="1" t="str">
        <f ca="1">IF(T313="","",COUNTIFS($T$4:$T$503,"&gt;0",$T$4:$T$503,"&lt;"&amp;T313)+COUNTIF($T$4:T313,T313))</f>
        <v/>
      </c>
      <c r="V313" s="1" t="str">
        <f t="shared" si="19"/>
        <v/>
      </c>
    </row>
    <row r="314" spans="1:22">
      <c r="A314" s="4"/>
      <c r="B314" s="52" t="str">
        <f>IF(A314="","",IFERROR(INDEX(Lists!$A$4:$A$203,MATCH(A314,Lists!$B$4:$B$203,0)),""))</f>
        <v/>
      </c>
      <c r="C314" s="8" t="str">
        <f>IF(A314="","",IFERROR(INDEX(Lists!$C$4:$C$203,MATCH(A314,Lists!$B$4:$B$203,0)),""))</f>
        <v/>
      </c>
      <c r="D314" s="8"/>
      <c r="E314" s="10"/>
      <c r="F314" s="10" t="str">
        <f t="shared" si="16"/>
        <v/>
      </c>
      <c r="G314" s="8" t="str">
        <f t="shared" ca="1" si="17"/>
        <v/>
      </c>
      <c r="H314" s="8"/>
      <c r="I314" s="8"/>
      <c r="J314" s="4"/>
      <c r="T314" s="1" t="str">
        <f t="shared" ca="1" si="18"/>
        <v/>
      </c>
      <c r="U314" s="1" t="str">
        <f ca="1">IF(T314="","",COUNTIFS($T$4:$T$503,"&gt;0",$T$4:$T$503,"&lt;"&amp;T314)+COUNTIF($T$4:T314,T314))</f>
        <v/>
      </c>
      <c r="V314" s="1" t="str">
        <f t="shared" si="19"/>
        <v/>
      </c>
    </row>
    <row r="315" spans="1:22">
      <c r="A315" s="4"/>
      <c r="B315" s="52" t="str">
        <f>IF(A315="","",IFERROR(INDEX(Lists!$A$4:$A$203,MATCH(A315,Lists!$B$4:$B$203,0)),""))</f>
        <v/>
      </c>
      <c r="C315" s="8" t="str">
        <f>IF(A315="","",IFERROR(INDEX(Lists!$C$4:$C$203,MATCH(A315,Lists!$B$4:$B$203,0)),""))</f>
        <v/>
      </c>
      <c r="D315" s="8"/>
      <c r="E315" s="10"/>
      <c r="F315" s="10" t="str">
        <f t="shared" si="16"/>
        <v/>
      </c>
      <c r="G315" s="8" t="str">
        <f t="shared" ca="1" si="17"/>
        <v/>
      </c>
      <c r="H315" s="8"/>
      <c r="I315" s="8"/>
      <c r="J315" s="4"/>
      <c r="T315" s="1" t="str">
        <f t="shared" ca="1" si="18"/>
        <v/>
      </c>
      <c r="U315" s="1" t="str">
        <f ca="1">IF(T315="","",COUNTIFS($T$4:$T$503,"&gt;0",$T$4:$T$503,"&lt;"&amp;T315)+COUNTIF($T$4:T315,T315))</f>
        <v/>
      </c>
      <c r="V315" s="1" t="str">
        <f t="shared" si="19"/>
        <v/>
      </c>
    </row>
    <row r="316" spans="1:22">
      <c r="A316" s="4"/>
      <c r="B316" s="52" t="str">
        <f>IF(A316="","",IFERROR(INDEX(Lists!$A$4:$A$203,MATCH(A316,Lists!$B$4:$B$203,0)),""))</f>
        <v/>
      </c>
      <c r="C316" s="8" t="str">
        <f>IF(A316="","",IFERROR(INDEX(Lists!$C$4:$C$203,MATCH(A316,Lists!$B$4:$B$203,0)),""))</f>
        <v/>
      </c>
      <c r="D316" s="8"/>
      <c r="E316" s="10"/>
      <c r="F316" s="10" t="str">
        <f t="shared" si="16"/>
        <v/>
      </c>
      <c r="G316" s="8" t="str">
        <f t="shared" ca="1" si="17"/>
        <v/>
      </c>
      <c r="H316" s="8"/>
      <c r="I316" s="8"/>
      <c r="J316" s="4"/>
      <c r="T316" s="1" t="str">
        <f t="shared" ca="1" si="18"/>
        <v/>
      </c>
      <c r="U316" s="1" t="str">
        <f ca="1">IF(T316="","",COUNTIFS($T$4:$T$503,"&gt;0",$T$4:$T$503,"&lt;"&amp;T316)+COUNTIF($T$4:T316,T316))</f>
        <v/>
      </c>
      <c r="V316" s="1" t="str">
        <f t="shared" si="19"/>
        <v/>
      </c>
    </row>
    <row r="317" spans="1:22">
      <c r="A317" s="4"/>
      <c r="B317" s="52" t="str">
        <f>IF(A317="","",IFERROR(INDEX(Lists!$A$4:$A$203,MATCH(A317,Lists!$B$4:$B$203,0)),""))</f>
        <v/>
      </c>
      <c r="C317" s="8" t="str">
        <f>IF(A317="","",IFERROR(INDEX(Lists!$C$4:$C$203,MATCH(A317,Lists!$B$4:$B$203,0)),""))</f>
        <v/>
      </c>
      <c r="D317" s="8"/>
      <c r="E317" s="10"/>
      <c r="F317" s="10" t="str">
        <f t="shared" si="16"/>
        <v/>
      </c>
      <c r="G317" s="8" t="str">
        <f t="shared" ca="1" si="17"/>
        <v/>
      </c>
      <c r="H317" s="8"/>
      <c r="I317" s="8"/>
      <c r="J317" s="4"/>
      <c r="T317" s="1" t="str">
        <f t="shared" ca="1" si="18"/>
        <v/>
      </c>
      <c r="U317" s="1" t="str">
        <f ca="1">IF(T317="","",COUNTIFS($T$4:$T$503,"&gt;0",$T$4:$T$503,"&lt;"&amp;T317)+COUNTIF($T$4:T317,T317))</f>
        <v/>
      </c>
      <c r="V317" s="1" t="str">
        <f t="shared" si="19"/>
        <v/>
      </c>
    </row>
    <row r="318" spans="1:22">
      <c r="A318" s="4"/>
      <c r="B318" s="52" t="str">
        <f>IF(A318="","",IFERROR(INDEX(Lists!$A$4:$A$203,MATCH(A318,Lists!$B$4:$B$203,0)),""))</f>
        <v/>
      </c>
      <c r="C318" s="8" t="str">
        <f>IF(A318="","",IFERROR(INDEX(Lists!$C$4:$C$203,MATCH(A318,Lists!$B$4:$B$203,0)),""))</f>
        <v/>
      </c>
      <c r="D318" s="8"/>
      <c r="E318" s="10"/>
      <c r="F318" s="10" t="str">
        <f t="shared" si="16"/>
        <v/>
      </c>
      <c r="G318" s="8" t="str">
        <f t="shared" ca="1" si="17"/>
        <v/>
      </c>
      <c r="H318" s="8"/>
      <c r="I318" s="8"/>
      <c r="J318" s="4"/>
      <c r="T318" s="1" t="str">
        <f t="shared" ca="1" si="18"/>
        <v/>
      </c>
      <c r="U318" s="1" t="str">
        <f ca="1">IF(T318="","",COUNTIFS($T$4:$T$503,"&gt;0",$T$4:$T$503,"&lt;"&amp;T318)+COUNTIF($T$4:T318,T318))</f>
        <v/>
      </c>
      <c r="V318" s="1" t="str">
        <f t="shared" si="19"/>
        <v/>
      </c>
    </row>
    <row r="319" spans="1:22">
      <c r="A319" s="4"/>
      <c r="B319" s="52" t="str">
        <f>IF(A319="","",IFERROR(INDEX(Lists!$A$4:$A$203,MATCH(A319,Lists!$B$4:$B$203,0)),""))</f>
        <v/>
      </c>
      <c r="C319" s="8" t="str">
        <f>IF(A319="","",IFERROR(INDEX(Lists!$C$4:$C$203,MATCH(A319,Lists!$B$4:$B$203,0)),""))</f>
        <v/>
      </c>
      <c r="D319" s="8"/>
      <c r="E319" s="10"/>
      <c r="F319" s="10" t="str">
        <f t="shared" si="16"/>
        <v/>
      </c>
      <c r="G319" s="8" t="str">
        <f t="shared" ca="1" si="17"/>
        <v/>
      </c>
      <c r="H319" s="8"/>
      <c r="I319" s="8"/>
      <c r="J319" s="4"/>
      <c r="T319" s="1" t="str">
        <f t="shared" ca="1" si="18"/>
        <v/>
      </c>
      <c r="U319" s="1" t="str">
        <f ca="1">IF(T319="","",COUNTIFS($T$4:$T$503,"&gt;0",$T$4:$T$503,"&lt;"&amp;T319)+COUNTIF($T$4:T319,T319))</f>
        <v/>
      </c>
      <c r="V319" s="1" t="str">
        <f t="shared" si="19"/>
        <v/>
      </c>
    </row>
    <row r="320" spans="1:22">
      <c r="A320" s="4"/>
      <c r="B320" s="52" t="str">
        <f>IF(A320="","",IFERROR(INDEX(Lists!$A$4:$A$203,MATCH(A320,Lists!$B$4:$B$203,0)),""))</f>
        <v/>
      </c>
      <c r="C320" s="8" t="str">
        <f>IF(A320="","",IFERROR(INDEX(Lists!$C$4:$C$203,MATCH(A320,Lists!$B$4:$B$203,0)),""))</f>
        <v/>
      </c>
      <c r="D320" s="8"/>
      <c r="E320" s="10"/>
      <c r="F320" s="10" t="str">
        <f t="shared" si="16"/>
        <v/>
      </c>
      <c r="G320" s="8" t="str">
        <f t="shared" ca="1" si="17"/>
        <v/>
      </c>
      <c r="H320" s="8"/>
      <c r="I320" s="8"/>
      <c r="J320" s="4"/>
      <c r="T320" s="1" t="str">
        <f t="shared" ca="1" si="18"/>
        <v/>
      </c>
      <c r="U320" s="1" t="str">
        <f ca="1">IF(T320="","",COUNTIFS($T$4:$T$503,"&gt;0",$T$4:$T$503,"&lt;"&amp;T320)+COUNTIF($T$4:T320,T320))</f>
        <v/>
      </c>
      <c r="V320" s="1" t="str">
        <f t="shared" si="19"/>
        <v/>
      </c>
    </row>
    <row r="321" spans="1:22">
      <c r="A321" s="4"/>
      <c r="B321" s="52" t="str">
        <f>IF(A321="","",IFERROR(INDEX(Lists!$A$4:$A$203,MATCH(A321,Lists!$B$4:$B$203,0)),""))</f>
        <v/>
      </c>
      <c r="C321" s="8" t="str">
        <f>IF(A321="","",IFERROR(INDEX(Lists!$C$4:$C$203,MATCH(A321,Lists!$B$4:$B$203,0)),""))</f>
        <v/>
      </c>
      <c r="D321" s="8"/>
      <c r="E321" s="10"/>
      <c r="F321" s="10" t="str">
        <f t="shared" si="16"/>
        <v/>
      </c>
      <c r="G321" s="8" t="str">
        <f t="shared" ca="1" si="17"/>
        <v/>
      </c>
      <c r="H321" s="8"/>
      <c r="I321" s="8"/>
      <c r="J321" s="4"/>
      <c r="T321" s="1" t="str">
        <f t="shared" ca="1" si="18"/>
        <v/>
      </c>
      <c r="U321" s="1" t="str">
        <f ca="1">IF(T321="","",COUNTIFS($T$4:$T$503,"&gt;0",$T$4:$T$503,"&lt;"&amp;T321)+COUNTIF($T$4:T321,T321))</f>
        <v/>
      </c>
      <c r="V321" s="1" t="str">
        <f t="shared" si="19"/>
        <v/>
      </c>
    </row>
    <row r="322" spans="1:22">
      <c r="A322" s="4"/>
      <c r="B322" s="52" t="str">
        <f>IF(A322="","",IFERROR(INDEX(Lists!$A$4:$A$203,MATCH(A322,Lists!$B$4:$B$203,0)),""))</f>
        <v/>
      </c>
      <c r="C322" s="8" t="str">
        <f>IF(A322="","",IFERROR(INDEX(Lists!$C$4:$C$203,MATCH(A322,Lists!$B$4:$B$203,0)),""))</f>
        <v/>
      </c>
      <c r="D322" s="8"/>
      <c r="E322" s="10"/>
      <c r="F322" s="10" t="str">
        <f t="shared" si="16"/>
        <v/>
      </c>
      <c r="G322" s="8" t="str">
        <f t="shared" ca="1" si="17"/>
        <v/>
      </c>
      <c r="H322" s="8"/>
      <c r="I322" s="8"/>
      <c r="J322" s="4"/>
      <c r="T322" s="1" t="str">
        <f t="shared" ca="1" si="18"/>
        <v/>
      </c>
      <c r="U322" s="1" t="str">
        <f ca="1">IF(T322="","",COUNTIFS($T$4:$T$503,"&gt;0",$T$4:$T$503,"&lt;"&amp;T322)+COUNTIF($T$4:T322,T322))</f>
        <v/>
      </c>
      <c r="V322" s="1" t="str">
        <f t="shared" si="19"/>
        <v/>
      </c>
    </row>
    <row r="323" spans="1:22">
      <c r="A323" s="4"/>
      <c r="B323" s="52" t="str">
        <f>IF(A323="","",IFERROR(INDEX(Lists!$A$4:$A$203,MATCH(A323,Lists!$B$4:$B$203,0)),""))</f>
        <v/>
      </c>
      <c r="C323" s="8" t="str">
        <f>IF(A323="","",IFERROR(INDEX(Lists!$C$4:$C$203,MATCH(A323,Lists!$B$4:$B$203,0)),""))</f>
        <v/>
      </c>
      <c r="D323" s="8"/>
      <c r="E323" s="10"/>
      <c r="F323" s="10" t="str">
        <f t="shared" si="16"/>
        <v/>
      </c>
      <c r="G323" s="8" t="str">
        <f t="shared" ca="1" si="17"/>
        <v/>
      </c>
      <c r="H323" s="8"/>
      <c r="I323" s="8"/>
      <c r="J323" s="4"/>
      <c r="T323" s="1" t="str">
        <f t="shared" ca="1" si="18"/>
        <v/>
      </c>
      <c r="U323" s="1" t="str">
        <f ca="1">IF(T323="","",COUNTIFS($T$4:$T$503,"&gt;0",$T$4:$T$503,"&lt;"&amp;T323)+COUNTIF($T$4:T323,T323))</f>
        <v/>
      </c>
      <c r="V323" s="1" t="str">
        <f t="shared" si="19"/>
        <v/>
      </c>
    </row>
    <row r="324" spans="1:22">
      <c r="A324" s="4"/>
      <c r="B324" s="52" t="str">
        <f>IF(A324="","",IFERROR(INDEX(Lists!$A$4:$A$203,MATCH(A324,Lists!$B$4:$B$203,0)),""))</f>
        <v/>
      </c>
      <c r="C324" s="8" t="str">
        <f>IF(A324="","",IFERROR(INDEX(Lists!$C$4:$C$203,MATCH(A324,Lists!$B$4:$B$203,0)),""))</f>
        <v/>
      </c>
      <c r="D324" s="8"/>
      <c r="E324" s="10"/>
      <c r="F324" s="10" t="str">
        <f t="shared" ref="F324:F387" si="20">IF(OR(A324="",D324="",E324=""),"",IFERROR(EDATE(E324,INDEX($O$4:$O$63,MATCH(D324,$M$4:$M$63,0))),""))</f>
        <v/>
      </c>
      <c r="G324" s="8" t="str">
        <f t="shared" ref="G324:G387" ca="1" si="21">IF(A324="","",IF(D324="","Missing Certification",IF(F324="","Missing Date",IF(F324&lt;TODAY(),"Expired",IF(F324&lt;=TODAY()+IFERROR(INDEX($P$4:$P$63,MATCH(D324,$M$4:$M$63,0)),30),"Due Soon","Current")))))</f>
        <v/>
      </c>
      <c r="H324" s="8"/>
      <c r="I324" s="8"/>
      <c r="J324" s="4"/>
      <c r="T324" s="1" t="str">
        <f t="shared" ref="T324:T387" ca="1" si="22">IF(G324="Expired",1,IF(G324="Due Soon",2,IF(OR(G324="Missing Date",G324="Missing Certification"),3,"")))</f>
        <v/>
      </c>
      <c r="U324" s="1" t="str">
        <f ca="1">IF(T324="","",COUNTIFS($T$4:$T$503,"&gt;0",$T$4:$T$503,"&lt;"&amp;T324)+COUNTIF($T$4:T324,T324))</f>
        <v/>
      </c>
      <c r="V324" s="1" t="str">
        <f t="shared" ref="V324:V387" si="23">IFERROR(INDEX($N$4:$N$63,MATCH(D324,$M$4:$M$63,0)),"")</f>
        <v/>
      </c>
    </row>
    <row r="325" spans="1:22">
      <c r="A325" s="4"/>
      <c r="B325" s="52" t="str">
        <f>IF(A325="","",IFERROR(INDEX(Lists!$A$4:$A$203,MATCH(A325,Lists!$B$4:$B$203,0)),""))</f>
        <v/>
      </c>
      <c r="C325" s="8" t="str">
        <f>IF(A325="","",IFERROR(INDEX(Lists!$C$4:$C$203,MATCH(A325,Lists!$B$4:$B$203,0)),""))</f>
        <v/>
      </c>
      <c r="D325" s="8"/>
      <c r="E325" s="10"/>
      <c r="F325" s="10" t="str">
        <f t="shared" si="20"/>
        <v/>
      </c>
      <c r="G325" s="8" t="str">
        <f t="shared" ca="1" si="21"/>
        <v/>
      </c>
      <c r="H325" s="8"/>
      <c r="I325" s="8"/>
      <c r="J325" s="4"/>
      <c r="T325" s="1" t="str">
        <f t="shared" ca="1" si="22"/>
        <v/>
      </c>
      <c r="U325" s="1" t="str">
        <f ca="1">IF(T325="","",COUNTIFS($T$4:$T$503,"&gt;0",$T$4:$T$503,"&lt;"&amp;T325)+COUNTIF($T$4:T325,T325))</f>
        <v/>
      </c>
      <c r="V325" s="1" t="str">
        <f t="shared" si="23"/>
        <v/>
      </c>
    </row>
    <row r="326" spans="1:22">
      <c r="A326" s="4"/>
      <c r="B326" s="52" t="str">
        <f>IF(A326="","",IFERROR(INDEX(Lists!$A$4:$A$203,MATCH(A326,Lists!$B$4:$B$203,0)),""))</f>
        <v/>
      </c>
      <c r="C326" s="8" t="str">
        <f>IF(A326="","",IFERROR(INDEX(Lists!$C$4:$C$203,MATCH(A326,Lists!$B$4:$B$203,0)),""))</f>
        <v/>
      </c>
      <c r="D326" s="8"/>
      <c r="E326" s="10"/>
      <c r="F326" s="10" t="str">
        <f t="shared" si="20"/>
        <v/>
      </c>
      <c r="G326" s="8" t="str">
        <f t="shared" ca="1" si="21"/>
        <v/>
      </c>
      <c r="H326" s="8"/>
      <c r="I326" s="8"/>
      <c r="J326" s="4"/>
      <c r="T326" s="1" t="str">
        <f t="shared" ca="1" si="22"/>
        <v/>
      </c>
      <c r="U326" s="1" t="str">
        <f ca="1">IF(T326="","",COUNTIFS($T$4:$T$503,"&gt;0",$T$4:$T$503,"&lt;"&amp;T326)+COUNTIF($T$4:T326,T326))</f>
        <v/>
      </c>
      <c r="V326" s="1" t="str">
        <f t="shared" si="23"/>
        <v/>
      </c>
    </row>
    <row r="327" spans="1:22">
      <c r="A327" s="4"/>
      <c r="B327" s="52" t="str">
        <f>IF(A327="","",IFERROR(INDEX(Lists!$A$4:$A$203,MATCH(A327,Lists!$B$4:$B$203,0)),""))</f>
        <v/>
      </c>
      <c r="C327" s="8" t="str">
        <f>IF(A327="","",IFERROR(INDEX(Lists!$C$4:$C$203,MATCH(A327,Lists!$B$4:$B$203,0)),""))</f>
        <v/>
      </c>
      <c r="D327" s="8"/>
      <c r="E327" s="10"/>
      <c r="F327" s="10" t="str">
        <f t="shared" si="20"/>
        <v/>
      </c>
      <c r="G327" s="8" t="str">
        <f t="shared" ca="1" si="21"/>
        <v/>
      </c>
      <c r="H327" s="8"/>
      <c r="I327" s="8"/>
      <c r="J327" s="4"/>
      <c r="T327" s="1" t="str">
        <f t="shared" ca="1" si="22"/>
        <v/>
      </c>
      <c r="U327" s="1" t="str">
        <f ca="1">IF(T327="","",COUNTIFS($T$4:$T$503,"&gt;0",$T$4:$T$503,"&lt;"&amp;T327)+COUNTIF($T$4:T327,T327))</f>
        <v/>
      </c>
      <c r="V327" s="1" t="str">
        <f t="shared" si="23"/>
        <v/>
      </c>
    </row>
    <row r="328" spans="1:22">
      <c r="A328" s="4"/>
      <c r="B328" s="52" t="str">
        <f>IF(A328="","",IFERROR(INDEX(Lists!$A$4:$A$203,MATCH(A328,Lists!$B$4:$B$203,0)),""))</f>
        <v/>
      </c>
      <c r="C328" s="8" t="str">
        <f>IF(A328="","",IFERROR(INDEX(Lists!$C$4:$C$203,MATCH(A328,Lists!$B$4:$B$203,0)),""))</f>
        <v/>
      </c>
      <c r="D328" s="8"/>
      <c r="E328" s="10"/>
      <c r="F328" s="10" t="str">
        <f t="shared" si="20"/>
        <v/>
      </c>
      <c r="G328" s="8" t="str">
        <f t="shared" ca="1" si="21"/>
        <v/>
      </c>
      <c r="H328" s="8"/>
      <c r="I328" s="8"/>
      <c r="J328" s="4"/>
      <c r="T328" s="1" t="str">
        <f t="shared" ca="1" si="22"/>
        <v/>
      </c>
      <c r="U328" s="1" t="str">
        <f ca="1">IF(T328="","",COUNTIFS($T$4:$T$503,"&gt;0",$T$4:$T$503,"&lt;"&amp;T328)+COUNTIF($T$4:T328,T328))</f>
        <v/>
      </c>
      <c r="V328" s="1" t="str">
        <f t="shared" si="23"/>
        <v/>
      </c>
    </row>
    <row r="329" spans="1:22">
      <c r="A329" s="4"/>
      <c r="B329" s="52" t="str">
        <f>IF(A329="","",IFERROR(INDEX(Lists!$A$4:$A$203,MATCH(A329,Lists!$B$4:$B$203,0)),""))</f>
        <v/>
      </c>
      <c r="C329" s="8" t="str">
        <f>IF(A329="","",IFERROR(INDEX(Lists!$C$4:$C$203,MATCH(A329,Lists!$B$4:$B$203,0)),""))</f>
        <v/>
      </c>
      <c r="D329" s="8"/>
      <c r="E329" s="10"/>
      <c r="F329" s="10" t="str">
        <f t="shared" si="20"/>
        <v/>
      </c>
      <c r="G329" s="8" t="str">
        <f t="shared" ca="1" si="21"/>
        <v/>
      </c>
      <c r="H329" s="8"/>
      <c r="I329" s="8"/>
      <c r="J329" s="4"/>
      <c r="T329" s="1" t="str">
        <f t="shared" ca="1" si="22"/>
        <v/>
      </c>
      <c r="U329" s="1" t="str">
        <f ca="1">IF(T329="","",COUNTIFS($T$4:$T$503,"&gt;0",$T$4:$T$503,"&lt;"&amp;T329)+COUNTIF($T$4:T329,T329))</f>
        <v/>
      </c>
      <c r="V329" s="1" t="str">
        <f t="shared" si="23"/>
        <v/>
      </c>
    </row>
    <row r="330" spans="1:22">
      <c r="A330" s="4"/>
      <c r="B330" s="52" t="str">
        <f>IF(A330="","",IFERROR(INDEX(Lists!$A$4:$A$203,MATCH(A330,Lists!$B$4:$B$203,0)),""))</f>
        <v/>
      </c>
      <c r="C330" s="8" t="str">
        <f>IF(A330="","",IFERROR(INDEX(Lists!$C$4:$C$203,MATCH(A330,Lists!$B$4:$B$203,0)),""))</f>
        <v/>
      </c>
      <c r="D330" s="8"/>
      <c r="E330" s="10"/>
      <c r="F330" s="10" t="str">
        <f t="shared" si="20"/>
        <v/>
      </c>
      <c r="G330" s="8" t="str">
        <f t="shared" ca="1" si="21"/>
        <v/>
      </c>
      <c r="H330" s="8"/>
      <c r="I330" s="8"/>
      <c r="J330" s="4"/>
      <c r="T330" s="1" t="str">
        <f t="shared" ca="1" si="22"/>
        <v/>
      </c>
      <c r="U330" s="1" t="str">
        <f ca="1">IF(T330="","",COUNTIFS($T$4:$T$503,"&gt;0",$T$4:$T$503,"&lt;"&amp;T330)+COUNTIF($T$4:T330,T330))</f>
        <v/>
      </c>
      <c r="V330" s="1" t="str">
        <f t="shared" si="23"/>
        <v/>
      </c>
    </row>
    <row r="331" spans="1:22">
      <c r="A331" s="4"/>
      <c r="B331" s="52" t="str">
        <f>IF(A331="","",IFERROR(INDEX(Lists!$A$4:$A$203,MATCH(A331,Lists!$B$4:$B$203,0)),""))</f>
        <v/>
      </c>
      <c r="C331" s="8" t="str">
        <f>IF(A331="","",IFERROR(INDEX(Lists!$C$4:$C$203,MATCH(A331,Lists!$B$4:$B$203,0)),""))</f>
        <v/>
      </c>
      <c r="D331" s="8"/>
      <c r="E331" s="10"/>
      <c r="F331" s="10" t="str">
        <f t="shared" si="20"/>
        <v/>
      </c>
      <c r="G331" s="8" t="str">
        <f t="shared" ca="1" si="21"/>
        <v/>
      </c>
      <c r="H331" s="8"/>
      <c r="I331" s="8"/>
      <c r="J331" s="4"/>
      <c r="T331" s="1" t="str">
        <f t="shared" ca="1" si="22"/>
        <v/>
      </c>
      <c r="U331" s="1" t="str">
        <f ca="1">IF(T331="","",COUNTIFS($T$4:$T$503,"&gt;0",$T$4:$T$503,"&lt;"&amp;T331)+COUNTIF($T$4:T331,T331))</f>
        <v/>
      </c>
      <c r="V331" s="1" t="str">
        <f t="shared" si="23"/>
        <v/>
      </c>
    </row>
    <row r="332" spans="1:22">
      <c r="A332" s="4"/>
      <c r="B332" s="52" t="str">
        <f>IF(A332="","",IFERROR(INDEX(Lists!$A$4:$A$203,MATCH(A332,Lists!$B$4:$B$203,0)),""))</f>
        <v/>
      </c>
      <c r="C332" s="8" t="str">
        <f>IF(A332="","",IFERROR(INDEX(Lists!$C$4:$C$203,MATCH(A332,Lists!$B$4:$B$203,0)),""))</f>
        <v/>
      </c>
      <c r="D332" s="8"/>
      <c r="E332" s="10"/>
      <c r="F332" s="10" t="str">
        <f t="shared" si="20"/>
        <v/>
      </c>
      <c r="G332" s="8" t="str">
        <f t="shared" ca="1" si="21"/>
        <v/>
      </c>
      <c r="H332" s="8"/>
      <c r="I332" s="8"/>
      <c r="J332" s="4"/>
      <c r="T332" s="1" t="str">
        <f t="shared" ca="1" si="22"/>
        <v/>
      </c>
      <c r="U332" s="1" t="str">
        <f ca="1">IF(T332="","",COUNTIFS($T$4:$T$503,"&gt;0",$T$4:$T$503,"&lt;"&amp;T332)+COUNTIF($T$4:T332,T332))</f>
        <v/>
      </c>
      <c r="V332" s="1" t="str">
        <f t="shared" si="23"/>
        <v/>
      </c>
    </row>
    <row r="333" spans="1:22">
      <c r="A333" s="4"/>
      <c r="B333" s="52" t="str">
        <f>IF(A333="","",IFERROR(INDEX(Lists!$A$4:$A$203,MATCH(A333,Lists!$B$4:$B$203,0)),""))</f>
        <v/>
      </c>
      <c r="C333" s="8" t="str">
        <f>IF(A333="","",IFERROR(INDEX(Lists!$C$4:$C$203,MATCH(A333,Lists!$B$4:$B$203,0)),""))</f>
        <v/>
      </c>
      <c r="D333" s="8"/>
      <c r="E333" s="10"/>
      <c r="F333" s="10" t="str">
        <f t="shared" si="20"/>
        <v/>
      </c>
      <c r="G333" s="8" t="str">
        <f t="shared" ca="1" si="21"/>
        <v/>
      </c>
      <c r="H333" s="8"/>
      <c r="I333" s="8"/>
      <c r="J333" s="4"/>
      <c r="T333" s="1" t="str">
        <f t="shared" ca="1" si="22"/>
        <v/>
      </c>
      <c r="U333" s="1" t="str">
        <f ca="1">IF(T333="","",COUNTIFS($T$4:$T$503,"&gt;0",$T$4:$T$503,"&lt;"&amp;T333)+COUNTIF($T$4:T333,T333))</f>
        <v/>
      </c>
      <c r="V333" s="1" t="str">
        <f t="shared" si="23"/>
        <v/>
      </c>
    </row>
    <row r="334" spans="1:22">
      <c r="A334" s="4"/>
      <c r="B334" s="52" t="str">
        <f>IF(A334="","",IFERROR(INDEX(Lists!$A$4:$A$203,MATCH(A334,Lists!$B$4:$B$203,0)),""))</f>
        <v/>
      </c>
      <c r="C334" s="8" t="str">
        <f>IF(A334="","",IFERROR(INDEX(Lists!$C$4:$C$203,MATCH(A334,Lists!$B$4:$B$203,0)),""))</f>
        <v/>
      </c>
      <c r="D334" s="8"/>
      <c r="E334" s="10"/>
      <c r="F334" s="10" t="str">
        <f t="shared" si="20"/>
        <v/>
      </c>
      <c r="G334" s="8" t="str">
        <f t="shared" ca="1" si="21"/>
        <v/>
      </c>
      <c r="H334" s="8"/>
      <c r="I334" s="8"/>
      <c r="J334" s="4"/>
      <c r="T334" s="1" t="str">
        <f t="shared" ca="1" si="22"/>
        <v/>
      </c>
      <c r="U334" s="1" t="str">
        <f ca="1">IF(T334="","",COUNTIFS($T$4:$T$503,"&gt;0",$T$4:$T$503,"&lt;"&amp;T334)+COUNTIF($T$4:T334,T334))</f>
        <v/>
      </c>
      <c r="V334" s="1" t="str">
        <f t="shared" si="23"/>
        <v/>
      </c>
    </row>
    <row r="335" spans="1:22">
      <c r="A335" s="4"/>
      <c r="B335" s="52" t="str">
        <f>IF(A335="","",IFERROR(INDEX(Lists!$A$4:$A$203,MATCH(A335,Lists!$B$4:$B$203,0)),""))</f>
        <v/>
      </c>
      <c r="C335" s="8" t="str">
        <f>IF(A335="","",IFERROR(INDEX(Lists!$C$4:$C$203,MATCH(A335,Lists!$B$4:$B$203,0)),""))</f>
        <v/>
      </c>
      <c r="D335" s="8"/>
      <c r="E335" s="10"/>
      <c r="F335" s="10" t="str">
        <f t="shared" si="20"/>
        <v/>
      </c>
      <c r="G335" s="8" t="str">
        <f t="shared" ca="1" si="21"/>
        <v/>
      </c>
      <c r="H335" s="8"/>
      <c r="I335" s="8"/>
      <c r="J335" s="4"/>
      <c r="T335" s="1" t="str">
        <f t="shared" ca="1" si="22"/>
        <v/>
      </c>
      <c r="U335" s="1" t="str">
        <f ca="1">IF(T335="","",COUNTIFS($T$4:$T$503,"&gt;0",$T$4:$T$503,"&lt;"&amp;T335)+COUNTIF($T$4:T335,T335))</f>
        <v/>
      </c>
      <c r="V335" s="1" t="str">
        <f t="shared" si="23"/>
        <v/>
      </c>
    </row>
    <row r="336" spans="1:22">
      <c r="A336" s="4"/>
      <c r="B336" s="52" t="str">
        <f>IF(A336="","",IFERROR(INDEX(Lists!$A$4:$A$203,MATCH(A336,Lists!$B$4:$B$203,0)),""))</f>
        <v/>
      </c>
      <c r="C336" s="8" t="str">
        <f>IF(A336="","",IFERROR(INDEX(Lists!$C$4:$C$203,MATCH(A336,Lists!$B$4:$B$203,0)),""))</f>
        <v/>
      </c>
      <c r="D336" s="8"/>
      <c r="E336" s="10"/>
      <c r="F336" s="10" t="str">
        <f t="shared" si="20"/>
        <v/>
      </c>
      <c r="G336" s="8" t="str">
        <f t="shared" ca="1" si="21"/>
        <v/>
      </c>
      <c r="H336" s="8"/>
      <c r="I336" s="8"/>
      <c r="J336" s="4"/>
      <c r="T336" s="1" t="str">
        <f t="shared" ca="1" si="22"/>
        <v/>
      </c>
      <c r="U336" s="1" t="str">
        <f ca="1">IF(T336="","",COUNTIFS($T$4:$T$503,"&gt;0",$T$4:$T$503,"&lt;"&amp;T336)+COUNTIF($T$4:T336,T336))</f>
        <v/>
      </c>
      <c r="V336" s="1" t="str">
        <f t="shared" si="23"/>
        <v/>
      </c>
    </row>
    <row r="337" spans="1:22">
      <c r="A337" s="4"/>
      <c r="B337" s="52" t="str">
        <f>IF(A337="","",IFERROR(INDEX(Lists!$A$4:$A$203,MATCH(A337,Lists!$B$4:$B$203,0)),""))</f>
        <v/>
      </c>
      <c r="C337" s="8" t="str">
        <f>IF(A337="","",IFERROR(INDEX(Lists!$C$4:$C$203,MATCH(A337,Lists!$B$4:$B$203,0)),""))</f>
        <v/>
      </c>
      <c r="D337" s="8"/>
      <c r="E337" s="10"/>
      <c r="F337" s="10" t="str">
        <f t="shared" si="20"/>
        <v/>
      </c>
      <c r="G337" s="8" t="str">
        <f t="shared" ca="1" si="21"/>
        <v/>
      </c>
      <c r="H337" s="8"/>
      <c r="I337" s="8"/>
      <c r="J337" s="4"/>
      <c r="T337" s="1" t="str">
        <f t="shared" ca="1" si="22"/>
        <v/>
      </c>
      <c r="U337" s="1" t="str">
        <f ca="1">IF(T337="","",COUNTIFS($T$4:$T$503,"&gt;0",$T$4:$T$503,"&lt;"&amp;T337)+COUNTIF($T$4:T337,T337))</f>
        <v/>
      </c>
      <c r="V337" s="1" t="str">
        <f t="shared" si="23"/>
        <v/>
      </c>
    </row>
    <row r="338" spans="1:22">
      <c r="A338" s="4"/>
      <c r="B338" s="52" t="str">
        <f>IF(A338="","",IFERROR(INDEX(Lists!$A$4:$A$203,MATCH(A338,Lists!$B$4:$B$203,0)),""))</f>
        <v/>
      </c>
      <c r="C338" s="8" t="str">
        <f>IF(A338="","",IFERROR(INDEX(Lists!$C$4:$C$203,MATCH(A338,Lists!$B$4:$B$203,0)),""))</f>
        <v/>
      </c>
      <c r="D338" s="8"/>
      <c r="E338" s="10"/>
      <c r="F338" s="10" t="str">
        <f t="shared" si="20"/>
        <v/>
      </c>
      <c r="G338" s="8" t="str">
        <f t="shared" ca="1" si="21"/>
        <v/>
      </c>
      <c r="H338" s="8"/>
      <c r="I338" s="8"/>
      <c r="J338" s="4"/>
      <c r="T338" s="1" t="str">
        <f t="shared" ca="1" si="22"/>
        <v/>
      </c>
      <c r="U338" s="1" t="str">
        <f ca="1">IF(T338="","",COUNTIFS($T$4:$T$503,"&gt;0",$T$4:$T$503,"&lt;"&amp;T338)+COUNTIF($T$4:T338,T338))</f>
        <v/>
      </c>
      <c r="V338" s="1" t="str">
        <f t="shared" si="23"/>
        <v/>
      </c>
    </row>
    <row r="339" spans="1:22">
      <c r="A339" s="4"/>
      <c r="B339" s="52" t="str">
        <f>IF(A339="","",IFERROR(INDEX(Lists!$A$4:$A$203,MATCH(A339,Lists!$B$4:$B$203,0)),""))</f>
        <v/>
      </c>
      <c r="C339" s="8" t="str">
        <f>IF(A339="","",IFERROR(INDEX(Lists!$C$4:$C$203,MATCH(A339,Lists!$B$4:$B$203,0)),""))</f>
        <v/>
      </c>
      <c r="D339" s="8"/>
      <c r="E339" s="10"/>
      <c r="F339" s="10" t="str">
        <f t="shared" si="20"/>
        <v/>
      </c>
      <c r="G339" s="8" t="str">
        <f t="shared" ca="1" si="21"/>
        <v/>
      </c>
      <c r="H339" s="8"/>
      <c r="I339" s="8"/>
      <c r="J339" s="4"/>
      <c r="T339" s="1" t="str">
        <f t="shared" ca="1" si="22"/>
        <v/>
      </c>
      <c r="U339" s="1" t="str">
        <f ca="1">IF(T339="","",COUNTIFS($T$4:$T$503,"&gt;0",$T$4:$T$503,"&lt;"&amp;T339)+COUNTIF($T$4:T339,T339))</f>
        <v/>
      </c>
      <c r="V339" s="1" t="str">
        <f t="shared" si="23"/>
        <v/>
      </c>
    </row>
    <row r="340" spans="1:22">
      <c r="A340" s="4"/>
      <c r="B340" s="52" t="str">
        <f>IF(A340="","",IFERROR(INDEX(Lists!$A$4:$A$203,MATCH(A340,Lists!$B$4:$B$203,0)),""))</f>
        <v/>
      </c>
      <c r="C340" s="8" t="str">
        <f>IF(A340="","",IFERROR(INDEX(Lists!$C$4:$C$203,MATCH(A340,Lists!$B$4:$B$203,0)),""))</f>
        <v/>
      </c>
      <c r="D340" s="8"/>
      <c r="E340" s="10"/>
      <c r="F340" s="10" t="str">
        <f t="shared" si="20"/>
        <v/>
      </c>
      <c r="G340" s="8" t="str">
        <f t="shared" ca="1" si="21"/>
        <v/>
      </c>
      <c r="H340" s="8"/>
      <c r="I340" s="8"/>
      <c r="J340" s="4"/>
      <c r="T340" s="1" t="str">
        <f t="shared" ca="1" si="22"/>
        <v/>
      </c>
      <c r="U340" s="1" t="str">
        <f ca="1">IF(T340="","",COUNTIFS($T$4:$T$503,"&gt;0",$T$4:$T$503,"&lt;"&amp;T340)+COUNTIF($T$4:T340,T340))</f>
        <v/>
      </c>
      <c r="V340" s="1" t="str">
        <f t="shared" si="23"/>
        <v/>
      </c>
    </row>
    <row r="341" spans="1:22">
      <c r="A341" s="4"/>
      <c r="B341" s="52" t="str">
        <f>IF(A341="","",IFERROR(INDEX(Lists!$A$4:$A$203,MATCH(A341,Lists!$B$4:$B$203,0)),""))</f>
        <v/>
      </c>
      <c r="C341" s="8" t="str">
        <f>IF(A341="","",IFERROR(INDEX(Lists!$C$4:$C$203,MATCH(A341,Lists!$B$4:$B$203,0)),""))</f>
        <v/>
      </c>
      <c r="D341" s="8"/>
      <c r="E341" s="10"/>
      <c r="F341" s="10" t="str">
        <f t="shared" si="20"/>
        <v/>
      </c>
      <c r="G341" s="8" t="str">
        <f t="shared" ca="1" si="21"/>
        <v/>
      </c>
      <c r="H341" s="8"/>
      <c r="I341" s="8"/>
      <c r="J341" s="4"/>
      <c r="T341" s="1" t="str">
        <f t="shared" ca="1" si="22"/>
        <v/>
      </c>
      <c r="U341" s="1" t="str">
        <f ca="1">IF(T341="","",COUNTIFS($T$4:$T$503,"&gt;0",$T$4:$T$503,"&lt;"&amp;T341)+COUNTIF($T$4:T341,T341))</f>
        <v/>
      </c>
      <c r="V341" s="1" t="str">
        <f t="shared" si="23"/>
        <v/>
      </c>
    </row>
    <row r="342" spans="1:22">
      <c r="A342" s="4"/>
      <c r="B342" s="52" t="str">
        <f>IF(A342="","",IFERROR(INDEX(Lists!$A$4:$A$203,MATCH(A342,Lists!$B$4:$B$203,0)),""))</f>
        <v/>
      </c>
      <c r="C342" s="8" t="str">
        <f>IF(A342="","",IFERROR(INDEX(Lists!$C$4:$C$203,MATCH(A342,Lists!$B$4:$B$203,0)),""))</f>
        <v/>
      </c>
      <c r="D342" s="8"/>
      <c r="E342" s="10"/>
      <c r="F342" s="10" t="str">
        <f t="shared" si="20"/>
        <v/>
      </c>
      <c r="G342" s="8" t="str">
        <f t="shared" ca="1" si="21"/>
        <v/>
      </c>
      <c r="H342" s="8"/>
      <c r="I342" s="8"/>
      <c r="J342" s="4"/>
      <c r="T342" s="1" t="str">
        <f t="shared" ca="1" si="22"/>
        <v/>
      </c>
      <c r="U342" s="1" t="str">
        <f ca="1">IF(T342="","",COUNTIFS($T$4:$T$503,"&gt;0",$T$4:$T$503,"&lt;"&amp;T342)+COUNTIF($T$4:T342,T342))</f>
        <v/>
      </c>
      <c r="V342" s="1" t="str">
        <f t="shared" si="23"/>
        <v/>
      </c>
    </row>
    <row r="343" spans="1:22">
      <c r="A343" s="4"/>
      <c r="B343" s="52" t="str">
        <f>IF(A343="","",IFERROR(INDEX(Lists!$A$4:$A$203,MATCH(A343,Lists!$B$4:$B$203,0)),""))</f>
        <v/>
      </c>
      <c r="C343" s="8" t="str">
        <f>IF(A343="","",IFERROR(INDEX(Lists!$C$4:$C$203,MATCH(A343,Lists!$B$4:$B$203,0)),""))</f>
        <v/>
      </c>
      <c r="D343" s="8"/>
      <c r="E343" s="10"/>
      <c r="F343" s="10" t="str">
        <f t="shared" si="20"/>
        <v/>
      </c>
      <c r="G343" s="8" t="str">
        <f t="shared" ca="1" si="21"/>
        <v/>
      </c>
      <c r="H343" s="8"/>
      <c r="I343" s="8"/>
      <c r="J343" s="4"/>
      <c r="T343" s="1" t="str">
        <f t="shared" ca="1" si="22"/>
        <v/>
      </c>
      <c r="U343" s="1" t="str">
        <f ca="1">IF(T343="","",COUNTIFS($T$4:$T$503,"&gt;0",$T$4:$T$503,"&lt;"&amp;T343)+COUNTIF($T$4:T343,T343))</f>
        <v/>
      </c>
      <c r="V343" s="1" t="str">
        <f t="shared" si="23"/>
        <v/>
      </c>
    </row>
    <row r="344" spans="1:22">
      <c r="A344" s="4"/>
      <c r="B344" s="52" t="str">
        <f>IF(A344="","",IFERROR(INDEX(Lists!$A$4:$A$203,MATCH(A344,Lists!$B$4:$B$203,0)),""))</f>
        <v/>
      </c>
      <c r="C344" s="8" t="str">
        <f>IF(A344="","",IFERROR(INDEX(Lists!$C$4:$C$203,MATCH(A344,Lists!$B$4:$B$203,0)),""))</f>
        <v/>
      </c>
      <c r="D344" s="8"/>
      <c r="E344" s="10"/>
      <c r="F344" s="10" t="str">
        <f t="shared" si="20"/>
        <v/>
      </c>
      <c r="G344" s="8" t="str">
        <f t="shared" ca="1" si="21"/>
        <v/>
      </c>
      <c r="H344" s="8"/>
      <c r="I344" s="8"/>
      <c r="J344" s="4"/>
      <c r="T344" s="1" t="str">
        <f t="shared" ca="1" si="22"/>
        <v/>
      </c>
      <c r="U344" s="1" t="str">
        <f ca="1">IF(T344="","",COUNTIFS($T$4:$T$503,"&gt;0",$T$4:$T$503,"&lt;"&amp;T344)+COUNTIF($T$4:T344,T344))</f>
        <v/>
      </c>
      <c r="V344" s="1" t="str">
        <f t="shared" si="23"/>
        <v/>
      </c>
    </row>
    <row r="345" spans="1:22">
      <c r="A345" s="4"/>
      <c r="B345" s="52" t="str">
        <f>IF(A345="","",IFERROR(INDEX(Lists!$A$4:$A$203,MATCH(A345,Lists!$B$4:$B$203,0)),""))</f>
        <v/>
      </c>
      <c r="C345" s="8" t="str">
        <f>IF(A345="","",IFERROR(INDEX(Lists!$C$4:$C$203,MATCH(A345,Lists!$B$4:$B$203,0)),""))</f>
        <v/>
      </c>
      <c r="D345" s="8"/>
      <c r="E345" s="10"/>
      <c r="F345" s="10" t="str">
        <f t="shared" si="20"/>
        <v/>
      </c>
      <c r="G345" s="8" t="str">
        <f t="shared" ca="1" si="21"/>
        <v/>
      </c>
      <c r="H345" s="8"/>
      <c r="I345" s="8"/>
      <c r="J345" s="4"/>
      <c r="T345" s="1" t="str">
        <f t="shared" ca="1" si="22"/>
        <v/>
      </c>
      <c r="U345" s="1" t="str">
        <f ca="1">IF(T345="","",COUNTIFS($T$4:$T$503,"&gt;0",$T$4:$T$503,"&lt;"&amp;T345)+COUNTIF($T$4:T345,T345))</f>
        <v/>
      </c>
      <c r="V345" s="1" t="str">
        <f t="shared" si="23"/>
        <v/>
      </c>
    </row>
    <row r="346" spans="1:22">
      <c r="A346" s="4"/>
      <c r="B346" s="52" t="str">
        <f>IF(A346="","",IFERROR(INDEX(Lists!$A$4:$A$203,MATCH(A346,Lists!$B$4:$B$203,0)),""))</f>
        <v/>
      </c>
      <c r="C346" s="8" t="str">
        <f>IF(A346="","",IFERROR(INDEX(Lists!$C$4:$C$203,MATCH(A346,Lists!$B$4:$B$203,0)),""))</f>
        <v/>
      </c>
      <c r="D346" s="8"/>
      <c r="E346" s="10"/>
      <c r="F346" s="10" t="str">
        <f t="shared" si="20"/>
        <v/>
      </c>
      <c r="G346" s="8" t="str">
        <f t="shared" ca="1" si="21"/>
        <v/>
      </c>
      <c r="H346" s="8"/>
      <c r="I346" s="8"/>
      <c r="J346" s="4"/>
      <c r="T346" s="1" t="str">
        <f t="shared" ca="1" si="22"/>
        <v/>
      </c>
      <c r="U346" s="1" t="str">
        <f ca="1">IF(T346="","",COUNTIFS($T$4:$T$503,"&gt;0",$T$4:$T$503,"&lt;"&amp;T346)+COUNTIF($T$4:T346,T346))</f>
        <v/>
      </c>
      <c r="V346" s="1" t="str">
        <f t="shared" si="23"/>
        <v/>
      </c>
    </row>
    <row r="347" spans="1:22">
      <c r="A347" s="4"/>
      <c r="B347" s="52" t="str">
        <f>IF(A347="","",IFERROR(INDEX(Lists!$A$4:$A$203,MATCH(A347,Lists!$B$4:$B$203,0)),""))</f>
        <v/>
      </c>
      <c r="C347" s="8" t="str">
        <f>IF(A347="","",IFERROR(INDEX(Lists!$C$4:$C$203,MATCH(A347,Lists!$B$4:$B$203,0)),""))</f>
        <v/>
      </c>
      <c r="D347" s="8"/>
      <c r="E347" s="10"/>
      <c r="F347" s="10" t="str">
        <f t="shared" si="20"/>
        <v/>
      </c>
      <c r="G347" s="8" t="str">
        <f t="shared" ca="1" si="21"/>
        <v/>
      </c>
      <c r="H347" s="8"/>
      <c r="I347" s="8"/>
      <c r="J347" s="4"/>
      <c r="T347" s="1" t="str">
        <f t="shared" ca="1" si="22"/>
        <v/>
      </c>
      <c r="U347" s="1" t="str">
        <f ca="1">IF(T347="","",COUNTIFS($T$4:$T$503,"&gt;0",$T$4:$T$503,"&lt;"&amp;T347)+COUNTIF($T$4:T347,T347))</f>
        <v/>
      </c>
      <c r="V347" s="1" t="str">
        <f t="shared" si="23"/>
        <v/>
      </c>
    </row>
    <row r="348" spans="1:22">
      <c r="A348" s="4"/>
      <c r="B348" s="52" t="str">
        <f>IF(A348="","",IFERROR(INDEX(Lists!$A$4:$A$203,MATCH(A348,Lists!$B$4:$B$203,0)),""))</f>
        <v/>
      </c>
      <c r="C348" s="8" t="str">
        <f>IF(A348="","",IFERROR(INDEX(Lists!$C$4:$C$203,MATCH(A348,Lists!$B$4:$B$203,0)),""))</f>
        <v/>
      </c>
      <c r="D348" s="8"/>
      <c r="E348" s="10"/>
      <c r="F348" s="10" t="str">
        <f t="shared" si="20"/>
        <v/>
      </c>
      <c r="G348" s="8" t="str">
        <f t="shared" ca="1" si="21"/>
        <v/>
      </c>
      <c r="H348" s="8"/>
      <c r="I348" s="8"/>
      <c r="J348" s="4"/>
      <c r="T348" s="1" t="str">
        <f t="shared" ca="1" si="22"/>
        <v/>
      </c>
      <c r="U348" s="1" t="str">
        <f ca="1">IF(T348="","",COUNTIFS($T$4:$T$503,"&gt;0",$T$4:$T$503,"&lt;"&amp;T348)+COUNTIF($T$4:T348,T348))</f>
        <v/>
      </c>
      <c r="V348" s="1" t="str">
        <f t="shared" si="23"/>
        <v/>
      </c>
    </row>
    <row r="349" spans="1:22">
      <c r="A349" s="4"/>
      <c r="B349" s="52" t="str">
        <f>IF(A349="","",IFERROR(INDEX(Lists!$A$4:$A$203,MATCH(A349,Lists!$B$4:$B$203,0)),""))</f>
        <v/>
      </c>
      <c r="C349" s="8" t="str">
        <f>IF(A349="","",IFERROR(INDEX(Lists!$C$4:$C$203,MATCH(A349,Lists!$B$4:$B$203,0)),""))</f>
        <v/>
      </c>
      <c r="D349" s="8"/>
      <c r="E349" s="10"/>
      <c r="F349" s="10" t="str">
        <f t="shared" si="20"/>
        <v/>
      </c>
      <c r="G349" s="8" t="str">
        <f t="shared" ca="1" si="21"/>
        <v/>
      </c>
      <c r="H349" s="8"/>
      <c r="I349" s="8"/>
      <c r="J349" s="4"/>
      <c r="T349" s="1" t="str">
        <f t="shared" ca="1" si="22"/>
        <v/>
      </c>
      <c r="U349" s="1" t="str">
        <f ca="1">IF(T349="","",COUNTIFS($T$4:$T$503,"&gt;0",$T$4:$T$503,"&lt;"&amp;T349)+COUNTIF($T$4:T349,T349))</f>
        <v/>
      </c>
      <c r="V349" s="1" t="str">
        <f t="shared" si="23"/>
        <v/>
      </c>
    </row>
    <row r="350" spans="1:22">
      <c r="A350" s="4"/>
      <c r="B350" s="52" t="str">
        <f>IF(A350="","",IFERROR(INDEX(Lists!$A$4:$A$203,MATCH(A350,Lists!$B$4:$B$203,0)),""))</f>
        <v/>
      </c>
      <c r="C350" s="8" t="str">
        <f>IF(A350="","",IFERROR(INDEX(Lists!$C$4:$C$203,MATCH(A350,Lists!$B$4:$B$203,0)),""))</f>
        <v/>
      </c>
      <c r="D350" s="8"/>
      <c r="E350" s="10"/>
      <c r="F350" s="10" t="str">
        <f t="shared" si="20"/>
        <v/>
      </c>
      <c r="G350" s="8" t="str">
        <f t="shared" ca="1" si="21"/>
        <v/>
      </c>
      <c r="H350" s="8"/>
      <c r="I350" s="8"/>
      <c r="J350" s="4"/>
      <c r="T350" s="1" t="str">
        <f t="shared" ca="1" si="22"/>
        <v/>
      </c>
      <c r="U350" s="1" t="str">
        <f ca="1">IF(T350="","",COUNTIFS($T$4:$T$503,"&gt;0",$T$4:$T$503,"&lt;"&amp;T350)+COUNTIF($T$4:T350,T350))</f>
        <v/>
      </c>
      <c r="V350" s="1" t="str">
        <f t="shared" si="23"/>
        <v/>
      </c>
    </row>
    <row r="351" spans="1:22">
      <c r="A351" s="4"/>
      <c r="B351" s="52" t="str">
        <f>IF(A351="","",IFERROR(INDEX(Lists!$A$4:$A$203,MATCH(A351,Lists!$B$4:$B$203,0)),""))</f>
        <v/>
      </c>
      <c r="C351" s="8" t="str">
        <f>IF(A351="","",IFERROR(INDEX(Lists!$C$4:$C$203,MATCH(A351,Lists!$B$4:$B$203,0)),""))</f>
        <v/>
      </c>
      <c r="D351" s="8"/>
      <c r="E351" s="10"/>
      <c r="F351" s="10" t="str">
        <f t="shared" si="20"/>
        <v/>
      </c>
      <c r="G351" s="8" t="str">
        <f t="shared" ca="1" si="21"/>
        <v/>
      </c>
      <c r="H351" s="8"/>
      <c r="I351" s="8"/>
      <c r="J351" s="4"/>
      <c r="T351" s="1" t="str">
        <f t="shared" ca="1" si="22"/>
        <v/>
      </c>
      <c r="U351" s="1" t="str">
        <f ca="1">IF(T351="","",COUNTIFS($T$4:$T$503,"&gt;0",$T$4:$T$503,"&lt;"&amp;T351)+COUNTIF($T$4:T351,T351))</f>
        <v/>
      </c>
      <c r="V351" s="1" t="str">
        <f t="shared" si="23"/>
        <v/>
      </c>
    </row>
    <row r="352" spans="1:22">
      <c r="A352" s="4"/>
      <c r="B352" s="52" t="str">
        <f>IF(A352="","",IFERROR(INDEX(Lists!$A$4:$A$203,MATCH(A352,Lists!$B$4:$B$203,0)),""))</f>
        <v/>
      </c>
      <c r="C352" s="8" t="str">
        <f>IF(A352="","",IFERROR(INDEX(Lists!$C$4:$C$203,MATCH(A352,Lists!$B$4:$B$203,0)),""))</f>
        <v/>
      </c>
      <c r="D352" s="8"/>
      <c r="E352" s="10"/>
      <c r="F352" s="10" t="str">
        <f t="shared" si="20"/>
        <v/>
      </c>
      <c r="G352" s="8" t="str">
        <f t="shared" ca="1" si="21"/>
        <v/>
      </c>
      <c r="H352" s="8"/>
      <c r="I352" s="8"/>
      <c r="J352" s="4"/>
      <c r="T352" s="1" t="str">
        <f t="shared" ca="1" si="22"/>
        <v/>
      </c>
      <c r="U352" s="1" t="str">
        <f ca="1">IF(T352="","",COUNTIFS($T$4:$T$503,"&gt;0",$T$4:$T$503,"&lt;"&amp;T352)+COUNTIF($T$4:T352,T352))</f>
        <v/>
      </c>
      <c r="V352" s="1" t="str">
        <f t="shared" si="23"/>
        <v/>
      </c>
    </row>
    <row r="353" spans="1:22">
      <c r="A353" s="4"/>
      <c r="B353" s="52" t="str">
        <f>IF(A353="","",IFERROR(INDEX(Lists!$A$4:$A$203,MATCH(A353,Lists!$B$4:$B$203,0)),""))</f>
        <v/>
      </c>
      <c r="C353" s="8" t="str">
        <f>IF(A353="","",IFERROR(INDEX(Lists!$C$4:$C$203,MATCH(A353,Lists!$B$4:$B$203,0)),""))</f>
        <v/>
      </c>
      <c r="D353" s="8"/>
      <c r="E353" s="10"/>
      <c r="F353" s="10" t="str">
        <f t="shared" si="20"/>
        <v/>
      </c>
      <c r="G353" s="8" t="str">
        <f t="shared" ca="1" si="21"/>
        <v/>
      </c>
      <c r="H353" s="8"/>
      <c r="I353" s="8"/>
      <c r="J353" s="4"/>
      <c r="T353" s="1" t="str">
        <f t="shared" ca="1" si="22"/>
        <v/>
      </c>
      <c r="U353" s="1" t="str">
        <f ca="1">IF(T353="","",COUNTIFS($T$4:$T$503,"&gt;0",$T$4:$T$503,"&lt;"&amp;T353)+COUNTIF($T$4:T353,T353))</f>
        <v/>
      </c>
      <c r="V353" s="1" t="str">
        <f t="shared" si="23"/>
        <v/>
      </c>
    </row>
    <row r="354" spans="1:22">
      <c r="A354" s="4"/>
      <c r="B354" s="52" t="str">
        <f>IF(A354="","",IFERROR(INDEX(Lists!$A$4:$A$203,MATCH(A354,Lists!$B$4:$B$203,0)),""))</f>
        <v/>
      </c>
      <c r="C354" s="8" t="str">
        <f>IF(A354="","",IFERROR(INDEX(Lists!$C$4:$C$203,MATCH(A354,Lists!$B$4:$B$203,0)),""))</f>
        <v/>
      </c>
      <c r="D354" s="8"/>
      <c r="E354" s="10"/>
      <c r="F354" s="10" t="str">
        <f t="shared" si="20"/>
        <v/>
      </c>
      <c r="G354" s="8" t="str">
        <f t="shared" ca="1" si="21"/>
        <v/>
      </c>
      <c r="H354" s="8"/>
      <c r="I354" s="8"/>
      <c r="J354" s="4"/>
      <c r="T354" s="1" t="str">
        <f t="shared" ca="1" si="22"/>
        <v/>
      </c>
      <c r="U354" s="1" t="str">
        <f ca="1">IF(T354="","",COUNTIFS($T$4:$T$503,"&gt;0",$T$4:$T$503,"&lt;"&amp;T354)+COUNTIF($T$4:T354,T354))</f>
        <v/>
      </c>
      <c r="V354" s="1" t="str">
        <f t="shared" si="23"/>
        <v/>
      </c>
    </row>
    <row r="355" spans="1:22">
      <c r="A355" s="4"/>
      <c r="B355" s="52" t="str">
        <f>IF(A355="","",IFERROR(INDEX(Lists!$A$4:$A$203,MATCH(A355,Lists!$B$4:$B$203,0)),""))</f>
        <v/>
      </c>
      <c r="C355" s="8" t="str">
        <f>IF(A355="","",IFERROR(INDEX(Lists!$C$4:$C$203,MATCH(A355,Lists!$B$4:$B$203,0)),""))</f>
        <v/>
      </c>
      <c r="D355" s="8"/>
      <c r="E355" s="10"/>
      <c r="F355" s="10" t="str">
        <f t="shared" si="20"/>
        <v/>
      </c>
      <c r="G355" s="8" t="str">
        <f t="shared" ca="1" si="21"/>
        <v/>
      </c>
      <c r="H355" s="8"/>
      <c r="I355" s="8"/>
      <c r="J355" s="4"/>
      <c r="T355" s="1" t="str">
        <f t="shared" ca="1" si="22"/>
        <v/>
      </c>
      <c r="U355" s="1" t="str">
        <f ca="1">IF(T355="","",COUNTIFS($T$4:$T$503,"&gt;0",$T$4:$T$503,"&lt;"&amp;T355)+COUNTIF($T$4:T355,T355))</f>
        <v/>
      </c>
      <c r="V355" s="1" t="str">
        <f t="shared" si="23"/>
        <v/>
      </c>
    </row>
    <row r="356" spans="1:22">
      <c r="A356" s="4"/>
      <c r="B356" s="52" t="str">
        <f>IF(A356="","",IFERROR(INDEX(Lists!$A$4:$A$203,MATCH(A356,Lists!$B$4:$B$203,0)),""))</f>
        <v/>
      </c>
      <c r="C356" s="8" t="str">
        <f>IF(A356="","",IFERROR(INDEX(Lists!$C$4:$C$203,MATCH(A356,Lists!$B$4:$B$203,0)),""))</f>
        <v/>
      </c>
      <c r="D356" s="8"/>
      <c r="E356" s="10"/>
      <c r="F356" s="10" t="str">
        <f t="shared" si="20"/>
        <v/>
      </c>
      <c r="G356" s="8" t="str">
        <f t="shared" ca="1" si="21"/>
        <v/>
      </c>
      <c r="H356" s="8"/>
      <c r="I356" s="8"/>
      <c r="J356" s="4"/>
      <c r="T356" s="1" t="str">
        <f t="shared" ca="1" si="22"/>
        <v/>
      </c>
      <c r="U356" s="1" t="str">
        <f ca="1">IF(T356="","",COUNTIFS($T$4:$T$503,"&gt;0",$T$4:$T$503,"&lt;"&amp;T356)+COUNTIF($T$4:T356,T356))</f>
        <v/>
      </c>
      <c r="V356" s="1" t="str">
        <f t="shared" si="23"/>
        <v/>
      </c>
    </row>
    <row r="357" spans="1:22">
      <c r="A357" s="4"/>
      <c r="B357" s="52" t="str">
        <f>IF(A357="","",IFERROR(INDEX(Lists!$A$4:$A$203,MATCH(A357,Lists!$B$4:$B$203,0)),""))</f>
        <v/>
      </c>
      <c r="C357" s="8" t="str">
        <f>IF(A357="","",IFERROR(INDEX(Lists!$C$4:$C$203,MATCH(A357,Lists!$B$4:$B$203,0)),""))</f>
        <v/>
      </c>
      <c r="D357" s="8"/>
      <c r="E357" s="10"/>
      <c r="F357" s="10" t="str">
        <f t="shared" si="20"/>
        <v/>
      </c>
      <c r="G357" s="8" t="str">
        <f t="shared" ca="1" si="21"/>
        <v/>
      </c>
      <c r="H357" s="8"/>
      <c r="I357" s="8"/>
      <c r="J357" s="4"/>
      <c r="T357" s="1" t="str">
        <f t="shared" ca="1" si="22"/>
        <v/>
      </c>
      <c r="U357" s="1" t="str">
        <f ca="1">IF(T357="","",COUNTIFS($T$4:$T$503,"&gt;0",$T$4:$T$503,"&lt;"&amp;T357)+COUNTIF($T$4:T357,T357))</f>
        <v/>
      </c>
      <c r="V357" s="1" t="str">
        <f t="shared" si="23"/>
        <v/>
      </c>
    </row>
    <row r="358" spans="1:22">
      <c r="A358" s="4"/>
      <c r="B358" s="52" t="str">
        <f>IF(A358="","",IFERROR(INDEX(Lists!$A$4:$A$203,MATCH(A358,Lists!$B$4:$B$203,0)),""))</f>
        <v/>
      </c>
      <c r="C358" s="8" t="str">
        <f>IF(A358="","",IFERROR(INDEX(Lists!$C$4:$C$203,MATCH(A358,Lists!$B$4:$B$203,0)),""))</f>
        <v/>
      </c>
      <c r="D358" s="8"/>
      <c r="E358" s="10"/>
      <c r="F358" s="10" t="str">
        <f t="shared" si="20"/>
        <v/>
      </c>
      <c r="G358" s="8" t="str">
        <f t="shared" ca="1" si="21"/>
        <v/>
      </c>
      <c r="H358" s="8"/>
      <c r="I358" s="8"/>
      <c r="J358" s="4"/>
      <c r="T358" s="1" t="str">
        <f t="shared" ca="1" si="22"/>
        <v/>
      </c>
      <c r="U358" s="1" t="str">
        <f ca="1">IF(T358="","",COUNTIFS($T$4:$T$503,"&gt;0",$T$4:$T$503,"&lt;"&amp;T358)+COUNTIF($T$4:T358,T358))</f>
        <v/>
      </c>
      <c r="V358" s="1" t="str">
        <f t="shared" si="23"/>
        <v/>
      </c>
    </row>
    <row r="359" spans="1:22">
      <c r="A359" s="4"/>
      <c r="B359" s="52" t="str">
        <f>IF(A359="","",IFERROR(INDEX(Lists!$A$4:$A$203,MATCH(A359,Lists!$B$4:$B$203,0)),""))</f>
        <v/>
      </c>
      <c r="C359" s="8" t="str">
        <f>IF(A359="","",IFERROR(INDEX(Lists!$C$4:$C$203,MATCH(A359,Lists!$B$4:$B$203,0)),""))</f>
        <v/>
      </c>
      <c r="D359" s="8"/>
      <c r="E359" s="10"/>
      <c r="F359" s="10" t="str">
        <f t="shared" si="20"/>
        <v/>
      </c>
      <c r="G359" s="8" t="str">
        <f t="shared" ca="1" si="21"/>
        <v/>
      </c>
      <c r="H359" s="8"/>
      <c r="I359" s="8"/>
      <c r="J359" s="4"/>
      <c r="T359" s="1" t="str">
        <f t="shared" ca="1" si="22"/>
        <v/>
      </c>
      <c r="U359" s="1" t="str">
        <f ca="1">IF(T359="","",COUNTIFS($T$4:$T$503,"&gt;0",$T$4:$T$503,"&lt;"&amp;T359)+COUNTIF($T$4:T359,T359))</f>
        <v/>
      </c>
      <c r="V359" s="1" t="str">
        <f t="shared" si="23"/>
        <v/>
      </c>
    </row>
    <row r="360" spans="1:22">
      <c r="A360" s="4"/>
      <c r="B360" s="52" t="str">
        <f>IF(A360="","",IFERROR(INDEX(Lists!$A$4:$A$203,MATCH(A360,Lists!$B$4:$B$203,0)),""))</f>
        <v/>
      </c>
      <c r="C360" s="8" t="str">
        <f>IF(A360="","",IFERROR(INDEX(Lists!$C$4:$C$203,MATCH(A360,Lists!$B$4:$B$203,0)),""))</f>
        <v/>
      </c>
      <c r="D360" s="8"/>
      <c r="E360" s="10"/>
      <c r="F360" s="10" t="str">
        <f t="shared" si="20"/>
        <v/>
      </c>
      <c r="G360" s="8" t="str">
        <f t="shared" ca="1" si="21"/>
        <v/>
      </c>
      <c r="H360" s="8"/>
      <c r="I360" s="8"/>
      <c r="J360" s="4"/>
      <c r="T360" s="1" t="str">
        <f t="shared" ca="1" si="22"/>
        <v/>
      </c>
      <c r="U360" s="1" t="str">
        <f ca="1">IF(T360="","",COUNTIFS($T$4:$T$503,"&gt;0",$T$4:$T$503,"&lt;"&amp;T360)+COUNTIF($T$4:T360,T360))</f>
        <v/>
      </c>
      <c r="V360" s="1" t="str">
        <f t="shared" si="23"/>
        <v/>
      </c>
    </row>
    <row r="361" spans="1:22">
      <c r="A361" s="4"/>
      <c r="B361" s="52" t="str">
        <f>IF(A361="","",IFERROR(INDEX(Lists!$A$4:$A$203,MATCH(A361,Lists!$B$4:$B$203,0)),""))</f>
        <v/>
      </c>
      <c r="C361" s="8" t="str">
        <f>IF(A361="","",IFERROR(INDEX(Lists!$C$4:$C$203,MATCH(A361,Lists!$B$4:$B$203,0)),""))</f>
        <v/>
      </c>
      <c r="D361" s="8"/>
      <c r="E361" s="10"/>
      <c r="F361" s="10" t="str">
        <f t="shared" si="20"/>
        <v/>
      </c>
      <c r="G361" s="8" t="str">
        <f t="shared" ca="1" si="21"/>
        <v/>
      </c>
      <c r="H361" s="8"/>
      <c r="I361" s="8"/>
      <c r="J361" s="4"/>
      <c r="T361" s="1" t="str">
        <f t="shared" ca="1" si="22"/>
        <v/>
      </c>
      <c r="U361" s="1" t="str">
        <f ca="1">IF(T361="","",COUNTIFS($T$4:$T$503,"&gt;0",$T$4:$T$503,"&lt;"&amp;T361)+COUNTIF($T$4:T361,T361))</f>
        <v/>
      </c>
      <c r="V361" s="1" t="str">
        <f t="shared" si="23"/>
        <v/>
      </c>
    </row>
    <row r="362" spans="1:22">
      <c r="A362" s="4"/>
      <c r="B362" s="52" t="str">
        <f>IF(A362="","",IFERROR(INDEX(Lists!$A$4:$A$203,MATCH(A362,Lists!$B$4:$B$203,0)),""))</f>
        <v/>
      </c>
      <c r="C362" s="8" t="str">
        <f>IF(A362="","",IFERROR(INDEX(Lists!$C$4:$C$203,MATCH(A362,Lists!$B$4:$B$203,0)),""))</f>
        <v/>
      </c>
      <c r="D362" s="8"/>
      <c r="E362" s="10"/>
      <c r="F362" s="10" t="str">
        <f t="shared" si="20"/>
        <v/>
      </c>
      <c r="G362" s="8" t="str">
        <f t="shared" ca="1" si="21"/>
        <v/>
      </c>
      <c r="H362" s="8"/>
      <c r="I362" s="8"/>
      <c r="J362" s="4"/>
      <c r="T362" s="1" t="str">
        <f t="shared" ca="1" si="22"/>
        <v/>
      </c>
      <c r="U362" s="1" t="str">
        <f ca="1">IF(T362="","",COUNTIFS($T$4:$T$503,"&gt;0",$T$4:$T$503,"&lt;"&amp;T362)+COUNTIF($T$4:T362,T362))</f>
        <v/>
      </c>
      <c r="V362" s="1" t="str">
        <f t="shared" si="23"/>
        <v/>
      </c>
    </row>
    <row r="363" spans="1:22">
      <c r="A363" s="4"/>
      <c r="B363" s="52" t="str">
        <f>IF(A363="","",IFERROR(INDEX(Lists!$A$4:$A$203,MATCH(A363,Lists!$B$4:$B$203,0)),""))</f>
        <v/>
      </c>
      <c r="C363" s="8" t="str">
        <f>IF(A363="","",IFERROR(INDEX(Lists!$C$4:$C$203,MATCH(A363,Lists!$B$4:$B$203,0)),""))</f>
        <v/>
      </c>
      <c r="D363" s="8"/>
      <c r="E363" s="10"/>
      <c r="F363" s="10" t="str">
        <f t="shared" si="20"/>
        <v/>
      </c>
      <c r="G363" s="8" t="str">
        <f t="shared" ca="1" si="21"/>
        <v/>
      </c>
      <c r="H363" s="8"/>
      <c r="I363" s="8"/>
      <c r="J363" s="4"/>
      <c r="T363" s="1" t="str">
        <f t="shared" ca="1" si="22"/>
        <v/>
      </c>
      <c r="U363" s="1" t="str">
        <f ca="1">IF(T363="","",COUNTIFS($T$4:$T$503,"&gt;0",$T$4:$T$503,"&lt;"&amp;T363)+COUNTIF($T$4:T363,T363))</f>
        <v/>
      </c>
      <c r="V363" s="1" t="str">
        <f t="shared" si="23"/>
        <v/>
      </c>
    </row>
    <row r="364" spans="1:22">
      <c r="A364" s="4"/>
      <c r="B364" s="52" t="str">
        <f>IF(A364="","",IFERROR(INDEX(Lists!$A$4:$A$203,MATCH(A364,Lists!$B$4:$B$203,0)),""))</f>
        <v/>
      </c>
      <c r="C364" s="8" t="str">
        <f>IF(A364="","",IFERROR(INDEX(Lists!$C$4:$C$203,MATCH(A364,Lists!$B$4:$B$203,0)),""))</f>
        <v/>
      </c>
      <c r="D364" s="8"/>
      <c r="E364" s="10"/>
      <c r="F364" s="10" t="str">
        <f t="shared" si="20"/>
        <v/>
      </c>
      <c r="G364" s="8" t="str">
        <f t="shared" ca="1" si="21"/>
        <v/>
      </c>
      <c r="H364" s="8"/>
      <c r="I364" s="8"/>
      <c r="J364" s="4"/>
      <c r="T364" s="1" t="str">
        <f t="shared" ca="1" si="22"/>
        <v/>
      </c>
      <c r="U364" s="1" t="str">
        <f ca="1">IF(T364="","",COUNTIFS($T$4:$T$503,"&gt;0",$T$4:$T$503,"&lt;"&amp;T364)+COUNTIF($T$4:T364,T364))</f>
        <v/>
      </c>
      <c r="V364" s="1" t="str">
        <f t="shared" si="23"/>
        <v/>
      </c>
    </row>
    <row r="365" spans="1:22">
      <c r="A365" s="4"/>
      <c r="B365" s="52" t="str">
        <f>IF(A365="","",IFERROR(INDEX(Lists!$A$4:$A$203,MATCH(A365,Lists!$B$4:$B$203,0)),""))</f>
        <v/>
      </c>
      <c r="C365" s="8" t="str">
        <f>IF(A365="","",IFERROR(INDEX(Lists!$C$4:$C$203,MATCH(A365,Lists!$B$4:$B$203,0)),""))</f>
        <v/>
      </c>
      <c r="D365" s="8"/>
      <c r="E365" s="10"/>
      <c r="F365" s="10" t="str">
        <f t="shared" si="20"/>
        <v/>
      </c>
      <c r="G365" s="8" t="str">
        <f t="shared" ca="1" si="21"/>
        <v/>
      </c>
      <c r="H365" s="8"/>
      <c r="I365" s="8"/>
      <c r="J365" s="4"/>
      <c r="T365" s="1" t="str">
        <f t="shared" ca="1" si="22"/>
        <v/>
      </c>
      <c r="U365" s="1" t="str">
        <f ca="1">IF(T365="","",COUNTIFS($T$4:$T$503,"&gt;0",$T$4:$T$503,"&lt;"&amp;T365)+COUNTIF($T$4:T365,T365))</f>
        <v/>
      </c>
      <c r="V365" s="1" t="str">
        <f t="shared" si="23"/>
        <v/>
      </c>
    </row>
    <row r="366" spans="1:22">
      <c r="A366" s="4"/>
      <c r="B366" s="52" t="str">
        <f>IF(A366="","",IFERROR(INDEX(Lists!$A$4:$A$203,MATCH(A366,Lists!$B$4:$B$203,0)),""))</f>
        <v/>
      </c>
      <c r="C366" s="8" t="str">
        <f>IF(A366="","",IFERROR(INDEX(Lists!$C$4:$C$203,MATCH(A366,Lists!$B$4:$B$203,0)),""))</f>
        <v/>
      </c>
      <c r="D366" s="8"/>
      <c r="E366" s="10"/>
      <c r="F366" s="10" t="str">
        <f t="shared" si="20"/>
        <v/>
      </c>
      <c r="G366" s="8" t="str">
        <f t="shared" ca="1" si="21"/>
        <v/>
      </c>
      <c r="H366" s="8"/>
      <c r="I366" s="8"/>
      <c r="J366" s="4"/>
      <c r="T366" s="1" t="str">
        <f t="shared" ca="1" si="22"/>
        <v/>
      </c>
      <c r="U366" s="1" t="str">
        <f ca="1">IF(T366="","",COUNTIFS($T$4:$T$503,"&gt;0",$T$4:$T$503,"&lt;"&amp;T366)+COUNTIF($T$4:T366,T366))</f>
        <v/>
      </c>
      <c r="V366" s="1" t="str">
        <f t="shared" si="23"/>
        <v/>
      </c>
    </row>
    <row r="367" spans="1:22">
      <c r="A367" s="4"/>
      <c r="B367" s="52" t="str">
        <f>IF(A367="","",IFERROR(INDEX(Lists!$A$4:$A$203,MATCH(A367,Lists!$B$4:$B$203,0)),""))</f>
        <v/>
      </c>
      <c r="C367" s="8" t="str">
        <f>IF(A367="","",IFERROR(INDEX(Lists!$C$4:$C$203,MATCH(A367,Lists!$B$4:$B$203,0)),""))</f>
        <v/>
      </c>
      <c r="D367" s="8"/>
      <c r="E367" s="10"/>
      <c r="F367" s="10" t="str">
        <f t="shared" si="20"/>
        <v/>
      </c>
      <c r="G367" s="8" t="str">
        <f t="shared" ca="1" si="21"/>
        <v/>
      </c>
      <c r="H367" s="8"/>
      <c r="I367" s="8"/>
      <c r="J367" s="4"/>
      <c r="T367" s="1" t="str">
        <f t="shared" ca="1" si="22"/>
        <v/>
      </c>
      <c r="U367" s="1" t="str">
        <f ca="1">IF(T367="","",COUNTIFS($T$4:$T$503,"&gt;0",$T$4:$T$503,"&lt;"&amp;T367)+COUNTIF($T$4:T367,T367))</f>
        <v/>
      </c>
      <c r="V367" s="1" t="str">
        <f t="shared" si="23"/>
        <v/>
      </c>
    </row>
    <row r="368" spans="1:22">
      <c r="A368" s="4"/>
      <c r="B368" s="52" t="str">
        <f>IF(A368="","",IFERROR(INDEX(Lists!$A$4:$A$203,MATCH(A368,Lists!$B$4:$B$203,0)),""))</f>
        <v/>
      </c>
      <c r="C368" s="8" t="str">
        <f>IF(A368="","",IFERROR(INDEX(Lists!$C$4:$C$203,MATCH(A368,Lists!$B$4:$B$203,0)),""))</f>
        <v/>
      </c>
      <c r="D368" s="8"/>
      <c r="E368" s="10"/>
      <c r="F368" s="10" t="str">
        <f t="shared" si="20"/>
        <v/>
      </c>
      <c r="G368" s="8" t="str">
        <f t="shared" ca="1" si="21"/>
        <v/>
      </c>
      <c r="H368" s="8"/>
      <c r="I368" s="8"/>
      <c r="J368" s="4"/>
      <c r="T368" s="1" t="str">
        <f t="shared" ca="1" si="22"/>
        <v/>
      </c>
      <c r="U368" s="1" t="str">
        <f ca="1">IF(T368="","",COUNTIFS($T$4:$T$503,"&gt;0",$T$4:$T$503,"&lt;"&amp;T368)+COUNTIF($T$4:T368,T368))</f>
        <v/>
      </c>
      <c r="V368" s="1" t="str">
        <f t="shared" si="23"/>
        <v/>
      </c>
    </row>
    <row r="369" spans="1:22">
      <c r="A369" s="4"/>
      <c r="B369" s="52" t="str">
        <f>IF(A369="","",IFERROR(INDEX(Lists!$A$4:$A$203,MATCH(A369,Lists!$B$4:$B$203,0)),""))</f>
        <v/>
      </c>
      <c r="C369" s="8" t="str">
        <f>IF(A369="","",IFERROR(INDEX(Lists!$C$4:$C$203,MATCH(A369,Lists!$B$4:$B$203,0)),""))</f>
        <v/>
      </c>
      <c r="D369" s="8"/>
      <c r="E369" s="10"/>
      <c r="F369" s="10" t="str">
        <f t="shared" si="20"/>
        <v/>
      </c>
      <c r="G369" s="8" t="str">
        <f t="shared" ca="1" si="21"/>
        <v/>
      </c>
      <c r="H369" s="8"/>
      <c r="I369" s="8"/>
      <c r="J369" s="4"/>
      <c r="T369" s="1" t="str">
        <f t="shared" ca="1" si="22"/>
        <v/>
      </c>
      <c r="U369" s="1" t="str">
        <f ca="1">IF(T369="","",COUNTIFS($T$4:$T$503,"&gt;0",$T$4:$T$503,"&lt;"&amp;T369)+COUNTIF($T$4:T369,T369))</f>
        <v/>
      </c>
      <c r="V369" s="1" t="str">
        <f t="shared" si="23"/>
        <v/>
      </c>
    </row>
    <row r="370" spans="1:22">
      <c r="A370" s="4"/>
      <c r="B370" s="52" t="str">
        <f>IF(A370="","",IFERROR(INDEX(Lists!$A$4:$A$203,MATCH(A370,Lists!$B$4:$B$203,0)),""))</f>
        <v/>
      </c>
      <c r="C370" s="8" t="str">
        <f>IF(A370="","",IFERROR(INDEX(Lists!$C$4:$C$203,MATCH(A370,Lists!$B$4:$B$203,0)),""))</f>
        <v/>
      </c>
      <c r="D370" s="8"/>
      <c r="E370" s="10"/>
      <c r="F370" s="10" t="str">
        <f t="shared" si="20"/>
        <v/>
      </c>
      <c r="G370" s="8" t="str">
        <f t="shared" ca="1" si="21"/>
        <v/>
      </c>
      <c r="H370" s="8"/>
      <c r="I370" s="8"/>
      <c r="J370" s="4"/>
      <c r="T370" s="1" t="str">
        <f t="shared" ca="1" si="22"/>
        <v/>
      </c>
      <c r="U370" s="1" t="str">
        <f ca="1">IF(T370="","",COUNTIFS($T$4:$T$503,"&gt;0",$T$4:$T$503,"&lt;"&amp;T370)+COUNTIF($T$4:T370,T370))</f>
        <v/>
      </c>
      <c r="V370" s="1" t="str">
        <f t="shared" si="23"/>
        <v/>
      </c>
    </row>
    <row r="371" spans="1:22">
      <c r="A371" s="4"/>
      <c r="B371" s="52" t="str">
        <f>IF(A371="","",IFERROR(INDEX(Lists!$A$4:$A$203,MATCH(A371,Lists!$B$4:$B$203,0)),""))</f>
        <v/>
      </c>
      <c r="C371" s="8" t="str">
        <f>IF(A371="","",IFERROR(INDEX(Lists!$C$4:$C$203,MATCH(A371,Lists!$B$4:$B$203,0)),""))</f>
        <v/>
      </c>
      <c r="D371" s="8"/>
      <c r="E371" s="10"/>
      <c r="F371" s="10" t="str">
        <f t="shared" si="20"/>
        <v/>
      </c>
      <c r="G371" s="8" t="str">
        <f t="shared" ca="1" si="21"/>
        <v/>
      </c>
      <c r="H371" s="8"/>
      <c r="I371" s="8"/>
      <c r="J371" s="4"/>
      <c r="T371" s="1" t="str">
        <f t="shared" ca="1" si="22"/>
        <v/>
      </c>
      <c r="U371" s="1" t="str">
        <f ca="1">IF(T371="","",COUNTIFS($T$4:$T$503,"&gt;0",$T$4:$T$503,"&lt;"&amp;T371)+COUNTIF($T$4:T371,T371))</f>
        <v/>
      </c>
      <c r="V371" s="1" t="str">
        <f t="shared" si="23"/>
        <v/>
      </c>
    </row>
    <row r="372" spans="1:22">
      <c r="A372" s="4"/>
      <c r="B372" s="52" t="str">
        <f>IF(A372="","",IFERROR(INDEX(Lists!$A$4:$A$203,MATCH(A372,Lists!$B$4:$B$203,0)),""))</f>
        <v/>
      </c>
      <c r="C372" s="8" t="str">
        <f>IF(A372="","",IFERROR(INDEX(Lists!$C$4:$C$203,MATCH(A372,Lists!$B$4:$B$203,0)),""))</f>
        <v/>
      </c>
      <c r="D372" s="8"/>
      <c r="E372" s="10"/>
      <c r="F372" s="10" t="str">
        <f t="shared" si="20"/>
        <v/>
      </c>
      <c r="G372" s="8" t="str">
        <f t="shared" ca="1" si="21"/>
        <v/>
      </c>
      <c r="H372" s="8"/>
      <c r="I372" s="8"/>
      <c r="J372" s="4"/>
      <c r="T372" s="1" t="str">
        <f t="shared" ca="1" si="22"/>
        <v/>
      </c>
      <c r="U372" s="1" t="str">
        <f ca="1">IF(T372="","",COUNTIFS($T$4:$T$503,"&gt;0",$T$4:$T$503,"&lt;"&amp;T372)+COUNTIF($T$4:T372,T372))</f>
        <v/>
      </c>
      <c r="V372" s="1" t="str">
        <f t="shared" si="23"/>
        <v/>
      </c>
    </row>
    <row r="373" spans="1:22">
      <c r="A373" s="4"/>
      <c r="B373" s="52" t="str">
        <f>IF(A373="","",IFERROR(INDEX(Lists!$A$4:$A$203,MATCH(A373,Lists!$B$4:$B$203,0)),""))</f>
        <v/>
      </c>
      <c r="C373" s="8" t="str">
        <f>IF(A373="","",IFERROR(INDEX(Lists!$C$4:$C$203,MATCH(A373,Lists!$B$4:$B$203,0)),""))</f>
        <v/>
      </c>
      <c r="D373" s="8"/>
      <c r="E373" s="10"/>
      <c r="F373" s="10" t="str">
        <f t="shared" si="20"/>
        <v/>
      </c>
      <c r="G373" s="8" t="str">
        <f t="shared" ca="1" si="21"/>
        <v/>
      </c>
      <c r="H373" s="8"/>
      <c r="I373" s="8"/>
      <c r="J373" s="4"/>
      <c r="T373" s="1" t="str">
        <f t="shared" ca="1" si="22"/>
        <v/>
      </c>
      <c r="U373" s="1" t="str">
        <f ca="1">IF(T373="","",COUNTIFS($T$4:$T$503,"&gt;0",$T$4:$T$503,"&lt;"&amp;T373)+COUNTIF($T$4:T373,T373))</f>
        <v/>
      </c>
      <c r="V373" s="1" t="str">
        <f t="shared" si="23"/>
        <v/>
      </c>
    </row>
    <row r="374" spans="1:22">
      <c r="A374" s="4"/>
      <c r="B374" s="52" t="str">
        <f>IF(A374="","",IFERROR(INDEX(Lists!$A$4:$A$203,MATCH(A374,Lists!$B$4:$B$203,0)),""))</f>
        <v/>
      </c>
      <c r="C374" s="8" t="str">
        <f>IF(A374="","",IFERROR(INDEX(Lists!$C$4:$C$203,MATCH(A374,Lists!$B$4:$B$203,0)),""))</f>
        <v/>
      </c>
      <c r="D374" s="8"/>
      <c r="E374" s="10"/>
      <c r="F374" s="10" t="str">
        <f t="shared" si="20"/>
        <v/>
      </c>
      <c r="G374" s="8" t="str">
        <f t="shared" ca="1" si="21"/>
        <v/>
      </c>
      <c r="H374" s="8"/>
      <c r="I374" s="8"/>
      <c r="J374" s="4"/>
      <c r="T374" s="1" t="str">
        <f t="shared" ca="1" si="22"/>
        <v/>
      </c>
      <c r="U374" s="1" t="str">
        <f ca="1">IF(T374="","",COUNTIFS($T$4:$T$503,"&gt;0",$T$4:$T$503,"&lt;"&amp;T374)+COUNTIF($T$4:T374,T374))</f>
        <v/>
      </c>
      <c r="V374" s="1" t="str">
        <f t="shared" si="23"/>
        <v/>
      </c>
    </row>
    <row r="375" spans="1:22">
      <c r="A375" s="4"/>
      <c r="B375" s="52" t="str">
        <f>IF(A375="","",IFERROR(INDEX(Lists!$A$4:$A$203,MATCH(A375,Lists!$B$4:$B$203,0)),""))</f>
        <v/>
      </c>
      <c r="C375" s="8" t="str">
        <f>IF(A375="","",IFERROR(INDEX(Lists!$C$4:$C$203,MATCH(A375,Lists!$B$4:$B$203,0)),""))</f>
        <v/>
      </c>
      <c r="D375" s="8"/>
      <c r="E375" s="10"/>
      <c r="F375" s="10" t="str">
        <f t="shared" si="20"/>
        <v/>
      </c>
      <c r="G375" s="8" t="str">
        <f t="shared" ca="1" si="21"/>
        <v/>
      </c>
      <c r="H375" s="8"/>
      <c r="I375" s="8"/>
      <c r="J375" s="4"/>
      <c r="T375" s="1" t="str">
        <f t="shared" ca="1" si="22"/>
        <v/>
      </c>
      <c r="U375" s="1" t="str">
        <f ca="1">IF(T375="","",COUNTIFS($T$4:$T$503,"&gt;0",$T$4:$T$503,"&lt;"&amp;T375)+COUNTIF($T$4:T375,T375))</f>
        <v/>
      </c>
      <c r="V375" s="1" t="str">
        <f t="shared" si="23"/>
        <v/>
      </c>
    </row>
    <row r="376" spans="1:22">
      <c r="A376" s="4"/>
      <c r="B376" s="52" t="str">
        <f>IF(A376="","",IFERROR(INDEX(Lists!$A$4:$A$203,MATCH(A376,Lists!$B$4:$B$203,0)),""))</f>
        <v/>
      </c>
      <c r="C376" s="8" t="str">
        <f>IF(A376="","",IFERROR(INDEX(Lists!$C$4:$C$203,MATCH(A376,Lists!$B$4:$B$203,0)),""))</f>
        <v/>
      </c>
      <c r="D376" s="8"/>
      <c r="E376" s="10"/>
      <c r="F376" s="10" t="str">
        <f t="shared" si="20"/>
        <v/>
      </c>
      <c r="G376" s="8" t="str">
        <f t="shared" ca="1" si="21"/>
        <v/>
      </c>
      <c r="H376" s="8"/>
      <c r="I376" s="8"/>
      <c r="J376" s="4"/>
      <c r="T376" s="1" t="str">
        <f t="shared" ca="1" si="22"/>
        <v/>
      </c>
      <c r="U376" s="1" t="str">
        <f ca="1">IF(T376="","",COUNTIFS($T$4:$T$503,"&gt;0",$T$4:$T$503,"&lt;"&amp;T376)+COUNTIF($T$4:T376,T376))</f>
        <v/>
      </c>
      <c r="V376" s="1" t="str">
        <f t="shared" si="23"/>
        <v/>
      </c>
    </row>
    <row r="377" spans="1:22">
      <c r="A377" s="4"/>
      <c r="B377" s="52" t="str">
        <f>IF(A377="","",IFERROR(INDEX(Lists!$A$4:$A$203,MATCH(A377,Lists!$B$4:$B$203,0)),""))</f>
        <v/>
      </c>
      <c r="C377" s="8" t="str">
        <f>IF(A377="","",IFERROR(INDEX(Lists!$C$4:$C$203,MATCH(A377,Lists!$B$4:$B$203,0)),""))</f>
        <v/>
      </c>
      <c r="D377" s="8"/>
      <c r="E377" s="10"/>
      <c r="F377" s="10" t="str">
        <f t="shared" si="20"/>
        <v/>
      </c>
      <c r="G377" s="8" t="str">
        <f t="shared" ca="1" si="21"/>
        <v/>
      </c>
      <c r="H377" s="8"/>
      <c r="I377" s="8"/>
      <c r="J377" s="4"/>
      <c r="T377" s="1" t="str">
        <f t="shared" ca="1" si="22"/>
        <v/>
      </c>
      <c r="U377" s="1" t="str">
        <f ca="1">IF(T377="","",COUNTIFS($T$4:$T$503,"&gt;0",$T$4:$T$503,"&lt;"&amp;T377)+COUNTIF($T$4:T377,T377))</f>
        <v/>
      </c>
      <c r="V377" s="1" t="str">
        <f t="shared" si="23"/>
        <v/>
      </c>
    </row>
    <row r="378" spans="1:22">
      <c r="A378" s="4"/>
      <c r="B378" s="52" t="str">
        <f>IF(A378="","",IFERROR(INDEX(Lists!$A$4:$A$203,MATCH(A378,Lists!$B$4:$B$203,0)),""))</f>
        <v/>
      </c>
      <c r="C378" s="8" t="str">
        <f>IF(A378="","",IFERROR(INDEX(Lists!$C$4:$C$203,MATCH(A378,Lists!$B$4:$B$203,0)),""))</f>
        <v/>
      </c>
      <c r="D378" s="8"/>
      <c r="E378" s="10"/>
      <c r="F378" s="10" t="str">
        <f t="shared" si="20"/>
        <v/>
      </c>
      <c r="G378" s="8" t="str">
        <f t="shared" ca="1" si="21"/>
        <v/>
      </c>
      <c r="H378" s="8"/>
      <c r="I378" s="8"/>
      <c r="J378" s="4"/>
      <c r="T378" s="1" t="str">
        <f t="shared" ca="1" si="22"/>
        <v/>
      </c>
      <c r="U378" s="1" t="str">
        <f ca="1">IF(T378="","",COUNTIFS($T$4:$T$503,"&gt;0",$T$4:$T$503,"&lt;"&amp;T378)+COUNTIF($T$4:T378,T378))</f>
        <v/>
      </c>
      <c r="V378" s="1" t="str">
        <f t="shared" si="23"/>
        <v/>
      </c>
    </row>
    <row r="379" spans="1:22">
      <c r="A379" s="4"/>
      <c r="B379" s="52" t="str">
        <f>IF(A379="","",IFERROR(INDEX(Lists!$A$4:$A$203,MATCH(A379,Lists!$B$4:$B$203,0)),""))</f>
        <v/>
      </c>
      <c r="C379" s="8" t="str">
        <f>IF(A379="","",IFERROR(INDEX(Lists!$C$4:$C$203,MATCH(A379,Lists!$B$4:$B$203,0)),""))</f>
        <v/>
      </c>
      <c r="D379" s="8"/>
      <c r="E379" s="10"/>
      <c r="F379" s="10" t="str">
        <f t="shared" si="20"/>
        <v/>
      </c>
      <c r="G379" s="8" t="str">
        <f t="shared" ca="1" si="21"/>
        <v/>
      </c>
      <c r="H379" s="8"/>
      <c r="I379" s="8"/>
      <c r="J379" s="4"/>
      <c r="T379" s="1" t="str">
        <f t="shared" ca="1" si="22"/>
        <v/>
      </c>
      <c r="U379" s="1" t="str">
        <f ca="1">IF(T379="","",COUNTIFS($T$4:$T$503,"&gt;0",$T$4:$T$503,"&lt;"&amp;T379)+COUNTIF($T$4:T379,T379))</f>
        <v/>
      </c>
      <c r="V379" s="1" t="str">
        <f t="shared" si="23"/>
        <v/>
      </c>
    </row>
    <row r="380" spans="1:22">
      <c r="A380" s="4"/>
      <c r="B380" s="52" t="str">
        <f>IF(A380="","",IFERROR(INDEX(Lists!$A$4:$A$203,MATCH(A380,Lists!$B$4:$B$203,0)),""))</f>
        <v/>
      </c>
      <c r="C380" s="8" t="str">
        <f>IF(A380="","",IFERROR(INDEX(Lists!$C$4:$C$203,MATCH(A380,Lists!$B$4:$B$203,0)),""))</f>
        <v/>
      </c>
      <c r="D380" s="8"/>
      <c r="E380" s="10"/>
      <c r="F380" s="10" t="str">
        <f t="shared" si="20"/>
        <v/>
      </c>
      <c r="G380" s="8" t="str">
        <f t="shared" ca="1" si="21"/>
        <v/>
      </c>
      <c r="H380" s="8"/>
      <c r="I380" s="8"/>
      <c r="J380" s="4"/>
      <c r="T380" s="1" t="str">
        <f t="shared" ca="1" si="22"/>
        <v/>
      </c>
      <c r="U380" s="1" t="str">
        <f ca="1">IF(T380="","",COUNTIFS($T$4:$T$503,"&gt;0",$T$4:$T$503,"&lt;"&amp;T380)+COUNTIF($T$4:T380,T380))</f>
        <v/>
      </c>
      <c r="V380" s="1" t="str">
        <f t="shared" si="23"/>
        <v/>
      </c>
    </row>
    <row r="381" spans="1:22">
      <c r="A381" s="4"/>
      <c r="B381" s="52" t="str">
        <f>IF(A381="","",IFERROR(INDEX(Lists!$A$4:$A$203,MATCH(A381,Lists!$B$4:$B$203,0)),""))</f>
        <v/>
      </c>
      <c r="C381" s="8" t="str">
        <f>IF(A381="","",IFERROR(INDEX(Lists!$C$4:$C$203,MATCH(A381,Lists!$B$4:$B$203,0)),""))</f>
        <v/>
      </c>
      <c r="D381" s="8"/>
      <c r="E381" s="10"/>
      <c r="F381" s="10" t="str">
        <f t="shared" si="20"/>
        <v/>
      </c>
      <c r="G381" s="8" t="str">
        <f t="shared" ca="1" si="21"/>
        <v/>
      </c>
      <c r="H381" s="8"/>
      <c r="I381" s="8"/>
      <c r="J381" s="4"/>
      <c r="T381" s="1" t="str">
        <f t="shared" ca="1" si="22"/>
        <v/>
      </c>
      <c r="U381" s="1" t="str">
        <f ca="1">IF(T381="","",COUNTIFS($T$4:$T$503,"&gt;0",$T$4:$T$503,"&lt;"&amp;T381)+COUNTIF($T$4:T381,T381))</f>
        <v/>
      </c>
      <c r="V381" s="1" t="str">
        <f t="shared" si="23"/>
        <v/>
      </c>
    </row>
    <row r="382" spans="1:22">
      <c r="A382" s="4"/>
      <c r="B382" s="52" t="str">
        <f>IF(A382="","",IFERROR(INDEX(Lists!$A$4:$A$203,MATCH(A382,Lists!$B$4:$B$203,0)),""))</f>
        <v/>
      </c>
      <c r="C382" s="8" t="str">
        <f>IF(A382="","",IFERROR(INDEX(Lists!$C$4:$C$203,MATCH(A382,Lists!$B$4:$B$203,0)),""))</f>
        <v/>
      </c>
      <c r="D382" s="8"/>
      <c r="E382" s="10"/>
      <c r="F382" s="10" t="str">
        <f t="shared" si="20"/>
        <v/>
      </c>
      <c r="G382" s="8" t="str">
        <f t="shared" ca="1" si="21"/>
        <v/>
      </c>
      <c r="H382" s="8"/>
      <c r="I382" s="8"/>
      <c r="J382" s="4"/>
      <c r="T382" s="1" t="str">
        <f t="shared" ca="1" si="22"/>
        <v/>
      </c>
      <c r="U382" s="1" t="str">
        <f ca="1">IF(T382="","",COUNTIFS($T$4:$T$503,"&gt;0",$T$4:$T$503,"&lt;"&amp;T382)+COUNTIF($T$4:T382,T382))</f>
        <v/>
      </c>
      <c r="V382" s="1" t="str">
        <f t="shared" si="23"/>
        <v/>
      </c>
    </row>
    <row r="383" spans="1:22">
      <c r="A383" s="4"/>
      <c r="B383" s="52" t="str">
        <f>IF(A383="","",IFERROR(INDEX(Lists!$A$4:$A$203,MATCH(A383,Lists!$B$4:$B$203,0)),""))</f>
        <v/>
      </c>
      <c r="C383" s="8" t="str">
        <f>IF(A383="","",IFERROR(INDEX(Lists!$C$4:$C$203,MATCH(A383,Lists!$B$4:$B$203,0)),""))</f>
        <v/>
      </c>
      <c r="D383" s="8"/>
      <c r="E383" s="10"/>
      <c r="F383" s="10" t="str">
        <f t="shared" si="20"/>
        <v/>
      </c>
      <c r="G383" s="8" t="str">
        <f t="shared" ca="1" si="21"/>
        <v/>
      </c>
      <c r="H383" s="8"/>
      <c r="I383" s="8"/>
      <c r="J383" s="4"/>
      <c r="T383" s="1" t="str">
        <f t="shared" ca="1" si="22"/>
        <v/>
      </c>
      <c r="U383" s="1" t="str">
        <f ca="1">IF(T383="","",COUNTIFS($T$4:$T$503,"&gt;0",$T$4:$T$503,"&lt;"&amp;T383)+COUNTIF($T$4:T383,T383))</f>
        <v/>
      </c>
      <c r="V383" s="1" t="str">
        <f t="shared" si="23"/>
        <v/>
      </c>
    </row>
    <row r="384" spans="1:22">
      <c r="A384" s="4"/>
      <c r="B384" s="52" t="str">
        <f>IF(A384="","",IFERROR(INDEX(Lists!$A$4:$A$203,MATCH(A384,Lists!$B$4:$B$203,0)),""))</f>
        <v/>
      </c>
      <c r="C384" s="8" t="str">
        <f>IF(A384="","",IFERROR(INDEX(Lists!$C$4:$C$203,MATCH(A384,Lists!$B$4:$B$203,0)),""))</f>
        <v/>
      </c>
      <c r="D384" s="8"/>
      <c r="E384" s="10"/>
      <c r="F384" s="10" t="str">
        <f t="shared" si="20"/>
        <v/>
      </c>
      <c r="G384" s="8" t="str">
        <f t="shared" ca="1" si="21"/>
        <v/>
      </c>
      <c r="H384" s="8"/>
      <c r="I384" s="8"/>
      <c r="J384" s="4"/>
      <c r="T384" s="1" t="str">
        <f t="shared" ca="1" si="22"/>
        <v/>
      </c>
      <c r="U384" s="1" t="str">
        <f ca="1">IF(T384="","",COUNTIFS($T$4:$T$503,"&gt;0",$T$4:$T$503,"&lt;"&amp;T384)+COUNTIF($T$4:T384,T384))</f>
        <v/>
      </c>
      <c r="V384" s="1" t="str">
        <f t="shared" si="23"/>
        <v/>
      </c>
    </row>
    <row r="385" spans="1:22">
      <c r="A385" s="4"/>
      <c r="B385" s="52" t="str">
        <f>IF(A385="","",IFERROR(INDEX(Lists!$A$4:$A$203,MATCH(A385,Lists!$B$4:$B$203,0)),""))</f>
        <v/>
      </c>
      <c r="C385" s="8" t="str">
        <f>IF(A385="","",IFERROR(INDEX(Lists!$C$4:$C$203,MATCH(A385,Lists!$B$4:$B$203,0)),""))</f>
        <v/>
      </c>
      <c r="D385" s="8"/>
      <c r="E385" s="10"/>
      <c r="F385" s="10" t="str">
        <f t="shared" si="20"/>
        <v/>
      </c>
      <c r="G385" s="8" t="str">
        <f t="shared" ca="1" si="21"/>
        <v/>
      </c>
      <c r="H385" s="8"/>
      <c r="I385" s="8"/>
      <c r="J385" s="4"/>
      <c r="T385" s="1" t="str">
        <f t="shared" ca="1" si="22"/>
        <v/>
      </c>
      <c r="U385" s="1" t="str">
        <f ca="1">IF(T385="","",COUNTIFS($T$4:$T$503,"&gt;0",$T$4:$T$503,"&lt;"&amp;T385)+COUNTIF($T$4:T385,T385))</f>
        <v/>
      </c>
      <c r="V385" s="1" t="str">
        <f t="shared" si="23"/>
        <v/>
      </c>
    </row>
    <row r="386" spans="1:22">
      <c r="A386" s="4"/>
      <c r="B386" s="52" t="str">
        <f>IF(A386="","",IFERROR(INDEX(Lists!$A$4:$A$203,MATCH(A386,Lists!$B$4:$B$203,0)),""))</f>
        <v/>
      </c>
      <c r="C386" s="8" t="str">
        <f>IF(A386="","",IFERROR(INDEX(Lists!$C$4:$C$203,MATCH(A386,Lists!$B$4:$B$203,0)),""))</f>
        <v/>
      </c>
      <c r="D386" s="8"/>
      <c r="E386" s="10"/>
      <c r="F386" s="10" t="str">
        <f t="shared" si="20"/>
        <v/>
      </c>
      <c r="G386" s="8" t="str">
        <f t="shared" ca="1" si="21"/>
        <v/>
      </c>
      <c r="H386" s="8"/>
      <c r="I386" s="8"/>
      <c r="J386" s="4"/>
      <c r="T386" s="1" t="str">
        <f t="shared" ca="1" si="22"/>
        <v/>
      </c>
      <c r="U386" s="1" t="str">
        <f ca="1">IF(T386="","",COUNTIFS($T$4:$T$503,"&gt;0",$T$4:$T$503,"&lt;"&amp;T386)+COUNTIF($T$4:T386,T386))</f>
        <v/>
      </c>
      <c r="V386" s="1" t="str">
        <f t="shared" si="23"/>
        <v/>
      </c>
    </row>
    <row r="387" spans="1:22">
      <c r="A387" s="4"/>
      <c r="B387" s="52" t="str">
        <f>IF(A387="","",IFERROR(INDEX(Lists!$A$4:$A$203,MATCH(A387,Lists!$B$4:$B$203,0)),""))</f>
        <v/>
      </c>
      <c r="C387" s="8" t="str">
        <f>IF(A387="","",IFERROR(INDEX(Lists!$C$4:$C$203,MATCH(A387,Lists!$B$4:$B$203,0)),""))</f>
        <v/>
      </c>
      <c r="D387" s="8"/>
      <c r="E387" s="10"/>
      <c r="F387" s="10" t="str">
        <f t="shared" si="20"/>
        <v/>
      </c>
      <c r="G387" s="8" t="str">
        <f t="shared" ca="1" si="21"/>
        <v/>
      </c>
      <c r="H387" s="8"/>
      <c r="I387" s="8"/>
      <c r="J387" s="4"/>
      <c r="T387" s="1" t="str">
        <f t="shared" ca="1" si="22"/>
        <v/>
      </c>
      <c r="U387" s="1" t="str">
        <f ca="1">IF(T387="","",COUNTIFS($T$4:$T$503,"&gt;0",$T$4:$T$503,"&lt;"&amp;T387)+COUNTIF($T$4:T387,T387))</f>
        <v/>
      </c>
      <c r="V387" s="1" t="str">
        <f t="shared" si="23"/>
        <v/>
      </c>
    </row>
    <row r="388" spans="1:22">
      <c r="A388" s="4"/>
      <c r="B388" s="52" t="str">
        <f>IF(A388="","",IFERROR(INDEX(Lists!$A$4:$A$203,MATCH(A388,Lists!$B$4:$B$203,0)),""))</f>
        <v/>
      </c>
      <c r="C388" s="8" t="str">
        <f>IF(A388="","",IFERROR(INDEX(Lists!$C$4:$C$203,MATCH(A388,Lists!$B$4:$B$203,0)),""))</f>
        <v/>
      </c>
      <c r="D388" s="8"/>
      <c r="E388" s="10"/>
      <c r="F388" s="10" t="str">
        <f t="shared" ref="F388:F451" si="24">IF(OR(A388="",D388="",E388=""),"",IFERROR(EDATE(E388,INDEX($O$4:$O$63,MATCH(D388,$M$4:$M$63,0))),""))</f>
        <v/>
      </c>
      <c r="G388" s="8" t="str">
        <f t="shared" ref="G388:G451" ca="1" si="25">IF(A388="","",IF(D388="","Missing Certification",IF(F388="","Missing Date",IF(F388&lt;TODAY(),"Expired",IF(F388&lt;=TODAY()+IFERROR(INDEX($P$4:$P$63,MATCH(D388,$M$4:$M$63,0)),30),"Due Soon","Current")))))</f>
        <v/>
      </c>
      <c r="H388" s="8"/>
      <c r="I388" s="8"/>
      <c r="J388" s="4"/>
      <c r="T388" s="1" t="str">
        <f t="shared" ref="T388:T451" ca="1" si="26">IF(G388="Expired",1,IF(G388="Due Soon",2,IF(OR(G388="Missing Date",G388="Missing Certification"),3,"")))</f>
        <v/>
      </c>
      <c r="U388" s="1" t="str">
        <f ca="1">IF(T388="","",COUNTIFS($T$4:$T$503,"&gt;0",$T$4:$T$503,"&lt;"&amp;T388)+COUNTIF($T$4:T388,T388))</f>
        <v/>
      </c>
      <c r="V388" s="1" t="str">
        <f t="shared" ref="V388:V451" si="27">IFERROR(INDEX($N$4:$N$63,MATCH(D388,$M$4:$M$63,0)),"")</f>
        <v/>
      </c>
    </row>
    <row r="389" spans="1:22">
      <c r="A389" s="4"/>
      <c r="B389" s="52" t="str">
        <f>IF(A389="","",IFERROR(INDEX(Lists!$A$4:$A$203,MATCH(A389,Lists!$B$4:$B$203,0)),""))</f>
        <v/>
      </c>
      <c r="C389" s="8" t="str">
        <f>IF(A389="","",IFERROR(INDEX(Lists!$C$4:$C$203,MATCH(A389,Lists!$B$4:$B$203,0)),""))</f>
        <v/>
      </c>
      <c r="D389" s="8"/>
      <c r="E389" s="10"/>
      <c r="F389" s="10" t="str">
        <f t="shared" si="24"/>
        <v/>
      </c>
      <c r="G389" s="8" t="str">
        <f t="shared" ca="1" si="25"/>
        <v/>
      </c>
      <c r="H389" s="8"/>
      <c r="I389" s="8"/>
      <c r="J389" s="4"/>
      <c r="T389" s="1" t="str">
        <f t="shared" ca="1" si="26"/>
        <v/>
      </c>
      <c r="U389" s="1" t="str">
        <f ca="1">IF(T389="","",COUNTIFS($T$4:$T$503,"&gt;0",$T$4:$T$503,"&lt;"&amp;T389)+COUNTIF($T$4:T389,T389))</f>
        <v/>
      </c>
      <c r="V389" s="1" t="str">
        <f t="shared" si="27"/>
        <v/>
      </c>
    </row>
    <row r="390" spans="1:22">
      <c r="A390" s="4"/>
      <c r="B390" s="52" t="str">
        <f>IF(A390="","",IFERROR(INDEX(Lists!$A$4:$A$203,MATCH(A390,Lists!$B$4:$B$203,0)),""))</f>
        <v/>
      </c>
      <c r="C390" s="8" t="str">
        <f>IF(A390="","",IFERROR(INDEX(Lists!$C$4:$C$203,MATCH(A390,Lists!$B$4:$B$203,0)),""))</f>
        <v/>
      </c>
      <c r="D390" s="8"/>
      <c r="E390" s="10"/>
      <c r="F390" s="10" t="str">
        <f t="shared" si="24"/>
        <v/>
      </c>
      <c r="G390" s="8" t="str">
        <f t="shared" ca="1" si="25"/>
        <v/>
      </c>
      <c r="H390" s="8"/>
      <c r="I390" s="8"/>
      <c r="J390" s="4"/>
      <c r="T390" s="1" t="str">
        <f t="shared" ca="1" si="26"/>
        <v/>
      </c>
      <c r="U390" s="1" t="str">
        <f ca="1">IF(T390="","",COUNTIFS($T$4:$T$503,"&gt;0",$T$4:$T$503,"&lt;"&amp;T390)+COUNTIF($T$4:T390,T390))</f>
        <v/>
      </c>
      <c r="V390" s="1" t="str">
        <f t="shared" si="27"/>
        <v/>
      </c>
    </row>
    <row r="391" spans="1:22">
      <c r="A391" s="4"/>
      <c r="B391" s="52" t="str">
        <f>IF(A391="","",IFERROR(INDEX(Lists!$A$4:$A$203,MATCH(A391,Lists!$B$4:$B$203,0)),""))</f>
        <v/>
      </c>
      <c r="C391" s="8" t="str">
        <f>IF(A391="","",IFERROR(INDEX(Lists!$C$4:$C$203,MATCH(A391,Lists!$B$4:$B$203,0)),""))</f>
        <v/>
      </c>
      <c r="D391" s="8"/>
      <c r="E391" s="10"/>
      <c r="F391" s="10" t="str">
        <f t="shared" si="24"/>
        <v/>
      </c>
      <c r="G391" s="8" t="str">
        <f t="shared" ca="1" si="25"/>
        <v/>
      </c>
      <c r="H391" s="8"/>
      <c r="I391" s="8"/>
      <c r="J391" s="4"/>
      <c r="T391" s="1" t="str">
        <f t="shared" ca="1" si="26"/>
        <v/>
      </c>
      <c r="U391" s="1" t="str">
        <f ca="1">IF(T391="","",COUNTIFS($T$4:$T$503,"&gt;0",$T$4:$T$503,"&lt;"&amp;T391)+COUNTIF($T$4:T391,T391))</f>
        <v/>
      </c>
      <c r="V391" s="1" t="str">
        <f t="shared" si="27"/>
        <v/>
      </c>
    </row>
    <row r="392" spans="1:22">
      <c r="A392" s="4"/>
      <c r="B392" s="52" t="str">
        <f>IF(A392="","",IFERROR(INDEX(Lists!$A$4:$A$203,MATCH(A392,Lists!$B$4:$B$203,0)),""))</f>
        <v/>
      </c>
      <c r="C392" s="8" t="str">
        <f>IF(A392="","",IFERROR(INDEX(Lists!$C$4:$C$203,MATCH(A392,Lists!$B$4:$B$203,0)),""))</f>
        <v/>
      </c>
      <c r="D392" s="8"/>
      <c r="E392" s="10"/>
      <c r="F392" s="10" t="str">
        <f t="shared" si="24"/>
        <v/>
      </c>
      <c r="G392" s="8" t="str">
        <f t="shared" ca="1" si="25"/>
        <v/>
      </c>
      <c r="H392" s="8"/>
      <c r="I392" s="8"/>
      <c r="J392" s="4"/>
      <c r="T392" s="1" t="str">
        <f t="shared" ca="1" si="26"/>
        <v/>
      </c>
      <c r="U392" s="1" t="str">
        <f ca="1">IF(T392="","",COUNTIFS($T$4:$T$503,"&gt;0",$T$4:$T$503,"&lt;"&amp;T392)+COUNTIF($T$4:T392,T392))</f>
        <v/>
      </c>
      <c r="V392" s="1" t="str">
        <f t="shared" si="27"/>
        <v/>
      </c>
    </row>
    <row r="393" spans="1:22">
      <c r="A393" s="4"/>
      <c r="B393" s="52" t="str">
        <f>IF(A393="","",IFERROR(INDEX(Lists!$A$4:$A$203,MATCH(A393,Lists!$B$4:$B$203,0)),""))</f>
        <v/>
      </c>
      <c r="C393" s="8" t="str">
        <f>IF(A393="","",IFERROR(INDEX(Lists!$C$4:$C$203,MATCH(A393,Lists!$B$4:$B$203,0)),""))</f>
        <v/>
      </c>
      <c r="D393" s="8"/>
      <c r="E393" s="10"/>
      <c r="F393" s="10" t="str">
        <f t="shared" si="24"/>
        <v/>
      </c>
      <c r="G393" s="8" t="str">
        <f t="shared" ca="1" si="25"/>
        <v/>
      </c>
      <c r="H393" s="8"/>
      <c r="I393" s="8"/>
      <c r="J393" s="4"/>
      <c r="T393" s="1" t="str">
        <f t="shared" ca="1" si="26"/>
        <v/>
      </c>
      <c r="U393" s="1" t="str">
        <f ca="1">IF(T393="","",COUNTIFS($T$4:$T$503,"&gt;0",$T$4:$T$503,"&lt;"&amp;T393)+COUNTIF($T$4:T393,T393))</f>
        <v/>
      </c>
      <c r="V393" s="1" t="str">
        <f t="shared" si="27"/>
        <v/>
      </c>
    </row>
    <row r="394" spans="1:22">
      <c r="A394" s="4"/>
      <c r="B394" s="52" t="str">
        <f>IF(A394="","",IFERROR(INDEX(Lists!$A$4:$A$203,MATCH(A394,Lists!$B$4:$B$203,0)),""))</f>
        <v/>
      </c>
      <c r="C394" s="8" t="str">
        <f>IF(A394="","",IFERROR(INDEX(Lists!$C$4:$C$203,MATCH(A394,Lists!$B$4:$B$203,0)),""))</f>
        <v/>
      </c>
      <c r="D394" s="8"/>
      <c r="E394" s="10"/>
      <c r="F394" s="10" t="str">
        <f t="shared" si="24"/>
        <v/>
      </c>
      <c r="G394" s="8" t="str">
        <f t="shared" ca="1" si="25"/>
        <v/>
      </c>
      <c r="H394" s="8"/>
      <c r="I394" s="8"/>
      <c r="J394" s="4"/>
      <c r="T394" s="1" t="str">
        <f t="shared" ca="1" si="26"/>
        <v/>
      </c>
      <c r="U394" s="1" t="str">
        <f ca="1">IF(T394="","",COUNTIFS($T$4:$T$503,"&gt;0",$T$4:$T$503,"&lt;"&amp;T394)+COUNTIF($T$4:T394,T394))</f>
        <v/>
      </c>
      <c r="V394" s="1" t="str">
        <f t="shared" si="27"/>
        <v/>
      </c>
    </row>
    <row r="395" spans="1:22">
      <c r="A395" s="4"/>
      <c r="B395" s="52" t="str">
        <f>IF(A395="","",IFERROR(INDEX(Lists!$A$4:$A$203,MATCH(A395,Lists!$B$4:$B$203,0)),""))</f>
        <v/>
      </c>
      <c r="C395" s="8" t="str">
        <f>IF(A395="","",IFERROR(INDEX(Lists!$C$4:$C$203,MATCH(A395,Lists!$B$4:$B$203,0)),""))</f>
        <v/>
      </c>
      <c r="D395" s="8"/>
      <c r="E395" s="10"/>
      <c r="F395" s="10" t="str">
        <f t="shared" si="24"/>
        <v/>
      </c>
      <c r="G395" s="8" t="str">
        <f t="shared" ca="1" si="25"/>
        <v/>
      </c>
      <c r="H395" s="8"/>
      <c r="I395" s="8"/>
      <c r="J395" s="4"/>
      <c r="T395" s="1" t="str">
        <f t="shared" ca="1" si="26"/>
        <v/>
      </c>
      <c r="U395" s="1" t="str">
        <f ca="1">IF(T395="","",COUNTIFS($T$4:$T$503,"&gt;0",$T$4:$T$503,"&lt;"&amp;T395)+COUNTIF($T$4:T395,T395))</f>
        <v/>
      </c>
      <c r="V395" s="1" t="str">
        <f t="shared" si="27"/>
        <v/>
      </c>
    </row>
    <row r="396" spans="1:22">
      <c r="A396" s="4"/>
      <c r="B396" s="52" t="str">
        <f>IF(A396="","",IFERROR(INDEX(Lists!$A$4:$A$203,MATCH(A396,Lists!$B$4:$B$203,0)),""))</f>
        <v/>
      </c>
      <c r="C396" s="8" t="str">
        <f>IF(A396="","",IFERROR(INDEX(Lists!$C$4:$C$203,MATCH(A396,Lists!$B$4:$B$203,0)),""))</f>
        <v/>
      </c>
      <c r="D396" s="8"/>
      <c r="E396" s="10"/>
      <c r="F396" s="10" t="str">
        <f t="shared" si="24"/>
        <v/>
      </c>
      <c r="G396" s="8" t="str">
        <f t="shared" ca="1" si="25"/>
        <v/>
      </c>
      <c r="H396" s="8"/>
      <c r="I396" s="8"/>
      <c r="J396" s="4"/>
      <c r="T396" s="1" t="str">
        <f t="shared" ca="1" si="26"/>
        <v/>
      </c>
      <c r="U396" s="1" t="str">
        <f ca="1">IF(T396="","",COUNTIFS($T$4:$T$503,"&gt;0",$T$4:$T$503,"&lt;"&amp;T396)+COUNTIF($T$4:T396,T396))</f>
        <v/>
      </c>
      <c r="V396" s="1" t="str">
        <f t="shared" si="27"/>
        <v/>
      </c>
    </row>
    <row r="397" spans="1:22">
      <c r="A397" s="4"/>
      <c r="B397" s="52" t="str">
        <f>IF(A397="","",IFERROR(INDEX(Lists!$A$4:$A$203,MATCH(A397,Lists!$B$4:$B$203,0)),""))</f>
        <v/>
      </c>
      <c r="C397" s="8" t="str">
        <f>IF(A397="","",IFERROR(INDEX(Lists!$C$4:$C$203,MATCH(A397,Lists!$B$4:$B$203,0)),""))</f>
        <v/>
      </c>
      <c r="D397" s="8"/>
      <c r="E397" s="10"/>
      <c r="F397" s="10" t="str">
        <f t="shared" si="24"/>
        <v/>
      </c>
      <c r="G397" s="8" t="str">
        <f t="shared" ca="1" si="25"/>
        <v/>
      </c>
      <c r="H397" s="8"/>
      <c r="I397" s="8"/>
      <c r="J397" s="4"/>
      <c r="T397" s="1" t="str">
        <f t="shared" ca="1" si="26"/>
        <v/>
      </c>
      <c r="U397" s="1" t="str">
        <f ca="1">IF(T397="","",COUNTIFS($T$4:$T$503,"&gt;0",$T$4:$T$503,"&lt;"&amp;T397)+COUNTIF($T$4:T397,T397))</f>
        <v/>
      </c>
      <c r="V397" s="1" t="str">
        <f t="shared" si="27"/>
        <v/>
      </c>
    </row>
    <row r="398" spans="1:22">
      <c r="A398" s="4"/>
      <c r="B398" s="52" t="str">
        <f>IF(A398="","",IFERROR(INDEX(Lists!$A$4:$A$203,MATCH(A398,Lists!$B$4:$B$203,0)),""))</f>
        <v/>
      </c>
      <c r="C398" s="8" t="str">
        <f>IF(A398="","",IFERROR(INDEX(Lists!$C$4:$C$203,MATCH(A398,Lists!$B$4:$B$203,0)),""))</f>
        <v/>
      </c>
      <c r="D398" s="8"/>
      <c r="E398" s="10"/>
      <c r="F398" s="10" t="str">
        <f t="shared" si="24"/>
        <v/>
      </c>
      <c r="G398" s="8" t="str">
        <f t="shared" ca="1" si="25"/>
        <v/>
      </c>
      <c r="H398" s="8"/>
      <c r="I398" s="8"/>
      <c r="J398" s="4"/>
      <c r="T398" s="1" t="str">
        <f t="shared" ca="1" si="26"/>
        <v/>
      </c>
      <c r="U398" s="1" t="str">
        <f ca="1">IF(T398="","",COUNTIFS($T$4:$T$503,"&gt;0",$T$4:$T$503,"&lt;"&amp;T398)+COUNTIF($T$4:T398,T398))</f>
        <v/>
      </c>
      <c r="V398" s="1" t="str">
        <f t="shared" si="27"/>
        <v/>
      </c>
    </row>
    <row r="399" spans="1:22">
      <c r="A399" s="4"/>
      <c r="B399" s="52" t="str">
        <f>IF(A399="","",IFERROR(INDEX(Lists!$A$4:$A$203,MATCH(A399,Lists!$B$4:$B$203,0)),""))</f>
        <v/>
      </c>
      <c r="C399" s="8" t="str">
        <f>IF(A399="","",IFERROR(INDEX(Lists!$C$4:$C$203,MATCH(A399,Lists!$B$4:$B$203,0)),""))</f>
        <v/>
      </c>
      <c r="D399" s="8"/>
      <c r="E399" s="10"/>
      <c r="F399" s="10" t="str">
        <f t="shared" si="24"/>
        <v/>
      </c>
      <c r="G399" s="8" t="str">
        <f t="shared" ca="1" si="25"/>
        <v/>
      </c>
      <c r="H399" s="8"/>
      <c r="I399" s="8"/>
      <c r="J399" s="4"/>
      <c r="T399" s="1" t="str">
        <f t="shared" ca="1" si="26"/>
        <v/>
      </c>
      <c r="U399" s="1" t="str">
        <f ca="1">IF(T399="","",COUNTIFS($T$4:$T$503,"&gt;0",$T$4:$T$503,"&lt;"&amp;T399)+COUNTIF($T$4:T399,T399))</f>
        <v/>
      </c>
      <c r="V399" s="1" t="str">
        <f t="shared" si="27"/>
        <v/>
      </c>
    </row>
    <row r="400" spans="1:22">
      <c r="A400" s="4"/>
      <c r="B400" s="52" t="str">
        <f>IF(A400="","",IFERROR(INDEX(Lists!$A$4:$A$203,MATCH(A400,Lists!$B$4:$B$203,0)),""))</f>
        <v/>
      </c>
      <c r="C400" s="8" t="str">
        <f>IF(A400="","",IFERROR(INDEX(Lists!$C$4:$C$203,MATCH(A400,Lists!$B$4:$B$203,0)),""))</f>
        <v/>
      </c>
      <c r="D400" s="8"/>
      <c r="E400" s="10"/>
      <c r="F400" s="10" t="str">
        <f t="shared" si="24"/>
        <v/>
      </c>
      <c r="G400" s="8" t="str">
        <f t="shared" ca="1" si="25"/>
        <v/>
      </c>
      <c r="H400" s="8"/>
      <c r="I400" s="8"/>
      <c r="J400" s="4"/>
      <c r="T400" s="1" t="str">
        <f t="shared" ca="1" si="26"/>
        <v/>
      </c>
      <c r="U400" s="1" t="str">
        <f ca="1">IF(T400="","",COUNTIFS($T$4:$T$503,"&gt;0",$T$4:$T$503,"&lt;"&amp;T400)+COUNTIF($T$4:T400,T400))</f>
        <v/>
      </c>
      <c r="V400" s="1" t="str">
        <f t="shared" si="27"/>
        <v/>
      </c>
    </row>
    <row r="401" spans="1:22">
      <c r="A401" s="4"/>
      <c r="B401" s="52" t="str">
        <f>IF(A401="","",IFERROR(INDEX(Lists!$A$4:$A$203,MATCH(A401,Lists!$B$4:$B$203,0)),""))</f>
        <v/>
      </c>
      <c r="C401" s="8" t="str">
        <f>IF(A401="","",IFERROR(INDEX(Lists!$C$4:$C$203,MATCH(A401,Lists!$B$4:$B$203,0)),""))</f>
        <v/>
      </c>
      <c r="D401" s="8"/>
      <c r="E401" s="10"/>
      <c r="F401" s="10" t="str">
        <f t="shared" si="24"/>
        <v/>
      </c>
      <c r="G401" s="8" t="str">
        <f t="shared" ca="1" si="25"/>
        <v/>
      </c>
      <c r="H401" s="8"/>
      <c r="I401" s="8"/>
      <c r="J401" s="4"/>
      <c r="T401" s="1" t="str">
        <f t="shared" ca="1" si="26"/>
        <v/>
      </c>
      <c r="U401" s="1" t="str">
        <f ca="1">IF(T401="","",COUNTIFS($T$4:$T$503,"&gt;0",$T$4:$T$503,"&lt;"&amp;T401)+COUNTIF($T$4:T401,T401))</f>
        <v/>
      </c>
      <c r="V401" s="1" t="str">
        <f t="shared" si="27"/>
        <v/>
      </c>
    </row>
    <row r="402" spans="1:22">
      <c r="A402" s="4"/>
      <c r="B402" s="52" t="str">
        <f>IF(A402="","",IFERROR(INDEX(Lists!$A$4:$A$203,MATCH(A402,Lists!$B$4:$B$203,0)),""))</f>
        <v/>
      </c>
      <c r="C402" s="8" t="str">
        <f>IF(A402="","",IFERROR(INDEX(Lists!$C$4:$C$203,MATCH(A402,Lists!$B$4:$B$203,0)),""))</f>
        <v/>
      </c>
      <c r="D402" s="8"/>
      <c r="E402" s="10"/>
      <c r="F402" s="10" t="str">
        <f t="shared" si="24"/>
        <v/>
      </c>
      <c r="G402" s="8" t="str">
        <f t="shared" ca="1" si="25"/>
        <v/>
      </c>
      <c r="H402" s="8"/>
      <c r="I402" s="8"/>
      <c r="J402" s="4"/>
      <c r="T402" s="1" t="str">
        <f t="shared" ca="1" si="26"/>
        <v/>
      </c>
      <c r="U402" s="1" t="str">
        <f ca="1">IF(T402="","",COUNTIFS($T$4:$T$503,"&gt;0",$T$4:$T$503,"&lt;"&amp;T402)+COUNTIF($T$4:T402,T402))</f>
        <v/>
      </c>
      <c r="V402" s="1" t="str">
        <f t="shared" si="27"/>
        <v/>
      </c>
    </row>
    <row r="403" spans="1:22">
      <c r="A403" s="4"/>
      <c r="B403" s="52" t="str">
        <f>IF(A403="","",IFERROR(INDEX(Lists!$A$4:$A$203,MATCH(A403,Lists!$B$4:$B$203,0)),""))</f>
        <v/>
      </c>
      <c r="C403" s="8" t="str">
        <f>IF(A403="","",IFERROR(INDEX(Lists!$C$4:$C$203,MATCH(A403,Lists!$B$4:$B$203,0)),""))</f>
        <v/>
      </c>
      <c r="D403" s="8"/>
      <c r="E403" s="10"/>
      <c r="F403" s="10" t="str">
        <f t="shared" si="24"/>
        <v/>
      </c>
      <c r="G403" s="8" t="str">
        <f t="shared" ca="1" si="25"/>
        <v/>
      </c>
      <c r="H403" s="8"/>
      <c r="I403" s="8"/>
      <c r="J403" s="4"/>
      <c r="T403" s="1" t="str">
        <f t="shared" ca="1" si="26"/>
        <v/>
      </c>
      <c r="U403" s="1" t="str">
        <f ca="1">IF(T403="","",COUNTIFS($T$4:$T$503,"&gt;0",$T$4:$T$503,"&lt;"&amp;T403)+COUNTIF($T$4:T403,T403))</f>
        <v/>
      </c>
      <c r="V403" s="1" t="str">
        <f t="shared" si="27"/>
        <v/>
      </c>
    </row>
    <row r="404" spans="1:22">
      <c r="A404" s="4"/>
      <c r="B404" s="52" t="str">
        <f>IF(A404="","",IFERROR(INDEX(Lists!$A$4:$A$203,MATCH(A404,Lists!$B$4:$B$203,0)),""))</f>
        <v/>
      </c>
      <c r="C404" s="8" t="str">
        <f>IF(A404="","",IFERROR(INDEX(Lists!$C$4:$C$203,MATCH(A404,Lists!$B$4:$B$203,0)),""))</f>
        <v/>
      </c>
      <c r="D404" s="8"/>
      <c r="E404" s="10"/>
      <c r="F404" s="10" t="str">
        <f t="shared" si="24"/>
        <v/>
      </c>
      <c r="G404" s="8" t="str">
        <f t="shared" ca="1" si="25"/>
        <v/>
      </c>
      <c r="H404" s="8"/>
      <c r="I404" s="8"/>
      <c r="J404" s="4"/>
      <c r="T404" s="1" t="str">
        <f t="shared" ca="1" si="26"/>
        <v/>
      </c>
      <c r="U404" s="1" t="str">
        <f ca="1">IF(T404="","",COUNTIFS($T$4:$T$503,"&gt;0",$T$4:$T$503,"&lt;"&amp;T404)+COUNTIF($T$4:T404,T404))</f>
        <v/>
      </c>
      <c r="V404" s="1" t="str">
        <f t="shared" si="27"/>
        <v/>
      </c>
    </row>
    <row r="405" spans="1:22">
      <c r="A405" s="4"/>
      <c r="B405" s="52" t="str">
        <f>IF(A405="","",IFERROR(INDEX(Lists!$A$4:$A$203,MATCH(A405,Lists!$B$4:$B$203,0)),""))</f>
        <v/>
      </c>
      <c r="C405" s="8" t="str">
        <f>IF(A405="","",IFERROR(INDEX(Lists!$C$4:$C$203,MATCH(A405,Lists!$B$4:$B$203,0)),""))</f>
        <v/>
      </c>
      <c r="D405" s="8"/>
      <c r="E405" s="10"/>
      <c r="F405" s="10" t="str">
        <f t="shared" si="24"/>
        <v/>
      </c>
      <c r="G405" s="8" t="str">
        <f t="shared" ca="1" si="25"/>
        <v/>
      </c>
      <c r="H405" s="8"/>
      <c r="I405" s="8"/>
      <c r="J405" s="4"/>
      <c r="T405" s="1" t="str">
        <f t="shared" ca="1" si="26"/>
        <v/>
      </c>
      <c r="U405" s="1" t="str">
        <f ca="1">IF(T405="","",COUNTIFS($T$4:$T$503,"&gt;0",$T$4:$T$503,"&lt;"&amp;T405)+COUNTIF($T$4:T405,T405))</f>
        <v/>
      </c>
      <c r="V405" s="1" t="str">
        <f t="shared" si="27"/>
        <v/>
      </c>
    </row>
    <row r="406" spans="1:22">
      <c r="A406" s="4"/>
      <c r="B406" s="52" t="str">
        <f>IF(A406="","",IFERROR(INDEX(Lists!$A$4:$A$203,MATCH(A406,Lists!$B$4:$B$203,0)),""))</f>
        <v/>
      </c>
      <c r="C406" s="8" t="str">
        <f>IF(A406="","",IFERROR(INDEX(Lists!$C$4:$C$203,MATCH(A406,Lists!$B$4:$B$203,0)),""))</f>
        <v/>
      </c>
      <c r="D406" s="8"/>
      <c r="E406" s="10"/>
      <c r="F406" s="10" t="str">
        <f t="shared" si="24"/>
        <v/>
      </c>
      <c r="G406" s="8" t="str">
        <f t="shared" ca="1" si="25"/>
        <v/>
      </c>
      <c r="H406" s="8"/>
      <c r="I406" s="8"/>
      <c r="J406" s="4"/>
      <c r="T406" s="1" t="str">
        <f t="shared" ca="1" si="26"/>
        <v/>
      </c>
      <c r="U406" s="1" t="str">
        <f ca="1">IF(T406="","",COUNTIFS($T$4:$T$503,"&gt;0",$T$4:$T$503,"&lt;"&amp;T406)+COUNTIF($T$4:T406,T406))</f>
        <v/>
      </c>
      <c r="V406" s="1" t="str">
        <f t="shared" si="27"/>
        <v/>
      </c>
    </row>
    <row r="407" spans="1:22">
      <c r="A407" s="4"/>
      <c r="B407" s="52" t="str">
        <f>IF(A407="","",IFERROR(INDEX(Lists!$A$4:$A$203,MATCH(A407,Lists!$B$4:$B$203,0)),""))</f>
        <v/>
      </c>
      <c r="C407" s="8" t="str">
        <f>IF(A407="","",IFERROR(INDEX(Lists!$C$4:$C$203,MATCH(A407,Lists!$B$4:$B$203,0)),""))</f>
        <v/>
      </c>
      <c r="D407" s="8"/>
      <c r="E407" s="10"/>
      <c r="F407" s="10" t="str">
        <f t="shared" si="24"/>
        <v/>
      </c>
      <c r="G407" s="8" t="str">
        <f t="shared" ca="1" si="25"/>
        <v/>
      </c>
      <c r="H407" s="8"/>
      <c r="I407" s="8"/>
      <c r="J407" s="4"/>
      <c r="T407" s="1" t="str">
        <f t="shared" ca="1" si="26"/>
        <v/>
      </c>
      <c r="U407" s="1" t="str">
        <f ca="1">IF(T407="","",COUNTIFS($T$4:$T$503,"&gt;0",$T$4:$T$503,"&lt;"&amp;T407)+COUNTIF($T$4:T407,T407))</f>
        <v/>
      </c>
      <c r="V407" s="1" t="str">
        <f t="shared" si="27"/>
        <v/>
      </c>
    </row>
    <row r="408" spans="1:22">
      <c r="A408" s="4"/>
      <c r="B408" s="52" t="str">
        <f>IF(A408="","",IFERROR(INDEX(Lists!$A$4:$A$203,MATCH(A408,Lists!$B$4:$B$203,0)),""))</f>
        <v/>
      </c>
      <c r="C408" s="8" t="str">
        <f>IF(A408="","",IFERROR(INDEX(Lists!$C$4:$C$203,MATCH(A408,Lists!$B$4:$B$203,0)),""))</f>
        <v/>
      </c>
      <c r="D408" s="8"/>
      <c r="E408" s="10"/>
      <c r="F408" s="10" t="str">
        <f t="shared" si="24"/>
        <v/>
      </c>
      <c r="G408" s="8" t="str">
        <f t="shared" ca="1" si="25"/>
        <v/>
      </c>
      <c r="H408" s="8"/>
      <c r="I408" s="8"/>
      <c r="J408" s="4"/>
      <c r="T408" s="1" t="str">
        <f t="shared" ca="1" si="26"/>
        <v/>
      </c>
      <c r="U408" s="1" t="str">
        <f ca="1">IF(T408="","",COUNTIFS($T$4:$T$503,"&gt;0",$T$4:$T$503,"&lt;"&amp;T408)+COUNTIF($T$4:T408,T408))</f>
        <v/>
      </c>
      <c r="V408" s="1" t="str">
        <f t="shared" si="27"/>
        <v/>
      </c>
    </row>
    <row r="409" spans="1:22">
      <c r="A409" s="4"/>
      <c r="B409" s="52" t="str">
        <f>IF(A409="","",IFERROR(INDEX(Lists!$A$4:$A$203,MATCH(A409,Lists!$B$4:$B$203,0)),""))</f>
        <v/>
      </c>
      <c r="C409" s="8" t="str">
        <f>IF(A409="","",IFERROR(INDEX(Lists!$C$4:$C$203,MATCH(A409,Lists!$B$4:$B$203,0)),""))</f>
        <v/>
      </c>
      <c r="D409" s="8"/>
      <c r="E409" s="10"/>
      <c r="F409" s="10" t="str">
        <f t="shared" si="24"/>
        <v/>
      </c>
      <c r="G409" s="8" t="str">
        <f t="shared" ca="1" si="25"/>
        <v/>
      </c>
      <c r="H409" s="8"/>
      <c r="I409" s="8"/>
      <c r="J409" s="4"/>
      <c r="T409" s="1" t="str">
        <f t="shared" ca="1" si="26"/>
        <v/>
      </c>
      <c r="U409" s="1" t="str">
        <f ca="1">IF(T409="","",COUNTIFS($T$4:$T$503,"&gt;0",$T$4:$T$503,"&lt;"&amp;T409)+COUNTIF($T$4:T409,T409))</f>
        <v/>
      </c>
      <c r="V409" s="1" t="str">
        <f t="shared" si="27"/>
        <v/>
      </c>
    </row>
    <row r="410" spans="1:22">
      <c r="A410" s="4"/>
      <c r="B410" s="52" t="str">
        <f>IF(A410="","",IFERROR(INDEX(Lists!$A$4:$A$203,MATCH(A410,Lists!$B$4:$B$203,0)),""))</f>
        <v/>
      </c>
      <c r="C410" s="8" t="str">
        <f>IF(A410="","",IFERROR(INDEX(Lists!$C$4:$C$203,MATCH(A410,Lists!$B$4:$B$203,0)),""))</f>
        <v/>
      </c>
      <c r="D410" s="8"/>
      <c r="E410" s="10"/>
      <c r="F410" s="10" t="str">
        <f t="shared" si="24"/>
        <v/>
      </c>
      <c r="G410" s="8" t="str">
        <f t="shared" ca="1" si="25"/>
        <v/>
      </c>
      <c r="H410" s="8"/>
      <c r="I410" s="8"/>
      <c r="J410" s="4"/>
      <c r="T410" s="1" t="str">
        <f t="shared" ca="1" si="26"/>
        <v/>
      </c>
      <c r="U410" s="1" t="str">
        <f ca="1">IF(T410="","",COUNTIFS($T$4:$T$503,"&gt;0",$T$4:$T$503,"&lt;"&amp;T410)+COUNTIF($T$4:T410,T410))</f>
        <v/>
      </c>
      <c r="V410" s="1" t="str">
        <f t="shared" si="27"/>
        <v/>
      </c>
    </row>
    <row r="411" spans="1:22">
      <c r="A411" s="4"/>
      <c r="B411" s="52" t="str">
        <f>IF(A411="","",IFERROR(INDEX(Lists!$A$4:$A$203,MATCH(A411,Lists!$B$4:$B$203,0)),""))</f>
        <v/>
      </c>
      <c r="C411" s="8" t="str">
        <f>IF(A411="","",IFERROR(INDEX(Lists!$C$4:$C$203,MATCH(A411,Lists!$B$4:$B$203,0)),""))</f>
        <v/>
      </c>
      <c r="D411" s="8"/>
      <c r="E411" s="10"/>
      <c r="F411" s="10" t="str">
        <f t="shared" si="24"/>
        <v/>
      </c>
      <c r="G411" s="8" t="str">
        <f t="shared" ca="1" si="25"/>
        <v/>
      </c>
      <c r="H411" s="8"/>
      <c r="I411" s="8"/>
      <c r="J411" s="4"/>
      <c r="T411" s="1" t="str">
        <f t="shared" ca="1" si="26"/>
        <v/>
      </c>
      <c r="U411" s="1" t="str">
        <f ca="1">IF(T411="","",COUNTIFS($T$4:$T$503,"&gt;0",$T$4:$T$503,"&lt;"&amp;T411)+COUNTIF($T$4:T411,T411))</f>
        <v/>
      </c>
      <c r="V411" s="1" t="str">
        <f t="shared" si="27"/>
        <v/>
      </c>
    </row>
    <row r="412" spans="1:22">
      <c r="A412" s="4"/>
      <c r="B412" s="52" t="str">
        <f>IF(A412="","",IFERROR(INDEX(Lists!$A$4:$A$203,MATCH(A412,Lists!$B$4:$B$203,0)),""))</f>
        <v/>
      </c>
      <c r="C412" s="8" t="str">
        <f>IF(A412="","",IFERROR(INDEX(Lists!$C$4:$C$203,MATCH(A412,Lists!$B$4:$B$203,0)),""))</f>
        <v/>
      </c>
      <c r="D412" s="8"/>
      <c r="E412" s="10"/>
      <c r="F412" s="10" t="str">
        <f t="shared" si="24"/>
        <v/>
      </c>
      <c r="G412" s="8" t="str">
        <f t="shared" ca="1" si="25"/>
        <v/>
      </c>
      <c r="H412" s="8"/>
      <c r="I412" s="8"/>
      <c r="J412" s="4"/>
      <c r="T412" s="1" t="str">
        <f t="shared" ca="1" si="26"/>
        <v/>
      </c>
      <c r="U412" s="1" t="str">
        <f ca="1">IF(T412="","",COUNTIFS($T$4:$T$503,"&gt;0",$T$4:$T$503,"&lt;"&amp;T412)+COUNTIF($T$4:T412,T412))</f>
        <v/>
      </c>
      <c r="V412" s="1" t="str">
        <f t="shared" si="27"/>
        <v/>
      </c>
    </row>
    <row r="413" spans="1:22">
      <c r="A413" s="4"/>
      <c r="B413" s="52" t="str">
        <f>IF(A413="","",IFERROR(INDEX(Lists!$A$4:$A$203,MATCH(A413,Lists!$B$4:$B$203,0)),""))</f>
        <v/>
      </c>
      <c r="C413" s="8" t="str">
        <f>IF(A413="","",IFERROR(INDEX(Lists!$C$4:$C$203,MATCH(A413,Lists!$B$4:$B$203,0)),""))</f>
        <v/>
      </c>
      <c r="D413" s="8"/>
      <c r="E413" s="10"/>
      <c r="F413" s="10" t="str">
        <f t="shared" si="24"/>
        <v/>
      </c>
      <c r="G413" s="8" t="str">
        <f t="shared" ca="1" si="25"/>
        <v/>
      </c>
      <c r="H413" s="8"/>
      <c r="I413" s="8"/>
      <c r="J413" s="4"/>
      <c r="T413" s="1" t="str">
        <f t="shared" ca="1" si="26"/>
        <v/>
      </c>
      <c r="U413" s="1" t="str">
        <f ca="1">IF(T413="","",COUNTIFS($T$4:$T$503,"&gt;0",$T$4:$T$503,"&lt;"&amp;T413)+COUNTIF($T$4:T413,T413))</f>
        <v/>
      </c>
      <c r="V413" s="1" t="str">
        <f t="shared" si="27"/>
        <v/>
      </c>
    </row>
    <row r="414" spans="1:22">
      <c r="A414" s="4"/>
      <c r="B414" s="52" t="str">
        <f>IF(A414="","",IFERROR(INDEX(Lists!$A$4:$A$203,MATCH(A414,Lists!$B$4:$B$203,0)),""))</f>
        <v/>
      </c>
      <c r="C414" s="8" t="str">
        <f>IF(A414="","",IFERROR(INDEX(Lists!$C$4:$C$203,MATCH(A414,Lists!$B$4:$B$203,0)),""))</f>
        <v/>
      </c>
      <c r="D414" s="8"/>
      <c r="E414" s="10"/>
      <c r="F414" s="10" t="str">
        <f t="shared" si="24"/>
        <v/>
      </c>
      <c r="G414" s="8" t="str">
        <f t="shared" ca="1" si="25"/>
        <v/>
      </c>
      <c r="H414" s="8"/>
      <c r="I414" s="8"/>
      <c r="J414" s="4"/>
      <c r="T414" s="1" t="str">
        <f t="shared" ca="1" si="26"/>
        <v/>
      </c>
      <c r="U414" s="1" t="str">
        <f ca="1">IF(T414="","",COUNTIFS($T$4:$T$503,"&gt;0",$T$4:$T$503,"&lt;"&amp;T414)+COUNTIF($T$4:T414,T414))</f>
        <v/>
      </c>
      <c r="V414" s="1" t="str">
        <f t="shared" si="27"/>
        <v/>
      </c>
    </row>
    <row r="415" spans="1:22">
      <c r="A415" s="4"/>
      <c r="B415" s="52" t="str">
        <f>IF(A415="","",IFERROR(INDEX(Lists!$A$4:$A$203,MATCH(A415,Lists!$B$4:$B$203,0)),""))</f>
        <v/>
      </c>
      <c r="C415" s="8" t="str">
        <f>IF(A415="","",IFERROR(INDEX(Lists!$C$4:$C$203,MATCH(A415,Lists!$B$4:$B$203,0)),""))</f>
        <v/>
      </c>
      <c r="D415" s="8"/>
      <c r="E415" s="10"/>
      <c r="F415" s="10" t="str">
        <f t="shared" si="24"/>
        <v/>
      </c>
      <c r="G415" s="8" t="str">
        <f t="shared" ca="1" si="25"/>
        <v/>
      </c>
      <c r="H415" s="8"/>
      <c r="I415" s="8"/>
      <c r="J415" s="4"/>
      <c r="T415" s="1" t="str">
        <f t="shared" ca="1" si="26"/>
        <v/>
      </c>
      <c r="U415" s="1" t="str">
        <f ca="1">IF(T415="","",COUNTIFS($T$4:$T$503,"&gt;0",$T$4:$T$503,"&lt;"&amp;T415)+COUNTIF($T$4:T415,T415))</f>
        <v/>
      </c>
      <c r="V415" s="1" t="str">
        <f t="shared" si="27"/>
        <v/>
      </c>
    </row>
    <row r="416" spans="1:22">
      <c r="A416" s="4"/>
      <c r="B416" s="52" t="str">
        <f>IF(A416="","",IFERROR(INDEX(Lists!$A$4:$A$203,MATCH(A416,Lists!$B$4:$B$203,0)),""))</f>
        <v/>
      </c>
      <c r="C416" s="8" t="str">
        <f>IF(A416="","",IFERROR(INDEX(Lists!$C$4:$C$203,MATCH(A416,Lists!$B$4:$B$203,0)),""))</f>
        <v/>
      </c>
      <c r="D416" s="8"/>
      <c r="E416" s="10"/>
      <c r="F416" s="10" t="str">
        <f t="shared" si="24"/>
        <v/>
      </c>
      <c r="G416" s="8" t="str">
        <f t="shared" ca="1" si="25"/>
        <v/>
      </c>
      <c r="H416" s="8"/>
      <c r="I416" s="8"/>
      <c r="J416" s="4"/>
      <c r="T416" s="1" t="str">
        <f t="shared" ca="1" si="26"/>
        <v/>
      </c>
      <c r="U416" s="1" t="str">
        <f ca="1">IF(T416="","",COUNTIFS($T$4:$T$503,"&gt;0",$T$4:$T$503,"&lt;"&amp;T416)+COUNTIF($T$4:T416,T416))</f>
        <v/>
      </c>
      <c r="V416" s="1" t="str">
        <f t="shared" si="27"/>
        <v/>
      </c>
    </row>
    <row r="417" spans="1:22">
      <c r="A417" s="4"/>
      <c r="B417" s="52" t="str">
        <f>IF(A417="","",IFERROR(INDEX(Lists!$A$4:$A$203,MATCH(A417,Lists!$B$4:$B$203,0)),""))</f>
        <v/>
      </c>
      <c r="C417" s="8" t="str">
        <f>IF(A417="","",IFERROR(INDEX(Lists!$C$4:$C$203,MATCH(A417,Lists!$B$4:$B$203,0)),""))</f>
        <v/>
      </c>
      <c r="D417" s="8"/>
      <c r="E417" s="10"/>
      <c r="F417" s="10" t="str">
        <f t="shared" si="24"/>
        <v/>
      </c>
      <c r="G417" s="8" t="str">
        <f t="shared" ca="1" si="25"/>
        <v/>
      </c>
      <c r="H417" s="8"/>
      <c r="I417" s="8"/>
      <c r="J417" s="4"/>
      <c r="T417" s="1" t="str">
        <f t="shared" ca="1" si="26"/>
        <v/>
      </c>
      <c r="U417" s="1" t="str">
        <f ca="1">IF(T417="","",COUNTIFS($T$4:$T$503,"&gt;0",$T$4:$T$503,"&lt;"&amp;T417)+COUNTIF($T$4:T417,T417))</f>
        <v/>
      </c>
      <c r="V417" s="1" t="str">
        <f t="shared" si="27"/>
        <v/>
      </c>
    </row>
    <row r="418" spans="1:22">
      <c r="A418" s="4"/>
      <c r="B418" s="52" t="str">
        <f>IF(A418="","",IFERROR(INDEX(Lists!$A$4:$A$203,MATCH(A418,Lists!$B$4:$B$203,0)),""))</f>
        <v/>
      </c>
      <c r="C418" s="8" t="str">
        <f>IF(A418="","",IFERROR(INDEX(Lists!$C$4:$C$203,MATCH(A418,Lists!$B$4:$B$203,0)),""))</f>
        <v/>
      </c>
      <c r="D418" s="8"/>
      <c r="E418" s="10"/>
      <c r="F418" s="10" t="str">
        <f t="shared" si="24"/>
        <v/>
      </c>
      <c r="G418" s="8" t="str">
        <f t="shared" ca="1" si="25"/>
        <v/>
      </c>
      <c r="H418" s="8"/>
      <c r="I418" s="8"/>
      <c r="J418" s="4"/>
      <c r="T418" s="1" t="str">
        <f t="shared" ca="1" si="26"/>
        <v/>
      </c>
      <c r="U418" s="1" t="str">
        <f ca="1">IF(T418="","",COUNTIFS($T$4:$T$503,"&gt;0",$T$4:$T$503,"&lt;"&amp;T418)+COUNTIF($T$4:T418,T418))</f>
        <v/>
      </c>
      <c r="V418" s="1" t="str">
        <f t="shared" si="27"/>
        <v/>
      </c>
    </row>
    <row r="419" spans="1:22">
      <c r="A419" s="4"/>
      <c r="B419" s="52" t="str">
        <f>IF(A419="","",IFERROR(INDEX(Lists!$A$4:$A$203,MATCH(A419,Lists!$B$4:$B$203,0)),""))</f>
        <v/>
      </c>
      <c r="C419" s="8" t="str">
        <f>IF(A419="","",IFERROR(INDEX(Lists!$C$4:$C$203,MATCH(A419,Lists!$B$4:$B$203,0)),""))</f>
        <v/>
      </c>
      <c r="D419" s="8"/>
      <c r="E419" s="10"/>
      <c r="F419" s="10" t="str">
        <f t="shared" si="24"/>
        <v/>
      </c>
      <c r="G419" s="8" t="str">
        <f t="shared" ca="1" si="25"/>
        <v/>
      </c>
      <c r="H419" s="8"/>
      <c r="I419" s="8"/>
      <c r="J419" s="4"/>
      <c r="T419" s="1" t="str">
        <f t="shared" ca="1" si="26"/>
        <v/>
      </c>
      <c r="U419" s="1" t="str">
        <f ca="1">IF(T419="","",COUNTIFS($T$4:$T$503,"&gt;0",$T$4:$T$503,"&lt;"&amp;T419)+COUNTIF($T$4:T419,T419))</f>
        <v/>
      </c>
      <c r="V419" s="1" t="str">
        <f t="shared" si="27"/>
        <v/>
      </c>
    </row>
    <row r="420" spans="1:22">
      <c r="A420" s="4"/>
      <c r="B420" s="52" t="str">
        <f>IF(A420="","",IFERROR(INDEX(Lists!$A$4:$A$203,MATCH(A420,Lists!$B$4:$B$203,0)),""))</f>
        <v/>
      </c>
      <c r="C420" s="8" t="str">
        <f>IF(A420="","",IFERROR(INDEX(Lists!$C$4:$C$203,MATCH(A420,Lists!$B$4:$B$203,0)),""))</f>
        <v/>
      </c>
      <c r="D420" s="8"/>
      <c r="E420" s="10"/>
      <c r="F420" s="10" t="str">
        <f t="shared" si="24"/>
        <v/>
      </c>
      <c r="G420" s="8" t="str">
        <f t="shared" ca="1" si="25"/>
        <v/>
      </c>
      <c r="H420" s="8"/>
      <c r="I420" s="8"/>
      <c r="J420" s="4"/>
      <c r="T420" s="1" t="str">
        <f t="shared" ca="1" si="26"/>
        <v/>
      </c>
      <c r="U420" s="1" t="str">
        <f ca="1">IF(T420="","",COUNTIFS($T$4:$T$503,"&gt;0",$T$4:$T$503,"&lt;"&amp;T420)+COUNTIF($T$4:T420,T420))</f>
        <v/>
      </c>
      <c r="V420" s="1" t="str">
        <f t="shared" si="27"/>
        <v/>
      </c>
    </row>
    <row r="421" spans="1:22">
      <c r="A421" s="4"/>
      <c r="B421" s="52" t="str">
        <f>IF(A421="","",IFERROR(INDEX(Lists!$A$4:$A$203,MATCH(A421,Lists!$B$4:$B$203,0)),""))</f>
        <v/>
      </c>
      <c r="C421" s="8" t="str">
        <f>IF(A421="","",IFERROR(INDEX(Lists!$C$4:$C$203,MATCH(A421,Lists!$B$4:$B$203,0)),""))</f>
        <v/>
      </c>
      <c r="D421" s="8"/>
      <c r="E421" s="10"/>
      <c r="F421" s="10" t="str">
        <f t="shared" si="24"/>
        <v/>
      </c>
      <c r="G421" s="8" t="str">
        <f t="shared" ca="1" si="25"/>
        <v/>
      </c>
      <c r="H421" s="8"/>
      <c r="I421" s="8"/>
      <c r="J421" s="4"/>
      <c r="T421" s="1" t="str">
        <f t="shared" ca="1" si="26"/>
        <v/>
      </c>
      <c r="U421" s="1" t="str">
        <f ca="1">IF(T421="","",COUNTIFS($T$4:$T$503,"&gt;0",$T$4:$T$503,"&lt;"&amp;T421)+COUNTIF($T$4:T421,T421))</f>
        <v/>
      </c>
      <c r="V421" s="1" t="str">
        <f t="shared" si="27"/>
        <v/>
      </c>
    </row>
    <row r="422" spans="1:22">
      <c r="A422" s="4"/>
      <c r="B422" s="52" t="str">
        <f>IF(A422="","",IFERROR(INDEX(Lists!$A$4:$A$203,MATCH(A422,Lists!$B$4:$B$203,0)),""))</f>
        <v/>
      </c>
      <c r="C422" s="8" t="str">
        <f>IF(A422="","",IFERROR(INDEX(Lists!$C$4:$C$203,MATCH(A422,Lists!$B$4:$B$203,0)),""))</f>
        <v/>
      </c>
      <c r="D422" s="8"/>
      <c r="E422" s="10"/>
      <c r="F422" s="10" t="str">
        <f t="shared" si="24"/>
        <v/>
      </c>
      <c r="G422" s="8" t="str">
        <f t="shared" ca="1" si="25"/>
        <v/>
      </c>
      <c r="H422" s="8"/>
      <c r="I422" s="8"/>
      <c r="J422" s="4"/>
      <c r="T422" s="1" t="str">
        <f t="shared" ca="1" si="26"/>
        <v/>
      </c>
      <c r="U422" s="1" t="str">
        <f ca="1">IF(T422="","",COUNTIFS($T$4:$T$503,"&gt;0",$T$4:$T$503,"&lt;"&amp;T422)+COUNTIF($T$4:T422,T422))</f>
        <v/>
      </c>
      <c r="V422" s="1" t="str">
        <f t="shared" si="27"/>
        <v/>
      </c>
    </row>
    <row r="423" spans="1:22">
      <c r="A423" s="4"/>
      <c r="B423" s="52" t="str">
        <f>IF(A423="","",IFERROR(INDEX(Lists!$A$4:$A$203,MATCH(A423,Lists!$B$4:$B$203,0)),""))</f>
        <v/>
      </c>
      <c r="C423" s="8" t="str">
        <f>IF(A423="","",IFERROR(INDEX(Lists!$C$4:$C$203,MATCH(A423,Lists!$B$4:$B$203,0)),""))</f>
        <v/>
      </c>
      <c r="D423" s="8"/>
      <c r="E423" s="10"/>
      <c r="F423" s="10" t="str">
        <f t="shared" si="24"/>
        <v/>
      </c>
      <c r="G423" s="8" t="str">
        <f t="shared" ca="1" si="25"/>
        <v/>
      </c>
      <c r="H423" s="8"/>
      <c r="I423" s="8"/>
      <c r="J423" s="4"/>
      <c r="T423" s="1" t="str">
        <f t="shared" ca="1" si="26"/>
        <v/>
      </c>
      <c r="U423" s="1" t="str">
        <f ca="1">IF(T423="","",COUNTIFS($T$4:$T$503,"&gt;0",$T$4:$T$503,"&lt;"&amp;T423)+COUNTIF($T$4:T423,T423))</f>
        <v/>
      </c>
      <c r="V423" s="1" t="str">
        <f t="shared" si="27"/>
        <v/>
      </c>
    </row>
    <row r="424" spans="1:22">
      <c r="A424" s="4"/>
      <c r="B424" s="52" t="str">
        <f>IF(A424="","",IFERROR(INDEX(Lists!$A$4:$A$203,MATCH(A424,Lists!$B$4:$B$203,0)),""))</f>
        <v/>
      </c>
      <c r="C424" s="8" t="str">
        <f>IF(A424="","",IFERROR(INDEX(Lists!$C$4:$C$203,MATCH(A424,Lists!$B$4:$B$203,0)),""))</f>
        <v/>
      </c>
      <c r="D424" s="8"/>
      <c r="E424" s="10"/>
      <c r="F424" s="10" t="str">
        <f t="shared" si="24"/>
        <v/>
      </c>
      <c r="G424" s="8" t="str">
        <f t="shared" ca="1" si="25"/>
        <v/>
      </c>
      <c r="H424" s="8"/>
      <c r="I424" s="8"/>
      <c r="J424" s="4"/>
      <c r="T424" s="1" t="str">
        <f t="shared" ca="1" si="26"/>
        <v/>
      </c>
      <c r="U424" s="1" t="str">
        <f ca="1">IF(T424="","",COUNTIFS($T$4:$T$503,"&gt;0",$T$4:$T$503,"&lt;"&amp;T424)+COUNTIF($T$4:T424,T424))</f>
        <v/>
      </c>
      <c r="V424" s="1" t="str">
        <f t="shared" si="27"/>
        <v/>
      </c>
    </row>
    <row r="425" spans="1:22">
      <c r="A425" s="4"/>
      <c r="B425" s="52" t="str">
        <f>IF(A425="","",IFERROR(INDEX(Lists!$A$4:$A$203,MATCH(A425,Lists!$B$4:$B$203,0)),""))</f>
        <v/>
      </c>
      <c r="C425" s="8" t="str">
        <f>IF(A425="","",IFERROR(INDEX(Lists!$C$4:$C$203,MATCH(A425,Lists!$B$4:$B$203,0)),""))</f>
        <v/>
      </c>
      <c r="D425" s="8"/>
      <c r="E425" s="10"/>
      <c r="F425" s="10" t="str">
        <f t="shared" si="24"/>
        <v/>
      </c>
      <c r="G425" s="8" t="str">
        <f t="shared" ca="1" si="25"/>
        <v/>
      </c>
      <c r="H425" s="8"/>
      <c r="I425" s="8"/>
      <c r="J425" s="4"/>
      <c r="T425" s="1" t="str">
        <f t="shared" ca="1" si="26"/>
        <v/>
      </c>
      <c r="U425" s="1" t="str">
        <f ca="1">IF(T425="","",COUNTIFS($T$4:$T$503,"&gt;0",$T$4:$T$503,"&lt;"&amp;T425)+COUNTIF($T$4:T425,T425))</f>
        <v/>
      </c>
      <c r="V425" s="1" t="str">
        <f t="shared" si="27"/>
        <v/>
      </c>
    </row>
    <row r="426" spans="1:22">
      <c r="A426" s="4"/>
      <c r="B426" s="52" t="str">
        <f>IF(A426="","",IFERROR(INDEX(Lists!$A$4:$A$203,MATCH(A426,Lists!$B$4:$B$203,0)),""))</f>
        <v/>
      </c>
      <c r="C426" s="8" t="str">
        <f>IF(A426="","",IFERROR(INDEX(Lists!$C$4:$C$203,MATCH(A426,Lists!$B$4:$B$203,0)),""))</f>
        <v/>
      </c>
      <c r="D426" s="8"/>
      <c r="E426" s="10"/>
      <c r="F426" s="10" t="str">
        <f t="shared" si="24"/>
        <v/>
      </c>
      <c r="G426" s="8" t="str">
        <f t="shared" ca="1" si="25"/>
        <v/>
      </c>
      <c r="H426" s="8"/>
      <c r="I426" s="8"/>
      <c r="J426" s="4"/>
      <c r="T426" s="1" t="str">
        <f t="shared" ca="1" si="26"/>
        <v/>
      </c>
      <c r="U426" s="1" t="str">
        <f ca="1">IF(T426="","",COUNTIFS($T$4:$T$503,"&gt;0",$T$4:$T$503,"&lt;"&amp;T426)+COUNTIF($T$4:T426,T426))</f>
        <v/>
      </c>
      <c r="V426" s="1" t="str">
        <f t="shared" si="27"/>
        <v/>
      </c>
    </row>
    <row r="427" spans="1:22">
      <c r="A427" s="4"/>
      <c r="B427" s="52" t="str">
        <f>IF(A427="","",IFERROR(INDEX(Lists!$A$4:$A$203,MATCH(A427,Lists!$B$4:$B$203,0)),""))</f>
        <v/>
      </c>
      <c r="C427" s="8" t="str">
        <f>IF(A427="","",IFERROR(INDEX(Lists!$C$4:$C$203,MATCH(A427,Lists!$B$4:$B$203,0)),""))</f>
        <v/>
      </c>
      <c r="D427" s="8"/>
      <c r="E427" s="10"/>
      <c r="F427" s="10" t="str">
        <f t="shared" si="24"/>
        <v/>
      </c>
      <c r="G427" s="8" t="str">
        <f t="shared" ca="1" si="25"/>
        <v/>
      </c>
      <c r="H427" s="8"/>
      <c r="I427" s="8"/>
      <c r="J427" s="4"/>
      <c r="T427" s="1" t="str">
        <f t="shared" ca="1" si="26"/>
        <v/>
      </c>
      <c r="U427" s="1" t="str">
        <f ca="1">IF(T427="","",COUNTIFS($T$4:$T$503,"&gt;0",$T$4:$T$503,"&lt;"&amp;T427)+COUNTIF($T$4:T427,T427))</f>
        <v/>
      </c>
      <c r="V427" s="1" t="str">
        <f t="shared" si="27"/>
        <v/>
      </c>
    </row>
    <row r="428" spans="1:22">
      <c r="A428" s="4"/>
      <c r="B428" s="52" t="str">
        <f>IF(A428="","",IFERROR(INDEX(Lists!$A$4:$A$203,MATCH(A428,Lists!$B$4:$B$203,0)),""))</f>
        <v/>
      </c>
      <c r="C428" s="8" t="str">
        <f>IF(A428="","",IFERROR(INDEX(Lists!$C$4:$C$203,MATCH(A428,Lists!$B$4:$B$203,0)),""))</f>
        <v/>
      </c>
      <c r="D428" s="8"/>
      <c r="E428" s="10"/>
      <c r="F428" s="10" t="str">
        <f t="shared" si="24"/>
        <v/>
      </c>
      <c r="G428" s="8" t="str">
        <f t="shared" ca="1" si="25"/>
        <v/>
      </c>
      <c r="H428" s="8"/>
      <c r="I428" s="8"/>
      <c r="J428" s="4"/>
      <c r="T428" s="1" t="str">
        <f t="shared" ca="1" si="26"/>
        <v/>
      </c>
      <c r="U428" s="1" t="str">
        <f ca="1">IF(T428="","",COUNTIFS($T$4:$T$503,"&gt;0",$T$4:$T$503,"&lt;"&amp;T428)+COUNTIF($T$4:T428,T428))</f>
        <v/>
      </c>
      <c r="V428" s="1" t="str">
        <f t="shared" si="27"/>
        <v/>
      </c>
    </row>
    <row r="429" spans="1:22">
      <c r="A429" s="4"/>
      <c r="B429" s="52" t="str">
        <f>IF(A429="","",IFERROR(INDEX(Lists!$A$4:$A$203,MATCH(A429,Lists!$B$4:$B$203,0)),""))</f>
        <v/>
      </c>
      <c r="C429" s="8" t="str">
        <f>IF(A429="","",IFERROR(INDEX(Lists!$C$4:$C$203,MATCH(A429,Lists!$B$4:$B$203,0)),""))</f>
        <v/>
      </c>
      <c r="D429" s="8"/>
      <c r="E429" s="10"/>
      <c r="F429" s="10" t="str">
        <f t="shared" si="24"/>
        <v/>
      </c>
      <c r="G429" s="8" t="str">
        <f t="shared" ca="1" si="25"/>
        <v/>
      </c>
      <c r="H429" s="8"/>
      <c r="I429" s="8"/>
      <c r="J429" s="4"/>
      <c r="T429" s="1" t="str">
        <f t="shared" ca="1" si="26"/>
        <v/>
      </c>
      <c r="U429" s="1" t="str">
        <f ca="1">IF(T429="","",COUNTIFS($T$4:$T$503,"&gt;0",$T$4:$T$503,"&lt;"&amp;T429)+COUNTIF($T$4:T429,T429))</f>
        <v/>
      </c>
      <c r="V429" s="1" t="str">
        <f t="shared" si="27"/>
        <v/>
      </c>
    </row>
    <row r="430" spans="1:22">
      <c r="A430" s="4"/>
      <c r="B430" s="52" t="str">
        <f>IF(A430="","",IFERROR(INDEX(Lists!$A$4:$A$203,MATCH(A430,Lists!$B$4:$B$203,0)),""))</f>
        <v/>
      </c>
      <c r="C430" s="8" t="str">
        <f>IF(A430="","",IFERROR(INDEX(Lists!$C$4:$C$203,MATCH(A430,Lists!$B$4:$B$203,0)),""))</f>
        <v/>
      </c>
      <c r="D430" s="8"/>
      <c r="E430" s="10"/>
      <c r="F430" s="10" t="str">
        <f t="shared" si="24"/>
        <v/>
      </c>
      <c r="G430" s="8" t="str">
        <f t="shared" ca="1" si="25"/>
        <v/>
      </c>
      <c r="H430" s="8"/>
      <c r="I430" s="8"/>
      <c r="J430" s="4"/>
      <c r="T430" s="1" t="str">
        <f t="shared" ca="1" si="26"/>
        <v/>
      </c>
      <c r="U430" s="1" t="str">
        <f ca="1">IF(T430="","",COUNTIFS($T$4:$T$503,"&gt;0",$T$4:$T$503,"&lt;"&amp;T430)+COUNTIF($T$4:T430,T430))</f>
        <v/>
      </c>
      <c r="V430" s="1" t="str">
        <f t="shared" si="27"/>
        <v/>
      </c>
    </row>
    <row r="431" spans="1:22">
      <c r="A431" s="4"/>
      <c r="B431" s="52" t="str">
        <f>IF(A431="","",IFERROR(INDEX(Lists!$A$4:$A$203,MATCH(A431,Lists!$B$4:$B$203,0)),""))</f>
        <v/>
      </c>
      <c r="C431" s="8" t="str">
        <f>IF(A431="","",IFERROR(INDEX(Lists!$C$4:$C$203,MATCH(A431,Lists!$B$4:$B$203,0)),""))</f>
        <v/>
      </c>
      <c r="D431" s="8"/>
      <c r="E431" s="10"/>
      <c r="F431" s="10" t="str">
        <f t="shared" si="24"/>
        <v/>
      </c>
      <c r="G431" s="8" t="str">
        <f t="shared" ca="1" si="25"/>
        <v/>
      </c>
      <c r="H431" s="8"/>
      <c r="I431" s="8"/>
      <c r="J431" s="4"/>
      <c r="T431" s="1" t="str">
        <f t="shared" ca="1" si="26"/>
        <v/>
      </c>
      <c r="U431" s="1" t="str">
        <f ca="1">IF(T431="","",COUNTIFS($T$4:$T$503,"&gt;0",$T$4:$T$503,"&lt;"&amp;T431)+COUNTIF($T$4:T431,T431))</f>
        <v/>
      </c>
      <c r="V431" s="1" t="str">
        <f t="shared" si="27"/>
        <v/>
      </c>
    </row>
    <row r="432" spans="1:22">
      <c r="A432" s="4"/>
      <c r="B432" s="52" t="str">
        <f>IF(A432="","",IFERROR(INDEX(Lists!$A$4:$A$203,MATCH(A432,Lists!$B$4:$B$203,0)),""))</f>
        <v/>
      </c>
      <c r="C432" s="8" t="str">
        <f>IF(A432="","",IFERROR(INDEX(Lists!$C$4:$C$203,MATCH(A432,Lists!$B$4:$B$203,0)),""))</f>
        <v/>
      </c>
      <c r="D432" s="8"/>
      <c r="E432" s="10"/>
      <c r="F432" s="10" t="str">
        <f t="shared" si="24"/>
        <v/>
      </c>
      <c r="G432" s="8" t="str">
        <f t="shared" ca="1" si="25"/>
        <v/>
      </c>
      <c r="H432" s="8"/>
      <c r="I432" s="8"/>
      <c r="J432" s="4"/>
      <c r="T432" s="1" t="str">
        <f t="shared" ca="1" si="26"/>
        <v/>
      </c>
      <c r="U432" s="1" t="str">
        <f ca="1">IF(T432="","",COUNTIFS($T$4:$T$503,"&gt;0",$T$4:$T$503,"&lt;"&amp;T432)+COUNTIF($T$4:T432,T432))</f>
        <v/>
      </c>
      <c r="V432" s="1" t="str">
        <f t="shared" si="27"/>
        <v/>
      </c>
    </row>
    <row r="433" spans="1:22">
      <c r="A433" s="4"/>
      <c r="B433" s="52" t="str">
        <f>IF(A433="","",IFERROR(INDEX(Lists!$A$4:$A$203,MATCH(A433,Lists!$B$4:$B$203,0)),""))</f>
        <v/>
      </c>
      <c r="C433" s="8" t="str">
        <f>IF(A433="","",IFERROR(INDEX(Lists!$C$4:$C$203,MATCH(A433,Lists!$B$4:$B$203,0)),""))</f>
        <v/>
      </c>
      <c r="D433" s="8"/>
      <c r="E433" s="10"/>
      <c r="F433" s="10" t="str">
        <f t="shared" si="24"/>
        <v/>
      </c>
      <c r="G433" s="8" t="str">
        <f t="shared" ca="1" si="25"/>
        <v/>
      </c>
      <c r="H433" s="8"/>
      <c r="I433" s="8"/>
      <c r="J433" s="4"/>
      <c r="T433" s="1" t="str">
        <f t="shared" ca="1" si="26"/>
        <v/>
      </c>
      <c r="U433" s="1" t="str">
        <f ca="1">IF(T433="","",COUNTIFS($T$4:$T$503,"&gt;0",$T$4:$T$503,"&lt;"&amp;T433)+COUNTIF($T$4:T433,T433))</f>
        <v/>
      </c>
      <c r="V433" s="1" t="str">
        <f t="shared" si="27"/>
        <v/>
      </c>
    </row>
    <row r="434" spans="1:22">
      <c r="A434" s="4"/>
      <c r="B434" s="52" t="str">
        <f>IF(A434="","",IFERROR(INDEX(Lists!$A$4:$A$203,MATCH(A434,Lists!$B$4:$B$203,0)),""))</f>
        <v/>
      </c>
      <c r="C434" s="8" t="str">
        <f>IF(A434="","",IFERROR(INDEX(Lists!$C$4:$C$203,MATCH(A434,Lists!$B$4:$B$203,0)),""))</f>
        <v/>
      </c>
      <c r="D434" s="8"/>
      <c r="E434" s="10"/>
      <c r="F434" s="10" t="str">
        <f t="shared" si="24"/>
        <v/>
      </c>
      <c r="G434" s="8" t="str">
        <f t="shared" ca="1" si="25"/>
        <v/>
      </c>
      <c r="H434" s="8"/>
      <c r="I434" s="8"/>
      <c r="J434" s="4"/>
      <c r="T434" s="1" t="str">
        <f t="shared" ca="1" si="26"/>
        <v/>
      </c>
      <c r="U434" s="1" t="str">
        <f ca="1">IF(T434="","",COUNTIFS($T$4:$T$503,"&gt;0",$T$4:$T$503,"&lt;"&amp;T434)+COUNTIF($T$4:T434,T434))</f>
        <v/>
      </c>
      <c r="V434" s="1" t="str">
        <f t="shared" si="27"/>
        <v/>
      </c>
    </row>
    <row r="435" spans="1:22">
      <c r="A435" s="4"/>
      <c r="B435" s="52" t="str">
        <f>IF(A435="","",IFERROR(INDEX(Lists!$A$4:$A$203,MATCH(A435,Lists!$B$4:$B$203,0)),""))</f>
        <v/>
      </c>
      <c r="C435" s="8" t="str">
        <f>IF(A435="","",IFERROR(INDEX(Lists!$C$4:$C$203,MATCH(A435,Lists!$B$4:$B$203,0)),""))</f>
        <v/>
      </c>
      <c r="D435" s="8"/>
      <c r="E435" s="10"/>
      <c r="F435" s="10" t="str">
        <f t="shared" si="24"/>
        <v/>
      </c>
      <c r="G435" s="8" t="str">
        <f t="shared" ca="1" si="25"/>
        <v/>
      </c>
      <c r="H435" s="8"/>
      <c r="I435" s="8"/>
      <c r="J435" s="4"/>
      <c r="T435" s="1" t="str">
        <f t="shared" ca="1" si="26"/>
        <v/>
      </c>
      <c r="U435" s="1" t="str">
        <f ca="1">IF(T435="","",COUNTIFS($T$4:$T$503,"&gt;0",$T$4:$T$503,"&lt;"&amp;T435)+COUNTIF($T$4:T435,T435))</f>
        <v/>
      </c>
      <c r="V435" s="1" t="str">
        <f t="shared" si="27"/>
        <v/>
      </c>
    </row>
    <row r="436" spans="1:22">
      <c r="A436" s="4"/>
      <c r="B436" s="52" t="str">
        <f>IF(A436="","",IFERROR(INDEX(Lists!$A$4:$A$203,MATCH(A436,Lists!$B$4:$B$203,0)),""))</f>
        <v/>
      </c>
      <c r="C436" s="8" t="str">
        <f>IF(A436="","",IFERROR(INDEX(Lists!$C$4:$C$203,MATCH(A436,Lists!$B$4:$B$203,0)),""))</f>
        <v/>
      </c>
      <c r="D436" s="8"/>
      <c r="E436" s="10"/>
      <c r="F436" s="10" t="str">
        <f t="shared" si="24"/>
        <v/>
      </c>
      <c r="G436" s="8" t="str">
        <f t="shared" ca="1" si="25"/>
        <v/>
      </c>
      <c r="H436" s="8"/>
      <c r="I436" s="8"/>
      <c r="J436" s="4"/>
      <c r="T436" s="1" t="str">
        <f t="shared" ca="1" si="26"/>
        <v/>
      </c>
      <c r="U436" s="1" t="str">
        <f ca="1">IF(T436="","",COUNTIFS($T$4:$T$503,"&gt;0",$T$4:$T$503,"&lt;"&amp;T436)+COUNTIF($T$4:T436,T436))</f>
        <v/>
      </c>
      <c r="V436" s="1" t="str">
        <f t="shared" si="27"/>
        <v/>
      </c>
    </row>
    <row r="437" spans="1:22">
      <c r="A437" s="4"/>
      <c r="B437" s="52" t="str">
        <f>IF(A437="","",IFERROR(INDEX(Lists!$A$4:$A$203,MATCH(A437,Lists!$B$4:$B$203,0)),""))</f>
        <v/>
      </c>
      <c r="C437" s="8" t="str">
        <f>IF(A437="","",IFERROR(INDEX(Lists!$C$4:$C$203,MATCH(A437,Lists!$B$4:$B$203,0)),""))</f>
        <v/>
      </c>
      <c r="D437" s="8"/>
      <c r="E437" s="10"/>
      <c r="F437" s="10" t="str">
        <f t="shared" si="24"/>
        <v/>
      </c>
      <c r="G437" s="8" t="str">
        <f t="shared" ca="1" si="25"/>
        <v/>
      </c>
      <c r="H437" s="8"/>
      <c r="I437" s="8"/>
      <c r="J437" s="4"/>
      <c r="T437" s="1" t="str">
        <f t="shared" ca="1" si="26"/>
        <v/>
      </c>
      <c r="U437" s="1" t="str">
        <f ca="1">IF(T437="","",COUNTIFS($T$4:$T$503,"&gt;0",$T$4:$T$503,"&lt;"&amp;T437)+COUNTIF($T$4:T437,T437))</f>
        <v/>
      </c>
      <c r="V437" s="1" t="str">
        <f t="shared" si="27"/>
        <v/>
      </c>
    </row>
    <row r="438" spans="1:22">
      <c r="A438" s="4"/>
      <c r="B438" s="52" t="str">
        <f>IF(A438="","",IFERROR(INDEX(Lists!$A$4:$A$203,MATCH(A438,Lists!$B$4:$B$203,0)),""))</f>
        <v/>
      </c>
      <c r="C438" s="8" t="str">
        <f>IF(A438="","",IFERROR(INDEX(Lists!$C$4:$C$203,MATCH(A438,Lists!$B$4:$B$203,0)),""))</f>
        <v/>
      </c>
      <c r="D438" s="8"/>
      <c r="E438" s="10"/>
      <c r="F438" s="10" t="str">
        <f t="shared" si="24"/>
        <v/>
      </c>
      <c r="G438" s="8" t="str">
        <f t="shared" ca="1" si="25"/>
        <v/>
      </c>
      <c r="H438" s="8"/>
      <c r="I438" s="8"/>
      <c r="J438" s="4"/>
      <c r="T438" s="1" t="str">
        <f t="shared" ca="1" si="26"/>
        <v/>
      </c>
      <c r="U438" s="1" t="str">
        <f ca="1">IF(T438="","",COUNTIFS($T$4:$T$503,"&gt;0",$T$4:$T$503,"&lt;"&amp;T438)+COUNTIF($T$4:T438,T438))</f>
        <v/>
      </c>
      <c r="V438" s="1" t="str">
        <f t="shared" si="27"/>
        <v/>
      </c>
    </row>
    <row r="439" spans="1:22">
      <c r="A439" s="4"/>
      <c r="B439" s="52" t="str">
        <f>IF(A439="","",IFERROR(INDEX(Lists!$A$4:$A$203,MATCH(A439,Lists!$B$4:$B$203,0)),""))</f>
        <v/>
      </c>
      <c r="C439" s="8" t="str">
        <f>IF(A439="","",IFERROR(INDEX(Lists!$C$4:$C$203,MATCH(A439,Lists!$B$4:$B$203,0)),""))</f>
        <v/>
      </c>
      <c r="D439" s="8"/>
      <c r="E439" s="10"/>
      <c r="F439" s="10" t="str">
        <f t="shared" si="24"/>
        <v/>
      </c>
      <c r="G439" s="8" t="str">
        <f t="shared" ca="1" si="25"/>
        <v/>
      </c>
      <c r="H439" s="8"/>
      <c r="I439" s="8"/>
      <c r="J439" s="4"/>
      <c r="T439" s="1" t="str">
        <f t="shared" ca="1" si="26"/>
        <v/>
      </c>
      <c r="U439" s="1" t="str">
        <f ca="1">IF(T439="","",COUNTIFS($T$4:$T$503,"&gt;0",$T$4:$T$503,"&lt;"&amp;T439)+COUNTIF($T$4:T439,T439))</f>
        <v/>
      </c>
      <c r="V439" s="1" t="str">
        <f t="shared" si="27"/>
        <v/>
      </c>
    </row>
    <row r="440" spans="1:22">
      <c r="A440" s="4"/>
      <c r="B440" s="52" t="str">
        <f>IF(A440="","",IFERROR(INDEX(Lists!$A$4:$A$203,MATCH(A440,Lists!$B$4:$B$203,0)),""))</f>
        <v/>
      </c>
      <c r="C440" s="8" t="str">
        <f>IF(A440="","",IFERROR(INDEX(Lists!$C$4:$C$203,MATCH(A440,Lists!$B$4:$B$203,0)),""))</f>
        <v/>
      </c>
      <c r="D440" s="8"/>
      <c r="E440" s="10"/>
      <c r="F440" s="10" t="str">
        <f t="shared" si="24"/>
        <v/>
      </c>
      <c r="G440" s="8" t="str">
        <f t="shared" ca="1" si="25"/>
        <v/>
      </c>
      <c r="H440" s="8"/>
      <c r="I440" s="8"/>
      <c r="J440" s="4"/>
      <c r="T440" s="1" t="str">
        <f t="shared" ca="1" si="26"/>
        <v/>
      </c>
      <c r="U440" s="1" t="str">
        <f ca="1">IF(T440="","",COUNTIFS($T$4:$T$503,"&gt;0",$T$4:$T$503,"&lt;"&amp;T440)+COUNTIF($T$4:T440,T440))</f>
        <v/>
      </c>
      <c r="V440" s="1" t="str">
        <f t="shared" si="27"/>
        <v/>
      </c>
    </row>
    <row r="441" spans="1:22">
      <c r="A441" s="4"/>
      <c r="B441" s="52" t="str">
        <f>IF(A441="","",IFERROR(INDEX(Lists!$A$4:$A$203,MATCH(A441,Lists!$B$4:$B$203,0)),""))</f>
        <v/>
      </c>
      <c r="C441" s="8" t="str">
        <f>IF(A441="","",IFERROR(INDEX(Lists!$C$4:$C$203,MATCH(A441,Lists!$B$4:$B$203,0)),""))</f>
        <v/>
      </c>
      <c r="D441" s="8"/>
      <c r="E441" s="10"/>
      <c r="F441" s="10" t="str">
        <f t="shared" si="24"/>
        <v/>
      </c>
      <c r="G441" s="8" t="str">
        <f t="shared" ca="1" si="25"/>
        <v/>
      </c>
      <c r="H441" s="8"/>
      <c r="I441" s="8"/>
      <c r="J441" s="4"/>
      <c r="T441" s="1" t="str">
        <f t="shared" ca="1" si="26"/>
        <v/>
      </c>
      <c r="U441" s="1" t="str">
        <f ca="1">IF(T441="","",COUNTIFS($T$4:$T$503,"&gt;0",$T$4:$T$503,"&lt;"&amp;T441)+COUNTIF($T$4:T441,T441))</f>
        <v/>
      </c>
      <c r="V441" s="1" t="str">
        <f t="shared" si="27"/>
        <v/>
      </c>
    </row>
    <row r="442" spans="1:22">
      <c r="A442" s="4"/>
      <c r="B442" s="52" t="str">
        <f>IF(A442="","",IFERROR(INDEX(Lists!$A$4:$A$203,MATCH(A442,Lists!$B$4:$B$203,0)),""))</f>
        <v/>
      </c>
      <c r="C442" s="8" t="str">
        <f>IF(A442="","",IFERROR(INDEX(Lists!$C$4:$C$203,MATCH(A442,Lists!$B$4:$B$203,0)),""))</f>
        <v/>
      </c>
      <c r="D442" s="8"/>
      <c r="E442" s="10"/>
      <c r="F442" s="10" t="str">
        <f t="shared" si="24"/>
        <v/>
      </c>
      <c r="G442" s="8" t="str">
        <f t="shared" ca="1" si="25"/>
        <v/>
      </c>
      <c r="H442" s="8"/>
      <c r="I442" s="8"/>
      <c r="J442" s="4"/>
      <c r="T442" s="1" t="str">
        <f t="shared" ca="1" si="26"/>
        <v/>
      </c>
      <c r="U442" s="1" t="str">
        <f ca="1">IF(T442="","",COUNTIFS($T$4:$T$503,"&gt;0",$T$4:$T$503,"&lt;"&amp;T442)+COUNTIF($T$4:T442,T442))</f>
        <v/>
      </c>
      <c r="V442" s="1" t="str">
        <f t="shared" si="27"/>
        <v/>
      </c>
    </row>
    <row r="443" spans="1:22">
      <c r="A443" s="4"/>
      <c r="B443" s="52" t="str">
        <f>IF(A443="","",IFERROR(INDEX(Lists!$A$4:$A$203,MATCH(A443,Lists!$B$4:$B$203,0)),""))</f>
        <v/>
      </c>
      <c r="C443" s="8" t="str">
        <f>IF(A443="","",IFERROR(INDEX(Lists!$C$4:$C$203,MATCH(A443,Lists!$B$4:$B$203,0)),""))</f>
        <v/>
      </c>
      <c r="D443" s="8"/>
      <c r="E443" s="10"/>
      <c r="F443" s="10" t="str">
        <f t="shared" si="24"/>
        <v/>
      </c>
      <c r="G443" s="8" t="str">
        <f t="shared" ca="1" si="25"/>
        <v/>
      </c>
      <c r="H443" s="8"/>
      <c r="I443" s="8"/>
      <c r="J443" s="4"/>
      <c r="T443" s="1" t="str">
        <f t="shared" ca="1" si="26"/>
        <v/>
      </c>
      <c r="U443" s="1" t="str">
        <f ca="1">IF(T443="","",COUNTIFS($T$4:$T$503,"&gt;0",$T$4:$T$503,"&lt;"&amp;T443)+COUNTIF($T$4:T443,T443))</f>
        <v/>
      </c>
      <c r="V443" s="1" t="str">
        <f t="shared" si="27"/>
        <v/>
      </c>
    </row>
    <row r="444" spans="1:22">
      <c r="A444" s="4"/>
      <c r="B444" s="52" t="str">
        <f>IF(A444="","",IFERROR(INDEX(Lists!$A$4:$A$203,MATCH(A444,Lists!$B$4:$B$203,0)),""))</f>
        <v/>
      </c>
      <c r="C444" s="8" t="str">
        <f>IF(A444="","",IFERROR(INDEX(Lists!$C$4:$C$203,MATCH(A444,Lists!$B$4:$B$203,0)),""))</f>
        <v/>
      </c>
      <c r="D444" s="8"/>
      <c r="E444" s="10"/>
      <c r="F444" s="10" t="str">
        <f t="shared" si="24"/>
        <v/>
      </c>
      <c r="G444" s="8" t="str">
        <f t="shared" ca="1" si="25"/>
        <v/>
      </c>
      <c r="H444" s="8"/>
      <c r="I444" s="8"/>
      <c r="J444" s="4"/>
      <c r="T444" s="1" t="str">
        <f t="shared" ca="1" si="26"/>
        <v/>
      </c>
      <c r="U444" s="1" t="str">
        <f ca="1">IF(T444="","",COUNTIFS($T$4:$T$503,"&gt;0",$T$4:$T$503,"&lt;"&amp;T444)+COUNTIF($T$4:T444,T444))</f>
        <v/>
      </c>
      <c r="V444" s="1" t="str">
        <f t="shared" si="27"/>
        <v/>
      </c>
    </row>
    <row r="445" spans="1:22">
      <c r="A445" s="4"/>
      <c r="B445" s="52" t="str">
        <f>IF(A445="","",IFERROR(INDEX(Lists!$A$4:$A$203,MATCH(A445,Lists!$B$4:$B$203,0)),""))</f>
        <v/>
      </c>
      <c r="C445" s="8" t="str">
        <f>IF(A445="","",IFERROR(INDEX(Lists!$C$4:$C$203,MATCH(A445,Lists!$B$4:$B$203,0)),""))</f>
        <v/>
      </c>
      <c r="D445" s="8"/>
      <c r="E445" s="10"/>
      <c r="F445" s="10" t="str">
        <f t="shared" si="24"/>
        <v/>
      </c>
      <c r="G445" s="8" t="str">
        <f t="shared" ca="1" si="25"/>
        <v/>
      </c>
      <c r="H445" s="8"/>
      <c r="I445" s="8"/>
      <c r="J445" s="4"/>
      <c r="T445" s="1" t="str">
        <f t="shared" ca="1" si="26"/>
        <v/>
      </c>
      <c r="U445" s="1" t="str">
        <f ca="1">IF(T445="","",COUNTIFS($T$4:$T$503,"&gt;0",$T$4:$T$503,"&lt;"&amp;T445)+COUNTIF($T$4:T445,T445))</f>
        <v/>
      </c>
      <c r="V445" s="1" t="str">
        <f t="shared" si="27"/>
        <v/>
      </c>
    </row>
    <row r="446" spans="1:22">
      <c r="A446" s="4"/>
      <c r="B446" s="52" t="str">
        <f>IF(A446="","",IFERROR(INDEX(Lists!$A$4:$A$203,MATCH(A446,Lists!$B$4:$B$203,0)),""))</f>
        <v/>
      </c>
      <c r="C446" s="8" t="str">
        <f>IF(A446="","",IFERROR(INDEX(Lists!$C$4:$C$203,MATCH(A446,Lists!$B$4:$B$203,0)),""))</f>
        <v/>
      </c>
      <c r="D446" s="8"/>
      <c r="E446" s="10"/>
      <c r="F446" s="10" t="str">
        <f t="shared" si="24"/>
        <v/>
      </c>
      <c r="G446" s="8" t="str">
        <f t="shared" ca="1" si="25"/>
        <v/>
      </c>
      <c r="H446" s="8"/>
      <c r="I446" s="8"/>
      <c r="J446" s="4"/>
      <c r="T446" s="1" t="str">
        <f t="shared" ca="1" si="26"/>
        <v/>
      </c>
      <c r="U446" s="1" t="str">
        <f ca="1">IF(T446="","",COUNTIFS($T$4:$T$503,"&gt;0",$T$4:$T$503,"&lt;"&amp;T446)+COUNTIF($T$4:T446,T446))</f>
        <v/>
      </c>
      <c r="V446" s="1" t="str">
        <f t="shared" si="27"/>
        <v/>
      </c>
    </row>
    <row r="447" spans="1:22">
      <c r="A447" s="4"/>
      <c r="B447" s="52" t="str">
        <f>IF(A447="","",IFERROR(INDEX(Lists!$A$4:$A$203,MATCH(A447,Lists!$B$4:$B$203,0)),""))</f>
        <v/>
      </c>
      <c r="C447" s="8" t="str">
        <f>IF(A447="","",IFERROR(INDEX(Lists!$C$4:$C$203,MATCH(A447,Lists!$B$4:$B$203,0)),""))</f>
        <v/>
      </c>
      <c r="D447" s="8"/>
      <c r="E447" s="10"/>
      <c r="F447" s="10" t="str">
        <f t="shared" si="24"/>
        <v/>
      </c>
      <c r="G447" s="8" t="str">
        <f t="shared" ca="1" si="25"/>
        <v/>
      </c>
      <c r="H447" s="8"/>
      <c r="I447" s="8"/>
      <c r="J447" s="4"/>
      <c r="T447" s="1" t="str">
        <f t="shared" ca="1" si="26"/>
        <v/>
      </c>
      <c r="U447" s="1" t="str">
        <f ca="1">IF(T447="","",COUNTIFS($T$4:$T$503,"&gt;0",$T$4:$T$503,"&lt;"&amp;T447)+COUNTIF($T$4:T447,T447))</f>
        <v/>
      </c>
      <c r="V447" s="1" t="str">
        <f t="shared" si="27"/>
        <v/>
      </c>
    </row>
    <row r="448" spans="1:22">
      <c r="A448" s="4"/>
      <c r="B448" s="52" t="str">
        <f>IF(A448="","",IFERROR(INDEX(Lists!$A$4:$A$203,MATCH(A448,Lists!$B$4:$B$203,0)),""))</f>
        <v/>
      </c>
      <c r="C448" s="8" t="str">
        <f>IF(A448="","",IFERROR(INDEX(Lists!$C$4:$C$203,MATCH(A448,Lists!$B$4:$B$203,0)),""))</f>
        <v/>
      </c>
      <c r="D448" s="8"/>
      <c r="E448" s="10"/>
      <c r="F448" s="10" t="str">
        <f t="shared" si="24"/>
        <v/>
      </c>
      <c r="G448" s="8" t="str">
        <f t="shared" ca="1" si="25"/>
        <v/>
      </c>
      <c r="H448" s="8"/>
      <c r="I448" s="8"/>
      <c r="J448" s="4"/>
      <c r="T448" s="1" t="str">
        <f t="shared" ca="1" si="26"/>
        <v/>
      </c>
      <c r="U448" s="1" t="str">
        <f ca="1">IF(T448="","",COUNTIFS($T$4:$T$503,"&gt;0",$T$4:$T$503,"&lt;"&amp;T448)+COUNTIF($T$4:T448,T448))</f>
        <v/>
      </c>
      <c r="V448" s="1" t="str">
        <f t="shared" si="27"/>
        <v/>
      </c>
    </row>
    <row r="449" spans="1:22">
      <c r="A449" s="4"/>
      <c r="B449" s="52" t="str">
        <f>IF(A449="","",IFERROR(INDEX(Lists!$A$4:$A$203,MATCH(A449,Lists!$B$4:$B$203,0)),""))</f>
        <v/>
      </c>
      <c r="C449" s="8" t="str">
        <f>IF(A449="","",IFERROR(INDEX(Lists!$C$4:$C$203,MATCH(A449,Lists!$B$4:$B$203,0)),""))</f>
        <v/>
      </c>
      <c r="D449" s="8"/>
      <c r="E449" s="10"/>
      <c r="F449" s="10" t="str">
        <f t="shared" si="24"/>
        <v/>
      </c>
      <c r="G449" s="8" t="str">
        <f t="shared" ca="1" si="25"/>
        <v/>
      </c>
      <c r="H449" s="8"/>
      <c r="I449" s="8"/>
      <c r="J449" s="4"/>
      <c r="T449" s="1" t="str">
        <f t="shared" ca="1" si="26"/>
        <v/>
      </c>
      <c r="U449" s="1" t="str">
        <f ca="1">IF(T449="","",COUNTIFS($T$4:$T$503,"&gt;0",$T$4:$T$503,"&lt;"&amp;T449)+COUNTIF($T$4:T449,T449))</f>
        <v/>
      </c>
      <c r="V449" s="1" t="str">
        <f t="shared" si="27"/>
        <v/>
      </c>
    </row>
    <row r="450" spans="1:22">
      <c r="A450" s="4"/>
      <c r="B450" s="52" t="str">
        <f>IF(A450="","",IFERROR(INDEX(Lists!$A$4:$A$203,MATCH(A450,Lists!$B$4:$B$203,0)),""))</f>
        <v/>
      </c>
      <c r="C450" s="8" t="str">
        <f>IF(A450="","",IFERROR(INDEX(Lists!$C$4:$C$203,MATCH(A450,Lists!$B$4:$B$203,0)),""))</f>
        <v/>
      </c>
      <c r="D450" s="8"/>
      <c r="E450" s="10"/>
      <c r="F450" s="10" t="str">
        <f t="shared" si="24"/>
        <v/>
      </c>
      <c r="G450" s="8" t="str">
        <f t="shared" ca="1" si="25"/>
        <v/>
      </c>
      <c r="H450" s="8"/>
      <c r="I450" s="8"/>
      <c r="J450" s="4"/>
      <c r="T450" s="1" t="str">
        <f t="shared" ca="1" si="26"/>
        <v/>
      </c>
      <c r="U450" s="1" t="str">
        <f ca="1">IF(T450="","",COUNTIFS($T$4:$T$503,"&gt;0",$T$4:$T$503,"&lt;"&amp;T450)+COUNTIF($T$4:T450,T450))</f>
        <v/>
      </c>
      <c r="V450" s="1" t="str">
        <f t="shared" si="27"/>
        <v/>
      </c>
    </row>
    <row r="451" spans="1:22">
      <c r="A451" s="4"/>
      <c r="B451" s="52" t="str">
        <f>IF(A451="","",IFERROR(INDEX(Lists!$A$4:$A$203,MATCH(A451,Lists!$B$4:$B$203,0)),""))</f>
        <v/>
      </c>
      <c r="C451" s="8" t="str">
        <f>IF(A451="","",IFERROR(INDEX(Lists!$C$4:$C$203,MATCH(A451,Lists!$B$4:$B$203,0)),""))</f>
        <v/>
      </c>
      <c r="D451" s="8"/>
      <c r="E451" s="10"/>
      <c r="F451" s="10" t="str">
        <f t="shared" si="24"/>
        <v/>
      </c>
      <c r="G451" s="8" t="str">
        <f t="shared" ca="1" si="25"/>
        <v/>
      </c>
      <c r="H451" s="8"/>
      <c r="I451" s="8"/>
      <c r="J451" s="4"/>
      <c r="T451" s="1" t="str">
        <f t="shared" ca="1" si="26"/>
        <v/>
      </c>
      <c r="U451" s="1" t="str">
        <f ca="1">IF(T451="","",COUNTIFS($T$4:$T$503,"&gt;0",$T$4:$T$503,"&lt;"&amp;T451)+COUNTIF($T$4:T451,T451))</f>
        <v/>
      </c>
      <c r="V451" s="1" t="str">
        <f t="shared" si="27"/>
        <v/>
      </c>
    </row>
    <row r="452" spans="1:22">
      <c r="A452" s="4"/>
      <c r="B452" s="52" t="str">
        <f>IF(A452="","",IFERROR(INDEX(Lists!$A$4:$A$203,MATCH(A452,Lists!$B$4:$B$203,0)),""))</f>
        <v/>
      </c>
      <c r="C452" s="8" t="str">
        <f>IF(A452="","",IFERROR(INDEX(Lists!$C$4:$C$203,MATCH(A452,Lists!$B$4:$B$203,0)),""))</f>
        <v/>
      </c>
      <c r="D452" s="8"/>
      <c r="E452" s="10"/>
      <c r="F452" s="10" t="str">
        <f t="shared" ref="F452:F515" si="28">IF(OR(A452="",D452="",E452=""),"",IFERROR(EDATE(E452,INDEX($O$4:$O$63,MATCH(D452,$M$4:$M$63,0))),""))</f>
        <v/>
      </c>
      <c r="G452" s="8" t="str">
        <f t="shared" ref="G452:G515" ca="1" si="29">IF(A452="","",IF(D452="","Missing Certification",IF(F452="","Missing Date",IF(F452&lt;TODAY(),"Expired",IF(F452&lt;=TODAY()+IFERROR(INDEX($P$4:$P$63,MATCH(D452,$M$4:$M$63,0)),30),"Due Soon","Current")))))</f>
        <v/>
      </c>
      <c r="H452" s="8"/>
      <c r="I452" s="8"/>
      <c r="J452" s="4"/>
      <c r="T452" s="1" t="str">
        <f t="shared" ref="T452:T503" ca="1" si="30">IF(G452="Expired",1,IF(G452="Due Soon",2,IF(OR(G452="Missing Date",G452="Missing Certification"),3,"")))</f>
        <v/>
      </c>
      <c r="U452" s="1" t="str">
        <f ca="1">IF(T452="","",COUNTIFS($T$4:$T$503,"&gt;0",$T$4:$T$503,"&lt;"&amp;T452)+COUNTIF($T$4:T452,T452))</f>
        <v/>
      </c>
      <c r="V452" s="1" t="str">
        <f t="shared" ref="V452:V503" si="31">IFERROR(INDEX($N$4:$N$63,MATCH(D452,$M$4:$M$63,0)),"")</f>
        <v/>
      </c>
    </row>
    <row r="453" spans="1:22">
      <c r="A453" s="4"/>
      <c r="B453" s="52" t="str">
        <f>IF(A453="","",IFERROR(INDEX(Lists!$A$4:$A$203,MATCH(A453,Lists!$B$4:$B$203,0)),""))</f>
        <v/>
      </c>
      <c r="C453" s="8" t="str">
        <f>IF(A453="","",IFERROR(INDEX(Lists!$C$4:$C$203,MATCH(A453,Lists!$B$4:$B$203,0)),""))</f>
        <v/>
      </c>
      <c r="D453" s="8"/>
      <c r="E453" s="10"/>
      <c r="F453" s="10" t="str">
        <f t="shared" si="28"/>
        <v/>
      </c>
      <c r="G453" s="8" t="str">
        <f t="shared" ca="1" si="29"/>
        <v/>
      </c>
      <c r="H453" s="8"/>
      <c r="I453" s="8"/>
      <c r="J453" s="4"/>
      <c r="T453" s="1" t="str">
        <f t="shared" ca="1" si="30"/>
        <v/>
      </c>
      <c r="U453" s="1" t="str">
        <f ca="1">IF(T453="","",COUNTIFS($T$4:$T$503,"&gt;0",$T$4:$T$503,"&lt;"&amp;T453)+COUNTIF($T$4:T453,T453))</f>
        <v/>
      </c>
      <c r="V453" s="1" t="str">
        <f t="shared" si="31"/>
        <v/>
      </c>
    </row>
    <row r="454" spans="1:22">
      <c r="A454" s="4"/>
      <c r="B454" s="52" t="str">
        <f>IF(A454="","",IFERROR(INDEX(Lists!$A$4:$A$203,MATCH(A454,Lists!$B$4:$B$203,0)),""))</f>
        <v/>
      </c>
      <c r="C454" s="8" t="str">
        <f>IF(A454="","",IFERROR(INDEX(Lists!$C$4:$C$203,MATCH(A454,Lists!$B$4:$B$203,0)),""))</f>
        <v/>
      </c>
      <c r="D454" s="8"/>
      <c r="E454" s="10"/>
      <c r="F454" s="10" t="str">
        <f t="shared" si="28"/>
        <v/>
      </c>
      <c r="G454" s="8" t="str">
        <f t="shared" ca="1" si="29"/>
        <v/>
      </c>
      <c r="H454" s="8"/>
      <c r="I454" s="8"/>
      <c r="J454" s="4"/>
      <c r="T454" s="1" t="str">
        <f t="shared" ca="1" si="30"/>
        <v/>
      </c>
      <c r="U454" s="1" t="str">
        <f ca="1">IF(T454="","",COUNTIFS($T$4:$T$503,"&gt;0",$T$4:$T$503,"&lt;"&amp;T454)+COUNTIF($T$4:T454,T454))</f>
        <v/>
      </c>
      <c r="V454" s="1" t="str">
        <f t="shared" si="31"/>
        <v/>
      </c>
    </row>
    <row r="455" spans="1:22">
      <c r="A455" s="4"/>
      <c r="B455" s="52" t="str">
        <f>IF(A455="","",IFERROR(INDEX(Lists!$A$4:$A$203,MATCH(A455,Lists!$B$4:$B$203,0)),""))</f>
        <v/>
      </c>
      <c r="C455" s="8" t="str">
        <f>IF(A455="","",IFERROR(INDEX(Lists!$C$4:$C$203,MATCH(A455,Lists!$B$4:$B$203,0)),""))</f>
        <v/>
      </c>
      <c r="D455" s="8"/>
      <c r="E455" s="10"/>
      <c r="F455" s="10" t="str">
        <f t="shared" si="28"/>
        <v/>
      </c>
      <c r="G455" s="8" t="str">
        <f t="shared" ca="1" si="29"/>
        <v/>
      </c>
      <c r="H455" s="8"/>
      <c r="I455" s="8"/>
      <c r="J455" s="4"/>
      <c r="T455" s="1" t="str">
        <f t="shared" ca="1" si="30"/>
        <v/>
      </c>
      <c r="U455" s="1" t="str">
        <f ca="1">IF(T455="","",COUNTIFS($T$4:$T$503,"&gt;0",$T$4:$T$503,"&lt;"&amp;T455)+COUNTIF($T$4:T455,T455))</f>
        <v/>
      </c>
      <c r="V455" s="1" t="str">
        <f t="shared" si="31"/>
        <v/>
      </c>
    </row>
    <row r="456" spans="1:22">
      <c r="A456" s="4"/>
      <c r="B456" s="52" t="str">
        <f>IF(A456="","",IFERROR(INDEX(Lists!$A$4:$A$203,MATCH(A456,Lists!$B$4:$B$203,0)),""))</f>
        <v/>
      </c>
      <c r="C456" s="8" t="str">
        <f>IF(A456="","",IFERROR(INDEX(Lists!$C$4:$C$203,MATCH(A456,Lists!$B$4:$B$203,0)),""))</f>
        <v/>
      </c>
      <c r="D456" s="8"/>
      <c r="E456" s="10"/>
      <c r="F456" s="10" t="str">
        <f t="shared" si="28"/>
        <v/>
      </c>
      <c r="G456" s="8" t="str">
        <f t="shared" ca="1" si="29"/>
        <v/>
      </c>
      <c r="H456" s="8"/>
      <c r="I456" s="8"/>
      <c r="J456" s="4"/>
      <c r="T456" s="1" t="str">
        <f t="shared" ca="1" si="30"/>
        <v/>
      </c>
      <c r="U456" s="1" t="str">
        <f ca="1">IF(T456="","",COUNTIFS($T$4:$T$503,"&gt;0",$T$4:$T$503,"&lt;"&amp;T456)+COUNTIF($T$4:T456,T456))</f>
        <v/>
      </c>
      <c r="V456" s="1" t="str">
        <f t="shared" si="31"/>
        <v/>
      </c>
    </row>
    <row r="457" spans="1:22">
      <c r="A457" s="4"/>
      <c r="B457" s="52" t="str">
        <f>IF(A457="","",IFERROR(INDEX(Lists!$A$4:$A$203,MATCH(A457,Lists!$B$4:$B$203,0)),""))</f>
        <v/>
      </c>
      <c r="C457" s="8" t="str">
        <f>IF(A457="","",IFERROR(INDEX(Lists!$C$4:$C$203,MATCH(A457,Lists!$B$4:$B$203,0)),""))</f>
        <v/>
      </c>
      <c r="D457" s="8"/>
      <c r="E457" s="10"/>
      <c r="F457" s="10" t="str">
        <f t="shared" si="28"/>
        <v/>
      </c>
      <c r="G457" s="8" t="str">
        <f t="shared" ca="1" si="29"/>
        <v/>
      </c>
      <c r="H457" s="8"/>
      <c r="I457" s="8"/>
      <c r="J457" s="4"/>
      <c r="T457" s="1" t="str">
        <f t="shared" ca="1" si="30"/>
        <v/>
      </c>
      <c r="U457" s="1" t="str">
        <f ca="1">IF(T457="","",COUNTIFS($T$4:$T$503,"&gt;0",$T$4:$T$503,"&lt;"&amp;T457)+COUNTIF($T$4:T457,T457))</f>
        <v/>
      </c>
      <c r="V457" s="1" t="str">
        <f t="shared" si="31"/>
        <v/>
      </c>
    </row>
    <row r="458" spans="1:22">
      <c r="A458" s="4"/>
      <c r="B458" s="52" t="str">
        <f>IF(A458="","",IFERROR(INDEX(Lists!$A$4:$A$203,MATCH(A458,Lists!$B$4:$B$203,0)),""))</f>
        <v/>
      </c>
      <c r="C458" s="8" t="str">
        <f>IF(A458="","",IFERROR(INDEX(Lists!$C$4:$C$203,MATCH(A458,Lists!$B$4:$B$203,0)),""))</f>
        <v/>
      </c>
      <c r="D458" s="8"/>
      <c r="E458" s="10"/>
      <c r="F458" s="10" t="str">
        <f t="shared" si="28"/>
        <v/>
      </c>
      <c r="G458" s="8" t="str">
        <f t="shared" ca="1" si="29"/>
        <v/>
      </c>
      <c r="H458" s="8"/>
      <c r="I458" s="8"/>
      <c r="J458" s="4"/>
      <c r="T458" s="1" t="str">
        <f t="shared" ca="1" si="30"/>
        <v/>
      </c>
      <c r="U458" s="1" t="str">
        <f ca="1">IF(T458="","",COUNTIFS($T$4:$T$503,"&gt;0",$T$4:$T$503,"&lt;"&amp;T458)+COUNTIF($T$4:T458,T458))</f>
        <v/>
      </c>
      <c r="V458" s="1" t="str">
        <f t="shared" si="31"/>
        <v/>
      </c>
    </row>
    <row r="459" spans="1:22">
      <c r="A459" s="4"/>
      <c r="B459" s="52" t="str">
        <f>IF(A459="","",IFERROR(INDEX(Lists!$A$4:$A$203,MATCH(A459,Lists!$B$4:$B$203,0)),""))</f>
        <v/>
      </c>
      <c r="C459" s="8" t="str">
        <f>IF(A459="","",IFERROR(INDEX(Lists!$C$4:$C$203,MATCH(A459,Lists!$B$4:$B$203,0)),""))</f>
        <v/>
      </c>
      <c r="D459" s="8"/>
      <c r="E459" s="10"/>
      <c r="F459" s="10" t="str">
        <f t="shared" si="28"/>
        <v/>
      </c>
      <c r="G459" s="8" t="str">
        <f t="shared" ca="1" si="29"/>
        <v/>
      </c>
      <c r="H459" s="8"/>
      <c r="I459" s="8"/>
      <c r="J459" s="4"/>
      <c r="T459" s="1" t="str">
        <f t="shared" ca="1" si="30"/>
        <v/>
      </c>
      <c r="U459" s="1" t="str">
        <f ca="1">IF(T459="","",COUNTIFS($T$4:$T$503,"&gt;0",$T$4:$T$503,"&lt;"&amp;T459)+COUNTIF($T$4:T459,T459))</f>
        <v/>
      </c>
      <c r="V459" s="1" t="str">
        <f t="shared" si="31"/>
        <v/>
      </c>
    </row>
    <row r="460" spans="1:22">
      <c r="A460" s="4"/>
      <c r="B460" s="52" t="str">
        <f>IF(A460="","",IFERROR(INDEX(Lists!$A$4:$A$203,MATCH(A460,Lists!$B$4:$B$203,0)),""))</f>
        <v/>
      </c>
      <c r="C460" s="8" t="str">
        <f>IF(A460="","",IFERROR(INDEX(Lists!$C$4:$C$203,MATCH(A460,Lists!$B$4:$B$203,0)),""))</f>
        <v/>
      </c>
      <c r="D460" s="8"/>
      <c r="E460" s="10"/>
      <c r="F460" s="10" t="str">
        <f t="shared" si="28"/>
        <v/>
      </c>
      <c r="G460" s="8" t="str">
        <f t="shared" ca="1" si="29"/>
        <v/>
      </c>
      <c r="H460" s="8"/>
      <c r="I460" s="8"/>
      <c r="J460" s="4"/>
      <c r="T460" s="1" t="str">
        <f t="shared" ca="1" si="30"/>
        <v/>
      </c>
      <c r="U460" s="1" t="str">
        <f ca="1">IF(T460="","",COUNTIFS($T$4:$T$503,"&gt;0",$T$4:$T$503,"&lt;"&amp;T460)+COUNTIF($T$4:T460,T460))</f>
        <v/>
      </c>
      <c r="V460" s="1" t="str">
        <f t="shared" si="31"/>
        <v/>
      </c>
    </row>
    <row r="461" spans="1:22">
      <c r="A461" s="4"/>
      <c r="B461" s="52" t="str">
        <f>IF(A461="","",IFERROR(INDEX(Lists!$A$4:$A$203,MATCH(A461,Lists!$B$4:$B$203,0)),""))</f>
        <v/>
      </c>
      <c r="C461" s="8" t="str">
        <f>IF(A461="","",IFERROR(INDEX(Lists!$C$4:$C$203,MATCH(A461,Lists!$B$4:$B$203,0)),""))</f>
        <v/>
      </c>
      <c r="D461" s="8"/>
      <c r="E461" s="10"/>
      <c r="F461" s="10" t="str">
        <f t="shared" si="28"/>
        <v/>
      </c>
      <c r="G461" s="8" t="str">
        <f t="shared" ca="1" si="29"/>
        <v/>
      </c>
      <c r="H461" s="8"/>
      <c r="I461" s="8"/>
      <c r="J461" s="4"/>
      <c r="T461" s="1" t="str">
        <f t="shared" ca="1" si="30"/>
        <v/>
      </c>
      <c r="U461" s="1" t="str">
        <f ca="1">IF(T461="","",COUNTIFS($T$4:$T$503,"&gt;0",$T$4:$T$503,"&lt;"&amp;T461)+COUNTIF($T$4:T461,T461))</f>
        <v/>
      </c>
      <c r="V461" s="1" t="str">
        <f t="shared" si="31"/>
        <v/>
      </c>
    </row>
    <row r="462" spans="1:22">
      <c r="A462" s="4"/>
      <c r="B462" s="52" t="str">
        <f>IF(A462="","",IFERROR(INDEX(Lists!$A$4:$A$203,MATCH(A462,Lists!$B$4:$B$203,0)),""))</f>
        <v/>
      </c>
      <c r="C462" s="8" t="str">
        <f>IF(A462="","",IFERROR(INDEX(Lists!$C$4:$C$203,MATCH(A462,Lists!$B$4:$B$203,0)),""))</f>
        <v/>
      </c>
      <c r="D462" s="8"/>
      <c r="E462" s="10"/>
      <c r="F462" s="10" t="str">
        <f t="shared" si="28"/>
        <v/>
      </c>
      <c r="G462" s="8" t="str">
        <f t="shared" ca="1" si="29"/>
        <v/>
      </c>
      <c r="H462" s="8"/>
      <c r="I462" s="8"/>
      <c r="J462" s="4"/>
      <c r="T462" s="1" t="str">
        <f t="shared" ca="1" si="30"/>
        <v/>
      </c>
      <c r="U462" s="1" t="str">
        <f ca="1">IF(T462="","",COUNTIFS($T$4:$T$503,"&gt;0",$T$4:$T$503,"&lt;"&amp;T462)+COUNTIF($T$4:T462,T462))</f>
        <v/>
      </c>
      <c r="V462" s="1" t="str">
        <f t="shared" si="31"/>
        <v/>
      </c>
    </row>
    <row r="463" spans="1:22">
      <c r="A463" s="4"/>
      <c r="B463" s="52" t="str">
        <f>IF(A463="","",IFERROR(INDEX(Lists!$A$4:$A$203,MATCH(A463,Lists!$B$4:$B$203,0)),""))</f>
        <v/>
      </c>
      <c r="C463" s="8" t="str">
        <f>IF(A463="","",IFERROR(INDEX(Lists!$C$4:$C$203,MATCH(A463,Lists!$B$4:$B$203,0)),""))</f>
        <v/>
      </c>
      <c r="D463" s="8"/>
      <c r="E463" s="10"/>
      <c r="F463" s="10" t="str">
        <f t="shared" si="28"/>
        <v/>
      </c>
      <c r="G463" s="8" t="str">
        <f t="shared" ca="1" si="29"/>
        <v/>
      </c>
      <c r="H463" s="8"/>
      <c r="I463" s="8"/>
      <c r="J463" s="4"/>
      <c r="T463" s="1" t="str">
        <f t="shared" ca="1" si="30"/>
        <v/>
      </c>
      <c r="U463" s="1" t="str">
        <f ca="1">IF(T463="","",COUNTIFS($T$4:$T$503,"&gt;0",$T$4:$T$503,"&lt;"&amp;T463)+COUNTIF($T$4:T463,T463))</f>
        <v/>
      </c>
      <c r="V463" s="1" t="str">
        <f t="shared" si="31"/>
        <v/>
      </c>
    </row>
    <row r="464" spans="1:22">
      <c r="A464" s="4"/>
      <c r="B464" s="52" t="str">
        <f>IF(A464="","",IFERROR(INDEX(Lists!$A$4:$A$203,MATCH(A464,Lists!$B$4:$B$203,0)),""))</f>
        <v/>
      </c>
      <c r="C464" s="8" t="str">
        <f>IF(A464="","",IFERROR(INDEX(Lists!$C$4:$C$203,MATCH(A464,Lists!$B$4:$B$203,0)),""))</f>
        <v/>
      </c>
      <c r="D464" s="8"/>
      <c r="E464" s="10"/>
      <c r="F464" s="10" t="str">
        <f t="shared" si="28"/>
        <v/>
      </c>
      <c r="G464" s="8" t="str">
        <f t="shared" ca="1" si="29"/>
        <v/>
      </c>
      <c r="H464" s="8"/>
      <c r="I464" s="8"/>
      <c r="J464" s="4"/>
      <c r="T464" s="1" t="str">
        <f t="shared" ca="1" si="30"/>
        <v/>
      </c>
      <c r="U464" s="1" t="str">
        <f ca="1">IF(T464="","",COUNTIFS($T$4:$T$503,"&gt;0",$T$4:$T$503,"&lt;"&amp;T464)+COUNTIF($T$4:T464,T464))</f>
        <v/>
      </c>
      <c r="V464" s="1" t="str">
        <f t="shared" si="31"/>
        <v/>
      </c>
    </row>
    <row r="465" spans="1:22">
      <c r="A465" s="4"/>
      <c r="B465" s="52" t="str">
        <f>IF(A465="","",IFERROR(INDEX(Lists!$A$4:$A$203,MATCH(A465,Lists!$B$4:$B$203,0)),""))</f>
        <v/>
      </c>
      <c r="C465" s="8" t="str">
        <f>IF(A465="","",IFERROR(INDEX(Lists!$C$4:$C$203,MATCH(A465,Lists!$B$4:$B$203,0)),""))</f>
        <v/>
      </c>
      <c r="D465" s="8"/>
      <c r="E465" s="10"/>
      <c r="F465" s="10" t="str">
        <f t="shared" si="28"/>
        <v/>
      </c>
      <c r="G465" s="8" t="str">
        <f t="shared" ca="1" si="29"/>
        <v/>
      </c>
      <c r="H465" s="8"/>
      <c r="I465" s="8"/>
      <c r="J465" s="4"/>
      <c r="T465" s="1" t="str">
        <f t="shared" ca="1" si="30"/>
        <v/>
      </c>
      <c r="U465" s="1" t="str">
        <f ca="1">IF(T465="","",COUNTIFS($T$4:$T$503,"&gt;0",$T$4:$T$503,"&lt;"&amp;T465)+COUNTIF($T$4:T465,T465))</f>
        <v/>
      </c>
      <c r="V465" s="1" t="str">
        <f t="shared" si="31"/>
        <v/>
      </c>
    </row>
    <row r="466" spans="1:22">
      <c r="A466" s="4"/>
      <c r="B466" s="52" t="str">
        <f>IF(A466="","",IFERROR(INDEX(Lists!$A$4:$A$203,MATCH(A466,Lists!$B$4:$B$203,0)),""))</f>
        <v/>
      </c>
      <c r="C466" s="8" t="str">
        <f>IF(A466="","",IFERROR(INDEX(Lists!$C$4:$C$203,MATCH(A466,Lists!$B$4:$B$203,0)),""))</f>
        <v/>
      </c>
      <c r="D466" s="8"/>
      <c r="E466" s="10"/>
      <c r="F466" s="10" t="str">
        <f t="shared" si="28"/>
        <v/>
      </c>
      <c r="G466" s="8" t="str">
        <f t="shared" ca="1" si="29"/>
        <v/>
      </c>
      <c r="H466" s="8"/>
      <c r="I466" s="8"/>
      <c r="J466" s="4"/>
      <c r="T466" s="1" t="str">
        <f t="shared" ca="1" si="30"/>
        <v/>
      </c>
      <c r="U466" s="1" t="str">
        <f ca="1">IF(T466="","",COUNTIFS($T$4:$T$503,"&gt;0",$T$4:$T$503,"&lt;"&amp;T466)+COUNTIF($T$4:T466,T466))</f>
        <v/>
      </c>
      <c r="V466" s="1" t="str">
        <f t="shared" si="31"/>
        <v/>
      </c>
    </row>
    <row r="467" spans="1:22">
      <c r="A467" s="4"/>
      <c r="B467" s="52" t="str">
        <f>IF(A467="","",IFERROR(INDEX(Lists!$A$4:$A$203,MATCH(A467,Lists!$B$4:$B$203,0)),""))</f>
        <v/>
      </c>
      <c r="C467" s="8" t="str">
        <f>IF(A467="","",IFERROR(INDEX(Lists!$C$4:$C$203,MATCH(A467,Lists!$B$4:$B$203,0)),""))</f>
        <v/>
      </c>
      <c r="D467" s="8"/>
      <c r="E467" s="10"/>
      <c r="F467" s="10" t="str">
        <f t="shared" si="28"/>
        <v/>
      </c>
      <c r="G467" s="8" t="str">
        <f t="shared" ca="1" si="29"/>
        <v/>
      </c>
      <c r="H467" s="8"/>
      <c r="I467" s="8"/>
      <c r="J467" s="4"/>
      <c r="T467" s="1" t="str">
        <f t="shared" ca="1" si="30"/>
        <v/>
      </c>
      <c r="U467" s="1" t="str">
        <f ca="1">IF(T467="","",COUNTIFS($T$4:$T$503,"&gt;0",$T$4:$T$503,"&lt;"&amp;T467)+COUNTIF($T$4:T467,T467))</f>
        <v/>
      </c>
      <c r="V467" s="1" t="str">
        <f t="shared" si="31"/>
        <v/>
      </c>
    </row>
    <row r="468" spans="1:22">
      <c r="A468" s="4"/>
      <c r="B468" s="52" t="str">
        <f>IF(A468="","",IFERROR(INDEX(Lists!$A$4:$A$203,MATCH(A468,Lists!$B$4:$B$203,0)),""))</f>
        <v/>
      </c>
      <c r="C468" s="8" t="str">
        <f>IF(A468="","",IFERROR(INDEX(Lists!$C$4:$C$203,MATCH(A468,Lists!$B$4:$B$203,0)),""))</f>
        <v/>
      </c>
      <c r="D468" s="8"/>
      <c r="E468" s="10"/>
      <c r="F468" s="10" t="str">
        <f t="shared" si="28"/>
        <v/>
      </c>
      <c r="G468" s="8" t="str">
        <f t="shared" ca="1" si="29"/>
        <v/>
      </c>
      <c r="H468" s="8"/>
      <c r="I468" s="8"/>
      <c r="J468" s="4"/>
      <c r="T468" s="1" t="str">
        <f t="shared" ca="1" si="30"/>
        <v/>
      </c>
      <c r="U468" s="1" t="str">
        <f ca="1">IF(T468="","",COUNTIFS($T$4:$T$503,"&gt;0",$T$4:$T$503,"&lt;"&amp;T468)+COUNTIF($T$4:T468,T468))</f>
        <v/>
      </c>
      <c r="V468" s="1" t="str">
        <f t="shared" si="31"/>
        <v/>
      </c>
    </row>
    <row r="469" spans="1:22">
      <c r="A469" s="4"/>
      <c r="B469" s="52" t="str">
        <f>IF(A469="","",IFERROR(INDEX(Lists!$A$4:$A$203,MATCH(A469,Lists!$B$4:$B$203,0)),""))</f>
        <v/>
      </c>
      <c r="C469" s="8" t="str">
        <f>IF(A469="","",IFERROR(INDEX(Lists!$C$4:$C$203,MATCH(A469,Lists!$B$4:$B$203,0)),""))</f>
        <v/>
      </c>
      <c r="D469" s="8"/>
      <c r="E469" s="10"/>
      <c r="F469" s="10" t="str">
        <f t="shared" si="28"/>
        <v/>
      </c>
      <c r="G469" s="8" t="str">
        <f t="shared" ca="1" si="29"/>
        <v/>
      </c>
      <c r="H469" s="8"/>
      <c r="I469" s="8"/>
      <c r="J469" s="4"/>
      <c r="T469" s="1" t="str">
        <f t="shared" ca="1" si="30"/>
        <v/>
      </c>
      <c r="U469" s="1" t="str">
        <f ca="1">IF(T469="","",COUNTIFS($T$4:$T$503,"&gt;0",$T$4:$T$503,"&lt;"&amp;T469)+COUNTIF($T$4:T469,T469))</f>
        <v/>
      </c>
      <c r="V469" s="1" t="str">
        <f t="shared" si="31"/>
        <v/>
      </c>
    </row>
    <row r="470" spans="1:22">
      <c r="A470" s="4"/>
      <c r="B470" s="52" t="str">
        <f>IF(A470="","",IFERROR(INDEX(Lists!$A$4:$A$203,MATCH(A470,Lists!$B$4:$B$203,0)),""))</f>
        <v/>
      </c>
      <c r="C470" s="8" t="str">
        <f>IF(A470="","",IFERROR(INDEX(Lists!$C$4:$C$203,MATCH(A470,Lists!$B$4:$B$203,0)),""))</f>
        <v/>
      </c>
      <c r="D470" s="8"/>
      <c r="E470" s="10"/>
      <c r="F470" s="10" t="str">
        <f t="shared" si="28"/>
        <v/>
      </c>
      <c r="G470" s="8" t="str">
        <f t="shared" ca="1" si="29"/>
        <v/>
      </c>
      <c r="H470" s="8"/>
      <c r="I470" s="8"/>
      <c r="J470" s="4"/>
      <c r="T470" s="1" t="str">
        <f t="shared" ca="1" si="30"/>
        <v/>
      </c>
      <c r="U470" s="1" t="str">
        <f ca="1">IF(T470="","",COUNTIFS($T$4:$T$503,"&gt;0",$T$4:$T$503,"&lt;"&amp;T470)+COUNTIF($T$4:T470,T470))</f>
        <v/>
      </c>
      <c r="V470" s="1" t="str">
        <f t="shared" si="31"/>
        <v/>
      </c>
    </row>
    <row r="471" spans="1:22">
      <c r="A471" s="4"/>
      <c r="B471" s="52" t="str">
        <f>IF(A471="","",IFERROR(INDEX(Lists!$A$4:$A$203,MATCH(A471,Lists!$B$4:$B$203,0)),""))</f>
        <v/>
      </c>
      <c r="C471" s="8" t="str">
        <f>IF(A471="","",IFERROR(INDEX(Lists!$C$4:$C$203,MATCH(A471,Lists!$B$4:$B$203,0)),""))</f>
        <v/>
      </c>
      <c r="D471" s="8"/>
      <c r="E471" s="10"/>
      <c r="F471" s="10" t="str">
        <f t="shared" si="28"/>
        <v/>
      </c>
      <c r="G471" s="8" t="str">
        <f t="shared" ca="1" si="29"/>
        <v/>
      </c>
      <c r="H471" s="8"/>
      <c r="I471" s="8"/>
      <c r="J471" s="4"/>
      <c r="T471" s="1" t="str">
        <f t="shared" ca="1" si="30"/>
        <v/>
      </c>
      <c r="U471" s="1" t="str">
        <f ca="1">IF(T471="","",COUNTIFS($T$4:$T$503,"&gt;0",$T$4:$T$503,"&lt;"&amp;T471)+COUNTIF($T$4:T471,T471))</f>
        <v/>
      </c>
      <c r="V471" s="1" t="str">
        <f t="shared" si="31"/>
        <v/>
      </c>
    </row>
    <row r="472" spans="1:22">
      <c r="A472" s="4"/>
      <c r="B472" s="52" t="str">
        <f>IF(A472="","",IFERROR(INDEX(Lists!$A$4:$A$203,MATCH(A472,Lists!$B$4:$B$203,0)),""))</f>
        <v/>
      </c>
      <c r="C472" s="8" t="str">
        <f>IF(A472="","",IFERROR(INDEX(Lists!$C$4:$C$203,MATCH(A472,Lists!$B$4:$B$203,0)),""))</f>
        <v/>
      </c>
      <c r="D472" s="8"/>
      <c r="E472" s="10"/>
      <c r="F472" s="10" t="str">
        <f t="shared" si="28"/>
        <v/>
      </c>
      <c r="G472" s="8" t="str">
        <f t="shared" ca="1" si="29"/>
        <v/>
      </c>
      <c r="H472" s="8"/>
      <c r="I472" s="8"/>
      <c r="J472" s="4"/>
      <c r="T472" s="1" t="str">
        <f t="shared" ca="1" si="30"/>
        <v/>
      </c>
      <c r="U472" s="1" t="str">
        <f ca="1">IF(T472="","",COUNTIFS($T$4:$T$503,"&gt;0",$T$4:$T$503,"&lt;"&amp;T472)+COUNTIF($T$4:T472,T472))</f>
        <v/>
      </c>
      <c r="V472" s="1" t="str">
        <f t="shared" si="31"/>
        <v/>
      </c>
    </row>
    <row r="473" spans="1:22">
      <c r="A473" s="4"/>
      <c r="B473" s="52" t="str">
        <f>IF(A473="","",IFERROR(INDEX(Lists!$A$4:$A$203,MATCH(A473,Lists!$B$4:$B$203,0)),""))</f>
        <v/>
      </c>
      <c r="C473" s="8" t="str">
        <f>IF(A473="","",IFERROR(INDEX(Lists!$C$4:$C$203,MATCH(A473,Lists!$B$4:$B$203,0)),""))</f>
        <v/>
      </c>
      <c r="D473" s="8"/>
      <c r="E473" s="10"/>
      <c r="F473" s="10" t="str">
        <f t="shared" si="28"/>
        <v/>
      </c>
      <c r="G473" s="8" t="str">
        <f t="shared" ca="1" si="29"/>
        <v/>
      </c>
      <c r="H473" s="8"/>
      <c r="I473" s="8"/>
      <c r="J473" s="4"/>
      <c r="T473" s="1" t="str">
        <f t="shared" ca="1" si="30"/>
        <v/>
      </c>
      <c r="U473" s="1" t="str">
        <f ca="1">IF(T473="","",COUNTIFS($T$4:$T$503,"&gt;0",$T$4:$T$503,"&lt;"&amp;T473)+COUNTIF($T$4:T473,T473))</f>
        <v/>
      </c>
      <c r="V473" s="1" t="str">
        <f t="shared" si="31"/>
        <v/>
      </c>
    </row>
    <row r="474" spans="1:22">
      <c r="A474" s="4"/>
      <c r="B474" s="52" t="str">
        <f>IF(A474="","",IFERROR(INDEX(Lists!$A$4:$A$203,MATCH(A474,Lists!$B$4:$B$203,0)),""))</f>
        <v/>
      </c>
      <c r="C474" s="8" t="str">
        <f>IF(A474="","",IFERROR(INDEX(Lists!$C$4:$C$203,MATCH(A474,Lists!$B$4:$B$203,0)),""))</f>
        <v/>
      </c>
      <c r="D474" s="8"/>
      <c r="E474" s="10"/>
      <c r="F474" s="10" t="str">
        <f t="shared" si="28"/>
        <v/>
      </c>
      <c r="G474" s="8" t="str">
        <f t="shared" ca="1" si="29"/>
        <v/>
      </c>
      <c r="H474" s="8"/>
      <c r="I474" s="8"/>
      <c r="J474" s="4"/>
      <c r="T474" s="1" t="str">
        <f t="shared" ca="1" si="30"/>
        <v/>
      </c>
      <c r="U474" s="1" t="str">
        <f ca="1">IF(T474="","",COUNTIFS($T$4:$T$503,"&gt;0",$T$4:$T$503,"&lt;"&amp;T474)+COUNTIF($T$4:T474,T474))</f>
        <v/>
      </c>
      <c r="V474" s="1" t="str">
        <f t="shared" si="31"/>
        <v/>
      </c>
    </row>
    <row r="475" spans="1:22">
      <c r="A475" s="4"/>
      <c r="B475" s="52" t="str">
        <f>IF(A475="","",IFERROR(INDEX(Lists!$A$4:$A$203,MATCH(A475,Lists!$B$4:$B$203,0)),""))</f>
        <v/>
      </c>
      <c r="C475" s="8" t="str">
        <f>IF(A475="","",IFERROR(INDEX(Lists!$C$4:$C$203,MATCH(A475,Lists!$B$4:$B$203,0)),""))</f>
        <v/>
      </c>
      <c r="D475" s="8"/>
      <c r="E475" s="10"/>
      <c r="F475" s="10" t="str">
        <f t="shared" si="28"/>
        <v/>
      </c>
      <c r="G475" s="8" t="str">
        <f t="shared" ca="1" si="29"/>
        <v/>
      </c>
      <c r="H475" s="8"/>
      <c r="I475" s="8"/>
      <c r="J475" s="4"/>
      <c r="T475" s="1" t="str">
        <f t="shared" ca="1" si="30"/>
        <v/>
      </c>
      <c r="U475" s="1" t="str">
        <f ca="1">IF(T475="","",COUNTIFS($T$4:$T$503,"&gt;0",$T$4:$T$503,"&lt;"&amp;T475)+COUNTIF($T$4:T475,T475))</f>
        <v/>
      </c>
      <c r="V475" s="1" t="str">
        <f t="shared" si="31"/>
        <v/>
      </c>
    </row>
    <row r="476" spans="1:22">
      <c r="A476" s="4"/>
      <c r="B476" s="52" t="str">
        <f>IF(A476="","",IFERROR(INDEX(Lists!$A$4:$A$203,MATCH(A476,Lists!$B$4:$B$203,0)),""))</f>
        <v/>
      </c>
      <c r="C476" s="8" t="str">
        <f>IF(A476="","",IFERROR(INDEX(Lists!$C$4:$C$203,MATCH(A476,Lists!$B$4:$B$203,0)),""))</f>
        <v/>
      </c>
      <c r="D476" s="8"/>
      <c r="E476" s="10"/>
      <c r="F476" s="10" t="str">
        <f t="shared" si="28"/>
        <v/>
      </c>
      <c r="G476" s="8" t="str">
        <f t="shared" ca="1" si="29"/>
        <v/>
      </c>
      <c r="H476" s="8"/>
      <c r="I476" s="8"/>
      <c r="J476" s="4"/>
      <c r="T476" s="1" t="str">
        <f t="shared" ca="1" si="30"/>
        <v/>
      </c>
      <c r="U476" s="1" t="str">
        <f ca="1">IF(T476="","",COUNTIFS($T$4:$T$503,"&gt;0",$T$4:$T$503,"&lt;"&amp;T476)+COUNTIF($T$4:T476,T476))</f>
        <v/>
      </c>
      <c r="V476" s="1" t="str">
        <f t="shared" si="31"/>
        <v/>
      </c>
    </row>
    <row r="477" spans="1:22">
      <c r="A477" s="4"/>
      <c r="B477" s="52" t="str">
        <f>IF(A477="","",IFERROR(INDEX(Lists!$A$4:$A$203,MATCH(A477,Lists!$B$4:$B$203,0)),""))</f>
        <v/>
      </c>
      <c r="C477" s="8" t="str">
        <f>IF(A477="","",IFERROR(INDEX(Lists!$C$4:$C$203,MATCH(A477,Lists!$B$4:$B$203,0)),""))</f>
        <v/>
      </c>
      <c r="D477" s="8"/>
      <c r="E477" s="10"/>
      <c r="F477" s="10" t="str">
        <f t="shared" si="28"/>
        <v/>
      </c>
      <c r="G477" s="8" t="str">
        <f t="shared" ca="1" si="29"/>
        <v/>
      </c>
      <c r="H477" s="8"/>
      <c r="I477" s="8"/>
      <c r="J477" s="4"/>
      <c r="T477" s="1" t="str">
        <f t="shared" ca="1" si="30"/>
        <v/>
      </c>
      <c r="U477" s="1" t="str">
        <f ca="1">IF(T477="","",COUNTIFS($T$4:$T$503,"&gt;0",$T$4:$T$503,"&lt;"&amp;T477)+COUNTIF($T$4:T477,T477))</f>
        <v/>
      </c>
      <c r="V477" s="1" t="str">
        <f t="shared" si="31"/>
        <v/>
      </c>
    </row>
    <row r="478" spans="1:22">
      <c r="A478" s="4"/>
      <c r="B478" s="52" t="str">
        <f>IF(A478="","",IFERROR(INDEX(Lists!$A$4:$A$203,MATCH(A478,Lists!$B$4:$B$203,0)),""))</f>
        <v/>
      </c>
      <c r="C478" s="8" t="str">
        <f>IF(A478="","",IFERROR(INDEX(Lists!$C$4:$C$203,MATCH(A478,Lists!$B$4:$B$203,0)),""))</f>
        <v/>
      </c>
      <c r="D478" s="8"/>
      <c r="E478" s="10"/>
      <c r="F478" s="10" t="str">
        <f t="shared" si="28"/>
        <v/>
      </c>
      <c r="G478" s="8" t="str">
        <f t="shared" ca="1" si="29"/>
        <v/>
      </c>
      <c r="H478" s="8"/>
      <c r="I478" s="8"/>
      <c r="J478" s="4"/>
      <c r="T478" s="1" t="str">
        <f t="shared" ca="1" si="30"/>
        <v/>
      </c>
      <c r="U478" s="1" t="str">
        <f ca="1">IF(T478="","",COUNTIFS($T$4:$T$503,"&gt;0",$T$4:$T$503,"&lt;"&amp;T478)+COUNTIF($T$4:T478,T478))</f>
        <v/>
      </c>
      <c r="V478" s="1" t="str">
        <f t="shared" si="31"/>
        <v/>
      </c>
    </row>
    <row r="479" spans="1:22">
      <c r="A479" s="4"/>
      <c r="B479" s="52" t="str">
        <f>IF(A479="","",IFERROR(INDEX(Lists!$A$4:$A$203,MATCH(A479,Lists!$B$4:$B$203,0)),""))</f>
        <v/>
      </c>
      <c r="C479" s="8" t="str">
        <f>IF(A479="","",IFERROR(INDEX(Lists!$C$4:$C$203,MATCH(A479,Lists!$B$4:$B$203,0)),""))</f>
        <v/>
      </c>
      <c r="D479" s="8"/>
      <c r="E479" s="10"/>
      <c r="F479" s="10" t="str">
        <f t="shared" si="28"/>
        <v/>
      </c>
      <c r="G479" s="8" t="str">
        <f t="shared" ca="1" si="29"/>
        <v/>
      </c>
      <c r="H479" s="8"/>
      <c r="I479" s="8"/>
      <c r="J479" s="4"/>
      <c r="T479" s="1" t="str">
        <f t="shared" ca="1" si="30"/>
        <v/>
      </c>
      <c r="U479" s="1" t="str">
        <f ca="1">IF(T479="","",COUNTIFS($T$4:$T$503,"&gt;0",$T$4:$T$503,"&lt;"&amp;T479)+COUNTIF($T$4:T479,T479))</f>
        <v/>
      </c>
      <c r="V479" s="1" t="str">
        <f t="shared" si="31"/>
        <v/>
      </c>
    </row>
    <row r="480" spans="1:22">
      <c r="A480" s="4"/>
      <c r="B480" s="52" t="str">
        <f>IF(A480="","",IFERROR(INDEX(Lists!$A$4:$A$203,MATCH(A480,Lists!$B$4:$B$203,0)),""))</f>
        <v/>
      </c>
      <c r="C480" s="8" t="str">
        <f>IF(A480="","",IFERROR(INDEX(Lists!$C$4:$C$203,MATCH(A480,Lists!$B$4:$B$203,0)),""))</f>
        <v/>
      </c>
      <c r="D480" s="8"/>
      <c r="E480" s="10"/>
      <c r="F480" s="10" t="str">
        <f t="shared" si="28"/>
        <v/>
      </c>
      <c r="G480" s="8" t="str">
        <f t="shared" ca="1" si="29"/>
        <v/>
      </c>
      <c r="H480" s="8"/>
      <c r="I480" s="8"/>
      <c r="J480" s="4"/>
      <c r="T480" s="1" t="str">
        <f t="shared" ca="1" si="30"/>
        <v/>
      </c>
      <c r="U480" s="1" t="str">
        <f ca="1">IF(T480="","",COUNTIFS($T$4:$T$503,"&gt;0",$T$4:$T$503,"&lt;"&amp;T480)+COUNTIF($T$4:T480,T480))</f>
        <v/>
      </c>
      <c r="V480" s="1" t="str">
        <f t="shared" si="31"/>
        <v/>
      </c>
    </row>
    <row r="481" spans="1:22">
      <c r="A481" s="4"/>
      <c r="B481" s="52" t="str">
        <f>IF(A481="","",IFERROR(INDEX(Lists!$A$4:$A$203,MATCH(A481,Lists!$B$4:$B$203,0)),""))</f>
        <v/>
      </c>
      <c r="C481" s="8" t="str">
        <f>IF(A481="","",IFERROR(INDEX(Lists!$C$4:$C$203,MATCH(A481,Lists!$B$4:$B$203,0)),""))</f>
        <v/>
      </c>
      <c r="D481" s="8"/>
      <c r="E481" s="10"/>
      <c r="F481" s="10" t="str">
        <f t="shared" si="28"/>
        <v/>
      </c>
      <c r="G481" s="8" t="str">
        <f t="shared" ca="1" si="29"/>
        <v/>
      </c>
      <c r="H481" s="8"/>
      <c r="I481" s="8"/>
      <c r="J481" s="4"/>
      <c r="T481" s="1" t="str">
        <f t="shared" ca="1" si="30"/>
        <v/>
      </c>
      <c r="U481" s="1" t="str">
        <f ca="1">IF(T481="","",COUNTIFS($T$4:$T$503,"&gt;0",$T$4:$T$503,"&lt;"&amp;T481)+COUNTIF($T$4:T481,T481))</f>
        <v/>
      </c>
      <c r="V481" s="1" t="str">
        <f t="shared" si="31"/>
        <v/>
      </c>
    </row>
    <row r="482" spans="1:22">
      <c r="A482" s="4"/>
      <c r="B482" s="52" t="str">
        <f>IF(A482="","",IFERROR(INDEX(Lists!$A$4:$A$203,MATCH(A482,Lists!$B$4:$B$203,0)),""))</f>
        <v/>
      </c>
      <c r="C482" s="8" t="str">
        <f>IF(A482="","",IFERROR(INDEX(Lists!$C$4:$C$203,MATCH(A482,Lists!$B$4:$B$203,0)),""))</f>
        <v/>
      </c>
      <c r="D482" s="8"/>
      <c r="E482" s="10"/>
      <c r="F482" s="10" t="str">
        <f t="shared" si="28"/>
        <v/>
      </c>
      <c r="G482" s="8" t="str">
        <f t="shared" ca="1" si="29"/>
        <v/>
      </c>
      <c r="H482" s="8"/>
      <c r="I482" s="8"/>
      <c r="J482" s="4"/>
      <c r="T482" s="1" t="str">
        <f t="shared" ca="1" si="30"/>
        <v/>
      </c>
      <c r="U482" s="1" t="str">
        <f ca="1">IF(T482="","",COUNTIFS($T$4:$T$503,"&gt;0",$T$4:$T$503,"&lt;"&amp;T482)+COUNTIF($T$4:T482,T482))</f>
        <v/>
      </c>
      <c r="V482" s="1" t="str">
        <f t="shared" si="31"/>
        <v/>
      </c>
    </row>
    <row r="483" spans="1:22">
      <c r="A483" s="4"/>
      <c r="B483" s="52" t="str">
        <f>IF(A483="","",IFERROR(INDEX(Lists!$A$4:$A$203,MATCH(A483,Lists!$B$4:$B$203,0)),""))</f>
        <v/>
      </c>
      <c r="C483" s="8" t="str">
        <f>IF(A483="","",IFERROR(INDEX(Lists!$C$4:$C$203,MATCH(A483,Lists!$B$4:$B$203,0)),""))</f>
        <v/>
      </c>
      <c r="D483" s="8"/>
      <c r="E483" s="10"/>
      <c r="F483" s="10" t="str">
        <f t="shared" si="28"/>
        <v/>
      </c>
      <c r="G483" s="8" t="str">
        <f t="shared" ca="1" si="29"/>
        <v/>
      </c>
      <c r="H483" s="8"/>
      <c r="I483" s="8"/>
      <c r="J483" s="4"/>
      <c r="T483" s="1" t="str">
        <f t="shared" ca="1" si="30"/>
        <v/>
      </c>
      <c r="U483" s="1" t="str">
        <f ca="1">IF(T483="","",COUNTIFS($T$4:$T$503,"&gt;0",$T$4:$T$503,"&lt;"&amp;T483)+COUNTIF($T$4:T483,T483))</f>
        <v/>
      </c>
      <c r="V483" s="1" t="str">
        <f t="shared" si="31"/>
        <v/>
      </c>
    </row>
    <row r="484" spans="1:22">
      <c r="A484" s="4"/>
      <c r="B484" s="52" t="str">
        <f>IF(A484="","",IFERROR(INDEX(Lists!$A$4:$A$203,MATCH(A484,Lists!$B$4:$B$203,0)),""))</f>
        <v/>
      </c>
      <c r="C484" s="8" t="str">
        <f>IF(A484="","",IFERROR(INDEX(Lists!$C$4:$C$203,MATCH(A484,Lists!$B$4:$B$203,0)),""))</f>
        <v/>
      </c>
      <c r="D484" s="8"/>
      <c r="E484" s="10"/>
      <c r="F484" s="10" t="str">
        <f t="shared" si="28"/>
        <v/>
      </c>
      <c r="G484" s="8" t="str">
        <f t="shared" ca="1" si="29"/>
        <v/>
      </c>
      <c r="H484" s="8"/>
      <c r="I484" s="8"/>
      <c r="J484" s="4"/>
      <c r="T484" s="1" t="str">
        <f t="shared" ca="1" si="30"/>
        <v/>
      </c>
      <c r="U484" s="1" t="str">
        <f ca="1">IF(T484="","",COUNTIFS($T$4:$T$503,"&gt;0",$T$4:$T$503,"&lt;"&amp;T484)+COUNTIF($T$4:T484,T484))</f>
        <v/>
      </c>
      <c r="V484" s="1" t="str">
        <f t="shared" si="31"/>
        <v/>
      </c>
    </row>
    <row r="485" spans="1:22">
      <c r="A485" s="4"/>
      <c r="B485" s="52" t="str">
        <f>IF(A485="","",IFERROR(INDEX(Lists!$A$4:$A$203,MATCH(A485,Lists!$B$4:$B$203,0)),""))</f>
        <v/>
      </c>
      <c r="C485" s="8" t="str">
        <f>IF(A485="","",IFERROR(INDEX(Lists!$C$4:$C$203,MATCH(A485,Lists!$B$4:$B$203,0)),""))</f>
        <v/>
      </c>
      <c r="D485" s="8"/>
      <c r="E485" s="10"/>
      <c r="F485" s="10" t="str">
        <f t="shared" si="28"/>
        <v/>
      </c>
      <c r="G485" s="8" t="str">
        <f t="shared" ca="1" si="29"/>
        <v/>
      </c>
      <c r="H485" s="8"/>
      <c r="I485" s="8"/>
      <c r="J485" s="4"/>
      <c r="T485" s="1" t="str">
        <f t="shared" ca="1" si="30"/>
        <v/>
      </c>
      <c r="U485" s="1" t="str">
        <f ca="1">IF(T485="","",COUNTIFS($T$4:$T$503,"&gt;0",$T$4:$T$503,"&lt;"&amp;T485)+COUNTIF($T$4:T485,T485))</f>
        <v/>
      </c>
      <c r="V485" s="1" t="str">
        <f t="shared" si="31"/>
        <v/>
      </c>
    </row>
    <row r="486" spans="1:22">
      <c r="A486" s="4"/>
      <c r="B486" s="52" t="str">
        <f>IF(A486="","",IFERROR(INDEX(Lists!$A$4:$A$203,MATCH(A486,Lists!$B$4:$B$203,0)),""))</f>
        <v/>
      </c>
      <c r="C486" s="8" t="str">
        <f>IF(A486="","",IFERROR(INDEX(Lists!$C$4:$C$203,MATCH(A486,Lists!$B$4:$B$203,0)),""))</f>
        <v/>
      </c>
      <c r="D486" s="8"/>
      <c r="E486" s="10"/>
      <c r="F486" s="10" t="str">
        <f t="shared" si="28"/>
        <v/>
      </c>
      <c r="G486" s="8" t="str">
        <f t="shared" ca="1" si="29"/>
        <v/>
      </c>
      <c r="H486" s="8"/>
      <c r="I486" s="8"/>
      <c r="J486" s="4"/>
      <c r="T486" s="1" t="str">
        <f t="shared" ca="1" si="30"/>
        <v/>
      </c>
      <c r="U486" s="1" t="str">
        <f ca="1">IF(T486="","",COUNTIFS($T$4:$T$503,"&gt;0",$T$4:$T$503,"&lt;"&amp;T486)+COUNTIF($T$4:T486,T486))</f>
        <v/>
      </c>
      <c r="V486" s="1" t="str">
        <f t="shared" si="31"/>
        <v/>
      </c>
    </row>
    <row r="487" spans="1:22">
      <c r="A487" s="4"/>
      <c r="B487" s="52" t="str">
        <f>IF(A487="","",IFERROR(INDEX(Lists!$A$4:$A$203,MATCH(A487,Lists!$B$4:$B$203,0)),""))</f>
        <v/>
      </c>
      <c r="C487" s="8" t="str">
        <f>IF(A487="","",IFERROR(INDEX(Lists!$C$4:$C$203,MATCH(A487,Lists!$B$4:$B$203,0)),""))</f>
        <v/>
      </c>
      <c r="D487" s="8"/>
      <c r="E487" s="10"/>
      <c r="F487" s="10" t="str">
        <f t="shared" si="28"/>
        <v/>
      </c>
      <c r="G487" s="8" t="str">
        <f t="shared" ca="1" si="29"/>
        <v/>
      </c>
      <c r="H487" s="8"/>
      <c r="I487" s="8"/>
      <c r="J487" s="4"/>
      <c r="T487" s="1" t="str">
        <f t="shared" ca="1" si="30"/>
        <v/>
      </c>
      <c r="U487" s="1" t="str">
        <f ca="1">IF(T487="","",COUNTIFS($T$4:$T$503,"&gt;0",$T$4:$T$503,"&lt;"&amp;T487)+COUNTIF($T$4:T487,T487))</f>
        <v/>
      </c>
      <c r="V487" s="1" t="str">
        <f t="shared" si="31"/>
        <v/>
      </c>
    </row>
    <row r="488" spans="1:22">
      <c r="A488" s="4"/>
      <c r="B488" s="52" t="str">
        <f>IF(A488="","",IFERROR(INDEX(Lists!$A$4:$A$203,MATCH(A488,Lists!$B$4:$B$203,0)),""))</f>
        <v/>
      </c>
      <c r="C488" s="8" t="str">
        <f>IF(A488="","",IFERROR(INDEX(Lists!$C$4:$C$203,MATCH(A488,Lists!$B$4:$B$203,0)),""))</f>
        <v/>
      </c>
      <c r="D488" s="8"/>
      <c r="E488" s="10"/>
      <c r="F488" s="10" t="str">
        <f t="shared" si="28"/>
        <v/>
      </c>
      <c r="G488" s="8" t="str">
        <f t="shared" ca="1" si="29"/>
        <v/>
      </c>
      <c r="H488" s="8"/>
      <c r="I488" s="8"/>
      <c r="J488" s="4"/>
      <c r="T488" s="1" t="str">
        <f t="shared" ca="1" si="30"/>
        <v/>
      </c>
      <c r="U488" s="1" t="str">
        <f ca="1">IF(T488="","",COUNTIFS($T$4:$T$503,"&gt;0",$T$4:$T$503,"&lt;"&amp;T488)+COUNTIF($T$4:T488,T488))</f>
        <v/>
      </c>
      <c r="V488" s="1" t="str">
        <f t="shared" si="31"/>
        <v/>
      </c>
    </row>
    <row r="489" spans="1:22">
      <c r="A489" s="4"/>
      <c r="B489" s="52" t="str">
        <f>IF(A489="","",IFERROR(INDEX(Lists!$A$4:$A$203,MATCH(A489,Lists!$B$4:$B$203,0)),""))</f>
        <v/>
      </c>
      <c r="C489" s="8" t="str">
        <f>IF(A489="","",IFERROR(INDEX(Lists!$C$4:$C$203,MATCH(A489,Lists!$B$4:$B$203,0)),""))</f>
        <v/>
      </c>
      <c r="D489" s="8"/>
      <c r="E489" s="10"/>
      <c r="F489" s="10" t="str">
        <f t="shared" si="28"/>
        <v/>
      </c>
      <c r="G489" s="8" t="str">
        <f t="shared" ca="1" si="29"/>
        <v/>
      </c>
      <c r="H489" s="8"/>
      <c r="I489" s="8"/>
      <c r="J489" s="4"/>
      <c r="T489" s="1" t="str">
        <f t="shared" ca="1" si="30"/>
        <v/>
      </c>
      <c r="U489" s="1" t="str">
        <f ca="1">IF(T489="","",COUNTIFS($T$4:$T$503,"&gt;0",$T$4:$T$503,"&lt;"&amp;T489)+COUNTIF($T$4:T489,T489))</f>
        <v/>
      </c>
      <c r="V489" s="1" t="str">
        <f t="shared" si="31"/>
        <v/>
      </c>
    </row>
    <row r="490" spans="1:22">
      <c r="A490" s="4"/>
      <c r="B490" s="52" t="str">
        <f>IF(A490="","",IFERROR(INDEX(Lists!$A$4:$A$203,MATCH(A490,Lists!$B$4:$B$203,0)),""))</f>
        <v/>
      </c>
      <c r="C490" s="8" t="str">
        <f>IF(A490="","",IFERROR(INDEX(Lists!$C$4:$C$203,MATCH(A490,Lists!$B$4:$B$203,0)),""))</f>
        <v/>
      </c>
      <c r="D490" s="8"/>
      <c r="E490" s="10"/>
      <c r="F490" s="10" t="str">
        <f t="shared" si="28"/>
        <v/>
      </c>
      <c r="G490" s="8" t="str">
        <f t="shared" ca="1" si="29"/>
        <v/>
      </c>
      <c r="H490" s="8"/>
      <c r="I490" s="8"/>
      <c r="J490" s="4"/>
      <c r="T490" s="1" t="str">
        <f t="shared" ca="1" si="30"/>
        <v/>
      </c>
      <c r="U490" s="1" t="str">
        <f ca="1">IF(T490="","",COUNTIFS($T$4:$T$503,"&gt;0",$T$4:$T$503,"&lt;"&amp;T490)+COUNTIF($T$4:T490,T490))</f>
        <v/>
      </c>
      <c r="V490" s="1" t="str">
        <f t="shared" si="31"/>
        <v/>
      </c>
    </row>
    <row r="491" spans="1:22">
      <c r="A491" s="4"/>
      <c r="B491" s="52" t="str">
        <f>IF(A491="","",IFERROR(INDEX(Lists!$A$4:$A$203,MATCH(A491,Lists!$B$4:$B$203,0)),""))</f>
        <v/>
      </c>
      <c r="C491" s="8" t="str">
        <f>IF(A491="","",IFERROR(INDEX(Lists!$C$4:$C$203,MATCH(A491,Lists!$B$4:$B$203,0)),""))</f>
        <v/>
      </c>
      <c r="D491" s="8"/>
      <c r="E491" s="10"/>
      <c r="F491" s="10" t="str">
        <f t="shared" si="28"/>
        <v/>
      </c>
      <c r="G491" s="8" t="str">
        <f t="shared" ca="1" si="29"/>
        <v/>
      </c>
      <c r="H491" s="8"/>
      <c r="I491" s="8"/>
      <c r="J491" s="4"/>
      <c r="T491" s="1" t="str">
        <f t="shared" ca="1" si="30"/>
        <v/>
      </c>
      <c r="U491" s="1" t="str">
        <f ca="1">IF(T491="","",COUNTIFS($T$4:$T$503,"&gt;0",$T$4:$T$503,"&lt;"&amp;T491)+COUNTIF($T$4:T491,T491))</f>
        <v/>
      </c>
      <c r="V491" s="1" t="str">
        <f t="shared" si="31"/>
        <v/>
      </c>
    </row>
    <row r="492" spans="1:22">
      <c r="A492" s="4"/>
      <c r="B492" s="52" t="str">
        <f>IF(A492="","",IFERROR(INDEX(Lists!$A$4:$A$203,MATCH(A492,Lists!$B$4:$B$203,0)),""))</f>
        <v/>
      </c>
      <c r="C492" s="8" t="str">
        <f>IF(A492="","",IFERROR(INDEX(Lists!$C$4:$C$203,MATCH(A492,Lists!$B$4:$B$203,0)),""))</f>
        <v/>
      </c>
      <c r="D492" s="8"/>
      <c r="E492" s="10"/>
      <c r="F492" s="10" t="str">
        <f t="shared" si="28"/>
        <v/>
      </c>
      <c r="G492" s="8" t="str">
        <f t="shared" ca="1" si="29"/>
        <v/>
      </c>
      <c r="H492" s="8"/>
      <c r="I492" s="8"/>
      <c r="J492" s="4"/>
      <c r="T492" s="1" t="str">
        <f t="shared" ca="1" si="30"/>
        <v/>
      </c>
      <c r="U492" s="1" t="str">
        <f ca="1">IF(T492="","",COUNTIFS($T$4:$T$503,"&gt;0",$T$4:$T$503,"&lt;"&amp;T492)+COUNTIF($T$4:T492,T492))</f>
        <v/>
      </c>
      <c r="V492" s="1" t="str">
        <f t="shared" si="31"/>
        <v/>
      </c>
    </row>
    <row r="493" spans="1:22">
      <c r="A493" s="4"/>
      <c r="B493" s="52" t="str">
        <f>IF(A493="","",IFERROR(INDEX(Lists!$A$4:$A$203,MATCH(A493,Lists!$B$4:$B$203,0)),""))</f>
        <v/>
      </c>
      <c r="C493" s="8" t="str">
        <f>IF(A493="","",IFERROR(INDEX(Lists!$C$4:$C$203,MATCH(A493,Lists!$B$4:$B$203,0)),""))</f>
        <v/>
      </c>
      <c r="D493" s="8"/>
      <c r="E493" s="10"/>
      <c r="F493" s="10" t="str">
        <f t="shared" si="28"/>
        <v/>
      </c>
      <c r="G493" s="8" t="str">
        <f t="shared" ca="1" si="29"/>
        <v/>
      </c>
      <c r="H493" s="8"/>
      <c r="I493" s="8"/>
      <c r="J493" s="4"/>
      <c r="T493" s="1" t="str">
        <f t="shared" ca="1" si="30"/>
        <v/>
      </c>
      <c r="U493" s="1" t="str">
        <f ca="1">IF(T493="","",COUNTIFS($T$4:$T$503,"&gt;0",$T$4:$T$503,"&lt;"&amp;T493)+COUNTIF($T$4:T493,T493))</f>
        <v/>
      </c>
      <c r="V493" s="1" t="str">
        <f t="shared" si="31"/>
        <v/>
      </c>
    </row>
    <row r="494" spans="1:22">
      <c r="A494" s="4"/>
      <c r="B494" s="52" t="str">
        <f>IF(A494="","",IFERROR(INDEX(Lists!$A$4:$A$203,MATCH(A494,Lists!$B$4:$B$203,0)),""))</f>
        <v/>
      </c>
      <c r="C494" s="8" t="str">
        <f>IF(A494="","",IFERROR(INDEX(Lists!$C$4:$C$203,MATCH(A494,Lists!$B$4:$B$203,0)),""))</f>
        <v/>
      </c>
      <c r="D494" s="8"/>
      <c r="E494" s="10"/>
      <c r="F494" s="10" t="str">
        <f t="shared" si="28"/>
        <v/>
      </c>
      <c r="G494" s="8" t="str">
        <f t="shared" ca="1" si="29"/>
        <v/>
      </c>
      <c r="H494" s="8"/>
      <c r="I494" s="8"/>
      <c r="J494" s="4"/>
      <c r="T494" s="1" t="str">
        <f t="shared" ca="1" si="30"/>
        <v/>
      </c>
      <c r="U494" s="1" t="str">
        <f ca="1">IF(T494="","",COUNTIFS($T$4:$T$503,"&gt;0",$T$4:$T$503,"&lt;"&amp;T494)+COUNTIF($T$4:T494,T494))</f>
        <v/>
      </c>
      <c r="V494" s="1" t="str">
        <f t="shared" si="31"/>
        <v/>
      </c>
    </row>
    <row r="495" spans="1:22">
      <c r="A495" s="4"/>
      <c r="B495" s="52" t="str">
        <f>IF(A495="","",IFERROR(INDEX(Lists!$A$4:$A$203,MATCH(A495,Lists!$B$4:$B$203,0)),""))</f>
        <v/>
      </c>
      <c r="C495" s="8" t="str">
        <f>IF(A495="","",IFERROR(INDEX(Lists!$C$4:$C$203,MATCH(A495,Lists!$B$4:$B$203,0)),""))</f>
        <v/>
      </c>
      <c r="D495" s="8"/>
      <c r="E495" s="10"/>
      <c r="F495" s="10" t="str">
        <f t="shared" si="28"/>
        <v/>
      </c>
      <c r="G495" s="8" t="str">
        <f t="shared" ca="1" si="29"/>
        <v/>
      </c>
      <c r="H495" s="8"/>
      <c r="I495" s="8"/>
      <c r="J495" s="4"/>
      <c r="T495" s="1" t="str">
        <f t="shared" ca="1" si="30"/>
        <v/>
      </c>
      <c r="U495" s="1" t="str">
        <f ca="1">IF(T495="","",COUNTIFS($T$4:$T$503,"&gt;0",$T$4:$T$503,"&lt;"&amp;T495)+COUNTIF($T$4:T495,T495))</f>
        <v/>
      </c>
      <c r="V495" s="1" t="str">
        <f t="shared" si="31"/>
        <v/>
      </c>
    </row>
    <row r="496" spans="1:22">
      <c r="A496" s="4"/>
      <c r="B496" s="52" t="str">
        <f>IF(A496="","",IFERROR(INDEX(Lists!$A$4:$A$203,MATCH(A496,Lists!$B$4:$B$203,0)),""))</f>
        <v/>
      </c>
      <c r="C496" s="8" t="str">
        <f>IF(A496="","",IFERROR(INDEX(Lists!$C$4:$C$203,MATCH(A496,Lists!$B$4:$B$203,0)),""))</f>
        <v/>
      </c>
      <c r="D496" s="8"/>
      <c r="E496" s="10"/>
      <c r="F496" s="10" t="str">
        <f t="shared" si="28"/>
        <v/>
      </c>
      <c r="G496" s="8" t="str">
        <f t="shared" ca="1" si="29"/>
        <v/>
      </c>
      <c r="H496" s="8"/>
      <c r="I496" s="8"/>
      <c r="J496" s="4"/>
      <c r="T496" s="1" t="str">
        <f t="shared" ca="1" si="30"/>
        <v/>
      </c>
      <c r="U496" s="1" t="str">
        <f ca="1">IF(T496="","",COUNTIFS($T$4:$T$503,"&gt;0",$T$4:$T$503,"&lt;"&amp;T496)+COUNTIF($T$4:T496,T496))</f>
        <v/>
      </c>
      <c r="V496" s="1" t="str">
        <f t="shared" si="31"/>
        <v/>
      </c>
    </row>
    <row r="497" spans="1:22">
      <c r="A497" s="4"/>
      <c r="B497" s="52" t="str">
        <f>IF(A497="","",IFERROR(INDEX(Lists!$A$4:$A$203,MATCH(A497,Lists!$B$4:$B$203,0)),""))</f>
        <v/>
      </c>
      <c r="C497" s="8" t="str">
        <f>IF(A497="","",IFERROR(INDEX(Lists!$C$4:$C$203,MATCH(A497,Lists!$B$4:$B$203,0)),""))</f>
        <v/>
      </c>
      <c r="D497" s="8"/>
      <c r="E497" s="10"/>
      <c r="F497" s="10" t="str">
        <f t="shared" si="28"/>
        <v/>
      </c>
      <c r="G497" s="8" t="str">
        <f t="shared" ca="1" si="29"/>
        <v/>
      </c>
      <c r="H497" s="8"/>
      <c r="I497" s="8"/>
      <c r="J497" s="4"/>
      <c r="T497" s="1" t="str">
        <f t="shared" ca="1" si="30"/>
        <v/>
      </c>
      <c r="U497" s="1" t="str">
        <f ca="1">IF(T497="","",COUNTIFS($T$4:$T$503,"&gt;0",$T$4:$T$503,"&lt;"&amp;T497)+COUNTIF($T$4:T497,T497))</f>
        <v/>
      </c>
      <c r="V497" s="1" t="str">
        <f t="shared" si="31"/>
        <v/>
      </c>
    </row>
    <row r="498" spans="1:22">
      <c r="A498" s="4"/>
      <c r="B498" s="52" t="str">
        <f>IF(A498="","",IFERROR(INDEX(Lists!$A$4:$A$203,MATCH(A498,Lists!$B$4:$B$203,0)),""))</f>
        <v/>
      </c>
      <c r="C498" s="8" t="str">
        <f>IF(A498="","",IFERROR(INDEX(Lists!$C$4:$C$203,MATCH(A498,Lists!$B$4:$B$203,0)),""))</f>
        <v/>
      </c>
      <c r="D498" s="8"/>
      <c r="E498" s="10"/>
      <c r="F498" s="10" t="str">
        <f t="shared" si="28"/>
        <v/>
      </c>
      <c r="G498" s="8" t="str">
        <f t="shared" ca="1" si="29"/>
        <v/>
      </c>
      <c r="H498" s="8"/>
      <c r="I498" s="8"/>
      <c r="J498" s="4"/>
      <c r="T498" s="1" t="str">
        <f t="shared" ca="1" si="30"/>
        <v/>
      </c>
      <c r="U498" s="1" t="str">
        <f ca="1">IF(T498="","",COUNTIFS($T$4:$T$503,"&gt;0",$T$4:$T$503,"&lt;"&amp;T498)+COUNTIF($T$4:T498,T498))</f>
        <v/>
      </c>
      <c r="V498" s="1" t="str">
        <f t="shared" si="31"/>
        <v/>
      </c>
    </row>
    <row r="499" spans="1:22">
      <c r="A499" s="4"/>
      <c r="B499" s="52" t="str">
        <f>IF(A499="","",IFERROR(INDEX(Lists!$A$4:$A$203,MATCH(A499,Lists!$B$4:$B$203,0)),""))</f>
        <v/>
      </c>
      <c r="C499" s="8" t="str">
        <f>IF(A499="","",IFERROR(INDEX(Lists!$C$4:$C$203,MATCH(A499,Lists!$B$4:$B$203,0)),""))</f>
        <v/>
      </c>
      <c r="D499" s="8"/>
      <c r="E499" s="10"/>
      <c r="F499" s="10" t="str">
        <f t="shared" si="28"/>
        <v/>
      </c>
      <c r="G499" s="8" t="str">
        <f t="shared" ca="1" si="29"/>
        <v/>
      </c>
      <c r="H499" s="8"/>
      <c r="I499" s="8"/>
      <c r="J499" s="4"/>
      <c r="T499" s="1" t="str">
        <f t="shared" ca="1" si="30"/>
        <v/>
      </c>
      <c r="U499" s="1" t="str">
        <f ca="1">IF(T499="","",COUNTIFS($T$4:$T$503,"&gt;0",$T$4:$T$503,"&lt;"&amp;T499)+COUNTIF($T$4:T499,T499))</f>
        <v/>
      </c>
      <c r="V499" s="1" t="str">
        <f t="shared" si="31"/>
        <v/>
      </c>
    </row>
    <row r="500" spans="1:22">
      <c r="A500" s="4"/>
      <c r="B500" s="52" t="str">
        <f>IF(A500="","",IFERROR(INDEX(Lists!$A$4:$A$203,MATCH(A500,Lists!$B$4:$B$203,0)),""))</f>
        <v/>
      </c>
      <c r="C500" s="8" t="str">
        <f>IF(A500="","",IFERROR(INDEX(Lists!$C$4:$C$203,MATCH(A500,Lists!$B$4:$B$203,0)),""))</f>
        <v/>
      </c>
      <c r="D500" s="8"/>
      <c r="E500" s="10"/>
      <c r="F500" s="10" t="str">
        <f t="shared" si="28"/>
        <v/>
      </c>
      <c r="G500" s="8" t="str">
        <f t="shared" ca="1" si="29"/>
        <v/>
      </c>
      <c r="H500" s="8"/>
      <c r="I500" s="8"/>
      <c r="J500" s="4"/>
      <c r="T500" s="1" t="str">
        <f t="shared" ca="1" si="30"/>
        <v/>
      </c>
      <c r="U500" s="1" t="str">
        <f ca="1">IF(T500="","",COUNTIFS($T$4:$T$503,"&gt;0",$T$4:$T$503,"&lt;"&amp;T500)+COUNTIF($T$4:T500,T500))</f>
        <v/>
      </c>
      <c r="V500" s="1" t="str">
        <f t="shared" si="31"/>
        <v/>
      </c>
    </row>
    <row r="501" spans="1:22">
      <c r="A501" s="4"/>
      <c r="B501" s="52" t="str">
        <f>IF(A501="","",IFERROR(INDEX(Lists!$A$4:$A$203,MATCH(A501,Lists!$B$4:$B$203,0)),""))</f>
        <v/>
      </c>
      <c r="C501" s="8" t="str">
        <f>IF(A501="","",IFERROR(INDEX(Lists!$C$4:$C$203,MATCH(A501,Lists!$B$4:$B$203,0)),""))</f>
        <v/>
      </c>
      <c r="D501" s="8"/>
      <c r="E501" s="10"/>
      <c r="F501" s="10" t="str">
        <f t="shared" si="28"/>
        <v/>
      </c>
      <c r="G501" s="8" t="str">
        <f t="shared" ca="1" si="29"/>
        <v/>
      </c>
      <c r="H501" s="8"/>
      <c r="I501" s="8"/>
      <c r="J501" s="4"/>
      <c r="T501" s="1" t="str">
        <f t="shared" ca="1" si="30"/>
        <v/>
      </c>
      <c r="U501" s="1" t="str">
        <f ca="1">IF(T501="","",COUNTIFS($T$4:$T$503,"&gt;0",$T$4:$T$503,"&lt;"&amp;T501)+COUNTIF($T$4:T501,T501))</f>
        <v/>
      </c>
      <c r="V501" s="1" t="str">
        <f t="shared" si="31"/>
        <v/>
      </c>
    </row>
    <row r="502" spans="1:22">
      <c r="A502" s="4"/>
      <c r="B502" s="52" t="str">
        <f>IF(A502="","",IFERROR(INDEX(Lists!$A$4:$A$203,MATCH(A502,Lists!$B$4:$B$203,0)),""))</f>
        <v/>
      </c>
      <c r="C502" s="8" t="str">
        <f>IF(A502="","",IFERROR(INDEX(Lists!$C$4:$C$203,MATCH(A502,Lists!$B$4:$B$203,0)),""))</f>
        <v/>
      </c>
      <c r="D502" s="8"/>
      <c r="E502" s="10"/>
      <c r="F502" s="10" t="str">
        <f t="shared" si="28"/>
        <v/>
      </c>
      <c r="G502" s="8" t="str">
        <f t="shared" ca="1" si="29"/>
        <v/>
      </c>
      <c r="H502" s="8"/>
      <c r="I502" s="8"/>
      <c r="J502" s="4"/>
      <c r="T502" s="1" t="str">
        <f t="shared" ca="1" si="30"/>
        <v/>
      </c>
      <c r="U502" s="1" t="str">
        <f ca="1">IF(T502="","",COUNTIFS($T$4:$T$503,"&gt;0",$T$4:$T$503,"&lt;"&amp;T502)+COUNTIF($T$4:T502,T502))</f>
        <v/>
      </c>
      <c r="V502" s="1" t="str">
        <f t="shared" si="31"/>
        <v/>
      </c>
    </row>
    <row r="503" spans="1:22">
      <c r="A503" s="4"/>
      <c r="B503" s="52" t="str">
        <f>IF(A503="","",IFERROR(INDEX(Lists!$A$4:$A$203,MATCH(A503,Lists!$B$4:$B$203,0)),""))</f>
        <v/>
      </c>
      <c r="C503" s="8" t="str">
        <f>IF(A503="","",IFERROR(INDEX(Lists!$C$4:$C$203,MATCH(A503,Lists!$B$4:$B$203,0)),""))</f>
        <v/>
      </c>
      <c r="D503" s="8"/>
      <c r="E503" s="10"/>
      <c r="F503" s="10" t="str">
        <f t="shared" si="28"/>
        <v/>
      </c>
      <c r="G503" s="8" t="str">
        <f t="shared" ca="1" si="29"/>
        <v/>
      </c>
      <c r="H503" s="8"/>
      <c r="I503" s="8"/>
      <c r="J503" s="4"/>
      <c r="T503" s="1" t="str">
        <f t="shared" ca="1" si="30"/>
        <v/>
      </c>
      <c r="U503" s="1" t="str">
        <f ca="1">IF(T503="","",COUNTIFS($T$4:$T$503,"&gt;0",$T$4:$T$503,"&lt;"&amp;T503)+COUNTIF($T$4:T503,T503))</f>
        <v/>
      </c>
      <c r="V503" s="1" t="str">
        <f t="shared" si="31"/>
        <v/>
      </c>
    </row>
  </sheetData>
  <mergeCells count="2">
    <mergeCell ref="A2:R2"/>
    <mergeCell ref="A1:R1"/>
  </mergeCells>
  <dataValidations count="3">
    <dataValidation type="list" sqref="Q4:Q63" xr:uid="{00000000-0002-0000-0700-000000000000}">
      <formula1>"Yes,No"</formula1>
    </dataValidation>
    <dataValidation type="list" sqref="A4:A503" xr:uid="{00000000-0002-0000-0700-000001000000}">
      <formula1>EmployeeCatalog</formula1>
    </dataValidation>
    <dataValidation type="list" sqref="D4:D503" xr:uid="{00000000-0002-0000-0700-000002000000}">
      <formula1>$M$4:$M$63</formula1>
    </dataValidation>
  </dataValidation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00"/>
  <sheetViews>
    <sheetView showGridLines="0" workbookViewId="0">
      <pane ySplit="5" topLeftCell="A6" activePane="bottomLeft" state="frozen"/>
      <selection pane="bottomLeft" activeCell="C18" sqref="C18"/>
    </sheetView>
  </sheetViews>
  <sheetFormatPr defaultRowHeight="13.8"/>
  <cols>
    <col min="1" max="1" width="20" style="26" customWidth="1"/>
    <col min="2" max="2" width="28" style="26" customWidth="1"/>
    <col min="3" max="3" width="34" customWidth="1"/>
    <col min="4" max="4" width="2.5" style="26" customWidth="1"/>
    <col min="5" max="5" width="2.5" hidden="1" customWidth="1"/>
    <col min="6" max="6" width="2.5" style="26" customWidth="1"/>
    <col min="7" max="16" width="2.5" customWidth="1"/>
  </cols>
  <sheetData>
    <row r="1" spans="1:12" ht="25.05" customHeight="1">
      <c r="A1" s="143" t="s">
        <v>1216</v>
      </c>
      <c r="B1" s="66"/>
      <c r="C1" s="67"/>
      <c r="D1" s="57"/>
      <c r="E1" s="57"/>
      <c r="F1" s="57"/>
      <c r="G1" s="57"/>
      <c r="H1" s="57"/>
      <c r="I1" s="57"/>
      <c r="J1" s="57"/>
      <c r="K1" s="57"/>
      <c r="L1" s="57"/>
    </row>
    <row r="2" spans="1:12" ht="34.049999999999997" customHeight="1">
      <c r="A2" s="145" t="s">
        <v>1217</v>
      </c>
      <c r="B2" s="66"/>
      <c r="C2" s="67"/>
      <c r="D2" s="57"/>
      <c r="E2" s="57"/>
      <c r="F2" s="57"/>
      <c r="G2" s="57"/>
      <c r="H2" s="57"/>
      <c r="I2" s="57"/>
      <c r="J2" s="57"/>
      <c r="K2" s="57"/>
      <c r="L2" s="57"/>
    </row>
    <row r="3" spans="1:12">
      <c r="D3" s="57"/>
      <c r="E3" s="57"/>
      <c r="F3" s="57"/>
      <c r="G3" s="57"/>
      <c r="H3" s="57"/>
      <c r="I3" s="57"/>
      <c r="J3" s="57"/>
      <c r="K3" s="57"/>
      <c r="L3" s="57"/>
    </row>
    <row r="4" spans="1:12">
      <c r="A4" s="144" t="s">
        <v>1218</v>
      </c>
      <c r="B4" s="70"/>
      <c r="C4" s="71"/>
      <c r="D4" s="57"/>
      <c r="E4" s="57"/>
      <c r="F4" s="57"/>
      <c r="G4" s="57"/>
      <c r="H4" s="57"/>
      <c r="I4" s="57"/>
      <c r="J4" s="57"/>
      <c r="K4" s="57"/>
      <c r="L4" s="57"/>
    </row>
    <row r="5" spans="1:12">
      <c r="A5" s="59" t="s">
        <v>4</v>
      </c>
      <c r="B5" s="59" t="s">
        <v>1219</v>
      </c>
      <c r="C5" s="59" t="s">
        <v>282</v>
      </c>
      <c r="D5" s="57"/>
      <c r="E5" s="57"/>
      <c r="F5" s="57"/>
      <c r="G5" s="57"/>
      <c r="H5" s="57"/>
      <c r="I5" s="57"/>
      <c r="J5" s="57"/>
      <c r="K5" s="57"/>
      <c r="L5" s="57"/>
    </row>
    <row r="6" spans="1:12">
      <c r="A6" s="57" t="s">
        <v>304</v>
      </c>
      <c r="B6" s="55" t="s">
        <v>414</v>
      </c>
      <c r="C6" s="55" t="s">
        <v>416</v>
      </c>
      <c r="D6" s="57"/>
      <c r="E6" s="57"/>
      <c r="F6" s="57"/>
      <c r="G6" s="57"/>
      <c r="H6" s="57"/>
      <c r="I6" s="57"/>
      <c r="J6" s="57"/>
      <c r="K6" s="57"/>
      <c r="L6" s="57"/>
    </row>
    <row r="7" spans="1:12">
      <c r="A7" s="57" t="s">
        <v>304</v>
      </c>
      <c r="B7" s="55" t="s">
        <v>475</v>
      </c>
      <c r="C7" s="55" t="s">
        <v>548</v>
      </c>
      <c r="D7" s="57"/>
      <c r="E7" s="57"/>
      <c r="F7" s="57"/>
      <c r="G7" s="57"/>
      <c r="H7" s="57"/>
      <c r="I7" s="57"/>
      <c r="J7" s="57"/>
      <c r="K7" s="57"/>
      <c r="L7" s="57"/>
    </row>
    <row r="8" spans="1:12">
      <c r="A8" s="57" t="s">
        <v>304</v>
      </c>
      <c r="B8" s="55" t="s">
        <v>443</v>
      </c>
      <c r="C8" s="55" t="s">
        <v>427</v>
      </c>
      <c r="D8" s="57"/>
      <c r="E8" s="57"/>
      <c r="F8" s="57"/>
      <c r="G8" s="57"/>
      <c r="H8" s="57"/>
      <c r="I8" s="57"/>
      <c r="J8" s="57"/>
      <c r="K8" s="57"/>
      <c r="L8" s="57"/>
    </row>
    <row r="9" spans="1:12">
      <c r="A9" s="57" t="s">
        <v>304</v>
      </c>
      <c r="B9" s="55" t="s">
        <v>1220</v>
      </c>
      <c r="C9" s="55" t="s">
        <v>483</v>
      </c>
      <c r="D9" s="57"/>
      <c r="E9" s="57"/>
      <c r="F9" s="57"/>
      <c r="G9" s="57"/>
      <c r="H9" s="57"/>
      <c r="I9" s="57"/>
      <c r="J9" s="57"/>
      <c r="K9" s="57"/>
      <c r="L9" s="57"/>
    </row>
    <row r="10" spans="1:12">
      <c r="A10" s="57" t="s">
        <v>304</v>
      </c>
      <c r="B10" s="55" t="s">
        <v>536</v>
      </c>
      <c r="C10" s="55" t="s">
        <v>432</v>
      </c>
      <c r="D10" s="57"/>
      <c r="E10" s="57"/>
      <c r="F10" s="57"/>
      <c r="G10" s="57"/>
      <c r="H10" s="57"/>
      <c r="I10" s="57"/>
      <c r="J10" s="57"/>
      <c r="K10" s="57"/>
      <c r="L10" s="57"/>
    </row>
    <row r="11" spans="1:12">
      <c r="A11" s="57" t="s">
        <v>305</v>
      </c>
      <c r="B11" s="55" t="s">
        <v>580</v>
      </c>
      <c r="C11" s="55" t="s">
        <v>641</v>
      </c>
      <c r="D11" s="57"/>
      <c r="E11" s="57"/>
      <c r="F11" s="57"/>
      <c r="G11" s="57"/>
      <c r="H11" s="57"/>
      <c r="I11" s="57"/>
      <c r="J11" s="57"/>
      <c r="K11" s="57"/>
      <c r="L11" s="57"/>
    </row>
    <row r="12" spans="1:12">
      <c r="A12" s="57" t="s">
        <v>305</v>
      </c>
      <c r="B12" s="55" t="s">
        <v>580</v>
      </c>
      <c r="C12" s="55" t="s">
        <v>586</v>
      </c>
      <c r="D12" s="57"/>
      <c r="E12" s="57"/>
      <c r="F12" s="57"/>
      <c r="G12" s="57"/>
      <c r="H12" s="57"/>
      <c r="I12" s="57"/>
      <c r="J12" s="57"/>
      <c r="K12" s="57"/>
      <c r="L12" s="57"/>
    </row>
    <row r="13" spans="1:12">
      <c r="A13" s="57" t="s">
        <v>305</v>
      </c>
      <c r="B13" s="55" t="s">
        <v>623</v>
      </c>
      <c r="C13" s="55" t="s">
        <v>593</v>
      </c>
      <c r="D13" s="57"/>
      <c r="E13" s="57"/>
      <c r="F13" s="57"/>
      <c r="G13" s="57"/>
      <c r="H13" s="57"/>
      <c r="I13" s="57"/>
      <c r="J13" s="57"/>
      <c r="K13" s="57"/>
      <c r="L13" s="57"/>
    </row>
    <row r="14" spans="1:12">
      <c r="A14" s="57" t="s">
        <v>305</v>
      </c>
      <c r="B14" s="55" t="s">
        <v>580</v>
      </c>
      <c r="C14" s="55" t="s">
        <v>609</v>
      </c>
      <c r="D14" s="57"/>
      <c r="E14" s="57"/>
      <c r="F14" s="57"/>
      <c r="G14" s="57"/>
      <c r="H14" s="57"/>
      <c r="I14" s="57"/>
      <c r="J14" s="57"/>
      <c r="K14" s="57"/>
      <c r="L14" s="57"/>
    </row>
    <row r="15" spans="1:12">
      <c r="A15" s="57" t="s">
        <v>305</v>
      </c>
      <c r="B15" s="55" t="s">
        <v>1221</v>
      </c>
      <c r="C15" s="55" t="s">
        <v>497</v>
      </c>
      <c r="D15" s="57"/>
      <c r="E15" s="57"/>
      <c r="F15" s="57"/>
      <c r="G15" s="57"/>
      <c r="H15" s="57"/>
      <c r="I15" s="57"/>
      <c r="J15" s="57"/>
      <c r="K15" s="57"/>
      <c r="L15" s="57"/>
    </row>
    <row r="16" spans="1:12">
      <c r="A16" s="57" t="s">
        <v>305</v>
      </c>
      <c r="B16" s="55" t="s">
        <v>1221</v>
      </c>
      <c r="C16" s="55" t="s">
        <v>656</v>
      </c>
      <c r="D16" s="57"/>
      <c r="E16" s="57"/>
      <c r="F16" s="57"/>
      <c r="G16" s="57"/>
      <c r="H16" s="57"/>
      <c r="I16" s="57"/>
      <c r="J16" s="57"/>
      <c r="K16" s="57"/>
      <c r="L16" s="57"/>
    </row>
    <row r="17" spans="1:12">
      <c r="A17" s="57" t="s">
        <v>305</v>
      </c>
      <c r="B17" s="55" t="s">
        <v>668</v>
      </c>
      <c r="C17" s="55" t="s">
        <v>589</v>
      </c>
      <c r="D17" s="57"/>
      <c r="E17" s="57"/>
      <c r="F17" s="57"/>
      <c r="G17" s="57"/>
      <c r="H17" s="57"/>
      <c r="I17" s="57"/>
      <c r="J17" s="57"/>
      <c r="K17" s="57"/>
      <c r="L17" s="57"/>
    </row>
    <row r="18" spans="1:12">
      <c r="A18" s="57" t="s">
        <v>305</v>
      </c>
      <c r="B18" s="55" t="s">
        <v>668</v>
      </c>
      <c r="C18" s="55" t="s">
        <v>583</v>
      </c>
      <c r="D18" s="57"/>
      <c r="E18" s="57"/>
      <c r="F18" s="57"/>
      <c r="G18" s="57"/>
      <c r="H18" s="57"/>
      <c r="I18" s="57"/>
      <c r="J18" s="57"/>
      <c r="K18" s="57"/>
      <c r="L18" s="57"/>
    </row>
    <row r="19" spans="1:12">
      <c r="A19" s="57" t="s">
        <v>306</v>
      </c>
      <c r="B19" s="55" t="s">
        <v>1222</v>
      </c>
      <c r="C19" s="55" t="s">
        <v>701</v>
      </c>
      <c r="D19" s="57"/>
      <c r="E19" s="57"/>
      <c r="F19" s="57"/>
      <c r="G19" s="57"/>
      <c r="H19" s="57"/>
      <c r="I19" s="57"/>
      <c r="J19" s="57"/>
      <c r="K19" s="57"/>
      <c r="L19" s="57"/>
    </row>
    <row r="20" spans="1:12">
      <c r="A20" s="57" t="s">
        <v>306</v>
      </c>
      <c r="B20" s="55" t="s">
        <v>742</v>
      </c>
      <c r="C20" s="55" t="s">
        <v>706</v>
      </c>
      <c r="D20" s="57"/>
      <c r="E20" s="57"/>
      <c r="F20" s="57"/>
      <c r="G20" s="57"/>
      <c r="H20" s="57"/>
      <c r="I20" s="57"/>
      <c r="J20" s="57"/>
      <c r="K20" s="57"/>
      <c r="L20" s="57"/>
    </row>
    <row r="21" spans="1:12">
      <c r="A21" s="57" t="s">
        <v>306</v>
      </c>
      <c r="B21" s="55" t="s">
        <v>717</v>
      </c>
      <c r="C21" s="55" t="s">
        <v>696</v>
      </c>
      <c r="D21" s="57"/>
      <c r="E21" s="57"/>
      <c r="F21" s="57"/>
      <c r="G21" s="57"/>
      <c r="H21" s="57"/>
      <c r="I21" s="57"/>
      <c r="J21" s="57"/>
      <c r="K21" s="57"/>
      <c r="L21" s="57"/>
    </row>
    <row r="22" spans="1:12">
      <c r="A22" s="57" t="s">
        <v>306</v>
      </c>
      <c r="B22" s="55" t="s">
        <v>686</v>
      </c>
      <c r="C22" s="55" t="s">
        <v>597</v>
      </c>
      <c r="D22" s="57"/>
      <c r="E22" s="57"/>
      <c r="F22" s="57"/>
      <c r="G22" s="57"/>
      <c r="H22" s="57"/>
      <c r="I22" s="57"/>
      <c r="J22" s="57"/>
      <c r="K22" s="57"/>
      <c r="L22" s="57"/>
    </row>
    <row r="23" spans="1:12">
      <c r="A23" s="57" t="s">
        <v>306</v>
      </c>
      <c r="B23" s="55" t="s">
        <v>686</v>
      </c>
      <c r="C23" s="55" t="s">
        <v>682</v>
      </c>
      <c r="D23" s="57"/>
      <c r="E23" s="57"/>
      <c r="F23" s="57"/>
      <c r="G23" s="57"/>
      <c r="H23" s="57"/>
      <c r="I23" s="57"/>
      <c r="J23" s="57"/>
      <c r="K23" s="57"/>
      <c r="L23" s="57"/>
    </row>
    <row r="24" spans="1:12">
      <c r="A24" s="57" t="s">
        <v>306</v>
      </c>
      <c r="B24" s="55" t="s">
        <v>686</v>
      </c>
      <c r="C24" s="55" t="s">
        <v>725</v>
      </c>
      <c r="D24" s="57"/>
      <c r="E24" s="57"/>
      <c r="F24" s="57"/>
      <c r="G24" s="57"/>
      <c r="H24" s="57"/>
      <c r="I24" s="57"/>
      <c r="J24" s="57"/>
      <c r="K24" s="57"/>
      <c r="L24" s="57"/>
    </row>
    <row r="25" spans="1:12">
      <c r="A25" s="57" t="s">
        <v>306</v>
      </c>
      <c r="B25" s="55" t="s">
        <v>686</v>
      </c>
      <c r="C25" s="55" t="s">
        <v>692</v>
      </c>
      <c r="D25" s="57"/>
      <c r="E25" s="57"/>
      <c r="F25" s="57"/>
      <c r="G25" s="57"/>
      <c r="H25" s="57"/>
      <c r="I25" s="57"/>
      <c r="J25" s="57"/>
      <c r="K25" s="57"/>
      <c r="L25" s="57"/>
    </row>
    <row r="26" spans="1:12">
      <c r="A26" s="57" t="s">
        <v>307</v>
      </c>
      <c r="B26" s="55" t="s">
        <v>833</v>
      </c>
      <c r="C26" s="55" t="s">
        <v>833</v>
      </c>
      <c r="D26" s="57"/>
      <c r="E26" s="57"/>
      <c r="F26" s="57"/>
      <c r="G26" s="57"/>
      <c r="H26" s="57"/>
      <c r="I26" s="57"/>
      <c r="J26" s="57"/>
      <c r="K26" s="57"/>
      <c r="L26" s="57"/>
    </row>
    <row r="27" spans="1:12">
      <c r="A27" s="57" t="s">
        <v>307</v>
      </c>
      <c r="B27" s="55" t="s">
        <v>837</v>
      </c>
      <c r="C27" s="55" t="s">
        <v>837</v>
      </c>
      <c r="D27" s="57"/>
      <c r="E27" s="57"/>
      <c r="F27" s="57"/>
      <c r="G27" s="57"/>
      <c r="H27" s="57"/>
      <c r="I27" s="57"/>
      <c r="J27" s="57"/>
      <c r="K27" s="57"/>
      <c r="L27" s="57"/>
    </row>
    <row r="28" spans="1:12">
      <c r="A28" s="57" t="s">
        <v>307</v>
      </c>
      <c r="B28" s="55" t="s">
        <v>815</v>
      </c>
      <c r="C28" s="55" t="s">
        <v>827</v>
      </c>
      <c r="D28" s="57"/>
      <c r="E28" s="57"/>
      <c r="F28" s="57"/>
      <c r="G28" s="57"/>
      <c r="H28" s="57"/>
      <c r="I28" s="57"/>
      <c r="J28" s="57"/>
      <c r="K28" s="57"/>
      <c r="L28" s="57"/>
    </row>
    <row r="29" spans="1:12">
      <c r="A29" s="57" t="s">
        <v>307</v>
      </c>
      <c r="B29" s="55" t="s">
        <v>830</v>
      </c>
      <c r="C29" s="55" t="s">
        <v>830</v>
      </c>
      <c r="D29" s="57"/>
      <c r="E29" s="57"/>
      <c r="F29" s="57"/>
      <c r="G29" s="57"/>
      <c r="H29" s="57"/>
      <c r="I29" s="57"/>
      <c r="J29" s="57"/>
      <c r="K29" s="57"/>
      <c r="L29" s="57"/>
    </row>
    <row r="30" spans="1:12">
      <c r="A30" s="57" t="s">
        <v>307</v>
      </c>
      <c r="B30" s="55" t="s">
        <v>904</v>
      </c>
      <c r="C30" s="55" t="s">
        <v>852</v>
      </c>
      <c r="D30" s="57"/>
      <c r="E30" s="57"/>
      <c r="F30" s="57"/>
      <c r="G30" s="57"/>
      <c r="H30" s="57"/>
      <c r="I30" s="57"/>
      <c r="J30" s="57"/>
      <c r="K30" s="57"/>
      <c r="L30" s="57"/>
    </row>
    <row r="31" spans="1:12">
      <c r="A31" s="57" t="s">
        <v>307</v>
      </c>
      <c r="B31" s="55" t="s">
        <v>904</v>
      </c>
      <c r="C31" s="55" t="s">
        <v>840</v>
      </c>
      <c r="D31" s="57"/>
      <c r="E31" s="57"/>
      <c r="F31" s="57"/>
      <c r="G31" s="57"/>
      <c r="H31" s="57"/>
      <c r="I31" s="57"/>
      <c r="J31" s="57"/>
      <c r="K31" s="57"/>
      <c r="L31" s="57"/>
    </row>
    <row r="32" spans="1:12">
      <c r="A32" s="57" t="s">
        <v>307</v>
      </c>
      <c r="B32" s="55" t="s">
        <v>1223</v>
      </c>
      <c r="C32" s="55" t="s">
        <v>871</v>
      </c>
      <c r="D32" s="57"/>
      <c r="E32" s="57"/>
      <c r="F32" s="57"/>
      <c r="G32" s="57"/>
      <c r="H32" s="57"/>
      <c r="I32" s="57"/>
      <c r="J32" s="57"/>
      <c r="K32" s="57"/>
      <c r="L32" s="57"/>
    </row>
    <row r="33" spans="1:12">
      <c r="A33" s="57" t="s">
        <v>307</v>
      </c>
      <c r="B33" s="55" t="s">
        <v>819</v>
      </c>
      <c r="C33" s="55" t="s">
        <v>819</v>
      </c>
      <c r="D33" s="57"/>
      <c r="E33" s="57"/>
      <c r="F33" s="57"/>
      <c r="G33" s="57"/>
      <c r="H33" s="57"/>
      <c r="I33" s="57"/>
      <c r="J33" s="57"/>
      <c r="K33" s="57"/>
      <c r="L33" s="57"/>
    </row>
    <row r="34" spans="1:12">
      <c r="A34" s="57" t="s">
        <v>309</v>
      </c>
      <c r="B34" s="55" t="s">
        <v>1050</v>
      </c>
      <c r="C34" s="55" t="s">
        <v>1052</v>
      </c>
      <c r="D34" s="57"/>
      <c r="E34" s="57"/>
      <c r="F34" s="57"/>
      <c r="G34" s="57"/>
      <c r="H34" s="57"/>
      <c r="I34" s="57"/>
      <c r="J34" s="57"/>
      <c r="K34" s="57"/>
      <c r="L34" s="57"/>
    </row>
    <row r="35" spans="1:12">
      <c r="A35" s="57" t="s">
        <v>309</v>
      </c>
      <c r="B35" s="55" t="s">
        <v>1050</v>
      </c>
      <c r="C35" s="55" t="s">
        <v>551</v>
      </c>
      <c r="D35" s="57"/>
      <c r="E35" s="57"/>
      <c r="F35" s="57"/>
      <c r="G35" s="57"/>
      <c r="H35" s="57"/>
      <c r="I35" s="57"/>
      <c r="J35" s="57"/>
      <c r="K35" s="57"/>
      <c r="L35" s="57"/>
    </row>
    <row r="36" spans="1:12">
      <c r="A36" s="57" t="s">
        <v>309</v>
      </c>
      <c r="B36" s="55" t="s">
        <v>1050</v>
      </c>
      <c r="C36" s="55" t="s">
        <v>1065</v>
      </c>
      <c r="D36" s="57"/>
      <c r="E36" s="57"/>
      <c r="F36" s="57"/>
      <c r="G36" s="57"/>
      <c r="H36" s="57"/>
      <c r="I36" s="57"/>
      <c r="J36" s="57"/>
      <c r="K36" s="57"/>
      <c r="L36" s="57"/>
    </row>
    <row r="37" spans="1:12">
      <c r="A37" s="57" t="s">
        <v>309</v>
      </c>
      <c r="B37" s="55" t="s">
        <v>1050</v>
      </c>
      <c r="C37" s="55" t="s">
        <v>1083</v>
      </c>
      <c r="D37" s="57"/>
      <c r="E37" s="57"/>
      <c r="F37" s="57"/>
      <c r="G37" s="57"/>
      <c r="H37" s="57"/>
      <c r="I37" s="57"/>
      <c r="J37" s="57"/>
      <c r="K37" s="57"/>
      <c r="L37" s="57"/>
    </row>
    <row r="38" spans="1:12">
      <c r="A38" s="57" t="s">
        <v>309</v>
      </c>
      <c r="B38" s="55" t="s">
        <v>1050</v>
      </c>
      <c r="C38" s="55" t="s">
        <v>1128</v>
      </c>
      <c r="D38" s="57"/>
      <c r="E38" s="57"/>
      <c r="F38" s="57"/>
      <c r="G38" s="57"/>
      <c r="H38" s="57"/>
      <c r="I38" s="57"/>
      <c r="J38" s="57"/>
      <c r="K38" s="57"/>
      <c r="L38" s="57"/>
    </row>
    <row r="39" spans="1:12">
      <c r="A39" s="57" t="s">
        <v>309</v>
      </c>
      <c r="B39" s="55" t="s">
        <v>1050</v>
      </c>
      <c r="C39" s="55" t="s">
        <v>568</v>
      </c>
      <c r="D39" s="57"/>
      <c r="E39" s="57"/>
      <c r="F39" s="57"/>
      <c r="G39" s="57"/>
      <c r="H39" s="57"/>
      <c r="I39" s="57"/>
      <c r="J39" s="57"/>
      <c r="K39" s="57"/>
      <c r="L39" s="57"/>
    </row>
    <row r="40" spans="1:12">
      <c r="A40" s="57" t="s">
        <v>309</v>
      </c>
      <c r="B40" s="55" t="s">
        <v>1050</v>
      </c>
      <c r="C40" s="55" t="s">
        <v>1068</v>
      </c>
      <c r="D40" s="57"/>
      <c r="E40" s="57"/>
      <c r="F40" s="57"/>
      <c r="G40" s="57"/>
      <c r="H40" s="57"/>
      <c r="I40" s="57"/>
      <c r="J40" s="57"/>
      <c r="K40" s="57"/>
      <c r="L40" s="57"/>
    </row>
    <row r="41" spans="1:12">
      <c r="A41" s="57" t="s">
        <v>309</v>
      </c>
      <c r="B41" s="55" t="s">
        <v>1050</v>
      </c>
      <c r="C41" s="55" t="s">
        <v>777</v>
      </c>
      <c r="D41" s="57"/>
      <c r="E41" s="57"/>
      <c r="F41" s="57"/>
      <c r="G41" s="57"/>
      <c r="H41" s="57"/>
      <c r="I41" s="57"/>
      <c r="J41" s="57"/>
      <c r="K41" s="57"/>
      <c r="L41" s="57"/>
    </row>
    <row r="42" spans="1:12">
      <c r="A42" s="57" t="s">
        <v>309</v>
      </c>
      <c r="B42" s="55" t="s">
        <v>1050</v>
      </c>
      <c r="C42" s="55" t="s">
        <v>527</v>
      </c>
      <c r="D42" s="57"/>
      <c r="E42" s="57"/>
      <c r="F42" s="57"/>
      <c r="G42" s="57"/>
      <c r="H42" s="57"/>
      <c r="I42" s="57"/>
      <c r="J42" s="57"/>
      <c r="K42" s="57"/>
      <c r="L42" s="57"/>
    </row>
    <row r="43" spans="1:12">
      <c r="A43" s="57" t="s">
        <v>309</v>
      </c>
      <c r="B43" s="55" t="s">
        <v>1050</v>
      </c>
      <c r="C43" s="55" t="s">
        <v>1027</v>
      </c>
      <c r="D43" s="57"/>
      <c r="E43" s="57"/>
      <c r="F43" s="57"/>
      <c r="G43" s="57"/>
      <c r="H43" s="57"/>
      <c r="I43" s="57"/>
      <c r="J43" s="57"/>
      <c r="K43" s="57"/>
      <c r="L43" s="57"/>
    </row>
    <row r="44" spans="1:12">
      <c r="A44" s="57" t="s">
        <v>309</v>
      </c>
      <c r="B44" s="55" t="s">
        <v>1050</v>
      </c>
      <c r="C44" s="55" t="s">
        <v>882</v>
      </c>
      <c r="D44" s="57"/>
      <c r="E44" s="57"/>
      <c r="F44" s="57"/>
      <c r="G44" s="57"/>
      <c r="H44" s="57"/>
      <c r="I44" s="57"/>
      <c r="J44" s="57"/>
      <c r="K44" s="57"/>
      <c r="L44" s="57"/>
    </row>
    <row r="45" spans="1:12">
      <c r="A45" s="57" t="s">
        <v>309</v>
      </c>
      <c r="B45" s="55" t="s">
        <v>1050</v>
      </c>
      <c r="C45" s="55" t="s">
        <v>759</v>
      </c>
      <c r="D45" s="57"/>
      <c r="E45" s="57"/>
      <c r="F45" s="57"/>
      <c r="G45" s="57"/>
      <c r="H45" s="57"/>
      <c r="I45" s="57"/>
      <c r="J45" s="57"/>
      <c r="K45" s="57"/>
      <c r="L45" s="57"/>
    </row>
    <row r="46" spans="1:12">
      <c r="A46" s="57" t="s">
        <v>309</v>
      </c>
      <c r="B46" s="55" t="s">
        <v>1050</v>
      </c>
      <c r="C46" s="55" t="s">
        <v>435</v>
      </c>
      <c r="D46" s="57"/>
      <c r="E46" s="57"/>
      <c r="F46" s="57"/>
      <c r="G46" s="57"/>
      <c r="H46" s="57"/>
      <c r="I46" s="57"/>
      <c r="J46" s="57"/>
      <c r="K46" s="57"/>
      <c r="L46" s="57"/>
    </row>
    <row r="47" spans="1:12">
      <c r="A47" s="57" t="s">
        <v>309</v>
      </c>
      <c r="B47" s="55" t="s">
        <v>1050</v>
      </c>
      <c r="C47" s="55" t="s">
        <v>1076</v>
      </c>
      <c r="D47" s="57"/>
      <c r="E47" s="57"/>
      <c r="F47" s="57"/>
      <c r="G47" s="57"/>
      <c r="H47" s="57"/>
      <c r="I47" s="57"/>
      <c r="J47" s="57"/>
      <c r="K47" s="57"/>
      <c r="L47" s="57"/>
    </row>
    <row r="48" spans="1:12">
      <c r="A48" s="57" t="s">
        <v>309</v>
      </c>
      <c r="B48" s="55" t="s">
        <v>1050</v>
      </c>
      <c r="C48" s="55" t="s">
        <v>1134</v>
      </c>
      <c r="D48" s="57"/>
      <c r="E48" s="57"/>
      <c r="F48" s="57"/>
      <c r="G48" s="57"/>
      <c r="H48" s="57"/>
      <c r="I48" s="57"/>
      <c r="J48" s="57"/>
      <c r="K48" s="57"/>
      <c r="L48" s="57"/>
    </row>
    <row r="49" spans="1:12">
      <c r="A49" s="57" t="s">
        <v>309</v>
      </c>
      <c r="B49" s="55" t="s">
        <v>1050</v>
      </c>
      <c r="C49" s="55" t="s">
        <v>992</v>
      </c>
      <c r="D49" s="57"/>
      <c r="E49" s="57"/>
      <c r="F49" s="57"/>
      <c r="G49" s="57"/>
      <c r="H49" s="57"/>
      <c r="I49" s="57"/>
      <c r="J49" s="57"/>
      <c r="K49" s="57"/>
      <c r="L49" s="57"/>
    </row>
    <row r="50" spans="1:12">
      <c r="A50" s="57" t="s">
        <v>309</v>
      </c>
      <c r="B50" s="55" t="s">
        <v>1050</v>
      </c>
      <c r="C50" s="55" t="s">
        <v>1059</v>
      </c>
      <c r="D50" s="57"/>
      <c r="E50" s="57"/>
      <c r="F50" s="57"/>
      <c r="G50" s="57"/>
      <c r="H50" s="57"/>
      <c r="I50" s="57"/>
      <c r="J50" s="57"/>
      <c r="K50" s="57"/>
      <c r="L50" s="57"/>
    </row>
    <row r="51" spans="1:12">
      <c r="A51" s="57" t="s">
        <v>310</v>
      </c>
      <c r="B51" s="55" t="s">
        <v>1224</v>
      </c>
      <c r="C51" s="55" t="s">
        <v>1225</v>
      </c>
      <c r="D51" s="57"/>
      <c r="E51" s="57"/>
      <c r="F51" s="57"/>
      <c r="G51" s="57"/>
      <c r="H51" s="57"/>
      <c r="I51" s="57"/>
      <c r="J51" s="57"/>
      <c r="K51" s="57"/>
      <c r="L51" s="57"/>
    </row>
    <row r="52" spans="1:12">
      <c r="A52" s="57" t="s">
        <v>310</v>
      </c>
      <c r="B52" s="55" t="s">
        <v>1226</v>
      </c>
      <c r="C52" s="55" t="s">
        <v>1188</v>
      </c>
      <c r="D52" s="57"/>
      <c r="E52" s="57"/>
      <c r="F52" s="57"/>
      <c r="G52" s="57"/>
      <c r="H52" s="57"/>
      <c r="I52" s="57"/>
      <c r="J52" s="57"/>
      <c r="K52" s="57"/>
      <c r="L52" s="57"/>
    </row>
    <row r="53" spans="1:12">
      <c r="A53" s="57" t="s">
        <v>310</v>
      </c>
      <c r="B53" s="55" t="s">
        <v>1189</v>
      </c>
      <c r="C53" s="55" t="s">
        <v>1189</v>
      </c>
      <c r="D53" s="57"/>
      <c r="E53" s="57"/>
      <c r="F53" s="57"/>
      <c r="G53" s="57"/>
      <c r="H53" s="57"/>
      <c r="I53" s="57"/>
      <c r="J53" s="57"/>
      <c r="K53" s="57"/>
      <c r="L53" s="57"/>
    </row>
    <row r="54" spans="1:12">
      <c r="A54" s="57" t="s">
        <v>310</v>
      </c>
      <c r="B54" s="55" t="s">
        <v>1190</v>
      </c>
      <c r="C54" s="55" t="s">
        <v>1190</v>
      </c>
      <c r="D54" s="57"/>
      <c r="E54" s="57"/>
      <c r="F54" s="57"/>
      <c r="G54" s="57"/>
      <c r="H54" s="57"/>
      <c r="I54" s="57"/>
      <c r="J54" s="57"/>
      <c r="K54" s="57"/>
      <c r="L54" s="57"/>
    </row>
    <row r="55" spans="1:12">
      <c r="A55" s="57" t="s">
        <v>310</v>
      </c>
      <c r="B55" s="55" t="s">
        <v>1227</v>
      </c>
      <c r="C55" s="55" t="s">
        <v>1191</v>
      </c>
      <c r="D55" s="57"/>
      <c r="E55" s="57"/>
      <c r="F55" s="57"/>
      <c r="G55" s="57"/>
      <c r="H55" s="57"/>
      <c r="I55" s="57"/>
      <c r="J55" s="57"/>
      <c r="K55" s="57"/>
      <c r="L55" s="57"/>
    </row>
    <row r="56" spans="1:12">
      <c r="A56" s="57" t="s">
        <v>310</v>
      </c>
      <c r="B56" s="55" t="s">
        <v>1192</v>
      </c>
      <c r="C56" s="55" t="s">
        <v>1192</v>
      </c>
      <c r="D56" s="57"/>
      <c r="E56" s="57"/>
      <c r="F56" s="57"/>
      <c r="G56" s="57"/>
      <c r="H56" s="57"/>
      <c r="I56" s="57"/>
      <c r="J56" s="57"/>
      <c r="K56" s="57"/>
      <c r="L56" s="57"/>
    </row>
    <row r="57" spans="1:12">
      <c r="A57" s="57" t="s">
        <v>310</v>
      </c>
      <c r="B57" s="55" t="s">
        <v>1120</v>
      </c>
      <c r="C57" s="55" t="s">
        <v>1120</v>
      </c>
      <c r="D57" s="57"/>
      <c r="E57" s="57"/>
      <c r="F57" s="57"/>
      <c r="G57" s="57"/>
      <c r="H57" s="57"/>
      <c r="I57" s="57"/>
      <c r="J57" s="57"/>
      <c r="K57" s="57"/>
      <c r="L57" s="57"/>
    </row>
    <row r="58" spans="1:12">
      <c r="A58" s="57" t="s">
        <v>310</v>
      </c>
      <c r="B58" s="55" t="s">
        <v>1228</v>
      </c>
      <c r="C58" s="55" t="s">
        <v>1229</v>
      </c>
      <c r="D58" s="57"/>
      <c r="E58" s="57"/>
      <c r="F58" s="57"/>
      <c r="G58" s="57"/>
      <c r="H58" s="57"/>
      <c r="I58" s="57"/>
      <c r="J58" s="57"/>
      <c r="K58" s="57"/>
      <c r="L58" s="57"/>
    </row>
    <row r="59" spans="1:12" ht="27.6" customHeight="1">
      <c r="A59" s="57" t="s">
        <v>311</v>
      </c>
      <c r="B59" s="55" t="s">
        <v>1230</v>
      </c>
      <c r="C59" s="55" t="s">
        <v>1194</v>
      </c>
      <c r="D59" s="57"/>
      <c r="E59" s="57"/>
      <c r="F59" s="57"/>
      <c r="G59" s="57"/>
      <c r="H59" s="57"/>
      <c r="I59" s="57"/>
      <c r="J59" s="57"/>
      <c r="K59" s="57"/>
      <c r="L59" s="57"/>
    </row>
    <row r="60" spans="1:12">
      <c r="A60" s="57" t="s">
        <v>311</v>
      </c>
      <c r="B60" s="55" t="s">
        <v>1230</v>
      </c>
      <c r="C60" s="55" t="s">
        <v>1195</v>
      </c>
      <c r="D60" s="57"/>
      <c r="E60" s="57"/>
      <c r="F60" s="57"/>
      <c r="G60" s="57"/>
      <c r="H60" s="57"/>
      <c r="I60" s="57"/>
      <c r="J60" s="57"/>
      <c r="K60" s="57"/>
      <c r="L60" s="57"/>
    </row>
    <row r="61" spans="1:12">
      <c r="A61" s="57" t="s">
        <v>311</v>
      </c>
      <c r="B61" s="55" t="s">
        <v>1196</v>
      </c>
      <c r="C61" s="55" t="s">
        <v>1196</v>
      </c>
      <c r="D61" s="57"/>
      <c r="E61" s="57"/>
      <c r="F61" s="57"/>
      <c r="G61" s="57"/>
      <c r="H61" s="57"/>
      <c r="I61" s="57"/>
      <c r="J61" s="57"/>
      <c r="K61" s="57"/>
      <c r="L61" s="57"/>
    </row>
    <row r="62" spans="1:12">
      <c r="A62" s="57" t="s">
        <v>311</v>
      </c>
      <c r="B62" s="55" t="s">
        <v>1231</v>
      </c>
      <c r="C62" s="55" t="s">
        <v>635</v>
      </c>
      <c r="D62" s="57"/>
      <c r="E62" s="57"/>
      <c r="F62" s="57"/>
      <c r="G62" s="57"/>
      <c r="H62" s="57"/>
      <c r="I62" s="57"/>
      <c r="J62" s="57"/>
      <c r="K62" s="57"/>
      <c r="L62" s="57"/>
    </row>
    <row r="63" spans="1:12">
      <c r="A63" s="57" t="s">
        <v>311</v>
      </c>
      <c r="B63" s="55" t="s">
        <v>1231</v>
      </c>
      <c r="C63" s="55" t="s">
        <v>1011</v>
      </c>
      <c r="D63" s="57"/>
      <c r="E63" s="57"/>
      <c r="F63" s="57"/>
      <c r="G63" s="57"/>
      <c r="H63" s="57"/>
      <c r="I63" s="57"/>
      <c r="J63" s="57"/>
      <c r="K63" s="57"/>
      <c r="L63" s="57"/>
    </row>
    <row r="64" spans="1:12">
      <c r="A64" s="57" t="s">
        <v>311</v>
      </c>
      <c r="B64" s="55" t="s">
        <v>1230</v>
      </c>
      <c r="C64" s="55" t="s">
        <v>974</v>
      </c>
      <c r="D64" s="57"/>
      <c r="E64" s="57"/>
      <c r="F64" s="57"/>
      <c r="G64" s="57"/>
      <c r="H64" s="57"/>
      <c r="I64" s="57"/>
      <c r="J64" s="57"/>
      <c r="K64" s="57"/>
      <c r="L64" s="57"/>
    </row>
    <row r="65" spans="1:12">
      <c r="A65" s="57" t="s">
        <v>311</v>
      </c>
      <c r="B65" s="55" t="s">
        <v>1230</v>
      </c>
      <c r="C65" s="55" t="s">
        <v>571</v>
      </c>
      <c r="D65" s="57"/>
      <c r="E65" s="57"/>
      <c r="F65" s="57"/>
      <c r="G65" s="57"/>
      <c r="H65" s="57"/>
      <c r="I65" s="57"/>
      <c r="J65" s="57"/>
      <c r="K65" s="57"/>
      <c r="L65" s="57"/>
    </row>
    <row r="66" spans="1:12">
      <c r="A66" s="57" t="s">
        <v>311</v>
      </c>
      <c r="B66" s="55" t="s">
        <v>1230</v>
      </c>
      <c r="C66" s="55" t="s">
        <v>1197</v>
      </c>
      <c r="D66" s="57"/>
      <c r="E66" s="57"/>
      <c r="F66" s="57"/>
      <c r="G66" s="57"/>
      <c r="H66" s="57"/>
      <c r="I66" s="57"/>
      <c r="J66" s="57"/>
      <c r="K66" s="57"/>
      <c r="L66" s="57"/>
    </row>
    <row r="67" spans="1:12">
      <c r="A67" s="57" t="s">
        <v>311</v>
      </c>
      <c r="B67" s="55" t="s">
        <v>1230</v>
      </c>
      <c r="C67" s="55" t="s">
        <v>864</v>
      </c>
      <c r="D67" s="57"/>
      <c r="E67" s="57"/>
      <c r="F67" s="57"/>
      <c r="G67" s="57"/>
      <c r="H67" s="57"/>
      <c r="I67" s="57"/>
      <c r="J67" s="57"/>
      <c r="K67" s="57"/>
      <c r="L67" s="57"/>
    </row>
    <row r="68" spans="1:12">
      <c r="A68" s="57" t="s">
        <v>311</v>
      </c>
      <c r="B68" s="55" t="s">
        <v>1231</v>
      </c>
      <c r="C68" s="55" t="s">
        <v>1198</v>
      </c>
      <c r="D68" s="57"/>
      <c r="E68" s="57"/>
      <c r="F68" s="57"/>
      <c r="G68" s="57"/>
      <c r="H68" s="57"/>
      <c r="I68" s="57"/>
      <c r="J68" s="57"/>
      <c r="K68" s="57"/>
      <c r="L68" s="57"/>
    </row>
    <row r="69" spans="1:12">
      <c r="A69" s="57" t="s">
        <v>311</v>
      </c>
      <c r="B69" s="55" t="s">
        <v>1231</v>
      </c>
      <c r="C69" s="55" t="s">
        <v>1117</v>
      </c>
      <c r="D69" s="57"/>
      <c r="E69" s="57"/>
      <c r="F69" s="57"/>
      <c r="G69" s="57"/>
      <c r="H69" s="57"/>
      <c r="I69" s="57"/>
      <c r="J69" s="57"/>
      <c r="K69" s="57"/>
      <c r="L69" s="57"/>
    </row>
    <row r="70" spans="1:12">
      <c r="A70" s="57" t="s">
        <v>311</v>
      </c>
      <c r="B70" s="55" t="s">
        <v>1231</v>
      </c>
      <c r="C70" s="55" t="s">
        <v>1199</v>
      </c>
      <c r="D70" s="57"/>
      <c r="E70" s="57"/>
      <c r="F70" s="57"/>
      <c r="G70" s="57"/>
      <c r="H70" s="57"/>
      <c r="I70" s="57"/>
      <c r="J70" s="57"/>
      <c r="K70" s="57"/>
      <c r="L70" s="57"/>
    </row>
    <row r="71" spans="1:12">
      <c r="A71" s="57" t="s">
        <v>311</v>
      </c>
      <c r="B71" s="55" t="s">
        <v>1231</v>
      </c>
      <c r="C71" s="55" t="s">
        <v>465</v>
      </c>
      <c r="D71" s="57"/>
      <c r="E71" s="57"/>
      <c r="F71" s="57"/>
      <c r="G71" s="57"/>
      <c r="H71" s="57"/>
      <c r="I71" s="57"/>
      <c r="J71" s="57"/>
      <c r="K71" s="57"/>
      <c r="L71" s="57"/>
    </row>
    <row r="72" spans="1:12">
      <c r="A72" s="57" t="s">
        <v>311</v>
      </c>
      <c r="B72" s="55" t="s">
        <v>1231</v>
      </c>
      <c r="C72" s="55" t="s">
        <v>730</v>
      </c>
      <c r="D72" s="57"/>
      <c r="E72" s="57"/>
      <c r="F72" s="57"/>
      <c r="G72" s="57"/>
      <c r="H72" s="57"/>
      <c r="I72" s="57"/>
      <c r="J72" s="57"/>
      <c r="K72" s="57"/>
      <c r="L72" s="57"/>
    </row>
    <row r="73" spans="1:12">
      <c r="A73" s="57" t="s">
        <v>311</v>
      </c>
      <c r="B73" s="55" t="s">
        <v>1231</v>
      </c>
      <c r="C73" s="55" t="s">
        <v>1031</v>
      </c>
      <c r="D73" s="57"/>
      <c r="E73" s="57"/>
      <c r="F73" s="57"/>
      <c r="G73" s="57"/>
      <c r="H73" s="57"/>
      <c r="I73" s="57"/>
      <c r="J73" s="57"/>
      <c r="K73" s="57"/>
      <c r="L73" s="57"/>
    </row>
    <row r="74" spans="1:12">
      <c r="A74" s="57" t="s">
        <v>311</v>
      </c>
      <c r="B74" s="55" t="s">
        <v>1231</v>
      </c>
      <c r="C74" s="55" t="s">
        <v>1200</v>
      </c>
      <c r="D74" s="57"/>
      <c r="E74" s="57"/>
      <c r="F74" s="57"/>
      <c r="G74" s="57"/>
      <c r="H74" s="57"/>
      <c r="I74" s="57"/>
      <c r="J74" s="57"/>
      <c r="K74" s="57"/>
      <c r="L74" s="57"/>
    </row>
    <row r="75" spans="1:12">
      <c r="A75" s="57" t="s">
        <v>311</v>
      </c>
      <c r="B75" s="55" t="s">
        <v>1230</v>
      </c>
      <c r="C75" s="55" t="s">
        <v>733</v>
      </c>
      <c r="D75" s="57"/>
      <c r="E75" s="57"/>
      <c r="F75" s="57"/>
      <c r="G75" s="57"/>
      <c r="H75" s="57"/>
      <c r="I75" s="57"/>
      <c r="J75" s="57"/>
      <c r="K75" s="57"/>
      <c r="L75" s="57"/>
    </row>
    <row r="76" spans="1:12">
      <c r="A76" s="57" t="s">
        <v>311</v>
      </c>
      <c r="B76" s="55" t="s">
        <v>1231</v>
      </c>
      <c r="C76" s="55" t="s">
        <v>989</v>
      </c>
      <c r="D76" s="57"/>
      <c r="E76" s="57"/>
      <c r="F76" s="57"/>
      <c r="G76" s="57"/>
      <c r="H76" s="57"/>
      <c r="I76" s="57"/>
      <c r="J76" s="57"/>
      <c r="K76" s="57"/>
      <c r="L76" s="57"/>
    </row>
    <row r="77" spans="1:12">
      <c r="A77" s="57" t="s">
        <v>311</v>
      </c>
      <c r="B77" s="55" t="s">
        <v>1231</v>
      </c>
      <c r="C77" s="55" t="s">
        <v>956</v>
      </c>
      <c r="D77" s="57"/>
      <c r="E77" s="57"/>
      <c r="F77" s="57"/>
      <c r="G77" s="57"/>
      <c r="H77" s="57"/>
      <c r="I77" s="57"/>
      <c r="J77" s="57"/>
      <c r="K77" s="57"/>
      <c r="L77" s="57"/>
    </row>
    <row r="78" spans="1:12">
      <c r="A78" s="57" t="s">
        <v>311</v>
      </c>
      <c r="B78" s="55" t="s">
        <v>1230</v>
      </c>
      <c r="C78" s="55" t="s">
        <v>1201</v>
      </c>
      <c r="D78" s="57"/>
      <c r="E78" s="57"/>
      <c r="F78" s="57"/>
      <c r="G78" s="57"/>
      <c r="H78" s="57"/>
      <c r="I78" s="57"/>
      <c r="J78" s="57"/>
      <c r="K78" s="57"/>
      <c r="L78" s="57"/>
    </row>
    <row r="79" spans="1:12">
      <c r="A79" s="57" t="s">
        <v>311</v>
      </c>
      <c r="B79" s="55" t="s">
        <v>1230</v>
      </c>
      <c r="C79" s="55" t="s">
        <v>1156</v>
      </c>
      <c r="D79" s="57"/>
      <c r="E79" s="57"/>
      <c r="F79" s="57"/>
      <c r="G79" s="57"/>
      <c r="H79" s="57"/>
      <c r="I79" s="57"/>
      <c r="J79" s="57"/>
      <c r="K79" s="57"/>
      <c r="L79" s="57"/>
    </row>
    <row r="80" spans="1:12">
      <c r="A80" s="57" t="s">
        <v>307</v>
      </c>
      <c r="B80" s="55" t="s">
        <v>904</v>
      </c>
      <c r="C80" s="55" t="s">
        <v>811</v>
      </c>
      <c r="D80" s="57"/>
      <c r="E80" s="57"/>
      <c r="F80" s="57"/>
      <c r="G80" s="57"/>
      <c r="H80" s="57"/>
      <c r="I80" s="57"/>
      <c r="J80" s="57"/>
      <c r="K80" s="57"/>
      <c r="L80" s="57"/>
    </row>
    <row r="81" spans="1:12">
      <c r="A81" s="57" t="s">
        <v>311</v>
      </c>
      <c r="B81" s="55" t="s">
        <v>1231</v>
      </c>
      <c r="C81" s="55" t="s">
        <v>1232</v>
      </c>
      <c r="D81" s="57"/>
      <c r="E81" s="57"/>
      <c r="F81" s="57"/>
      <c r="G81" s="57"/>
      <c r="H81" s="57"/>
      <c r="I81" s="57"/>
      <c r="J81" s="57"/>
      <c r="K81" s="57"/>
      <c r="L81" s="57"/>
    </row>
    <row r="82" spans="1:12">
      <c r="A82" s="57"/>
      <c r="B82" s="55"/>
      <c r="C82" s="55"/>
      <c r="D82" s="57"/>
      <c r="E82" s="57"/>
      <c r="F82" s="57"/>
      <c r="G82" s="57"/>
      <c r="H82" s="57"/>
      <c r="I82" s="57"/>
      <c r="J82" s="57"/>
      <c r="K82" s="57"/>
      <c r="L82" s="57"/>
    </row>
    <row r="83" spans="1:12">
      <c r="A83" s="57"/>
      <c r="B83" s="55"/>
      <c r="C83" s="55"/>
      <c r="D83" s="57"/>
      <c r="E83" s="57"/>
      <c r="F83" s="57"/>
      <c r="G83" s="57"/>
      <c r="H83" s="57"/>
      <c r="I83" s="57"/>
      <c r="J83" s="57"/>
      <c r="K83" s="57"/>
      <c r="L83" s="57"/>
    </row>
    <row r="84" spans="1:12">
      <c r="A84" s="57"/>
      <c r="B84" s="55"/>
      <c r="C84" s="55"/>
      <c r="D84" s="57"/>
      <c r="E84" s="57"/>
      <c r="F84" s="57"/>
      <c r="G84" s="57"/>
      <c r="H84" s="57"/>
      <c r="I84" s="57"/>
      <c r="J84" s="57"/>
      <c r="K84" s="57"/>
      <c r="L84" s="57"/>
    </row>
    <row r="85" spans="1:12">
      <c r="A85" s="57"/>
      <c r="B85" s="55"/>
      <c r="C85" s="55"/>
      <c r="D85" s="57"/>
      <c r="E85" s="57"/>
      <c r="F85" s="57"/>
      <c r="G85" s="57"/>
      <c r="H85" s="57"/>
      <c r="I85" s="57"/>
      <c r="J85" s="57"/>
      <c r="K85" s="57"/>
      <c r="L85" s="57"/>
    </row>
    <row r="86" spans="1:12">
      <c r="A86" s="57"/>
      <c r="B86" s="55"/>
      <c r="C86" s="55"/>
      <c r="D86" s="57"/>
      <c r="E86" s="57"/>
      <c r="F86" s="57"/>
      <c r="G86" s="57"/>
      <c r="H86" s="57"/>
      <c r="I86" s="57"/>
      <c r="J86" s="57"/>
      <c r="K86" s="57"/>
      <c r="L86" s="57"/>
    </row>
    <row r="87" spans="1:12">
      <c r="A87" s="57"/>
      <c r="B87" s="55"/>
      <c r="C87" s="55"/>
      <c r="D87" s="57"/>
      <c r="E87" s="57"/>
      <c r="F87" s="57"/>
      <c r="G87" s="57"/>
      <c r="H87" s="57"/>
      <c r="I87" s="57"/>
      <c r="J87" s="57"/>
      <c r="K87" s="57"/>
      <c r="L87" s="57"/>
    </row>
    <row r="88" spans="1:12">
      <c r="A88" s="57"/>
      <c r="B88" s="55"/>
      <c r="C88" s="55"/>
      <c r="D88" s="57"/>
      <c r="E88" s="57"/>
      <c r="F88" s="57"/>
      <c r="G88" s="57"/>
      <c r="H88" s="57"/>
      <c r="I88" s="57"/>
      <c r="J88" s="57"/>
      <c r="K88" s="57"/>
      <c r="L88" s="57"/>
    </row>
    <row r="89" spans="1:12">
      <c r="A89" s="57"/>
      <c r="B89" s="55"/>
      <c r="C89" s="55"/>
      <c r="D89" s="57"/>
      <c r="E89" s="57"/>
      <c r="F89" s="57"/>
      <c r="G89" s="57"/>
      <c r="H89" s="57"/>
      <c r="I89" s="57"/>
      <c r="J89" s="57"/>
      <c r="K89" s="57"/>
      <c r="L89" s="57"/>
    </row>
    <row r="90" spans="1:12">
      <c r="A90" s="57"/>
      <c r="B90" s="55"/>
      <c r="C90" s="55"/>
      <c r="D90" s="57"/>
      <c r="E90" s="57"/>
      <c r="F90" s="57"/>
      <c r="G90" s="57"/>
      <c r="H90" s="57"/>
      <c r="I90" s="57"/>
      <c r="J90" s="57"/>
      <c r="K90" s="57"/>
      <c r="L90" s="57"/>
    </row>
    <row r="91" spans="1:12">
      <c r="A91" s="57"/>
      <c r="B91" s="55"/>
      <c r="C91" s="55"/>
      <c r="D91" s="57"/>
      <c r="E91" s="57"/>
      <c r="F91" s="57"/>
      <c r="G91" s="57"/>
      <c r="H91" s="57"/>
      <c r="I91" s="57"/>
      <c r="J91" s="57"/>
      <c r="K91" s="57"/>
      <c r="L91" s="57"/>
    </row>
    <row r="92" spans="1:12">
      <c r="A92" s="57"/>
      <c r="B92" s="55"/>
      <c r="C92" s="55"/>
      <c r="D92" s="57"/>
      <c r="E92" s="57"/>
      <c r="F92" s="57"/>
      <c r="G92" s="57"/>
      <c r="H92" s="57"/>
      <c r="I92" s="57"/>
      <c r="J92" s="57"/>
      <c r="K92" s="57"/>
      <c r="L92" s="57"/>
    </row>
    <row r="93" spans="1:12">
      <c r="A93" s="57"/>
      <c r="B93" s="55"/>
      <c r="C93" s="55"/>
      <c r="D93" s="57"/>
      <c r="E93" s="57"/>
      <c r="F93" s="57"/>
      <c r="G93" s="57"/>
      <c r="H93" s="57"/>
      <c r="I93" s="57"/>
      <c r="J93" s="57"/>
      <c r="K93" s="57"/>
      <c r="L93" s="57"/>
    </row>
    <row r="94" spans="1:12">
      <c r="A94" s="57"/>
      <c r="B94" s="55"/>
      <c r="C94" s="55"/>
      <c r="D94" s="57"/>
      <c r="E94" s="57"/>
      <c r="F94" s="57"/>
      <c r="G94" s="57"/>
      <c r="H94" s="57"/>
      <c r="I94" s="57"/>
      <c r="J94" s="57"/>
      <c r="K94" s="57"/>
      <c r="L94" s="57"/>
    </row>
    <row r="95" spans="1:12">
      <c r="A95" s="57"/>
      <c r="B95" s="55"/>
      <c r="C95" s="55"/>
      <c r="D95" s="57"/>
      <c r="E95" s="57"/>
      <c r="F95" s="57"/>
      <c r="G95" s="57"/>
      <c r="H95" s="57"/>
      <c r="I95" s="57"/>
      <c r="J95" s="57"/>
      <c r="K95" s="57"/>
      <c r="L95" s="57"/>
    </row>
    <row r="96" spans="1:12">
      <c r="A96" s="57"/>
      <c r="B96" s="55"/>
      <c r="C96" s="55"/>
      <c r="D96" s="57"/>
      <c r="E96" s="57"/>
      <c r="F96" s="57"/>
      <c r="G96" s="57"/>
      <c r="H96" s="57"/>
      <c r="I96" s="57"/>
      <c r="J96" s="57"/>
      <c r="K96" s="57"/>
      <c r="L96" s="57"/>
    </row>
    <row r="97" spans="1:12">
      <c r="A97" s="57"/>
      <c r="B97" s="55"/>
      <c r="C97" s="55"/>
      <c r="D97" s="57"/>
      <c r="E97" s="57"/>
      <c r="F97" s="57"/>
      <c r="G97" s="57"/>
      <c r="H97" s="57"/>
      <c r="I97" s="57"/>
      <c r="J97" s="57"/>
      <c r="K97" s="57"/>
      <c r="L97" s="57"/>
    </row>
    <row r="98" spans="1:12">
      <c r="A98" s="57"/>
      <c r="B98" s="55"/>
      <c r="C98" s="55"/>
      <c r="D98" s="57"/>
      <c r="E98" s="57"/>
      <c r="F98" s="57"/>
      <c r="G98" s="57"/>
      <c r="H98" s="57"/>
      <c r="I98" s="57"/>
      <c r="J98" s="57"/>
      <c r="K98" s="57"/>
      <c r="L98" s="57"/>
    </row>
    <row r="99" spans="1:12">
      <c r="A99" s="57"/>
      <c r="B99" s="55"/>
      <c r="C99" s="55"/>
      <c r="D99" s="57"/>
      <c r="E99" s="57"/>
      <c r="F99" s="57"/>
      <c r="G99" s="57"/>
      <c r="H99" s="57"/>
      <c r="I99" s="57"/>
      <c r="J99" s="57"/>
      <c r="K99" s="57"/>
      <c r="L99" s="57"/>
    </row>
    <row r="100" spans="1:12">
      <c r="A100" s="57"/>
      <c r="B100" s="55"/>
      <c r="C100" s="55"/>
      <c r="D100" s="57"/>
      <c r="E100" s="57"/>
      <c r="F100" s="57"/>
      <c r="G100" s="57"/>
      <c r="H100" s="57"/>
      <c r="I100" s="57"/>
      <c r="J100" s="57"/>
      <c r="K100" s="57"/>
      <c r="L100" s="57"/>
    </row>
    <row r="101" spans="1:12">
      <c r="A101" s="57"/>
      <c r="B101" s="55"/>
      <c r="C101" s="55"/>
      <c r="D101" s="57"/>
      <c r="E101" s="57"/>
      <c r="F101" s="57"/>
      <c r="G101" s="57"/>
      <c r="H101" s="57"/>
      <c r="I101" s="57"/>
      <c r="J101" s="57"/>
      <c r="K101" s="57"/>
      <c r="L101" s="57"/>
    </row>
    <row r="102" spans="1:12">
      <c r="A102" s="57"/>
      <c r="B102" s="55"/>
      <c r="C102" s="55"/>
      <c r="D102" s="57"/>
      <c r="E102" s="57"/>
      <c r="F102" s="57"/>
      <c r="G102" s="57"/>
      <c r="H102" s="57"/>
      <c r="I102" s="57"/>
      <c r="J102" s="57"/>
      <c r="K102" s="57"/>
      <c r="L102" s="57"/>
    </row>
    <row r="103" spans="1:12">
      <c r="A103" s="57"/>
      <c r="B103" s="55"/>
      <c r="C103" s="55"/>
      <c r="D103" s="57"/>
      <c r="E103" s="57"/>
      <c r="F103" s="57"/>
      <c r="G103" s="57"/>
      <c r="H103" s="57"/>
      <c r="I103" s="57"/>
      <c r="J103" s="57"/>
      <c r="K103" s="57"/>
      <c r="L103" s="57"/>
    </row>
    <row r="104" spans="1:12">
      <c r="A104" s="57"/>
      <c r="B104" s="55"/>
      <c r="C104" s="55"/>
      <c r="D104" s="57"/>
      <c r="E104" s="57"/>
      <c r="F104" s="57"/>
      <c r="G104" s="57"/>
      <c r="H104" s="57"/>
      <c r="I104" s="57"/>
      <c r="J104" s="57"/>
      <c r="K104" s="57"/>
      <c r="L104" s="57"/>
    </row>
    <row r="105" spans="1:12">
      <c r="A105" s="57"/>
      <c r="B105" s="55"/>
      <c r="C105" s="55"/>
      <c r="D105" s="57"/>
      <c r="E105" s="57"/>
      <c r="F105" s="57"/>
      <c r="G105" s="57"/>
      <c r="H105" s="57"/>
      <c r="I105" s="57"/>
      <c r="J105" s="57"/>
      <c r="K105" s="57"/>
      <c r="L105" s="57"/>
    </row>
    <row r="106" spans="1:12">
      <c r="A106" s="57"/>
      <c r="B106" s="55"/>
      <c r="C106" s="55"/>
      <c r="D106" s="57"/>
      <c r="E106" s="57"/>
      <c r="F106" s="57"/>
      <c r="G106" s="57"/>
      <c r="H106" s="57"/>
      <c r="I106" s="57"/>
      <c r="J106" s="57"/>
      <c r="K106" s="57"/>
      <c r="L106" s="57"/>
    </row>
    <row r="107" spans="1:12">
      <c r="A107" s="57"/>
      <c r="B107" s="55"/>
      <c r="C107" s="55"/>
      <c r="D107" s="57"/>
      <c r="E107" s="57"/>
      <c r="F107" s="57"/>
      <c r="G107" s="57"/>
      <c r="H107" s="57"/>
      <c r="I107" s="57"/>
      <c r="J107" s="57"/>
      <c r="K107" s="57"/>
      <c r="L107" s="57"/>
    </row>
    <row r="108" spans="1:12">
      <c r="A108" s="57"/>
      <c r="B108" s="55"/>
      <c r="C108" s="55"/>
      <c r="D108" s="57"/>
      <c r="E108" s="57"/>
      <c r="F108" s="57"/>
      <c r="G108" s="57"/>
      <c r="H108" s="57"/>
      <c r="I108" s="57"/>
      <c r="J108" s="57"/>
      <c r="K108" s="57"/>
      <c r="L108" s="57"/>
    </row>
    <row r="109" spans="1:12">
      <c r="A109" s="57"/>
      <c r="B109" s="55"/>
      <c r="C109" s="55"/>
      <c r="D109" s="57"/>
      <c r="E109" s="57"/>
      <c r="F109" s="57"/>
      <c r="G109" s="57"/>
      <c r="H109" s="57"/>
      <c r="I109" s="57"/>
      <c r="J109" s="57"/>
      <c r="K109" s="57"/>
      <c r="L109" s="57"/>
    </row>
    <row r="110" spans="1:12">
      <c r="A110" s="57"/>
      <c r="B110" s="55"/>
      <c r="C110" s="55"/>
      <c r="D110" s="57"/>
      <c r="E110" s="57"/>
      <c r="F110" s="57"/>
      <c r="G110" s="57"/>
      <c r="H110" s="57"/>
      <c r="I110" s="57"/>
      <c r="J110" s="57"/>
      <c r="K110" s="57"/>
      <c r="L110" s="57"/>
    </row>
    <row r="111" spans="1:12">
      <c r="A111" s="57"/>
      <c r="B111" s="55"/>
      <c r="C111" s="55"/>
      <c r="D111" s="57"/>
      <c r="E111" s="57"/>
      <c r="F111" s="57"/>
      <c r="G111" s="57"/>
      <c r="H111" s="57"/>
      <c r="I111" s="57"/>
      <c r="J111" s="57"/>
      <c r="K111" s="57"/>
      <c r="L111" s="57"/>
    </row>
    <row r="112" spans="1:12">
      <c r="A112" s="57"/>
      <c r="B112" s="55"/>
      <c r="C112" s="55"/>
      <c r="D112" s="57"/>
      <c r="E112" s="57"/>
      <c r="F112" s="57"/>
      <c r="G112" s="57"/>
      <c r="H112" s="57"/>
      <c r="I112" s="57"/>
      <c r="J112" s="57"/>
      <c r="K112" s="57"/>
      <c r="L112" s="57"/>
    </row>
    <row r="113" spans="1:12">
      <c r="A113" s="57"/>
      <c r="B113" s="55"/>
      <c r="C113" s="55"/>
      <c r="D113" s="57"/>
      <c r="E113" s="57"/>
      <c r="F113" s="57"/>
      <c r="G113" s="57"/>
      <c r="H113" s="57"/>
      <c r="I113" s="57"/>
      <c r="J113" s="57"/>
      <c r="K113" s="57"/>
      <c r="L113" s="57"/>
    </row>
    <row r="114" spans="1:12">
      <c r="A114" s="57"/>
      <c r="B114" s="55"/>
      <c r="C114" s="55"/>
      <c r="D114" s="57"/>
      <c r="E114" s="57"/>
      <c r="F114" s="57"/>
      <c r="G114" s="57"/>
      <c r="H114" s="57"/>
      <c r="I114" s="57"/>
      <c r="J114" s="57"/>
      <c r="K114" s="57"/>
      <c r="L114" s="57"/>
    </row>
    <row r="115" spans="1:12">
      <c r="A115" s="57"/>
      <c r="B115" s="55"/>
      <c r="C115" s="55"/>
      <c r="D115" s="57"/>
      <c r="E115" s="57"/>
      <c r="F115" s="57"/>
      <c r="G115" s="57"/>
      <c r="H115" s="57"/>
      <c r="I115" s="57"/>
      <c r="J115" s="57"/>
      <c r="K115" s="57"/>
      <c r="L115" s="57"/>
    </row>
    <row r="116" spans="1:12">
      <c r="A116" s="57"/>
      <c r="B116" s="55"/>
      <c r="C116" s="55"/>
      <c r="D116" s="57"/>
      <c r="E116" s="57"/>
      <c r="F116" s="57"/>
      <c r="G116" s="57"/>
      <c r="H116" s="57"/>
      <c r="I116" s="57"/>
      <c r="J116" s="57"/>
      <c r="K116" s="57"/>
      <c r="L116" s="57"/>
    </row>
    <row r="117" spans="1:12">
      <c r="A117" s="57"/>
      <c r="B117" s="55"/>
      <c r="C117" s="55"/>
      <c r="D117" s="57"/>
      <c r="E117" s="57"/>
      <c r="F117" s="57"/>
      <c r="G117" s="57"/>
      <c r="H117" s="57"/>
      <c r="I117" s="57"/>
      <c r="J117" s="57"/>
      <c r="K117" s="57"/>
      <c r="L117" s="57"/>
    </row>
    <row r="118" spans="1:12">
      <c r="A118" s="57"/>
      <c r="B118" s="55"/>
      <c r="C118" s="55"/>
      <c r="D118" s="57"/>
      <c r="E118" s="57"/>
      <c r="F118" s="57"/>
      <c r="G118" s="57"/>
      <c r="H118" s="57"/>
      <c r="I118" s="57"/>
      <c r="J118" s="57"/>
      <c r="K118" s="57"/>
      <c r="L118" s="57"/>
    </row>
    <row r="119" spans="1:12">
      <c r="A119" s="57"/>
      <c r="B119" s="55"/>
      <c r="C119" s="55"/>
      <c r="D119" s="57"/>
      <c r="E119" s="57"/>
      <c r="F119" s="57"/>
      <c r="G119" s="57"/>
      <c r="H119" s="57"/>
      <c r="I119" s="57"/>
      <c r="J119" s="57"/>
      <c r="K119" s="57"/>
      <c r="L119" s="57"/>
    </row>
    <row r="120" spans="1:12">
      <c r="A120" s="57"/>
      <c r="B120" s="55"/>
      <c r="C120" s="55"/>
      <c r="D120" s="57"/>
      <c r="E120" s="57"/>
      <c r="F120" s="57"/>
      <c r="G120" s="57"/>
      <c r="H120" s="57"/>
      <c r="I120" s="57"/>
      <c r="J120" s="57"/>
      <c r="K120" s="57"/>
      <c r="L120" s="57"/>
    </row>
    <row r="121" spans="1:12">
      <c r="A121" s="57"/>
      <c r="B121" s="55"/>
      <c r="C121" s="55"/>
      <c r="D121" s="57"/>
      <c r="E121" s="57"/>
      <c r="F121" s="57"/>
      <c r="G121" s="57"/>
      <c r="H121" s="57"/>
      <c r="I121" s="57"/>
      <c r="J121" s="57"/>
      <c r="K121" s="57"/>
      <c r="L121" s="57"/>
    </row>
    <row r="122" spans="1:12">
      <c r="A122" s="57"/>
      <c r="B122" s="55"/>
      <c r="C122" s="55"/>
      <c r="D122" s="57"/>
      <c r="E122" s="57"/>
      <c r="F122" s="57"/>
      <c r="G122" s="57"/>
      <c r="H122" s="57"/>
      <c r="I122" s="57"/>
      <c r="J122" s="57"/>
      <c r="K122" s="57"/>
      <c r="L122" s="57"/>
    </row>
    <row r="123" spans="1:12">
      <c r="A123" s="57"/>
      <c r="B123" s="55"/>
      <c r="C123" s="55"/>
      <c r="D123" s="57"/>
      <c r="E123" s="57"/>
      <c r="F123" s="57"/>
      <c r="G123" s="57"/>
      <c r="H123" s="57"/>
      <c r="I123" s="57"/>
      <c r="J123" s="57"/>
      <c r="K123" s="57"/>
      <c r="L123" s="57"/>
    </row>
    <row r="124" spans="1:12">
      <c r="A124" s="57"/>
      <c r="B124" s="55"/>
      <c r="C124" s="55"/>
      <c r="D124" s="57"/>
      <c r="E124" s="57"/>
      <c r="F124" s="57"/>
      <c r="G124" s="57"/>
      <c r="H124" s="57"/>
      <c r="I124" s="57"/>
      <c r="J124" s="57"/>
      <c r="K124" s="57"/>
      <c r="L124" s="57"/>
    </row>
    <row r="125" spans="1:12">
      <c r="A125" s="57"/>
      <c r="B125" s="55"/>
      <c r="C125" s="55"/>
      <c r="D125" s="57"/>
      <c r="E125" s="57"/>
      <c r="F125" s="57"/>
      <c r="G125" s="57"/>
      <c r="H125" s="57"/>
      <c r="I125" s="57"/>
      <c r="J125" s="57"/>
      <c r="K125" s="57"/>
      <c r="L125" s="57"/>
    </row>
    <row r="126" spans="1:12">
      <c r="A126" s="57"/>
      <c r="B126" s="55"/>
      <c r="C126" s="55"/>
      <c r="D126" s="57"/>
      <c r="E126" s="57"/>
      <c r="F126" s="57"/>
      <c r="G126" s="57"/>
      <c r="H126" s="57"/>
      <c r="I126" s="57"/>
      <c r="J126" s="57"/>
      <c r="K126" s="57"/>
      <c r="L126" s="57"/>
    </row>
    <row r="127" spans="1:12">
      <c r="A127" s="57"/>
      <c r="B127" s="55"/>
      <c r="C127" s="55"/>
      <c r="D127" s="57"/>
      <c r="E127" s="57"/>
      <c r="F127" s="57"/>
      <c r="G127" s="57"/>
      <c r="H127" s="57"/>
      <c r="I127" s="57"/>
      <c r="J127" s="57"/>
      <c r="K127" s="57"/>
      <c r="L127" s="57"/>
    </row>
    <row r="128" spans="1:12">
      <c r="A128" s="57"/>
      <c r="B128" s="55"/>
      <c r="C128" s="55"/>
      <c r="D128" s="57"/>
      <c r="E128" s="57"/>
      <c r="F128" s="57"/>
      <c r="G128" s="57"/>
      <c r="H128" s="57"/>
      <c r="I128" s="57"/>
      <c r="J128" s="57"/>
      <c r="K128" s="57"/>
      <c r="L128" s="57"/>
    </row>
    <row r="129" spans="1:12">
      <c r="A129" s="57"/>
      <c r="B129" s="55"/>
      <c r="C129" s="55"/>
      <c r="D129" s="57"/>
      <c r="E129" s="57"/>
      <c r="F129" s="57"/>
      <c r="G129" s="57"/>
      <c r="H129" s="57"/>
      <c r="I129" s="57"/>
      <c r="J129" s="57"/>
      <c r="K129" s="57"/>
      <c r="L129" s="57"/>
    </row>
    <row r="130" spans="1:12">
      <c r="A130" s="57"/>
      <c r="B130" s="55"/>
      <c r="C130" s="55"/>
      <c r="D130" s="57"/>
      <c r="E130" s="57"/>
      <c r="F130" s="57"/>
      <c r="G130" s="57"/>
      <c r="H130" s="57"/>
      <c r="I130" s="57"/>
      <c r="J130" s="57"/>
      <c r="K130" s="57"/>
      <c r="L130" s="57"/>
    </row>
    <row r="131" spans="1:12">
      <c r="A131" s="57"/>
      <c r="B131" s="55"/>
      <c r="C131" s="55"/>
      <c r="D131" s="57"/>
      <c r="E131" s="57"/>
      <c r="F131" s="57"/>
      <c r="G131" s="57"/>
      <c r="H131" s="57"/>
      <c r="I131" s="57"/>
      <c r="J131" s="57"/>
      <c r="K131" s="57"/>
      <c r="L131" s="57"/>
    </row>
    <row r="132" spans="1:12">
      <c r="A132" s="57"/>
      <c r="B132" s="55"/>
      <c r="C132" s="55"/>
      <c r="D132" s="57"/>
      <c r="E132" s="57"/>
      <c r="F132" s="57"/>
      <c r="G132" s="57"/>
      <c r="H132" s="57"/>
      <c r="I132" s="57"/>
      <c r="J132" s="57"/>
      <c r="K132" s="57"/>
      <c r="L132" s="57"/>
    </row>
    <row r="133" spans="1:12">
      <c r="A133" s="57"/>
      <c r="B133" s="55"/>
      <c r="C133" s="55"/>
      <c r="D133" s="57"/>
      <c r="E133" s="57"/>
      <c r="F133" s="57"/>
      <c r="G133" s="57"/>
      <c r="H133" s="57"/>
      <c r="I133" s="57"/>
      <c r="J133" s="57"/>
      <c r="K133" s="57"/>
      <c r="L133" s="57"/>
    </row>
    <row r="134" spans="1:12">
      <c r="A134" s="57"/>
      <c r="B134" s="55"/>
      <c r="C134" s="55"/>
      <c r="D134" s="57"/>
      <c r="E134" s="57"/>
      <c r="F134" s="57"/>
      <c r="G134" s="57"/>
      <c r="H134" s="57"/>
      <c r="I134" s="57"/>
      <c r="J134" s="57"/>
      <c r="K134" s="57"/>
      <c r="L134" s="57"/>
    </row>
    <row r="135" spans="1:12">
      <c r="A135" s="57"/>
      <c r="B135" s="55"/>
      <c r="C135" s="55"/>
      <c r="D135" s="57"/>
      <c r="E135" s="57"/>
      <c r="F135" s="57"/>
      <c r="G135" s="57"/>
      <c r="H135" s="57"/>
      <c r="I135" s="57"/>
      <c r="J135" s="57"/>
      <c r="K135" s="57"/>
      <c r="L135" s="57"/>
    </row>
    <row r="136" spans="1:12">
      <c r="A136" s="57"/>
      <c r="B136" s="55"/>
      <c r="C136" s="55"/>
      <c r="D136" s="57"/>
      <c r="E136" s="57"/>
      <c r="F136" s="57"/>
      <c r="G136" s="57"/>
      <c r="H136" s="57"/>
      <c r="I136" s="57"/>
      <c r="J136" s="57"/>
      <c r="K136" s="57"/>
      <c r="L136" s="57"/>
    </row>
    <row r="137" spans="1:12">
      <c r="A137" s="57"/>
      <c r="B137" s="55"/>
      <c r="C137" s="55"/>
      <c r="D137" s="57"/>
      <c r="E137" s="57"/>
      <c r="F137" s="57"/>
      <c r="G137" s="57"/>
      <c r="H137" s="57"/>
      <c r="I137" s="57"/>
      <c r="J137" s="57"/>
      <c r="K137" s="57"/>
      <c r="L137" s="57"/>
    </row>
    <row r="138" spans="1:12">
      <c r="A138" s="57"/>
      <c r="B138" s="55"/>
      <c r="C138" s="55"/>
      <c r="D138" s="57"/>
      <c r="E138" s="57"/>
      <c r="F138" s="57"/>
      <c r="G138" s="57"/>
      <c r="H138" s="57"/>
      <c r="I138" s="57"/>
      <c r="J138" s="57"/>
      <c r="K138" s="57"/>
      <c r="L138" s="57"/>
    </row>
    <row r="139" spans="1:12">
      <c r="A139" s="57"/>
      <c r="B139" s="55"/>
      <c r="C139" s="55"/>
      <c r="D139" s="57"/>
      <c r="E139" s="57"/>
      <c r="F139" s="57"/>
      <c r="G139" s="57"/>
      <c r="H139" s="57"/>
      <c r="I139" s="57"/>
      <c r="J139" s="57"/>
      <c r="K139" s="57"/>
      <c r="L139" s="57"/>
    </row>
    <row r="140" spans="1:12">
      <c r="A140" s="57"/>
      <c r="B140" s="55"/>
      <c r="C140" s="55"/>
      <c r="D140" s="57"/>
      <c r="E140" s="57"/>
      <c r="F140" s="57"/>
      <c r="G140" s="57"/>
      <c r="H140" s="57"/>
      <c r="I140" s="57"/>
      <c r="J140" s="57"/>
      <c r="K140" s="57"/>
      <c r="L140" s="57"/>
    </row>
    <row r="141" spans="1:12">
      <c r="A141" s="57"/>
      <c r="B141" s="55"/>
      <c r="C141" s="55"/>
      <c r="D141" s="57"/>
      <c r="E141" s="57"/>
      <c r="F141" s="57"/>
      <c r="G141" s="57"/>
      <c r="H141" s="57"/>
      <c r="I141" s="57"/>
      <c r="J141" s="57"/>
      <c r="K141" s="57"/>
      <c r="L141" s="57"/>
    </row>
    <row r="142" spans="1:12">
      <c r="A142" s="57"/>
      <c r="B142" s="55"/>
      <c r="C142" s="55"/>
      <c r="D142" s="57"/>
      <c r="E142" s="57"/>
      <c r="F142" s="57"/>
      <c r="G142" s="57"/>
      <c r="H142" s="57"/>
      <c r="I142" s="57"/>
      <c r="J142" s="57"/>
      <c r="K142" s="57"/>
      <c r="L142" s="57"/>
    </row>
    <row r="143" spans="1:12">
      <c r="A143" s="57"/>
      <c r="B143" s="55"/>
      <c r="C143" s="55"/>
      <c r="D143" s="57"/>
      <c r="E143" s="57"/>
      <c r="F143" s="57"/>
      <c r="G143" s="57"/>
      <c r="H143" s="57"/>
      <c r="I143" s="57"/>
      <c r="J143" s="57"/>
      <c r="K143" s="57"/>
      <c r="L143" s="57"/>
    </row>
    <row r="144" spans="1:12">
      <c r="A144" s="57"/>
      <c r="B144" s="55"/>
      <c r="C144" s="55"/>
      <c r="D144" s="57"/>
      <c r="E144" s="57"/>
      <c r="F144" s="57"/>
      <c r="G144" s="57"/>
      <c r="H144" s="57"/>
      <c r="I144" s="57"/>
      <c r="J144" s="57"/>
      <c r="K144" s="57"/>
      <c r="L144" s="57"/>
    </row>
    <row r="145" spans="1:12">
      <c r="A145" s="57"/>
      <c r="B145" s="55"/>
      <c r="C145" s="55"/>
      <c r="D145" s="57"/>
      <c r="E145" s="57"/>
      <c r="F145" s="57"/>
      <c r="G145" s="57"/>
      <c r="H145" s="57"/>
      <c r="I145" s="57"/>
      <c r="J145" s="57"/>
      <c r="K145" s="57"/>
      <c r="L145" s="57"/>
    </row>
    <row r="146" spans="1:12">
      <c r="A146" s="57"/>
      <c r="B146" s="55"/>
      <c r="C146" s="55"/>
      <c r="D146" s="57"/>
      <c r="E146" s="57"/>
      <c r="F146" s="57"/>
      <c r="G146" s="57"/>
      <c r="H146" s="57"/>
      <c r="I146" s="57"/>
      <c r="J146" s="57"/>
      <c r="K146" s="57"/>
      <c r="L146" s="57"/>
    </row>
    <row r="147" spans="1:12">
      <c r="A147" s="57"/>
      <c r="B147" s="55"/>
      <c r="C147" s="55"/>
      <c r="D147" s="57"/>
      <c r="E147" s="57"/>
      <c r="F147" s="57"/>
      <c r="G147" s="57"/>
      <c r="H147" s="57"/>
      <c r="I147" s="57"/>
      <c r="J147" s="57"/>
      <c r="K147" s="57"/>
      <c r="L147" s="57"/>
    </row>
    <row r="148" spans="1:12">
      <c r="A148" s="57"/>
      <c r="B148" s="55"/>
      <c r="C148" s="55"/>
      <c r="D148" s="57"/>
      <c r="E148" s="57"/>
      <c r="F148" s="57"/>
      <c r="G148" s="57"/>
      <c r="H148" s="57"/>
      <c r="I148" s="57"/>
      <c r="J148" s="57"/>
      <c r="K148" s="57"/>
      <c r="L148" s="57"/>
    </row>
    <row r="149" spans="1:12">
      <c r="A149" s="57"/>
      <c r="B149" s="55"/>
      <c r="C149" s="55"/>
      <c r="D149" s="57"/>
      <c r="E149" s="57"/>
      <c r="F149" s="57"/>
      <c r="G149" s="57"/>
      <c r="H149" s="57"/>
      <c r="I149" s="57"/>
      <c r="J149" s="57"/>
      <c r="K149" s="57"/>
      <c r="L149" s="57"/>
    </row>
    <row r="150" spans="1:12">
      <c r="A150" s="57"/>
      <c r="B150" s="55"/>
      <c r="C150" s="55"/>
      <c r="D150" s="57"/>
      <c r="E150" s="57"/>
      <c r="F150" s="57"/>
      <c r="G150" s="57"/>
      <c r="H150" s="57"/>
      <c r="I150" s="57"/>
      <c r="J150" s="57"/>
      <c r="K150" s="57"/>
      <c r="L150" s="57"/>
    </row>
    <row r="151" spans="1:12">
      <c r="A151" s="57"/>
      <c r="B151" s="55"/>
      <c r="C151" s="55"/>
      <c r="D151" s="57"/>
      <c r="E151" s="57"/>
      <c r="F151" s="57"/>
      <c r="G151" s="57"/>
      <c r="H151" s="57"/>
      <c r="I151" s="57"/>
      <c r="J151" s="57"/>
      <c r="K151" s="57"/>
      <c r="L151" s="57"/>
    </row>
    <row r="152" spans="1:12">
      <c r="A152" s="57"/>
      <c r="B152" s="55"/>
      <c r="C152" s="55"/>
      <c r="D152" s="57"/>
      <c r="E152" s="57"/>
      <c r="F152" s="57"/>
      <c r="G152" s="57"/>
      <c r="H152" s="57"/>
      <c r="I152" s="57"/>
      <c r="J152" s="57"/>
      <c r="K152" s="57"/>
      <c r="L152" s="57"/>
    </row>
    <row r="153" spans="1:12">
      <c r="A153" s="57"/>
      <c r="B153" s="55"/>
      <c r="C153" s="55"/>
      <c r="D153" s="57"/>
      <c r="E153" s="57"/>
      <c r="F153" s="57"/>
      <c r="G153" s="57"/>
      <c r="H153" s="57"/>
      <c r="I153" s="57"/>
      <c r="J153" s="57"/>
      <c r="K153" s="57"/>
      <c r="L153" s="57"/>
    </row>
    <row r="154" spans="1:12">
      <c r="A154" s="57"/>
      <c r="B154" s="55"/>
      <c r="C154" s="55"/>
      <c r="D154" s="57"/>
      <c r="E154" s="57"/>
      <c r="F154" s="57"/>
      <c r="G154" s="57"/>
      <c r="H154" s="57"/>
      <c r="I154" s="57"/>
      <c r="J154" s="57"/>
      <c r="K154" s="57"/>
      <c r="L154" s="57"/>
    </row>
    <row r="155" spans="1:12">
      <c r="A155" s="57"/>
      <c r="B155" s="55"/>
      <c r="C155" s="55"/>
      <c r="D155" s="57"/>
      <c r="E155" s="57"/>
      <c r="F155" s="57"/>
      <c r="G155" s="57"/>
      <c r="H155" s="57"/>
      <c r="I155" s="57"/>
      <c r="J155" s="57"/>
      <c r="K155" s="57"/>
      <c r="L155" s="57"/>
    </row>
    <row r="156" spans="1:12">
      <c r="A156" s="57"/>
      <c r="B156" s="55"/>
      <c r="C156" s="55"/>
      <c r="D156" s="57"/>
      <c r="E156" s="57"/>
      <c r="F156" s="57"/>
      <c r="G156" s="57"/>
      <c r="H156" s="57"/>
      <c r="I156" s="57"/>
      <c r="J156" s="57"/>
      <c r="K156" s="57"/>
      <c r="L156" s="57"/>
    </row>
    <row r="157" spans="1:12">
      <c r="A157" s="57"/>
      <c r="B157" s="55"/>
      <c r="C157" s="55"/>
      <c r="D157" s="57"/>
      <c r="E157" s="57"/>
      <c r="F157" s="57"/>
      <c r="G157" s="57"/>
      <c r="H157" s="57"/>
      <c r="I157" s="57"/>
      <c r="J157" s="57"/>
      <c r="K157" s="57"/>
      <c r="L157" s="57"/>
    </row>
    <row r="158" spans="1:12">
      <c r="A158" s="57"/>
      <c r="B158" s="55"/>
      <c r="C158" s="55"/>
      <c r="D158" s="57"/>
      <c r="E158" s="57"/>
      <c r="F158" s="57"/>
      <c r="G158" s="57"/>
      <c r="H158" s="57"/>
      <c r="I158" s="57"/>
      <c r="J158" s="57"/>
      <c r="K158" s="57"/>
      <c r="L158" s="57"/>
    </row>
    <row r="159" spans="1:12">
      <c r="A159" s="57"/>
      <c r="B159" s="55"/>
      <c r="C159" s="55"/>
      <c r="D159" s="57"/>
      <c r="E159" s="57"/>
      <c r="F159" s="57"/>
      <c r="G159" s="57"/>
      <c r="H159" s="57"/>
      <c r="I159" s="57"/>
      <c r="J159" s="57"/>
      <c r="K159" s="57"/>
      <c r="L159" s="57"/>
    </row>
    <row r="160" spans="1:12">
      <c r="A160" s="57"/>
      <c r="B160" s="55"/>
      <c r="C160" s="55"/>
      <c r="D160" s="57"/>
      <c r="E160" s="57"/>
      <c r="F160" s="57"/>
      <c r="G160" s="57"/>
      <c r="H160" s="57"/>
      <c r="I160" s="57"/>
      <c r="J160" s="57"/>
      <c r="K160" s="57"/>
      <c r="L160" s="57"/>
    </row>
    <row r="161" spans="1:12">
      <c r="A161" s="57"/>
      <c r="B161" s="55"/>
      <c r="C161" s="55"/>
      <c r="D161" s="57"/>
      <c r="E161" s="57"/>
      <c r="F161" s="57"/>
      <c r="G161" s="57"/>
      <c r="H161" s="57"/>
      <c r="I161" s="57"/>
      <c r="J161" s="57"/>
      <c r="K161" s="57"/>
      <c r="L161" s="57"/>
    </row>
    <row r="162" spans="1:12">
      <c r="A162" s="57"/>
      <c r="B162" s="55"/>
      <c r="C162" s="55"/>
      <c r="D162" s="57"/>
      <c r="E162" s="57"/>
      <c r="F162" s="57"/>
      <c r="G162" s="57"/>
      <c r="H162" s="57"/>
      <c r="I162" s="57"/>
      <c r="J162" s="57"/>
      <c r="K162" s="57"/>
      <c r="L162" s="57"/>
    </row>
    <row r="163" spans="1:12">
      <c r="A163" s="57"/>
      <c r="B163" s="55"/>
      <c r="C163" s="55"/>
      <c r="D163" s="57"/>
      <c r="E163" s="57"/>
      <c r="F163" s="57"/>
      <c r="G163" s="57"/>
      <c r="H163" s="57"/>
      <c r="I163" s="57"/>
      <c r="J163" s="57"/>
      <c r="K163" s="57"/>
      <c r="L163" s="57"/>
    </row>
    <row r="164" spans="1:12">
      <c r="A164" s="57"/>
      <c r="B164" s="55"/>
      <c r="C164" s="55"/>
      <c r="D164" s="57"/>
      <c r="E164" s="57"/>
      <c r="F164" s="57"/>
      <c r="G164" s="57"/>
      <c r="H164" s="57"/>
      <c r="I164" s="57"/>
      <c r="J164" s="57"/>
      <c r="K164" s="57"/>
      <c r="L164" s="57"/>
    </row>
    <row r="165" spans="1:12">
      <c r="A165" s="57"/>
      <c r="B165" s="55"/>
      <c r="C165" s="55"/>
      <c r="D165" s="57"/>
      <c r="E165" s="57"/>
      <c r="F165" s="57"/>
      <c r="G165" s="57"/>
      <c r="H165" s="57"/>
      <c r="I165" s="57"/>
      <c r="J165" s="57"/>
      <c r="K165" s="57"/>
      <c r="L165" s="57"/>
    </row>
    <row r="166" spans="1:12">
      <c r="A166" s="57"/>
      <c r="B166" s="55"/>
      <c r="C166" s="55"/>
      <c r="D166" s="57"/>
      <c r="E166" s="57"/>
      <c r="F166" s="57"/>
      <c r="G166" s="57"/>
      <c r="H166" s="57"/>
      <c r="I166" s="57"/>
      <c r="J166" s="57"/>
      <c r="K166" s="57"/>
      <c r="L166" s="57"/>
    </row>
    <row r="167" spans="1:12">
      <c r="A167" s="57"/>
      <c r="B167" s="55"/>
      <c r="C167" s="55"/>
      <c r="D167" s="57"/>
      <c r="E167" s="57"/>
      <c r="F167" s="57"/>
      <c r="G167" s="57"/>
      <c r="H167" s="57"/>
      <c r="I167" s="57"/>
      <c r="J167" s="57"/>
      <c r="K167" s="57"/>
      <c r="L167" s="57"/>
    </row>
    <row r="168" spans="1:12">
      <c r="A168" s="57"/>
      <c r="B168" s="55"/>
      <c r="C168" s="55"/>
      <c r="D168" s="57"/>
      <c r="E168" s="57"/>
      <c r="F168" s="57"/>
      <c r="G168" s="57"/>
      <c r="H168" s="57"/>
      <c r="I168" s="57"/>
      <c r="J168" s="57"/>
      <c r="K168" s="57"/>
      <c r="L168" s="57"/>
    </row>
    <row r="169" spans="1:12">
      <c r="A169" s="57"/>
      <c r="B169" s="55"/>
      <c r="C169" s="55"/>
      <c r="D169" s="57"/>
      <c r="E169" s="57"/>
      <c r="F169" s="57"/>
      <c r="G169" s="57"/>
      <c r="H169" s="57"/>
      <c r="I169" s="57"/>
      <c r="J169" s="57"/>
      <c r="K169" s="57"/>
      <c r="L169" s="57"/>
    </row>
    <row r="170" spans="1:12">
      <c r="A170" s="57"/>
      <c r="B170" s="55"/>
      <c r="C170" s="55"/>
      <c r="D170" s="57"/>
      <c r="E170" s="57"/>
      <c r="F170" s="57"/>
      <c r="G170" s="57"/>
      <c r="H170" s="57"/>
      <c r="I170" s="57"/>
      <c r="J170" s="57"/>
      <c r="K170" s="57"/>
      <c r="L170" s="57"/>
    </row>
    <row r="171" spans="1:12">
      <c r="A171" s="57"/>
      <c r="B171" s="55"/>
      <c r="C171" s="55"/>
      <c r="D171" s="57"/>
      <c r="E171" s="57"/>
      <c r="F171" s="57"/>
      <c r="G171" s="57"/>
      <c r="H171" s="57"/>
      <c r="I171" s="57"/>
      <c r="J171" s="57"/>
      <c r="K171" s="57"/>
      <c r="L171" s="57"/>
    </row>
    <row r="172" spans="1:12">
      <c r="A172" s="57"/>
      <c r="B172" s="55"/>
      <c r="C172" s="55"/>
      <c r="D172" s="57"/>
      <c r="E172" s="57"/>
      <c r="F172" s="57"/>
      <c r="G172" s="57"/>
      <c r="H172" s="57"/>
      <c r="I172" s="57"/>
      <c r="J172" s="57"/>
      <c r="K172" s="57"/>
      <c r="L172" s="57"/>
    </row>
    <row r="173" spans="1:12">
      <c r="A173" s="57"/>
      <c r="B173" s="55"/>
      <c r="C173" s="55"/>
      <c r="D173" s="57"/>
      <c r="E173" s="57"/>
      <c r="F173" s="57"/>
      <c r="G173" s="57"/>
      <c r="H173" s="57"/>
      <c r="I173" s="57"/>
      <c r="J173" s="57"/>
      <c r="K173" s="57"/>
      <c r="L173" s="57"/>
    </row>
    <row r="174" spans="1:12">
      <c r="A174" s="57"/>
      <c r="B174" s="55"/>
      <c r="C174" s="55"/>
      <c r="D174" s="57"/>
      <c r="E174" s="57"/>
      <c r="F174" s="57"/>
      <c r="G174" s="57"/>
      <c r="H174" s="57"/>
      <c r="I174" s="57"/>
      <c r="J174" s="57"/>
      <c r="K174" s="57"/>
      <c r="L174" s="57"/>
    </row>
    <row r="175" spans="1:12">
      <c r="A175" s="57"/>
      <c r="B175" s="55"/>
      <c r="C175" s="55"/>
      <c r="D175" s="57"/>
      <c r="E175" s="57"/>
      <c r="F175" s="57"/>
      <c r="G175" s="57"/>
      <c r="H175" s="57"/>
      <c r="I175" s="57"/>
      <c r="J175" s="57"/>
      <c r="K175" s="57"/>
      <c r="L175" s="57"/>
    </row>
    <row r="176" spans="1:12">
      <c r="A176" s="57"/>
      <c r="B176" s="55"/>
      <c r="C176" s="55"/>
      <c r="D176" s="57"/>
      <c r="E176" s="57"/>
      <c r="F176" s="57"/>
      <c r="G176" s="57"/>
      <c r="H176" s="57"/>
      <c r="I176" s="57"/>
      <c r="J176" s="57"/>
      <c r="K176" s="57"/>
      <c r="L176" s="57"/>
    </row>
    <row r="177" spans="1:12">
      <c r="A177" s="57"/>
      <c r="B177" s="55"/>
      <c r="C177" s="55"/>
      <c r="D177" s="57"/>
      <c r="E177" s="57"/>
      <c r="F177" s="57"/>
      <c r="G177" s="57"/>
      <c r="H177" s="57"/>
      <c r="I177" s="57"/>
      <c r="J177" s="57"/>
      <c r="K177" s="57"/>
      <c r="L177" s="57"/>
    </row>
    <row r="178" spans="1:12">
      <c r="A178" s="57"/>
      <c r="B178" s="55"/>
      <c r="C178" s="55"/>
      <c r="D178" s="57"/>
      <c r="E178" s="57"/>
      <c r="F178" s="57"/>
      <c r="G178" s="57"/>
      <c r="H178" s="57"/>
      <c r="I178" s="57"/>
      <c r="J178" s="57"/>
      <c r="K178" s="57"/>
      <c r="L178" s="57"/>
    </row>
    <row r="179" spans="1:12">
      <c r="A179" s="57"/>
      <c r="B179" s="55"/>
      <c r="C179" s="55"/>
      <c r="D179" s="57"/>
      <c r="E179" s="57"/>
      <c r="F179" s="57"/>
      <c r="G179" s="57"/>
      <c r="H179" s="57"/>
      <c r="I179" s="57"/>
      <c r="J179" s="57"/>
      <c r="K179" s="57"/>
      <c r="L179" s="57"/>
    </row>
    <row r="180" spans="1:12">
      <c r="A180" s="57"/>
      <c r="B180" s="55"/>
      <c r="C180" s="55"/>
      <c r="D180" s="57"/>
      <c r="E180" s="57"/>
      <c r="F180" s="57"/>
      <c r="G180" s="57"/>
      <c r="H180" s="57"/>
      <c r="I180" s="57"/>
      <c r="J180" s="57"/>
      <c r="K180" s="57"/>
      <c r="L180" s="57"/>
    </row>
    <row r="181" spans="1:12">
      <c r="A181" s="57"/>
      <c r="B181" s="55"/>
      <c r="C181" s="55"/>
      <c r="D181" s="57"/>
      <c r="E181" s="57"/>
      <c r="F181" s="57"/>
      <c r="G181" s="57"/>
      <c r="H181" s="57"/>
      <c r="I181" s="57"/>
      <c r="J181" s="57"/>
      <c r="K181" s="57"/>
      <c r="L181" s="57"/>
    </row>
    <row r="182" spans="1:12">
      <c r="A182" s="57"/>
      <c r="B182" s="55"/>
      <c r="C182" s="55"/>
      <c r="D182" s="57"/>
      <c r="E182" s="57"/>
      <c r="F182" s="57"/>
      <c r="G182" s="57"/>
      <c r="H182" s="57"/>
      <c r="I182" s="57"/>
      <c r="J182" s="57"/>
      <c r="K182" s="57"/>
      <c r="L182" s="57"/>
    </row>
    <row r="183" spans="1:12">
      <c r="A183" s="57"/>
      <c r="B183" s="55"/>
      <c r="C183" s="55"/>
      <c r="D183" s="57"/>
      <c r="E183" s="57"/>
      <c r="F183" s="57"/>
      <c r="G183" s="57"/>
      <c r="H183" s="57"/>
      <c r="I183" s="57"/>
      <c r="J183" s="57"/>
      <c r="K183" s="57"/>
      <c r="L183" s="57"/>
    </row>
    <row r="184" spans="1:12">
      <c r="A184" s="57"/>
      <c r="B184" s="55"/>
      <c r="C184" s="55"/>
      <c r="D184" s="57"/>
      <c r="E184" s="57"/>
      <c r="F184" s="57"/>
      <c r="G184" s="57"/>
      <c r="H184" s="57"/>
      <c r="I184" s="57"/>
      <c r="J184" s="57"/>
      <c r="K184" s="57"/>
      <c r="L184" s="57"/>
    </row>
    <row r="185" spans="1:12">
      <c r="A185" s="57"/>
      <c r="B185" s="55"/>
      <c r="C185" s="55"/>
      <c r="D185" s="57"/>
      <c r="E185" s="57"/>
      <c r="F185" s="57"/>
      <c r="G185" s="57"/>
      <c r="H185" s="57"/>
      <c r="I185" s="57"/>
      <c r="J185" s="57"/>
      <c r="K185" s="57"/>
      <c r="L185" s="57"/>
    </row>
    <row r="186" spans="1:12">
      <c r="A186" s="57"/>
      <c r="B186" s="55"/>
      <c r="C186" s="55"/>
      <c r="D186" s="57"/>
      <c r="E186" s="57"/>
      <c r="F186" s="57"/>
      <c r="G186" s="57"/>
      <c r="H186" s="57"/>
      <c r="I186" s="57"/>
      <c r="J186" s="57"/>
      <c r="K186" s="57"/>
      <c r="L186" s="57"/>
    </row>
    <row r="187" spans="1:12">
      <c r="A187" s="57"/>
      <c r="B187" s="55"/>
      <c r="C187" s="55"/>
      <c r="D187" s="57"/>
      <c r="E187" s="57"/>
      <c r="F187" s="57"/>
      <c r="G187" s="57"/>
      <c r="H187" s="57"/>
      <c r="I187" s="57"/>
      <c r="J187" s="57"/>
      <c r="K187" s="57"/>
      <c r="L187" s="57"/>
    </row>
    <row r="188" spans="1:12">
      <c r="A188" s="57"/>
      <c r="B188" s="55"/>
      <c r="C188" s="55"/>
      <c r="D188" s="57"/>
      <c r="E188" s="57"/>
      <c r="F188" s="57"/>
      <c r="G188" s="57"/>
      <c r="H188" s="57"/>
      <c r="I188" s="57"/>
      <c r="J188" s="57"/>
      <c r="K188" s="57"/>
      <c r="L188" s="57"/>
    </row>
    <row r="189" spans="1:12">
      <c r="A189" s="57"/>
      <c r="B189" s="55"/>
      <c r="C189" s="55"/>
      <c r="D189" s="57"/>
      <c r="E189" s="57"/>
      <c r="F189" s="57"/>
      <c r="G189" s="57"/>
      <c r="H189" s="57"/>
      <c r="I189" s="57"/>
      <c r="J189" s="57"/>
      <c r="K189" s="57"/>
      <c r="L189" s="57"/>
    </row>
    <row r="190" spans="1:12">
      <c r="A190" s="57"/>
      <c r="B190" s="55"/>
      <c r="C190" s="55"/>
      <c r="D190" s="57"/>
      <c r="E190" s="57"/>
      <c r="F190" s="57"/>
      <c r="G190" s="57"/>
      <c r="H190" s="57"/>
      <c r="I190" s="57"/>
      <c r="J190" s="57"/>
      <c r="K190" s="57"/>
      <c r="L190" s="57"/>
    </row>
    <row r="191" spans="1:12">
      <c r="A191" s="57"/>
      <c r="B191" s="55"/>
      <c r="C191" s="55"/>
      <c r="D191" s="57"/>
      <c r="E191" s="57"/>
      <c r="F191" s="57"/>
      <c r="G191" s="57"/>
      <c r="H191" s="57"/>
      <c r="I191" s="57"/>
      <c r="J191" s="57"/>
      <c r="K191" s="57"/>
      <c r="L191" s="57"/>
    </row>
    <row r="192" spans="1:12">
      <c r="A192" s="57"/>
      <c r="B192" s="55"/>
      <c r="C192" s="55"/>
      <c r="D192" s="57"/>
      <c r="E192" s="57"/>
      <c r="F192" s="57"/>
      <c r="G192" s="57"/>
      <c r="H192" s="57"/>
      <c r="I192" s="57"/>
      <c r="J192" s="57"/>
      <c r="K192" s="57"/>
      <c r="L192" s="57"/>
    </row>
    <row r="193" spans="1:12">
      <c r="A193" s="57"/>
      <c r="B193" s="55"/>
      <c r="C193" s="55"/>
      <c r="D193" s="57"/>
      <c r="E193" s="57"/>
      <c r="F193" s="57"/>
      <c r="G193" s="57"/>
      <c r="H193" s="57"/>
      <c r="I193" s="57"/>
      <c r="J193" s="57"/>
      <c r="K193" s="57"/>
      <c r="L193" s="57"/>
    </row>
    <row r="194" spans="1:12">
      <c r="A194" s="57"/>
      <c r="B194" s="55"/>
      <c r="C194" s="55"/>
      <c r="D194" s="57"/>
      <c r="E194" s="57"/>
      <c r="F194" s="57"/>
      <c r="G194" s="57"/>
      <c r="H194" s="57"/>
      <c r="I194" s="57"/>
      <c r="J194" s="57"/>
      <c r="K194" s="57"/>
      <c r="L194" s="57"/>
    </row>
    <row r="195" spans="1:12">
      <c r="A195" s="57"/>
      <c r="B195" s="55"/>
      <c r="C195" s="55"/>
      <c r="D195" s="57"/>
      <c r="E195" s="57"/>
      <c r="F195" s="57"/>
      <c r="G195" s="57"/>
      <c r="H195" s="57"/>
      <c r="I195" s="57"/>
      <c r="J195" s="57"/>
      <c r="K195" s="57"/>
      <c r="L195" s="57"/>
    </row>
    <row r="196" spans="1:12">
      <c r="A196" s="57"/>
      <c r="B196" s="55"/>
      <c r="C196" s="55"/>
      <c r="D196" s="57"/>
      <c r="E196" s="57"/>
      <c r="F196" s="57"/>
      <c r="G196" s="57"/>
      <c r="H196" s="57"/>
      <c r="I196" s="57"/>
      <c r="J196" s="57"/>
      <c r="K196" s="57"/>
      <c r="L196" s="57"/>
    </row>
    <row r="197" spans="1:12">
      <c r="A197" s="57"/>
      <c r="B197" s="55"/>
      <c r="C197" s="55"/>
      <c r="D197" s="57"/>
      <c r="E197" s="57"/>
      <c r="F197" s="57"/>
      <c r="G197" s="57"/>
      <c r="H197" s="57"/>
      <c r="I197" s="57"/>
      <c r="J197" s="57"/>
      <c r="K197" s="57"/>
      <c r="L197" s="57"/>
    </row>
    <row r="198" spans="1:12">
      <c r="A198" s="57"/>
      <c r="B198" s="55"/>
      <c r="C198" s="55"/>
      <c r="D198" s="57"/>
      <c r="E198" s="57"/>
      <c r="F198" s="57"/>
      <c r="G198" s="57"/>
      <c r="H198" s="57"/>
      <c r="I198" s="57"/>
      <c r="J198" s="57"/>
      <c r="K198" s="57"/>
      <c r="L198" s="57"/>
    </row>
    <row r="199" spans="1:12">
      <c r="A199" s="57"/>
      <c r="B199" s="55"/>
      <c r="C199" s="55"/>
      <c r="D199" s="57"/>
      <c r="E199" s="57"/>
      <c r="F199" s="57"/>
      <c r="G199" s="57"/>
      <c r="H199" s="57"/>
      <c r="I199" s="57"/>
      <c r="J199" s="57"/>
      <c r="K199" s="57"/>
      <c r="L199" s="57"/>
    </row>
    <row r="200" spans="1:12">
      <c r="A200" s="57"/>
      <c r="B200" s="55"/>
      <c r="C200" s="55"/>
      <c r="D200" s="57"/>
      <c r="E200" s="57"/>
      <c r="F200" s="57"/>
      <c r="G200" s="57"/>
      <c r="H200" s="57"/>
      <c r="I200" s="57"/>
      <c r="J200" s="57"/>
      <c r="K200" s="57"/>
      <c r="L200" s="57"/>
    </row>
    <row r="201" spans="1:12">
      <c r="A201" s="57"/>
      <c r="B201" s="55"/>
      <c r="C201" s="55"/>
      <c r="D201" s="57"/>
      <c r="E201" s="57"/>
      <c r="F201" s="57"/>
      <c r="G201" s="57"/>
      <c r="H201" s="57"/>
      <c r="I201" s="57"/>
      <c r="J201" s="57"/>
      <c r="K201" s="57"/>
      <c r="L201" s="57"/>
    </row>
    <row r="202" spans="1:12">
      <c r="A202" s="57"/>
      <c r="B202" s="55"/>
      <c r="C202" s="55"/>
      <c r="D202" s="57"/>
      <c r="E202" s="57"/>
      <c r="F202" s="57"/>
      <c r="G202" s="57"/>
      <c r="H202" s="57"/>
      <c r="I202" s="57"/>
      <c r="J202" s="57"/>
      <c r="K202" s="57"/>
      <c r="L202" s="57"/>
    </row>
    <row r="203" spans="1:12">
      <c r="A203" s="57"/>
      <c r="B203" s="55"/>
      <c r="C203" s="55"/>
      <c r="D203" s="57"/>
      <c r="E203" s="57"/>
      <c r="F203" s="57"/>
      <c r="G203" s="57"/>
      <c r="H203" s="57"/>
      <c r="I203" s="57"/>
      <c r="J203" s="57"/>
      <c r="K203" s="57"/>
      <c r="L203" s="57"/>
    </row>
    <row r="204" spans="1:12">
      <c r="A204" s="57"/>
      <c r="B204" s="55"/>
      <c r="C204" s="55"/>
      <c r="D204" s="57"/>
      <c r="E204" s="57"/>
      <c r="F204" s="57"/>
      <c r="G204" s="57"/>
      <c r="H204" s="57"/>
      <c r="I204" s="57"/>
      <c r="J204" s="57"/>
      <c r="K204" s="57"/>
      <c r="L204" s="57"/>
    </row>
    <row r="205" spans="1:12">
      <c r="A205" s="57"/>
      <c r="B205" s="55"/>
      <c r="C205" s="55"/>
      <c r="D205" s="57"/>
      <c r="E205" s="57"/>
      <c r="F205" s="57"/>
      <c r="G205" s="57"/>
      <c r="H205" s="57"/>
      <c r="I205" s="57"/>
      <c r="J205" s="57"/>
      <c r="K205" s="57"/>
      <c r="L205" s="57"/>
    </row>
    <row r="206" spans="1:12">
      <c r="A206" s="57"/>
      <c r="B206" s="55"/>
      <c r="C206" s="55"/>
      <c r="D206" s="57"/>
      <c r="E206" s="57"/>
      <c r="F206" s="57"/>
      <c r="G206" s="57"/>
      <c r="H206" s="57"/>
      <c r="I206" s="57"/>
      <c r="J206" s="57"/>
      <c r="K206" s="57"/>
      <c r="L206" s="57"/>
    </row>
    <row r="207" spans="1:12">
      <c r="A207" s="57"/>
      <c r="B207" s="55"/>
      <c r="C207" s="55"/>
      <c r="D207" s="57"/>
      <c r="E207" s="57"/>
      <c r="F207" s="57"/>
      <c r="G207" s="57"/>
      <c r="H207" s="57"/>
      <c r="I207" s="57"/>
      <c r="J207" s="57"/>
      <c r="K207" s="57"/>
      <c r="L207" s="57"/>
    </row>
    <row r="208" spans="1:12">
      <c r="A208" s="57"/>
      <c r="B208" s="55"/>
      <c r="C208" s="55"/>
      <c r="D208" s="57"/>
      <c r="E208" s="57"/>
      <c r="F208" s="57"/>
      <c r="G208" s="57"/>
      <c r="H208" s="57"/>
      <c r="I208" s="57"/>
      <c r="J208" s="57"/>
      <c r="K208" s="57"/>
      <c r="L208" s="57"/>
    </row>
    <row r="209" spans="1:12">
      <c r="A209" s="57"/>
      <c r="B209" s="55"/>
      <c r="C209" s="55"/>
      <c r="D209" s="57"/>
      <c r="E209" s="57"/>
      <c r="F209" s="57"/>
      <c r="G209" s="57"/>
      <c r="H209" s="57"/>
      <c r="I209" s="57"/>
      <c r="J209" s="57"/>
      <c r="K209" s="57"/>
      <c r="L209" s="57"/>
    </row>
    <row r="210" spans="1:12">
      <c r="A210" s="57"/>
      <c r="B210" s="55"/>
      <c r="C210" s="55"/>
      <c r="D210" s="57"/>
      <c r="E210" s="57"/>
      <c r="F210" s="57"/>
      <c r="G210" s="57"/>
      <c r="H210" s="57"/>
      <c r="I210" s="57"/>
      <c r="J210" s="57"/>
      <c r="K210" s="57"/>
      <c r="L210" s="57"/>
    </row>
    <row r="211" spans="1:12">
      <c r="A211" s="57"/>
      <c r="B211" s="55"/>
      <c r="C211" s="55"/>
      <c r="D211" s="57"/>
      <c r="E211" s="57"/>
      <c r="F211" s="57"/>
      <c r="G211" s="57"/>
      <c r="H211" s="57"/>
      <c r="I211" s="57"/>
      <c r="J211" s="57"/>
      <c r="K211" s="57"/>
      <c r="L211" s="57"/>
    </row>
    <row r="212" spans="1:12">
      <c r="A212" s="57"/>
      <c r="B212" s="55"/>
      <c r="C212" s="55"/>
      <c r="D212" s="57"/>
      <c r="E212" s="57"/>
      <c r="F212" s="57"/>
      <c r="G212" s="57"/>
      <c r="H212" s="57"/>
      <c r="I212" s="57"/>
      <c r="J212" s="57"/>
      <c r="K212" s="57"/>
      <c r="L212" s="57"/>
    </row>
    <row r="213" spans="1:12">
      <c r="A213" s="57"/>
      <c r="B213" s="55"/>
      <c r="C213" s="55"/>
      <c r="D213" s="57"/>
      <c r="E213" s="57"/>
      <c r="F213" s="57"/>
      <c r="G213" s="57"/>
      <c r="H213" s="57"/>
      <c r="I213" s="57"/>
      <c r="J213" s="57"/>
      <c r="K213" s="57"/>
      <c r="L213" s="57"/>
    </row>
    <row r="214" spans="1:12">
      <c r="A214" s="57"/>
      <c r="B214" s="55"/>
      <c r="C214" s="55"/>
      <c r="D214" s="57"/>
      <c r="E214" s="57"/>
      <c r="F214" s="57"/>
      <c r="G214" s="57"/>
      <c r="H214" s="57"/>
      <c r="I214" s="57"/>
      <c r="J214" s="57"/>
      <c r="K214" s="57"/>
      <c r="L214" s="57"/>
    </row>
    <row r="215" spans="1:12">
      <c r="A215" s="57"/>
      <c r="B215" s="55"/>
      <c r="C215" s="55"/>
      <c r="D215" s="57"/>
      <c r="E215" s="57"/>
      <c r="F215" s="57"/>
      <c r="G215" s="57"/>
      <c r="H215" s="57"/>
      <c r="I215" s="57"/>
      <c r="J215" s="57"/>
      <c r="K215" s="57"/>
      <c r="L215" s="57"/>
    </row>
    <row r="216" spans="1:12">
      <c r="A216" s="57"/>
      <c r="B216" s="55"/>
      <c r="C216" s="55"/>
      <c r="D216" s="57"/>
      <c r="E216" s="57"/>
      <c r="F216" s="57"/>
      <c r="G216" s="57"/>
      <c r="H216" s="57"/>
      <c r="I216" s="57"/>
      <c r="J216" s="57"/>
      <c r="K216" s="57"/>
      <c r="L216" s="57"/>
    </row>
    <row r="217" spans="1:12">
      <c r="A217" s="57"/>
      <c r="B217" s="55"/>
      <c r="C217" s="55"/>
      <c r="D217" s="57"/>
      <c r="E217" s="57"/>
      <c r="F217" s="57"/>
      <c r="G217" s="57"/>
      <c r="H217" s="57"/>
      <c r="I217" s="57"/>
      <c r="J217" s="57"/>
      <c r="K217" s="57"/>
      <c r="L217" s="57"/>
    </row>
    <row r="218" spans="1:12">
      <c r="A218" s="57"/>
      <c r="B218" s="55"/>
      <c r="C218" s="55"/>
      <c r="D218" s="57"/>
      <c r="E218" s="57"/>
      <c r="F218" s="57"/>
      <c r="G218" s="57"/>
      <c r="H218" s="57"/>
      <c r="I218" s="57"/>
      <c r="J218" s="57"/>
      <c r="K218" s="57"/>
      <c r="L218" s="57"/>
    </row>
    <row r="219" spans="1:12">
      <c r="A219" s="57"/>
      <c r="B219" s="55"/>
      <c r="C219" s="55"/>
      <c r="D219" s="57"/>
      <c r="E219" s="57"/>
      <c r="F219" s="57"/>
      <c r="G219" s="57"/>
      <c r="H219" s="57"/>
      <c r="I219" s="57"/>
      <c r="J219" s="57"/>
      <c r="K219" s="57"/>
      <c r="L219" s="57"/>
    </row>
    <row r="220" spans="1:12">
      <c r="A220" s="57"/>
      <c r="B220" s="55"/>
      <c r="C220" s="55"/>
      <c r="D220" s="57"/>
      <c r="E220" s="57"/>
      <c r="F220" s="57"/>
      <c r="G220" s="57"/>
      <c r="H220" s="57"/>
      <c r="I220" s="57"/>
      <c r="J220" s="57"/>
      <c r="K220" s="57"/>
      <c r="L220" s="57"/>
    </row>
    <row r="221" spans="1:12">
      <c r="A221" s="57"/>
      <c r="B221" s="55"/>
      <c r="C221" s="55"/>
      <c r="D221" s="57"/>
      <c r="E221" s="57"/>
      <c r="F221" s="57"/>
      <c r="G221" s="57"/>
      <c r="H221" s="57"/>
      <c r="I221" s="57"/>
      <c r="J221" s="57"/>
      <c r="K221" s="57"/>
      <c r="L221" s="57"/>
    </row>
    <row r="222" spans="1:12">
      <c r="A222" s="57"/>
      <c r="B222" s="55"/>
      <c r="C222" s="55"/>
      <c r="D222" s="57"/>
      <c r="E222" s="57"/>
      <c r="F222" s="57"/>
      <c r="G222" s="57"/>
      <c r="H222" s="57"/>
      <c r="I222" s="57"/>
      <c r="J222" s="57"/>
      <c r="K222" s="57"/>
      <c r="L222" s="57"/>
    </row>
    <row r="223" spans="1:12">
      <c r="A223" s="57"/>
      <c r="B223" s="55"/>
      <c r="C223" s="55"/>
      <c r="D223" s="57"/>
      <c r="E223" s="57"/>
      <c r="F223" s="57"/>
      <c r="G223" s="57"/>
      <c r="H223" s="57"/>
      <c r="I223" s="57"/>
      <c r="J223" s="57"/>
      <c r="K223" s="57"/>
      <c r="L223" s="57"/>
    </row>
    <row r="224" spans="1:12">
      <c r="A224" s="57"/>
      <c r="B224" s="55"/>
      <c r="C224" s="55"/>
      <c r="D224" s="57"/>
      <c r="E224" s="57"/>
      <c r="F224" s="57"/>
      <c r="G224" s="57"/>
      <c r="H224" s="57"/>
      <c r="I224" s="57"/>
      <c r="J224" s="57"/>
      <c r="K224" s="57"/>
      <c r="L224" s="57"/>
    </row>
    <row r="225" spans="1:12">
      <c r="A225" s="57"/>
      <c r="B225" s="55"/>
      <c r="C225" s="55"/>
      <c r="D225" s="57"/>
      <c r="E225" s="57"/>
      <c r="F225" s="57"/>
      <c r="G225" s="57"/>
      <c r="H225" s="57"/>
      <c r="I225" s="57"/>
      <c r="J225" s="57"/>
      <c r="K225" s="57"/>
      <c r="L225" s="57"/>
    </row>
    <row r="226" spans="1:12">
      <c r="A226" s="57"/>
      <c r="B226" s="55"/>
      <c r="C226" s="55"/>
      <c r="D226" s="57"/>
      <c r="E226" s="57"/>
      <c r="F226" s="57"/>
      <c r="G226" s="57"/>
      <c r="H226" s="57"/>
      <c r="I226" s="57"/>
      <c r="J226" s="57"/>
      <c r="K226" s="57"/>
      <c r="L226" s="57"/>
    </row>
    <row r="227" spans="1:12">
      <c r="A227" s="57"/>
      <c r="B227" s="55"/>
      <c r="C227" s="55"/>
      <c r="D227" s="57"/>
      <c r="E227" s="57"/>
      <c r="F227" s="57"/>
      <c r="G227" s="57"/>
      <c r="H227" s="57"/>
      <c r="I227" s="57"/>
      <c r="J227" s="57"/>
      <c r="K227" s="57"/>
      <c r="L227" s="57"/>
    </row>
    <row r="228" spans="1:12">
      <c r="A228" s="57"/>
      <c r="B228" s="55"/>
      <c r="C228" s="55"/>
      <c r="D228" s="57"/>
      <c r="E228" s="57"/>
      <c r="F228" s="57"/>
      <c r="G228" s="57"/>
      <c r="H228" s="57"/>
      <c r="I228" s="57"/>
      <c r="J228" s="57"/>
      <c r="K228" s="57"/>
      <c r="L228" s="57"/>
    </row>
    <row r="229" spans="1:12">
      <c r="A229" s="57"/>
      <c r="B229" s="55"/>
      <c r="C229" s="55"/>
      <c r="D229" s="57"/>
      <c r="E229" s="57"/>
      <c r="F229" s="57"/>
      <c r="G229" s="57"/>
      <c r="H229" s="57"/>
      <c r="I229" s="57"/>
      <c r="J229" s="57"/>
      <c r="K229" s="57"/>
      <c r="L229" s="57"/>
    </row>
    <row r="230" spans="1:12">
      <c r="A230" s="57"/>
      <c r="B230" s="55"/>
      <c r="C230" s="55"/>
      <c r="D230" s="57"/>
      <c r="E230" s="57"/>
      <c r="F230" s="57"/>
      <c r="G230" s="57"/>
      <c r="H230" s="57"/>
      <c r="I230" s="57"/>
      <c r="J230" s="57"/>
      <c r="K230" s="57"/>
      <c r="L230" s="57"/>
    </row>
    <row r="231" spans="1:12">
      <c r="A231" s="57"/>
      <c r="B231" s="55"/>
      <c r="C231" s="55"/>
      <c r="D231" s="57"/>
      <c r="E231" s="57"/>
      <c r="F231" s="57"/>
      <c r="G231" s="57"/>
      <c r="H231" s="57"/>
      <c r="I231" s="57"/>
      <c r="J231" s="57"/>
      <c r="K231" s="57"/>
      <c r="L231" s="57"/>
    </row>
    <row r="232" spans="1:12">
      <c r="A232" s="57"/>
      <c r="B232" s="55"/>
      <c r="C232" s="55"/>
      <c r="D232" s="57"/>
      <c r="E232" s="57"/>
      <c r="F232" s="57"/>
      <c r="G232" s="57"/>
      <c r="H232" s="57"/>
      <c r="I232" s="57"/>
      <c r="J232" s="57"/>
      <c r="K232" s="57"/>
      <c r="L232" s="57"/>
    </row>
    <row r="233" spans="1:12">
      <c r="A233" s="57"/>
      <c r="B233" s="55"/>
      <c r="C233" s="55"/>
      <c r="D233" s="57"/>
      <c r="E233" s="57"/>
      <c r="F233" s="57"/>
      <c r="G233" s="57"/>
      <c r="H233" s="57"/>
      <c r="I233" s="57"/>
      <c r="J233" s="57"/>
      <c r="K233" s="57"/>
      <c r="L233" s="57"/>
    </row>
    <row r="234" spans="1:12">
      <c r="A234" s="57"/>
      <c r="B234" s="55"/>
      <c r="C234" s="55"/>
      <c r="D234" s="57"/>
      <c r="E234" s="57"/>
      <c r="F234" s="57"/>
      <c r="G234" s="57"/>
      <c r="H234" s="57"/>
      <c r="I234" s="57"/>
      <c r="J234" s="57"/>
      <c r="K234" s="57"/>
      <c r="L234" s="57"/>
    </row>
    <row r="235" spans="1:12">
      <c r="A235" s="57"/>
      <c r="B235" s="55"/>
      <c r="C235" s="55"/>
      <c r="D235" s="57"/>
      <c r="E235" s="57"/>
      <c r="F235" s="57"/>
      <c r="G235" s="57"/>
      <c r="H235" s="57"/>
      <c r="I235" s="57"/>
      <c r="J235" s="57"/>
      <c r="K235" s="57"/>
      <c r="L235" s="57"/>
    </row>
    <row r="236" spans="1:12">
      <c r="A236" s="57"/>
      <c r="B236" s="55"/>
      <c r="C236" s="55"/>
      <c r="D236" s="57"/>
      <c r="E236" s="57"/>
      <c r="F236" s="57"/>
      <c r="G236" s="57"/>
      <c r="H236" s="57"/>
      <c r="I236" s="57"/>
      <c r="J236" s="57"/>
      <c r="K236" s="57"/>
      <c r="L236" s="57"/>
    </row>
    <row r="237" spans="1:12">
      <c r="A237" s="57"/>
      <c r="B237" s="55"/>
      <c r="C237" s="55"/>
      <c r="D237" s="57"/>
      <c r="E237" s="57"/>
      <c r="F237" s="57"/>
      <c r="G237" s="57"/>
      <c r="H237" s="57"/>
      <c r="I237" s="57"/>
      <c r="J237" s="57"/>
      <c r="K237" s="57"/>
      <c r="L237" s="57"/>
    </row>
    <row r="238" spans="1:12">
      <c r="A238" s="57"/>
      <c r="B238" s="55"/>
      <c r="C238" s="55"/>
      <c r="D238" s="57"/>
      <c r="E238" s="57"/>
      <c r="F238" s="57"/>
      <c r="G238" s="57"/>
      <c r="H238" s="57"/>
      <c r="I238" s="57"/>
      <c r="J238" s="57"/>
      <c r="K238" s="57"/>
      <c r="L238" s="57"/>
    </row>
    <row r="239" spans="1:12">
      <c r="A239" s="57"/>
      <c r="B239" s="55"/>
      <c r="C239" s="55"/>
      <c r="D239" s="57"/>
      <c r="E239" s="57"/>
      <c r="F239" s="57"/>
      <c r="G239" s="57"/>
      <c r="H239" s="57"/>
      <c r="I239" s="57"/>
      <c r="J239" s="57"/>
      <c r="K239" s="57"/>
      <c r="L239" s="57"/>
    </row>
    <row r="240" spans="1:12">
      <c r="A240" s="57"/>
      <c r="B240" s="55"/>
      <c r="C240" s="55"/>
      <c r="D240" s="57"/>
      <c r="E240" s="57"/>
      <c r="F240" s="57"/>
      <c r="G240" s="57"/>
      <c r="H240" s="57"/>
      <c r="I240" s="57"/>
      <c r="J240" s="57"/>
      <c r="K240" s="57"/>
      <c r="L240" s="57"/>
    </row>
    <row r="241" spans="1:12">
      <c r="A241" s="57"/>
      <c r="B241" s="55"/>
      <c r="C241" s="55"/>
      <c r="D241" s="57"/>
      <c r="E241" s="57"/>
      <c r="F241" s="57"/>
      <c r="G241" s="57"/>
      <c r="H241" s="57"/>
      <c r="I241" s="57"/>
      <c r="J241" s="57"/>
      <c r="K241" s="57"/>
      <c r="L241" s="57"/>
    </row>
    <row r="242" spans="1:12">
      <c r="A242" s="57"/>
      <c r="B242" s="55"/>
      <c r="C242" s="55"/>
      <c r="D242" s="57"/>
      <c r="E242" s="57"/>
      <c r="F242" s="57"/>
      <c r="G242" s="57"/>
      <c r="H242" s="57"/>
      <c r="I242" s="57"/>
      <c r="J242" s="57"/>
      <c r="K242" s="57"/>
      <c r="L242" s="57"/>
    </row>
    <row r="243" spans="1:12">
      <c r="A243" s="57"/>
      <c r="B243" s="55"/>
      <c r="C243" s="55"/>
      <c r="D243" s="57"/>
      <c r="E243" s="57"/>
      <c r="F243" s="57"/>
      <c r="G243" s="57"/>
      <c r="H243" s="57"/>
      <c r="I243" s="57"/>
      <c r="J243" s="57"/>
      <c r="K243" s="57"/>
      <c r="L243" s="57"/>
    </row>
    <row r="244" spans="1:12">
      <c r="A244" s="57"/>
      <c r="B244" s="55"/>
      <c r="C244" s="55"/>
      <c r="D244" s="57"/>
      <c r="E244" s="57"/>
      <c r="F244" s="57"/>
      <c r="G244" s="57"/>
      <c r="H244" s="57"/>
      <c r="I244" s="57"/>
      <c r="J244" s="57"/>
      <c r="K244" s="57"/>
      <c r="L244" s="57"/>
    </row>
    <row r="245" spans="1:12">
      <c r="A245" s="57"/>
      <c r="B245" s="55"/>
      <c r="C245" s="55"/>
      <c r="D245" s="57"/>
      <c r="E245" s="57"/>
      <c r="F245" s="57"/>
      <c r="G245" s="57"/>
      <c r="H245" s="57"/>
      <c r="I245" s="57"/>
      <c r="J245" s="57"/>
      <c r="K245" s="57"/>
      <c r="L245" s="57"/>
    </row>
    <row r="246" spans="1:12">
      <c r="A246" s="57"/>
      <c r="B246" s="55"/>
      <c r="C246" s="55"/>
      <c r="D246" s="57"/>
      <c r="E246" s="57"/>
      <c r="F246" s="57"/>
      <c r="G246" s="57"/>
      <c r="H246" s="57"/>
      <c r="I246" s="57"/>
      <c r="J246" s="57"/>
      <c r="K246" s="57"/>
      <c r="L246" s="57"/>
    </row>
    <row r="247" spans="1:12" ht="27.6" customHeight="1">
      <c r="A247" s="57"/>
      <c r="B247" s="55"/>
      <c r="C247" s="55"/>
      <c r="D247" s="57"/>
      <c r="E247" s="57"/>
      <c r="F247" s="57"/>
      <c r="G247" s="57"/>
      <c r="H247" s="57"/>
      <c r="I247" s="57"/>
      <c r="J247" s="57"/>
      <c r="K247" s="57"/>
      <c r="L247" s="57"/>
    </row>
    <row r="248" spans="1:12" ht="27.6" customHeight="1">
      <c r="A248" s="57"/>
      <c r="B248" s="55"/>
      <c r="C248" s="55"/>
      <c r="D248" s="57"/>
      <c r="E248" s="57"/>
      <c r="F248" s="57"/>
      <c r="G248" s="57"/>
      <c r="H248" s="57"/>
      <c r="I248" s="57"/>
      <c r="J248" s="57"/>
      <c r="K248" s="57"/>
      <c r="L248" s="57"/>
    </row>
    <row r="249" spans="1:12" ht="27.6" customHeight="1">
      <c r="A249" s="57"/>
      <c r="B249" s="55"/>
      <c r="C249" s="55"/>
      <c r="D249" s="57"/>
      <c r="E249" s="57"/>
      <c r="F249" s="57"/>
      <c r="G249" s="57"/>
      <c r="H249" s="57"/>
      <c r="I249" s="57"/>
      <c r="J249" s="57"/>
      <c r="K249" s="57"/>
      <c r="L249" s="57"/>
    </row>
    <row r="250" spans="1:12">
      <c r="A250" s="57"/>
      <c r="B250" s="55"/>
      <c r="C250" s="55"/>
      <c r="D250" s="57"/>
      <c r="E250" s="57"/>
      <c r="F250" s="57"/>
      <c r="G250" s="57"/>
      <c r="H250" s="57"/>
      <c r="I250" s="57"/>
      <c r="J250" s="57"/>
      <c r="K250" s="57"/>
      <c r="L250" s="57"/>
    </row>
    <row r="251" spans="1:12">
      <c r="A251" s="57"/>
      <c r="B251" s="55"/>
      <c r="C251" s="55"/>
      <c r="D251" s="57"/>
      <c r="E251" s="57"/>
      <c r="F251" s="57"/>
      <c r="G251" s="57"/>
      <c r="H251" s="57"/>
      <c r="I251" s="57"/>
      <c r="J251" s="57"/>
      <c r="K251" s="57"/>
      <c r="L251" s="57"/>
    </row>
    <row r="252" spans="1:12">
      <c r="A252" s="57"/>
      <c r="B252" s="55"/>
      <c r="C252" s="55"/>
      <c r="D252" s="57"/>
      <c r="E252" s="57"/>
      <c r="F252" s="57"/>
      <c r="G252" s="57"/>
      <c r="H252" s="57"/>
      <c r="I252" s="57"/>
      <c r="J252" s="57"/>
      <c r="K252" s="57"/>
      <c r="L252" s="57"/>
    </row>
    <row r="253" spans="1:12">
      <c r="A253" s="57"/>
      <c r="B253" s="55"/>
      <c r="C253" s="55"/>
      <c r="D253" s="57"/>
      <c r="E253" s="57"/>
      <c r="F253" s="57"/>
      <c r="G253" s="57"/>
      <c r="H253" s="57"/>
      <c r="I253" s="57"/>
      <c r="J253" s="57"/>
      <c r="K253" s="57"/>
      <c r="L253" s="57"/>
    </row>
    <row r="254" spans="1:12">
      <c r="A254" s="57"/>
      <c r="B254" s="55"/>
      <c r="C254" s="55"/>
      <c r="D254" s="57"/>
      <c r="E254" s="57"/>
      <c r="F254" s="57"/>
      <c r="G254" s="57"/>
      <c r="H254" s="57"/>
      <c r="I254" s="57"/>
      <c r="J254" s="57"/>
      <c r="K254" s="57"/>
      <c r="L254" s="57"/>
    </row>
    <row r="255" spans="1:12">
      <c r="A255" s="57"/>
      <c r="B255" s="55"/>
      <c r="C255" s="55"/>
      <c r="D255" s="57"/>
      <c r="E255" s="57"/>
      <c r="F255" s="57"/>
      <c r="G255" s="57"/>
      <c r="H255" s="57"/>
      <c r="I255" s="57"/>
      <c r="J255" s="57"/>
      <c r="K255" s="57"/>
      <c r="L255" s="57"/>
    </row>
    <row r="256" spans="1:12">
      <c r="A256" s="57"/>
      <c r="B256" s="55"/>
      <c r="C256" s="55"/>
      <c r="D256" s="57"/>
      <c r="E256" s="57"/>
      <c r="F256" s="57"/>
      <c r="G256" s="57"/>
      <c r="H256" s="57"/>
      <c r="I256" s="57"/>
      <c r="J256" s="57"/>
      <c r="K256" s="57"/>
      <c r="L256" s="57"/>
    </row>
    <row r="257" spans="1:12">
      <c r="A257" s="57"/>
      <c r="B257" s="55"/>
      <c r="C257" s="55"/>
      <c r="D257" s="57"/>
      <c r="E257" s="57"/>
      <c r="F257" s="57"/>
      <c r="G257" s="57"/>
      <c r="H257" s="57"/>
      <c r="I257" s="57"/>
      <c r="J257" s="57"/>
      <c r="K257" s="57"/>
      <c r="L257" s="57"/>
    </row>
    <row r="258" spans="1:12">
      <c r="A258" s="57"/>
      <c r="B258" s="55"/>
      <c r="C258" s="55"/>
      <c r="D258" s="57"/>
      <c r="E258" s="57"/>
      <c r="F258" s="57"/>
      <c r="G258" s="57"/>
      <c r="H258" s="57"/>
      <c r="I258" s="57"/>
      <c r="J258" s="57"/>
      <c r="K258" s="57"/>
      <c r="L258" s="57"/>
    </row>
    <row r="259" spans="1:12">
      <c r="A259" s="57"/>
      <c r="B259" s="55"/>
      <c r="C259" s="55"/>
      <c r="D259" s="57"/>
      <c r="E259" s="57"/>
      <c r="F259" s="57"/>
      <c r="G259" s="57"/>
      <c r="H259" s="57"/>
      <c r="I259" s="57"/>
      <c r="J259" s="57"/>
      <c r="K259" s="57"/>
      <c r="L259" s="57"/>
    </row>
    <row r="260" spans="1:12">
      <c r="A260" s="57"/>
      <c r="B260" s="55"/>
      <c r="C260" s="55"/>
      <c r="D260" s="57"/>
      <c r="E260" s="57"/>
      <c r="F260" s="57"/>
      <c r="G260" s="57"/>
      <c r="H260" s="57"/>
      <c r="I260" s="57"/>
      <c r="J260" s="57"/>
      <c r="K260" s="57"/>
      <c r="L260" s="57"/>
    </row>
    <row r="261" spans="1:12">
      <c r="A261" s="57"/>
      <c r="B261" s="55"/>
      <c r="C261" s="55"/>
      <c r="D261" s="57"/>
      <c r="E261" s="57"/>
      <c r="F261" s="57"/>
      <c r="G261" s="57"/>
      <c r="H261" s="57"/>
      <c r="I261" s="57"/>
      <c r="J261" s="57"/>
      <c r="K261" s="57"/>
      <c r="L261" s="57"/>
    </row>
    <row r="262" spans="1:12">
      <c r="A262" s="57"/>
      <c r="B262" s="55"/>
      <c r="C262" s="55"/>
      <c r="D262" s="57"/>
      <c r="E262" s="57"/>
      <c r="F262" s="57"/>
      <c r="G262" s="57"/>
      <c r="H262" s="57"/>
      <c r="I262" s="57"/>
      <c r="J262" s="57"/>
      <c r="K262" s="57"/>
      <c r="L262" s="57"/>
    </row>
    <row r="263" spans="1:12">
      <c r="A263" s="57"/>
      <c r="B263" s="55"/>
      <c r="C263" s="55"/>
      <c r="D263" s="57"/>
      <c r="E263" s="57"/>
      <c r="F263" s="57"/>
      <c r="G263" s="57"/>
      <c r="H263" s="57"/>
      <c r="I263" s="57"/>
      <c r="J263" s="57"/>
      <c r="K263" s="57"/>
      <c r="L263" s="57"/>
    </row>
    <row r="264" spans="1:12">
      <c r="A264" s="57"/>
      <c r="B264" s="55"/>
      <c r="C264" s="55"/>
      <c r="D264" s="57"/>
      <c r="E264" s="57"/>
      <c r="F264" s="57"/>
      <c r="G264" s="57"/>
      <c r="H264" s="57"/>
      <c r="I264" s="57"/>
      <c r="J264" s="57"/>
      <c r="K264" s="57"/>
      <c r="L264" s="57"/>
    </row>
    <row r="265" spans="1:12">
      <c r="A265" s="57"/>
      <c r="B265" s="55"/>
      <c r="C265" s="55"/>
      <c r="D265" s="57"/>
      <c r="E265" s="57"/>
      <c r="F265" s="57"/>
      <c r="G265" s="57"/>
      <c r="H265" s="57"/>
      <c r="I265" s="57"/>
      <c r="J265" s="57"/>
      <c r="K265" s="57"/>
      <c r="L265" s="57"/>
    </row>
    <row r="266" spans="1:12">
      <c r="A266" s="57"/>
      <c r="B266" s="55"/>
      <c r="C266" s="55"/>
      <c r="D266" s="57"/>
      <c r="E266" s="57"/>
      <c r="F266" s="57"/>
      <c r="G266" s="57"/>
      <c r="H266" s="57"/>
      <c r="I266" s="57"/>
      <c r="J266" s="57"/>
      <c r="K266" s="57"/>
      <c r="L266" s="57"/>
    </row>
    <row r="267" spans="1:12">
      <c r="A267" s="57"/>
      <c r="B267" s="55"/>
      <c r="C267" s="55"/>
      <c r="D267" s="57"/>
      <c r="E267" s="57"/>
      <c r="F267" s="57"/>
      <c r="G267" s="57"/>
      <c r="H267" s="57"/>
      <c r="I267" s="57"/>
      <c r="J267" s="57"/>
      <c r="K267" s="57"/>
      <c r="L267" s="57"/>
    </row>
    <row r="268" spans="1:12">
      <c r="A268" s="57"/>
      <c r="B268" s="55"/>
      <c r="C268" s="55"/>
      <c r="D268" s="57"/>
      <c r="E268" s="57"/>
      <c r="F268" s="57"/>
      <c r="G268" s="57"/>
      <c r="H268" s="57"/>
      <c r="I268" s="57"/>
      <c r="J268" s="57"/>
      <c r="K268" s="57"/>
      <c r="L268" s="57"/>
    </row>
    <row r="269" spans="1:12">
      <c r="A269" s="57"/>
      <c r="B269" s="55"/>
      <c r="C269" s="55"/>
      <c r="D269" s="57"/>
      <c r="E269" s="57"/>
      <c r="F269" s="57"/>
      <c r="G269" s="57"/>
      <c r="H269" s="57"/>
      <c r="I269" s="57"/>
      <c r="J269" s="57"/>
      <c r="K269" s="57"/>
      <c r="L269" s="57"/>
    </row>
    <row r="270" spans="1:12">
      <c r="A270" s="57"/>
      <c r="B270" s="55"/>
      <c r="C270" s="55"/>
      <c r="D270" s="57"/>
      <c r="E270" s="57"/>
      <c r="F270" s="57"/>
      <c r="G270" s="57"/>
      <c r="H270" s="57"/>
      <c r="I270" s="57"/>
      <c r="J270" s="57"/>
      <c r="K270" s="57"/>
      <c r="L270" s="57"/>
    </row>
    <row r="271" spans="1:12">
      <c r="A271" s="57"/>
      <c r="B271" s="55"/>
      <c r="C271" s="55"/>
      <c r="D271" s="57"/>
      <c r="E271" s="57"/>
      <c r="F271" s="57"/>
      <c r="G271" s="57"/>
      <c r="H271" s="57"/>
      <c r="I271" s="57"/>
      <c r="J271" s="57"/>
      <c r="K271" s="57"/>
      <c r="L271" s="57"/>
    </row>
    <row r="272" spans="1:12">
      <c r="A272" s="57"/>
      <c r="B272" s="55"/>
      <c r="C272" s="55"/>
      <c r="D272" s="57"/>
      <c r="E272" s="57"/>
      <c r="F272" s="57"/>
      <c r="G272" s="57"/>
      <c r="H272" s="57"/>
      <c r="I272" s="57"/>
      <c r="J272" s="57"/>
      <c r="K272" s="57"/>
      <c r="L272" s="57"/>
    </row>
    <row r="273" spans="1:12">
      <c r="A273" s="57"/>
      <c r="B273" s="55"/>
      <c r="C273" s="55"/>
      <c r="D273" s="57"/>
      <c r="E273" s="57"/>
      <c r="F273" s="57"/>
      <c r="G273" s="57"/>
      <c r="H273" s="57"/>
      <c r="I273" s="57"/>
      <c r="J273" s="57"/>
      <c r="K273" s="57"/>
      <c r="L273" s="57"/>
    </row>
    <row r="274" spans="1:12">
      <c r="A274" s="57"/>
      <c r="B274" s="55"/>
      <c r="C274" s="55"/>
      <c r="D274" s="57"/>
      <c r="E274" s="57"/>
      <c r="F274" s="57"/>
      <c r="G274" s="57"/>
      <c r="H274" s="57"/>
      <c r="I274" s="57"/>
      <c r="J274" s="57"/>
      <c r="K274" s="57"/>
      <c r="L274" s="57"/>
    </row>
    <row r="275" spans="1:12">
      <c r="A275" s="57"/>
      <c r="B275" s="55"/>
      <c r="C275" s="55"/>
      <c r="D275" s="57"/>
      <c r="E275" s="57"/>
      <c r="F275" s="57"/>
      <c r="G275" s="57"/>
      <c r="H275" s="57"/>
      <c r="I275" s="57"/>
      <c r="J275" s="57"/>
      <c r="K275" s="57"/>
      <c r="L275" s="57"/>
    </row>
    <row r="276" spans="1:12">
      <c r="A276" s="57"/>
      <c r="B276" s="55"/>
      <c r="C276" s="55"/>
      <c r="D276" s="57"/>
      <c r="E276" s="57"/>
      <c r="F276" s="57"/>
      <c r="G276" s="57"/>
      <c r="H276" s="57"/>
      <c r="I276" s="57"/>
      <c r="J276" s="57"/>
      <c r="K276" s="57"/>
      <c r="L276" s="57"/>
    </row>
    <row r="277" spans="1:12">
      <c r="A277" s="57"/>
      <c r="B277" s="55"/>
      <c r="C277" s="55"/>
      <c r="D277" s="57"/>
      <c r="E277" s="57"/>
      <c r="F277" s="57"/>
      <c r="G277" s="57"/>
      <c r="H277" s="57"/>
      <c r="I277" s="57"/>
      <c r="J277" s="57"/>
      <c r="K277" s="57"/>
      <c r="L277" s="57"/>
    </row>
    <row r="278" spans="1:12">
      <c r="A278" s="57"/>
      <c r="B278" s="55"/>
      <c r="C278" s="55"/>
      <c r="D278" s="57"/>
      <c r="E278" s="57"/>
      <c r="F278" s="57"/>
      <c r="G278" s="57"/>
      <c r="H278" s="57"/>
      <c r="I278" s="57"/>
      <c r="J278" s="57"/>
      <c r="K278" s="57"/>
      <c r="L278" s="57"/>
    </row>
    <row r="279" spans="1:12">
      <c r="A279" s="57"/>
      <c r="B279" s="55"/>
      <c r="C279" s="55"/>
      <c r="D279" s="57"/>
      <c r="E279" s="57"/>
      <c r="F279" s="57"/>
      <c r="G279" s="57"/>
      <c r="H279" s="57"/>
      <c r="I279" s="57"/>
      <c r="J279" s="57"/>
      <c r="K279" s="57"/>
      <c r="L279" s="57"/>
    </row>
    <row r="280" spans="1:12">
      <c r="A280" s="57"/>
      <c r="B280" s="55"/>
      <c r="C280" s="55"/>
      <c r="D280" s="57"/>
      <c r="E280" s="57"/>
      <c r="F280" s="57"/>
      <c r="G280" s="57"/>
      <c r="H280" s="57"/>
      <c r="I280" s="57"/>
      <c r="J280" s="57"/>
      <c r="K280" s="57"/>
      <c r="L280" s="57"/>
    </row>
    <row r="281" spans="1:12">
      <c r="A281" s="57"/>
      <c r="B281" s="55"/>
      <c r="C281" s="55"/>
      <c r="D281" s="57"/>
      <c r="E281" s="57"/>
      <c r="F281" s="57"/>
      <c r="G281" s="57"/>
      <c r="H281" s="57"/>
      <c r="I281" s="57"/>
      <c r="J281" s="57"/>
      <c r="K281" s="57"/>
      <c r="L281" s="57"/>
    </row>
    <row r="282" spans="1:12">
      <c r="A282" s="57"/>
      <c r="B282" s="55"/>
      <c r="C282" s="55"/>
      <c r="D282" s="57"/>
      <c r="E282" s="57"/>
      <c r="F282" s="57"/>
      <c r="G282" s="57"/>
      <c r="H282" s="57"/>
      <c r="I282" s="57"/>
      <c r="J282" s="57"/>
      <c r="K282" s="57"/>
      <c r="L282" s="57"/>
    </row>
    <row r="283" spans="1:12">
      <c r="A283" s="57"/>
      <c r="B283" s="55"/>
      <c r="C283" s="55"/>
      <c r="D283" s="57"/>
      <c r="E283" s="57"/>
      <c r="F283" s="57"/>
      <c r="G283" s="57"/>
      <c r="H283" s="57"/>
      <c r="I283" s="57"/>
      <c r="J283" s="57"/>
      <c r="K283" s="57"/>
      <c r="L283" s="57"/>
    </row>
    <row r="284" spans="1:12">
      <c r="A284" s="57"/>
      <c r="B284" s="55"/>
      <c r="C284" s="55"/>
      <c r="D284" s="57"/>
      <c r="E284" s="57"/>
      <c r="F284" s="57"/>
      <c r="G284" s="57"/>
      <c r="H284" s="57"/>
      <c r="I284" s="57"/>
      <c r="J284" s="57"/>
      <c r="K284" s="57"/>
      <c r="L284" s="57"/>
    </row>
    <row r="285" spans="1:12">
      <c r="A285" s="57"/>
      <c r="B285" s="55"/>
      <c r="C285" s="55"/>
      <c r="D285" s="57"/>
      <c r="E285" s="57"/>
      <c r="F285" s="57"/>
      <c r="G285" s="57"/>
      <c r="H285" s="57"/>
      <c r="I285" s="57"/>
      <c r="J285" s="57"/>
      <c r="K285" s="57"/>
      <c r="L285" s="57"/>
    </row>
    <row r="286" spans="1:12">
      <c r="A286" s="57"/>
      <c r="B286" s="55"/>
      <c r="C286" s="55"/>
      <c r="D286" s="57"/>
      <c r="E286" s="57"/>
      <c r="F286" s="57"/>
      <c r="G286" s="57"/>
      <c r="H286" s="57"/>
      <c r="I286" s="57"/>
      <c r="J286" s="57"/>
      <c r="K286" s="57"/>
      <c r="L286" s="57"/>
    </row>
    <row r="287" spans="1:12">
      <c r="A287" s="57"/>
      <c r="B287" s="55"/>
      <c r="C287" s="55"/>
      <c r="D287" s="57"/>
      <c r="E287" s="57"/>
      <c r="F287" s="57"/>
      <c r="G287" s="57"/>
      <c r="H287" s="57"/>
      <c r="I287" s="57"/>
      <c r="J287" s="57"/>
      <c r="K287" s="57"/>
      <c r="L287" s="57"/>
    </row>
    <row r="288" spans="1:12">
      <c r="A288" s="57"/>
      <c r="B288" s="55"/>
      <c r="C288" s="55"/>
      <c r="D288" s="57"/>
      <c r="E288" s="57"/>
      <c r="F288" s="57"/>
      <c r="G288" s="57"/>
      <c r="H288" s="57"/>
      <c r="I288" s="57"/>
      <c r="J288" s="57"/>
      <c r="K288" s="57"/>
      <c r="L288" s="57"/>
    </row>
    <row r="289" spans="1:12">
      <c r="A289" s="57"/>
      <c r="B289" s="55"/>
      <c r="C289" s="55"/>
      <c r="D289" s="57"/>
      <c r="E289" s="57"/>
      <c r="F289" s="57"/>
      <c r="G289" s="57"/>
      <c r="H289" s="57"/>
      <c r="I289" s="57"/>
      <c r="J289" s="57"/>
      <c r="K289" s="57"/>
      <c r="L289" s="57"/>
    </row>
    <row r="290" spans="1:12">
      <c r="A290" s="57"/>
      <c r="B290" s="55"/>
      <c r="C290" s="55"/>
      <c r="D290" s="57"/>
      <c r="E290" s="57"/>
      <c r="F290" s="57"/>
      <c r="G290" s="57"/>
      <c r="H290" s="57"/>
      <c r="I290" s="57"/>
      <c r="J290" s="57"/>
      <c r="K290" s="57"/>
      <c r="L290" s="57"/>
    </row>
    <row r="291" spans="1:12">
      <c r="A291" s="57"/>
      <c r="B291" s="55"/>
      <c r="C291" s="55"/>
      <c r="D291" s="57"/>
      <c r="E291" s="57"/>
      <c r="F291" s="57"/>
      <c r="G291" s="57"/>
      <c r="H291" s="57"/>
      <c r="I291" s="57"/>
      <c r="J291" s="57"/>
      <c r="K291" s="57"/>
      <c r="L291" s="57"/>
    </row>
    <row r="292" spans="1:12">
      <c r="A292" s="57"/>
      <c r="B292" s="55"/>
      <c r="C292" s="55"/>
      <c r="D292" s="57"/>
      <c r="E292" s="57"/>
      <c r="F292" s="57"/>
      <c r="G292" s="57"/>
      <c r="H292" s="57"/>
      <c r="I292" s="57"/>
      <c r="J292" s="57"/>
      <c r="K292" s="57"/>
      <c r="L292" s="57"/>
    </row>
    <row r="293" spans="1:12">
      <c r="A293" s="57"/>
      <c r="B293" s="55"/>
      <c r="C293" s="55"/>
      <c r="D293" s="57"/>
      <c r="E293" s="57"/>
      <c r="F293" s="57"/>
      <c r="G293" s="57"/>
      <c r="H293" s="57"/>
      <c r="I293" s="57"/>
      <c r="J293" s="57"/>
      <c r="K293" s="57"/>
      <c r="L293" s="57"/>
    </row>
    <row r="294" spans="1:12">
      <c r="A294" s="57"/>
      <c r="B294" s="55"/>
      <c r="C294" s="55"/>
      <c r="D294" s="57"/>
      <c r="E294" s="57"/>
      <c r="F294" s="57"/>
      <c r="G294" s="57"/>
      <c r="H294" s="57"/>
      <c r="I294" s="57"/>
      <c r="J294" s="57"/>
      <c r="K294" s="57"/>
      <c r="L294" s="57"/>
    </row>
    <row r="295" spans="1:12">
      <c r="A295" s="57"/>
      <c r="B295" s="55"/>
      <c r="C295" s="55"/>
      <c r="D295" s="57"/>
      <c r="E295" s="57"/>
      <c r="F295" s="57"/>
      <c r="G295" s="57"/>
      <c r="H295" s="57"/>
      <c r="I295" s="57"/>
      <c r="J295" s="57"/>
      <c r="K295" s="57"/>
      <c r="L295" s="57"/>
    </row>
    <row r="296" spans="1:12">
      <c r="A296" s="57"/>
      <c r="B296" s="55"/>
      <c r="C296" s="55"/>
      <c r="D296" s="57"/>
      <c r="E296" s="57"/>
      <c r="F296" s="57"/>
      <c r="G296" s="57"/>
      <c r="H296" s="57"/>
      <c r="I296" s="57"/>
      <c r="J296" s="57"/>
      <c r="K296" s="57"/>
      <c r="L296" s="57"/>
    </row>
    <row r="297" spans="1:12">
      <c r="A297" s="57"/>
      <c r="B297" s="55"/>
      <c r="C297" s="55"/>
      <c r="D297" s="57"/>
      <c r="E297" s="57"/>
      <c r="F297" s="57"/>
      <c r="G297" s="57"/>
      <c r="H297" s="57"/>
      <c r="I297" s="57"/>
      <c r="J297" s="57"/>
      <c r="K297" s="57"/>
      <c r="L297" s="57"/>
    </row>
    <row r="298" spans="1:12">
      <c r="A298" s="57"/>
      <c r="B298" s="55"/>
      <c r="C298" s="55"/>
      <c r="D298" s="57"/>
      <c r="E298" s="57"/>
      <c r="F298" s="57"/>
      <c r="G298" s="57"/>
      <c r="H298" s="57"/>
      <c r="I298" s="57"/>
      <c r="J298" s="57"/>
      <c r="K298" s="57"/>
      <c r="L298" s="57"/>
    </row>
    <row r="299" spans="1:12">
      <c r="A299" s="57"/>
      <c r="B299" s="55"/>
      <c r="C299" s="55"/>
      <c r="D299" s="57"/>
      <c r="E299" s="57"/>
      <c r="F299" s="57"/>
      <c r="G299" s="57"/>
      <c r="H299" s="57"/>
      <c r="I299" s="57"/>
      <c r="J299" s="57"/>
      <c r="K299" s="57"/>
      <c r="L299" s="57"/>
    </row>
    <row r="300" spans="1:12">
      <c r="A300" s="57"/>
      <c r="B300" s="55"/>
      <c r="C300" s="55"/>
      <c r="D300" s="57"/>
      <c r="E300" s="57"/>
      <c r="F300" s="57"/>
      <c r="G300" s="57"/>
      <c r="H300" s="57"/>
      <c r="I300" s="57"/>
      <c r="J300" s="57"/>
      <c r="K300" s="57"/>
      <c r="L300" s="57"/>
    </row>
    <row r="301" spans="1:12">
      <c r="A301" s="57"/>
      <c r="B301" s="55"/>
      <c r="C301" s="55"/>
      <c r="D301" s="57"/>
      <c r="E301" s="57"/>
      <c r="F301" s="57"/>
      <c r="G301" s="57"/>
      <c r="H301" s="57"/>
      <c r="I301" s="57"/>
      <c r="J301" s="57"/>
      <c r="K301" s="57"/>
      <c r="L301" s="57"/>
    </row>
    <row r="302" spans="1:12">
      <c r="A302" s="57"/>
      <c r="B302" s="55"/>
      <c r="C302" s="55"/>
      <c r="D302" s="57"/>
      <c r="E302" s="57"/>
      <c r="F302" s="57"/>
      <c r="G302" s="57"/>
      <c r="H302" s="57"/>
      <c r="I302" s="57"/>
      <c r="J302" s="57"/>
      <c r="K302" s="57"/>
      <c r="L302" s="57"/>
    </row>
    <row r="303" spans="1:12">
      <c r="A303" s="57"/>
      <c r="B303" s="55"/>
      <c r="C303" s="55"/>
      <c r="D303" s="57"/>
      <c r="E303" s="57"/>
      <c r="F303" s="57"/>
      <c r="G303" s="57"/>
      <c r="H303" s="57"/>
      <c r="I303" s="57"/>
      <c r="J303" s="57"/>
      <c r="K303" s="57"/>
      <c r="L303" s="57"/>
    </row>
    <row r="304" spans="1:12">
      <c r="A304" s="57"/>
      <c r="B304" s="55"/>
      <c r="C304" s="55"/>
      <c r="D304" s="57"/>
      <c r="E304" s="57"/>
      <c r="F304" s="57"/>
      <c r="G304" s="57"/>
      <c r="H304" s="57"/>
      <c r="I304" s="57"/>
      <c r="J304" s="57"/>
      <c r="K304" s="57"/>
      <c r="L304" s="57"/>
    </row>
    <row r="305" spans="1:12">
      <c r="A305" s="57"/>
      <c r="B305" s="55"/>
      <c r="C305" s="55"/>
      <c r="D305" s="57"/>
      <c r="E305" s="57"/>
      <c r="F305" s="57"/>
      <c r="G305" s="57"/>
      <c r="H305" s="57"/>
      <c r="I305" s="57"/>
      <c r="J305" s="57"/>
      <c r="K305" s="57"/>
      <c r="L305" s="57"/>
    </row>
    <row r="306" spans="1:12">
      <c r="A306" s="57"/>
      <c r="B306" s="55"/>
      <c r="C306" s="55"/>
      <c r="D306" s="57"/>
      <c r="E306" s="57"/>
      <c r="F306" s="57"/>
      <c r="G306" s="57"/>
      <c r="H306" s="57"/>
      <c r="I306" s="57"/>
      <c r="J306" s="57"/>
      <c r="K306" s="57"/>
      <c r="L306" s="57"/>
    </row>
    <row r="307" spans="1:12" ht="27.6" customHeight="1">
      <c r="A307" s="57"/>
      <c r="B307" s="55"/>
      <c r="C307" s="55"/>
      <c r="D307" s="57"/>
      <c r="E307" s="57"/>
      <c r="F307" s="57"/>
      <c r="G307" s="57"/>
      <c r="H307" s="57"/>
      <c r="I307" s="57"/>
      <c r="J307" s="57"/>
      <c r="K307" s="57"/>
      <c r="L307" s="57"/>
    </row>
    <row r="308" spans="1:12" ht="27.6" customHeight="1">
      <c r="A308" s="57"/>
      <c r="B308" s="55"/>
      <c r="C308" s="55"/>
      <c r="D308" s="57"/>
      <c r="E308" s="57"/>
      <c r="F308" s="57"/>
      <c r="G308" s="57"/>
      <c r="H308" s="57"/>
      <c r="I308" s="57"/>
      <c r="J308" s="57"/>
      <c r="K308" s="57"/>
      <c r="L308" s="57"/>
    </row>
    <row r="309" spans="1:12" ht="27.6" customHeight="1">
      <c r="A309" s="57"/>
      <c r="B309" s="55"/>
      <c r="C309" s="55"/>
      <c r="D309" s="57"/>
      <c r="E309" s="57"/>
      <c r="F309" s="57"/>
      <c r="G309" s="57"/>
      <c r="H309" s="57"/>
      <c r="I309" s="57"/>
      <c r="J309" s="57"/>
      <c r="K309" s="57"/>
      <c r="L309" s="57"/>
    </row>
    <row r="310" spans="1:12">
      <c r="A310" s="57"/>
      <c r="B310" s="55"/>
      <c r="C310" s="55"/>
      <c r="D310" s="57"/>
      <c r="E310" s="57"/>
      <c r="F310" s="57"/>
      <c r="G310" s="57"/>
      <c r="H310" s="57"/>
      <c r="I310" s="57"/>
      <c r="J310" s="57"/>
      <c r="K310" s="57"/>
      <c r="L310" s="57"/>
    </row>
    <row r="311" spans="1:12">
      <c r="A311" s="57"/>
      <c r="B311" s="55"/>
      <c r="C311" s="55"/>
      <c r="D311" s="57"/>
      <c r="E311" s="57"/>
      <c r="F311" s="57"/>
      <c r="G311" s="57"/>
      <c r="H311" s="57"/>
      <c r="I311" s="57"/>
      <c r="J311" s="57"/>
      <c r="K311" s="57"/>
      <c r="L311" s="57"/>
    </row>
    <row r="312" spans="1:12">
      <c r="A312" s="57"/>
      <c r="B312" s="55"/>
      <c r="C312" s="55"/>
      <c r="D312" s="57"/>
      <c r="E312" s="57"/>
      <c r="F312" s="57"/>
      <c r="G312" s="57"/>
      <c r="H312" s="57"/>
      <c r="I312" s="57"/>
      <c r="J312" s="57"/>
      <c r="K312" s="57"/>
      <c r="L312" s="57"/>
    </row>
    <row r="313" spans="1:12">
      <c r="A313" s="57"/>
      <c r="B313" s="55"/>
      <c r="C313" s="55"/>
      <c r="D313" s="57"/>
      <c r="E313" s="57"/>
      <c r="F313" s="57"/>
      <c r="G313" s="57"/>
      <c r="H313" s="57"/>
      <c r="I313" s="57"/>
      <c r="J313" s="57"/>
      <c r="K313" s="57"/>
      <c r="L313" s="57"/>
    </row>
    <row r="314" spans="1:12">
      <c r="A314" s="57"/>
      <c r="B314" s="55"/>
      <c r="C314" s="55"/>
      <c r="D314" s="57"/>
      <c r="E314" s="57"/>
      <c r="F314" s="57"/>
      <c r="G314" s="57"/>
      <c r="H314" s="57"/>
      <c r="I314" s="57"/>
      <c r="J314" s="57"/>
      <c r="K314" s="57"/>
      <c r="L314" s="57"/>
    </row>
    <row r="315" spans="1:12">
      <c r="A315" s="57"/>
      <c r="B315" s="55"/>
      <c r="C315" s="55"/>
      <c r="D315" s="57"/>
      <c r="E315" s="57"/>
      <c r="F315" s="57"/>
      <c r="G315" s="57"/>
      <c r="H315" s="57"/>
      <c r="I315" s="57"/>
      <c r="J315" s="57"/>
      <c r="K315" s="57"/>
      <c r="L315" s="57"/>
    </row>
    <row r="316" spans="1:12">
      <c r="A316" s="57"/>
      <c r="B316" s="55"/>
      <c r="C316" s="55"/>
      <c r="D316" s="57"/>
      <c r="E316" s="57"/>
      <c r="F316" s="57"/>
      <c r="G316" s="57"/>
      <c r="H316" s="57"/>
      <c r="I316" s="57"/>
      <c r="J316" s="57"/>
      <c r="K316" s="57"/>
      <c r="L316" s="57"/>
    </row>
    <row r="317" spans="1:12">
      <c r="A317" s="57"/>
      <c r="B317" s="55"/>
      <c r="C317" s="55"/>
      <c r="D317" s="57"/>
      <c r="E317" s="57"/>
      <c r="F317" s="57"/>
      <c r="G317" s="57"/>
      <c r="H317" s="57"/>
      <c r="I317" s="57"/>
      <c r="J317" s="57"/>
      <c r="K317" s="57"/>
      <c r="L317" s="57"/>
    </row>
    <row r="318" spans="1:12">
      <c r="A318" s="57"/>
      <c r="B318" s="55"/>
      <c r="C318" s="55"/>
      <c r="D318" s="57"/>
      <c r="E318" s="57"/>
      <c r="F318" s="57"/>
      <c r="G318" s="57"/>
      <c r="H318" s="57"/>
      <c r="I318" s="57"/>
      <c r="J318" s="57"/>
      <c r="K318" s="57"/>
      <c r="L318" s="57"/>
    </row>
    <row r="319" spans="1:12">
      <c r="A319" s="57"/>
      <c r="B319" s="55"/>
      <c r="C319" s="55"/>
      <c r="D319" s="57"/>
      <c r="E319" s="57"/>
      <c r="F319" s="57"/>
      <c r="G319" s="57"/>
      <c r="H319" s="57"/>
      <c r="I319" s="57"/>
      <c r="J319" s="57"/>
      <c r="K319" s="57"/>
      <c r="L319" s="57"/>
    </row>
    <row r="320" spans="1:12">
      <c r="A320" s="57"/>
      <c r="B320" s="55"/>
      <c r="C320" s="55"/>
      <c r="D320" s="57"/>
      <c r="E320" s="57"/>
      <c r="F320" s="57"/>
      <c r="G320" s="57"/>
      <c r="H320" s="57"/>
      <c r="I320" s="57"/>
      <c r="J320" s="57"/>
      <c r="K320" s="57"/>
      <c r="L320" s="57"/>
    </row>
    <row r="321" spans="1:12">
      <c r="A321" s="57"/>
      <c r="B321" s="55"/>
      <c r="C321" s="55"/>
      <c r="D321" s="57"/>
      <c r="E321" s="57"/>
      <c r="F321" s="57"/>
      <c r="G321" s="57"/>
      <c r="H321" s="57"/>
      <c r="I321" s="57"/>
      <c r="J321" s="57"/>
      <c r="K321" s="57"/>
      <c r="L321" s="57"/>
    </row>
    <row r="322" spans="1:12">
      <c r="A322" s="57"/>
      <c r="B322" s="55"/>
      <c r="C322" s="55"/>
      <c r="D322" s="57"/>
      <c r="E322" s="57"/>
      <c r="F322" s="57"/>
      <c r="G322" s="57"/>
      <c r="H322" s="57"/>
      <c r="I322" s="57"/>
      <c r="J322" s="57"/>
      <c r="K322" s="57"/>
      <c r="L322" s="57"/>
    </row>
    <row r="323" spans="1:12">
      <c r="A323" s="57"/>
      <c r="B323" s="55"/>
      <c r="C323" s="55"/>
      <c r="D323" s="57"/>
      <c r="E323" s="57"/>
      <c r="F323" s="57"/>
      <c r="G323" s="57"/>
      <c r="H323" s="57"/>
      <c r="I323" s="57"/>
      <c r="J323" s="57"/>
      <c r="K323" s="57"/>
      <c r="L323" s="57"/>
    </row>
    <row r="324" spans="1:12">
      <c r="A324" s="57"/>
      <c r="B324" s="55"/>
      <c r="C324" s="55"/>
      <c r="D324" s="57"/>
      <c r="E324" s="57"/>
      <c r="F324" s="57"/>
      <c r="G324" s="57"/>
      <c r="H324" s="57"/>
      <c r="I324" s="57"/>
      <c r="J324" s="57"/>
      <c r="K324" s="57"/>
      <c r="L324" s="57"/>
    </row>
    <row r="325" spans="1:12">
      <c r="A325" s="57"/>
      <c r="B325" s="55"/>
      <c r="C325" s="55"/>
      <c r="D325" s="57"/>
      <c r="E325" s="57"/>
      <c r="F325" s="57"/>
      <c r="G325" s="57"/>
      <c r="H325" s="57"/>
      <c r="I325" s="57"/>
      <c r="J325" s="57"/>
      <c r="K325" s="57"/>
      <c r="L325" s="57"/>
    </row>
    <row r="326" spans="1:12">
      <c r="A326" s="57"/>
      <c r="B326" s="55"/>
      <c r="C326" s="55"/>
      <c r="D326" s="57"/>
      <c r="E326" s="57"/>
      <c r="F326" s="57"/>
      <c r="G326" s="57"/>
      <c r="H326" s="57"/>
      <c r="I326" s="57"/>
      <c r="J326" s="57"/>
      <c r="K326" s="57"/>
      <c r="L326" s="57"/>
    </row>
    <row r="327" spans="1:12">
      <c r="A327" s="57"/>
      <c r="B327" s="55"/>
      <c r="C327" s="55"/>
      <c r="D327" s="57"/>
      <c r="E327" s="57"/>
      <c r="F327" s="57"/>
      <c r="G327" s="57"/>
      <c r="H327" s="57"/>
      <c r="I327" s="57"/>
      <c r="J327" s="57"/>
      <c r="K327" s="57"/>
      <c r="L327" s="57"/>
    </row>
    <row r="328" spans="1:12">
      <c r="A328" s="57"/>
      <c r="B328" s="55"/>
      <c r="C328" s="55"/>
      <c r="D328" s="57"/>
      <c r="E328" s="57"/>
      <c r="F328" s="57"/>
      <c r="G328" s="57"/>
      <c r="H328" s="57"/>
      <c r="I328" s="57"/>
      <c r="J328" s="57"/>
      <c r="K328" s="57"/>
      <c r="L328" s="57"/>
    </row>
    <row r="329" spans="1:12">
      <c r="A329" s="57"/>
      <c r="B329" s="55"/>
      <c r="C329" s="55"/>
      <c r="D329" s="57"/>
      <c r="E329" s="57"/>
      <c r="F329" s="57"/>
      <c r="G329" s="57"/>
      <c r="H329" s="57"/>
      <c r="I329" s="57"/>
      <c r="J329" s="57"/>
      <c r="K329" s="57"/>
      <c r="L329" s="57"/>
    </row>
    <row r="330" spans="1:12">
      <c r="A330" s="57"/>
      <c r="B330" s="55"/>
      <c r="C330" s="55"/>
      <c r="D330" s="57"/>
      <c r="E330" s="57"/>
      <c r="F330" s="57"/>
      <c r="G330" s="57"/>
      <c r="H330" s="57"/>
      <c r="I330" s="57"/>
      <c r="J330" s="57"/>
      <c r="K330" s="57"/>
      <c r="L330" s="57"/>
    </row>
    <row r="331" spans="1:12">
      <c r="A331" s="57"/>
      <c r="B331" s="55"/>
      <c r="C331" s="55"/>
      <c r="D331" s="57"/>
      <c r="E331" s="57"/>
      <c r="F331" s="57"/>
      <c r="G331" s="57"/>
      <c r="H331" s="57"/>
      <c r="I331" s="57"/>
      <c r="J331" s="57"/>
      <c r="K331" s="57"/>
      <c r="L331" s="57"/>
    </row>
    <row r="332" spans="1:12">
      <c r="A332" s="57"/>
      <c r="B332" s="55"/>
      <c r="C332" s="55"/>
      <c r="D332" s="57"/>
      <c r="E332" s="57"/>
      <c r="F332" s="57"/>
      <c r="G332" s="57"/>
      <c r="H332" s="57"/>
      <c r="I332" s="57"/>
      <c r="J332" s="57"/>
      <c r="K332" s="57"/>
      <c r="L332" s="57"/>
    </row>
    <row r="333" spans="1:12">
      <c r="A333" s="57"/>
      <c r="B333" s="55"/>
      <c r="C333" s="55"/>
      <c r="D333" s="57"/>
      <c r="E333" s="57"/>
      <c r="F333" s="57"/>
      <c r="G333" s="57"/>
      <c r="H333" s="57"/>
      <c r="I333" s="57"/>
      <c r="J333" s="57"/>
      <c r="K333" s="57"/>
      <c r="L333" s="57"/>
    </row>
    <row r="334" spans="1:12">
      <c r="A334" s="57"/>
      <c r="B334" s="55"/>
      <c r="C334" s="55"/>
      <c r="D334" s="57"/>
      <c r="E334" s="57"/>
      <c r="F334" s="57"/>
      <c r="G334" s="57"/>
      <c r="H334" s="57"/>
      <c r="I334" s="57"/>
      <c r="J334" s="57"/>
      <c r="K334" s="57"/>
      <c r="L334" s="57"/>
    </row>
    <row r="335" spans="1:12">
      <c r="A335" s="57"/>
      <c r="B335" s="55"/>
      <c r="C335" s="55"/>
      <c r="D335" s="57"/>
      <c r="E335" s="57"/>
      <c r="F335" s="57"/>
      <c r="G335" s="57"/>
      <c r="H335" s="57"/>
      <c r="I335" s="57"/>
      <c r="J335" s="57"/>
      <c r="K335" s="57"/>
      <c r="L335" s="57"/>
    </row>
    <row r="336" spans="1:12">
      <c r="A336" s="57"/>
      <c r="B336" s="55"/>
      <c r="C336" s="55"/>
      <c r="D336" s="57"/>
      <c r="E336" s="57"/>
      <c r="F336" s="57"/>
      <c r="G336" s="57"/>
      <c r="H336" s="57"/>
      <c r="I336" s="57"/>
      <c r="J336" s="57"/>
      <c r="K336" s="57"/>
      <c r="L336" s="57"/>
    </row>
    <row r="337" spans="1:12">
      <c r="A337" s="57"/>
      <c r="B337" s="55"/>
      <c r="C337" s="55"/>
      <c r="D337" s="57"/>
      <c r="E337" s="57"/>
      <c r="F337" s="57"/>
      <c r="G337" s="57"/>
      <c r="H337" s="57"/>
      <c r="I337" s="57"/>
      <c r="J337" s="57"/>
      <c r="K337" s="57"/>
      <c r="L337" s="57"/>
    </row>
    <row r="338" spans="1:12">
      <c r="A338" s="57"/>
      <c r="B338" s="55"/>
      <c r="C338" s="55"/>
      <c r="D338" s="57"/>
      <c r="E338" s="57"/>
      <c r="F338" s="57"/>
      <c r="G338" s="57"/>
      <c r="H338" s="57"/>
      <c r="I338" s="57"/>
      <c r="J338" s="57"/>
      <c r="K338" s="57"/>
      <c r="L338" s="57"/>
    </row>
    <row r="339" spans="1:12">
      <c r="A339" s="57"/>
      <c r="B339" s="55"/>
      <c r="C339" s="55"/>
      <c r="D339" s="57"/>
      <c r="E339" s="57"/>
      <c r="F339" s="57"/>
      <c r="G339" s="57"/>
      <c r="H339" s="57"/>
      <c r="I339" s="57"/>
      <c r="J339" s="57"/>
      <c r="K339" s="57"/>
      <c r="L339" s="57"/>
    </row>
    <row r="340" spans="1:12">
      <c r="A340" s="57"/>
      <c r="B340" s="55"/>
      <c r="C340" s="55"/>
      <c r="D340" s="57"/>
      <c r="E340" s="57"/>
      <c r="F340" s="57"/>
      <c r="G340" s="57"/>
      <c r="H340" s="57"/>
      <c r="I340" s="57"/>
      <c r="J340" s="57"/>
      <c r="K340" s="57"/>
      <c r="L340" s="57"/>
    </row>
    <row r="341" spans="1:12">
      <c r="A341" s="57"/>
      <c r="B341" s="55"/>
      <c r="C341" s="55"/>
      <c r="D341" s="57"/>
      <c r="E341" s="57"/>
      <c r="F341" s="57"/>
      <c r="G341" s="57"/>
      <c r="H341" s="57"/>
      <c r="I341" s="57"/>
      <c r="J341" s="57"/>
      <c r="K341" s="57"/>
      <c r="L341" s="57"/>
    </row>
    <row r="342" spans="1:12">
      <c r="A342" s="57"/>
      <c r="B342" s="55"/>
      <c r="C342" s="55"/>
      <c r="D342" s="57"/>
      <c r="E342" s="57"/>
      <c r="F342" s="57"/>
      <c r="G342" s="57"/>
      <c r="H342" s="57"/>
      <c r="I342" s="57"/>
      <c r="J342" s="57"/>
      <c r="K342" s="57"/>
      <c r="L342" s="57"/>
    </row>
    <row r="343" spans="1:12">
      <c r="A343" s="57"/>
      <c r="B343" s="55"/>
      <c r="C343" s="55"/>
      <c r="D343" s="57"/>
      <c r="E343" s="57"/>
      <c r="F343" s="57"/>
      <c r="G343" s="57"/>
      <c r="H343" s="57"/>
      <c r="I343" s="57"/>
      <c r="J343" s="57"/>
      <c r="K343" s="57"/>
      <c r="L343" s="57"/>
    </row>
    <row r="344" spans="1:12">
      <c r="A344" s="57"/>
      <c r="B344" s="55"/>
      <c r="C344" s="55"/>
      <c r="D344" s="57"/>
      <c r="E344" s="57"/>
      <c r="F344" s="57"/>
      <c r="G344" s="57"/>
      <c r="H344" s="57"/>
      <c r="I344" s="57"/>
      <c r="J344" s="57"/>
      <c r="K344" s="57"/>
      <c r="L344" s="57"/>
    </row>
    <row r="345" spans="1:12">
      <c r="A345" s="57"/>
      <c r="B345" s="55"/>
      <c r="C345" s="55"/>
      <c r="D345" s="57"/>
      <c r="E345" s="57"/>
      <c r="F345" s="57"/>
      <c r="G345" s="57"/>
      <c r="H345" s="57"/>
      <c r="I345" s="57"/>
      <c r="J345" s="57"/>
      <c r="K345" s="57"/>
      <c r="L345" s="57"/>
    </row>
    <row r="346" spans="1:12">
      <c r="A346" s="57"/>
      <c r="B346" s="55"/>
      <c r="C346" s="55"/>
      <c r="D346" s="57"/>
      <c r="E346" s="57"/>
      <c r="F346" s="57"/>
      <c r="G346" s="57"/>
      <c r="H346" s="57"/>
      <c r="I346" s="57"/>
      <c r="J346" s="57"/>
      <c r="K346" s="57"/>
      <c r="L346" s="57"/>
    </row>
    <row r="347" spans="1:12">
      <c r="A347" s="57"/>
      <c r="B347" s="55"/>
      <c r="C347" s="55"/>
      <c r="D347" s="57"/>
      <c r="E347" s="57"/>
      <c r="F347" s="57"/>
      <c r="G347" s="57"/>
      <c r="H347" s="57"/>
      <c r="I347" s="57"/>
      <c r="J347" s="57"/>
      <c r="K347" s="57"/>
      <c r="L347" s="57"/>
    </row>
    <row r="348" spans="1:12">
      <c r="A348" s="57"/>
      <c r="B348" s="55"/>
      <c r="C348" s="55"/>
      <c r="D348" s="57"/>
      <c r="E348" s="57"/>
      <c r="F348" s="57"/>
      <c r="G348" s="57"/>
      <c r="H348" s="57"/>
      <c r="I348" s="57"/>
      <c r="J348" s="57"/>
      <c r="K348" s="57"/>
      <c r="L348" s="57"/>
    </row>
    <row r="349" spans="1:12">
      <c r="A349" s="57"/>
      <c r="B349" s="55"/>
      <c r="C349" s="55"/>
      <c r="D349" s="57"/>
      <c r="E349" s="57"/>
      <c r="F349" s="57"/>
      <c r="G349" s="57"/>
      <c r="H349" s="57"/>
      <c r="I349" s="57"/>
      <c r="J349" s="57"/>
      <c r="K349" s="57"/>
      <c r="L349" s="57"/>
    </row>
    <row r="350" spans="1:12">
      <c r="A350" s="57"/>
      <c r="B350" s="55"/>
      <c r="C350" s="55"/>
      <c r="D350" s="57"/>
      <c r="E350" s="57"/>
      <c r="F350" s="57"/>
      <c r="G350" s="57"/>
      <c r="H350" s="57"/>
      <c r="I350" s="57"/>
      <c r="J350" s="57"/>
      <c r="K350" s="57"/>
      <c r="L350" s="57"/>
    </row>
    <row r="351" spans="1:12">
      <c r="A351" s="57"/>
      <c r="B351" s="55"/>
      <c r="C351" s="55"/>
      <c r="D351" s="57"/>
      <c r="E351" s="57"/>
      <c r="F351" s="57"/>
      <c r="G351" s="57"/>
      <c r="H351" s="57"/>
      <c r="I351" s="57"/>
      <c r="J351" s="57"/>
      <c r="K351" s="57"/>
      <c r="L351" s="57"/>
    </row>
    <row r="352" spans="1:12">
      <c r="A352" s="57"/>
      <c r="B352" s="55"/>
      <c r="C352" s="55"/>
      <c r="D352" s="57"/>
      <c r="E352" s="57"/>
      <c r="F352" s="57"/>
      <c r="G352" s="57"/>
      <c r="H352" s="57"/>
      <c r="I352" s="57"/>
      <c r="J352" s="57"/>
      <c r="K352" s="57"/>
      <c r="L352" s="57"/>
    </row>
    <row r="353" spans="1:12">
      <c r="A353" s="57"/>
      <c r="B353" s="55"/>
      <c r="C353" s="55"/>
      <c r="D353" s="57"/>
      <c r="E353" s="57"/>
      <c r="F353" s="57"/>
      <c r="G353" s="57"/>
      <c r="H353" s="57"/>
      <c r="I353" s="57"/>
      <c r="J353" s="57"/>
      <c r="K353" s="57"/>
      <c r="L353" s="57"/>
    </row>
    <row r="354" spans="1:12">
      <c r="A354" s="57"/>
      <c r="B354" s="55"/>
      <c r="C354" s="55"/>
      <c r="D354" s="57"/>
      <c r="E354" s="57"/>
      <c r="F354" s="57"/>
      <c r="G354" s="57"/>
      <c r="H354" s="57"/>
      <c r="I354" s="57"/>
      <c r="J354" s="57"/>
      <c r="K354" s="57"/>
      <c r="L354" s="57"/>
    </row>
    <row r="355" spans="1:12">
      <c r="A355" s="57"/>
      <c r="B355" s="55"/>
      <c r="C355" s="55"/>
      <c r="D355" s="57"/>
      <c r="E355" s="57"/>
      <c r="F355" s="57"/>
      <c r="G355" s="57"/>
      <c r="H355" s="57"/>
      <c r="I355" s="57"/>
      <c r="J355" s="57"/>
      <c r="K355" s="57"/>
      <c r="L355" s="57"/>
    </row>
    <row r="356" spans="1:12">
      <c r="A356" s="57"/>
      <c r="B356" s="55"/>
      <c r="C356" s="55"/>
      <c r="D356" s="57"/>
      <c r="E356" s="57"/>
      <c r="F356" s="57"/>
      <c r="G356" s="57"/>
      <c r="H356" s="57"/>
      <c r="I356" s="57"/>
      <c r="J356" s="57"/>
      <c r="K356" s="57"/>
      <c r="L356" s="57"/>
    </row>
    <row r="357" spans="1:12">
      <c r="A357" s="57"/>
      <c r="B357" s="55"/>
      <c r="C357" s="55"/>
      <c r="D357" s="57"/>
      <c r="E357" s="57"/>
      <c r="F357" s="57"/>
      <c r="G357" s="57"/>
      <c r="H357" s="57"/>
      <c r="I357" s="57"/>
      <c r="J357" s="57"/>
      <c r="K357" s="57"/>
      <c r="L357" s="57"/>
    </row>
    <row r="358" spans="1:12">
      <c r="A358" s="57"/>
      <c r="B358" s="55"/>
      <c r="C358" s="55"/>
      <c r="D358" s="57"/>
      <c r="E358" s="57"/>
      <c r="F358" s="57"/>
      <c r="G358" s="57"/>
      <c r="H358" s="57"/>
      <c r="I358" s="57"/>
      <c r="J358" s="57"/>
      <c r="K358" s="57"/>
      <c r="L358" s="57"/>
    </row>
    <row r="359" spans="1:12">
      <c r="A359" s="57"/>
      <c r="B359" s="55"/>
      <c r="C359" s="55"/>
      <c r="D359" s="57"/>
      <c r="E359" s="57"/>
      <c r="F359" s="57"/>
      <c r="G359" s="57"/>
      <c r="H359" s="57"/>
      <c r="I359" s="57"/>
      <c r="J359" s="57"/>
      <c r="K359" s="57"/>
      <c r="L359" s="57"/>
    </row>
    <row r="360" spans="1:12">
      <c r="A360" s="57"/>
      <c r="B360" s="55"/>
      <c r="C360" s="55"/>
      <c r="D360" s="57"/>
      <c r="E360" s="57"/>
      <c r="F360" s="57"/>
      <c r="G360" s="57"/>
      <c r="H360" s="57"/>
      <c r="I360" s="57"/>
      <c r="J360" s="57"/>
      <c r="K360" s="57"/>
      <c r="L360" s="57"/>
    </row>
    <row r="361" spans="1:12">
      <c r="A361" s="57"/>
      <c r="B361" s="55"/>
      <c r="C361" s="55"/>
      <c r="D361" s="57"/>
      <c r="E361" s="57"/>
      <c r="F361" s="57"/>
      <c r="G361" s="57"/>
      <c r="H361" s="57"/>
      <c r="I361" s="57"/>
      <c r="J361" s="57"/>
      <c r="K361" s="57"/>
      <c r="L361" s="57"/>
    </row>
    <row r="362" spans="1:12">
      <c r="A362" s="57"/>
      <c r="B362" s="55"/>
      <c r="C362" s="55"/>
      <c r="D362" s="57"/>
      <c r="E362" s="57"/>
      <c r="F362" s="57"/>
      <c r="G362" s="57"/>
      <c r="H362" s="57"/>
      <c r="I362" s="57"/>
      <c r="J362" s="57"/>
      <c r="K362" s="57"/>
      <c r="L362" s="57"/>
    </row>
    <row r="363" spans="1:12">
      <c r="A363" s="57"/>
      <c r="B363" s="55"/>
      <c r="C363" s="55"/>
      <c r="D363" s="57"/>
      <c r="E363" s="57"/>
      <c r="F363" s="57"/>
      <c r="G363" s="57"/>
      <c r="H363" s="57"/>
      <c r="I363" s="57"/>
      <c r="J363" s="57"/>
      <c r="K363" s="57"/>
      <c r="L363" s="57"/>
    </row>
    <row r="364" spans="1:12">
      <c r="A364" s="57"/>
      <c r="B364" s="55"/>
      <c r="C364" s="55"/>
      <c r="D364" s="57"/>
      <c r="E364" s="57"/>
      <c r="F364" s="57"/>
      <c r="G364" s="57"/>
      <c r="H364" s="57"/>
      <c r="I364" s="57"/>
      <c r="J364" s="57"/>
      <c r="K364" s="57"/>
      <c r="L364" s="57"/>
    </row>
    <row r="365" spans="1:12">
      <c r="A365" s="57"/>
      <c r="B365" s="55"/>
      <c r="C365" s="55"/>
      <c r="D365" s="57"/>
      <c r="E365" s="57"/>
      <c r="F365" s="57"/>
      <c r="G365" s="57"/>
      <c r="H365" s="57"/>
      <c r="I365" s="57"/>
      <c r="J365" s="57"/>
      <c r="K365" s="57"/>
      <c r="L365" s="57"/>
    </row>
    <row r="366" spans="1:12">
      <c r="A366" s="57"/>
      <c r="B366" s="55"/>
      <c r="C366" s="55"/>
      <c r="D366" s="57"/>
      <c r="E366" s="57"/>
      <c r="F366" s="57"/>
      <c r="G366" s="57"/>
      <c r="H366" s="57"/>
      <c r="I366" s="57"/>
      <c r="J366" s="57"/>
      <c r="K366" s="57"/>
      <c r="L366" s="57"/>
    </row>
    <row r="367" spans="1:12">
      <c r="A367" s="57"/>
      <c r="B367" s="55"/>
      <c r="C367" s="55"/>
      <c r="D367" s="57"/>
      <c r="E367" s="57"/>
      <c r="F367" s="57"/>
      <c r="G367" s="57"/>
      <c r="H367" s="57"/>
      <c r="I367" s="57"/>
      <c r="J367" s="57"/>
      <c r="K367" s="57"/>
      <c r="L367" s="57"/>
    </row>
    <row r="368" spans="1:12">
      <c r="A368" s="57"/>
      <c r="B368" s="55"/>
      <c r="C368" s="55"/>
      <c r="D368" s="57"/>
      <c r="E368" s="57"/>
      <c r="F368" s="57"/>
      <c r="G368" s="57"/>
      <c r="H368" s="57"/>
      <c r="I368" s="57"/>
      <c r="J368" s="57"/>
      <c r="K368" s="57"/>
      <c r="L368" s="57"/>
    </row>
    <row r="369" spans="1:12">
      <c r="A369" s="57"/>
      <c r="B369" s="55"/>
      <c r="C369" s="55"/>
      <c r="D369" s="57"/>
      <c r="E369" s="57"/>
      <c r="F369" s="57"/>
      <c r="G369" s="57"/>
      <c r="H369" s="57"/>
      <c r="I369" s="57"/>
      <c r="J369" s="57"/>
      <c r="K369" s="57"/>
      <c r="L369" s="57"/>
    </row>
    <row r="370" spans="1:12">
      <c r="A370" s="57"/>
      <c r="B370" s="55"/>
      <c r="C370" s="55"/>
      <c r="D370" s="57"/>
      <c r="E370" s="57"/>
      <c r="F370" s="57"/>
      <c r="G370" s="57"/>
      <c r="H370" s="57"/>
      <c r="I370" s="57"/>
      <c r="J370" s="57"/>
      <c r="K370" s="57"/>
      <c r="L370" s="57"/>
    </row>
    <row r="371" spans="1:12">
      <c r="A371" s="57"/>
      <c r="B371" s="55"/>
      <c r="C371" s="55"/>
      <c r="D371" s="57"/>
      <c r="E371" s="57"/>
      <c r="F371" s="57"/>
      <c r="G371" s="57"/>
      <c r="H371" s="57"/>
      <c r="I371" s="57"/>
      <c r="J371" s="57"/>
      <c r="K371" s="57"/>
      <c r="L371" s="57"/>
    </row>
    <row r="372" spans="1:12">
      <c r="A372" s="57"/>
      <c r="B372" s="55"/>
      <c r="C372" s="55"/>
      <c r="D372" s="57"/>
      <c r="E372" s="57"/>
      <c r="F372" s="57"/>
      <c r="G372" s="57"/>
      <c r="H372" s="57"/>
      <c r="I372" s="57"/>
      <c r="J372" s="57"/>
      <c r="K372" s="57"/>
      <c r="L372" s="57"/>
    </row>
    <row r="373" spans="1:12">
      <c r="A373" s="57"/>
      <c r="B373" s="55"/>
      <c r="C373" s="55"/>
      <c r="D373" s="57"/>
      <c r="E373" s="57"/>
      <c r="F373" s="57"/>
      <c r="G373" s="57"/>
      <c r="H373" s="57"/>
      <c r="I373" s="57"/>
      <c r="J373" s="57"/>
      <c r="K373" s="57"/>
      <c r="L373" s="57"/>
    </row>
    <row r="374" spans="1:12">
      <c r="A374" s="57"/>
      <c r="B374" s="55"/>
      <c r="C374" s="55"/>
      <c r="D374" s="57"/>
      <c r="E374" s="57"/>
      <c r="F374" s="57"/>
      <c r="G374" s="57"/>
      <c r="H374" s="57"/>
      <c r="I374" s="57"/>
      <c r="J374" s="57"/>
      <c r="K374" s="57"/>
      <c r="L374" s="57"/>
    </row>
    <row r="375" spans="1:12">
      <c r="A375" s="57"/>
      <c r="B375" s="55"/>
      <c r="C375" s="55"/>
      <c r="D375" s="57"/>
      <c r="E375" s="57"/>
      <c r="F375" s="57"/>
      <c r="G375" s="57"/>
      <c r="H375" s="57"/>
      <c r="I375" s="57"/>
      <c r="J375" s="57"/>
      <c r="K375" s="57"/>
      <c r="L375" s="57"/>
    </row>
    <row r="376" spans="1:12">
      <c r="A376" s="57"/>
      <c r="B376" s="55"/>
      <c r="C376" s="55"/>
      <c r="D376" s="57"/>
      <c r="E376" s="57"/>
      <c r="F376" s="57"/>
      <c r="G376" s="57"/>
      <c r="H376" s="57"/>
      <c r="I376" s="57"/>
      <c r="J376" s="57"/>
      <c r="K376" s="57"/>
      <c r="L376" s="57"/>
    </row>
    <row r="377" spans="1:12">
      <c r="A377" s="57"/>
      <c r="B377" s="55"/>
      <c r="C377" s="55"/>
      <c r="D377" s="57"/>
      <c r="E377" s="57"/>
      <c r="F377" s="57"/>
      <c r="G377" s="57"/>
      <c r="H377" s="57"/>
      <c r="I377" s="57"/>
      <c r="J377" s="57"/>
      <c r="K377" s="57"/>
      <c r="L377" s="57"/>
    </row>
    <row r="378" spans="1:12">
      <c r="A378" s="57"/>
      <c r="B378" s="55"/>
      <c r="C378" s="55"/>
      <c r="D378" s="57"/>
      <c r="E378" s="57"/>
      <c r="F378" s="57"/>
      <c r="G378" s="57"/>
      <c r="H378" s="57"/>
      <c r="I378" s="57"/>
      <c r="J378" s="57"/>
      <c r="K378" s="57"/>
      <c r="L378" s="57"/>
    </row>
    <row r="379" spans="1:12">
      <c r="A379" s="57"/>
      <c r="B379" s="55"/>
      <c r="C379" s="55"/>
      <c r="D379" s="57"/>
      <c r="E379" s="57"/>
      <c r="F379" s="57"/>
      <c r="G379" s="57"/>
      <c r="H379" s="57"/>
      <c r="I379" s="57"/>
      <c r="J379" s="57"/>
      <c r="K379" s="57"/>
      <c r="L379" s="57"/>
    </row>
    <row r="380" spans="1:12">
      <c r="A380" s="57"/>
      <c r="B380" s="55"/>
      <c r="C380" s="55"/>
      <c r="D380" s="57"/>
      <c r="E380" s="57"/>
      <c r="F380" s="57"/>
      <c r="G380" s="57"/>
      <c r="H380" s="57"/>
      <c r="I380" s="57"/>
      <c r="J380" s="57"/>
      <c r="K380" s="57"/>
      <c r="L380" s="57"/>
    </row>
    <row r="381" spans="1:12">
      <c r="A381" s="57"/>
      <c r="B381" s="55"/>
      <c r="C381" s="55"/>
      <c r="D381" s="57"/>
      <c r="E381" s="57"/>
      <c r="F381" s="57"/>
      <c r="G381" s="57"/>
      <c r="H381" s="57"/>
      <c r="I381" s="57"/>
      <c r="J381" s="57"/>
      <c r="K381" s="57"/>
      <c r="L381" s="57"/>
    </row>
    <row r="382" spans="1:12">
      <c r="A382" s="57"/>
      <c r="B382" s="55"/>
      <c r="C382" s="55"/>
      <c r="D382" s="57"/>
      <c r="E382" s="57"/>
      <c r="F382" s="57"/>
      <c r="G382" s="57"/>
      <c r="H382" s="57"/>
      <c r="I382" s="57"/>
      <c r="J382" s="57"/>
      <c r="K382" s="57"/>
      <c r="L382" s="57"/>
    </row>
    <row r="383" spans="1:12">
      <c r="A383" s="57"/>
      <c r="B383" s="55"/>
      <c r="C383" s="55"/>
      <c r="D383" s="57"/>
      <c r="E383" s="57"/>
      <c r="F383" s="57"/>
      <c r="G383" s="57"/>
      <c r="H383" s="57"/>
      <c r="I383" s="57"/>
      <c r="J383" s="57"/>
      <c r="K383" s="57"/>
      <c r="L383" s="57"/>
    </row>
    <row r="384" spans="1:12">
      <c r="A384" s="57"/>
      <c r="B384" s="55"/>
      <c r="C384" s="55"/>
      <c r="D384" s="57"/>
      <c r="E384" s="57"/>
      <c r="F384" s="57"/>
      <c r="G384" s="57"/>
      <c r="H384" s="57"/>
      <c r="I384" s="57"/>
      <c r="J384" s="57"/>
      <c r="K384" s="57"/>
      <c r="L384" s="57"/>
    </row>
    <row r="385" spans="1:12">
      <c r="A385" s="57"/>
      <c r="B385" s="55"/>
      <c r="C385" s="55"/>
      <c r="D385" s="57"/>
      <c r="E385" s="57"/>
      <c r="F385" s="57"/>
      <c r="G385" s="57"/>
      <c r="H385" s="57"/>
      <c r="I385" s="57"/>
      <c r="J385" s="57"/>
      <c r="K385" s="57"/>
      <c r="L385" s="57"/>
    </row>
    <row r="386" spans="1:12">
      <c r="A386" s="57"/>
      <c r="B386" s="55"/>
      <c r="C386" s="55"/>
      <c r="D386" s="57"/>
      <c r="E386" s="57"/>
      <c r="F386" s="57"/>
      <c r="G386" s="57"/>
      <c r="H386" s="57"/>
      <c r="I386" s="57"/>
      <c r="J386" s="57"/>
      <c r="K386" s="57"/>
      <c r="L386" s="57"/>
    </row>
    <row r="387" spans="1:12">
      <c r="A387" s="57"/>
      <c r="B387" s="55"/>
      <c r="C387" s="55"/>
      <c r="D387" s="57"/>
      <c r="E387" s="57"/>
      <c r="F387" s="57"/>
      <c r="G387" s="57"/>
      <c r="H387" s="57"/>
      <c r="I387" s="57"/>
      <c r="J387" s="57"/>
      <c r="K387" s="57"/>
      <c r="L387" s="57"/>
    </row>
    <row r="388" spans="1:12">
      <c r="A388" s="57"/>
      <c r="B388" s="55"/>
      <c r="C388" s="55"/>
      <c r="D388" s="57"/>
      <c r="E388" s="57"/>
      <c r="F388" s="57"/>
      <c r="G388" s="57"/>
      <c r="H388" s="57"/>
      <c r="I388" s="57"/>
      <c r="J388" s="57"/>
      <c r="K388" s="57"/>
      <c r="L388" s="57"/>
    </row>
    <row r="389" spans="1:12">
      <c r="A389" s="57"/>
      <c r="B389" s="55"/>
      <c r="C389" s="55"/>
      <c r="D389" s="57"/>
      <c r="E389" s="57"/>
      <c r="F389" s="57"/>
      <c r="G389" s="57"/>
      <c r="H389" s="57"/>
      <c r="I389" s="57"/>
      <c r="J389" s="57"/>
      <c r="K389" s="57"/>
      <c r="L389" s="57"/>
    </row>
    <row r="390" spans="1:12">
      <c r="A390" s="57"/>
      <c r="B390" s="55"/>
      <c r="C390" s="55"/>
      <c r="D390" s="57"/>
      <c r="E390" s="57"/>
      <c r="F390" s="57"/>
      <c r="G390" s="57"/>
      <c r="H390" s="57"/>
      <c r="I390" s="57"/>
      <c r="J390" s="57"/>
      <c r="K390" s="57"/>
      <c r="L390" s="57"/>
    </row>
    <row r="391" spans="1:12">
      <c r="A391" s="57"/>
      <c r="B391" s="55"/>
      <c r="C391" s="55"/>
      <c r="D391" s="57"/>
      <c r="E391" s="57"/>
      <c r="F391" s="57"/>
      <c r="G391" s="57"/>
      <c r="H391" s="57"/>
      <c r="I391" s="57"/>
      <c r="J391" s="57"/>
      <c r="K391" s="57"/>
      <c r="L391" s="57"/>
    </row>
    <row r="392" spans="1:12">
      <c r="A392" s="57"/>
      <c r="B392" s="55"/>
      <c r="C392" s="55"/>
      <c r="D392" s="57"/>
      <c r="E392" s="57"/>
      <c r="F392" s="57"/>
      <c r="G392" s="57"/>
      <c r="H392" s="57"/>
      <c r="I392" s="57"/>
      <c r="J392" s="57"/>
      <c r="K392" s="57"/>
      <c r="L392" s="57"/>
    </row>
    <row r="393" spans="1:12">
      <c r="A393" s="57"/>
      <c r="B393" s="55"/>
      <c r="C393" s="55"/>
      <c r="D393" s="57"/>
      <c r="E393" s="57"/>
      <c r="F393" s="57"/>
      <c r="G393" s="57"/>
      <c r="H393" s="57"/>
      <c r="I393" s="57"/>
      <c r="J393" s="57"/>
      <c r="K393" s="57"/>
      <c r="L393" s="57"/>
    </row>
    <row r="394" spans="1:12">
      <c r="A394" s="57"/>
      <c r="B394" s="55"/>
      <c r="C394" s="55"/>
      <c r="D394" s="57"/>
      <c r="E394" s="57"/>
      <c r="F394" s="57"/>
      <c r="G394" s="57"/>
      <c r="H394" s="57"/>
      <c r="I394" s="57"/>
      <c r="J394" s="57"/>
      <c r="K394" s="57"/>
      <c r="L394" s="57"/>
    </row>
    <row r="395" spans="1:12">
      <c r="A395" s="57"/>
      <c r="B395" s="55"/>
      <c r="C395" s="55"/>
      <c r="D395" s="57"/>
      <c r="E395" s="57"/>
      <c r="F395" s="57"/>
      <c r="G395" s="57"/>
      <c r="H395" s="57"/>
      <c r="I395" s="57"/>
      <c r="J395" s="57"/>
      <c r="K395" s="57"/>
      <c r="L395" s="57"/>
    </row>
    <row r="396" spans="1:12">
      <c r="A396" s="57"/>
      <c r="B396" s="55"/>
      <c r="C396" s="55"/>
      <c r="D396" s="57"/>
      <c r="E396" s="57"/>
      <c r="F396" s="57"/>
      <c r="G396" s="57"/>
      <c r="H396" s="57"/>
      <c r="I396" s="57"/>
      <c r="J396" s="57"/>
      <c r="K396" s="57"/>
      <c r="L396" s="57"/>
    </row>
    <row r="397" spans="1:12">
      <c r="A397" s="57"/>
      <c r="B397" s="55"/>
      <c r="C397" s="55"/>
      <c r="D397" s="57"/>
      <c r="E397" s="57"/>
      <c r="F397" s="57"/>
      <c r="G397" s="57"/>
      <c r="H397" s="57"/>
      <c r="I397" s="57"/>
      <c r="J397" s="57"/>
      <c r="K397" s="57"/>
      <c r="L397" s="57"/>
    </row>
    <row r="398" spans="1:12">
      <c r="A398" s="57"/>
      <c r="B398" s="55"/>
      <c r="C398" s="55"/>
      <c r="D398" s="57"/>
      <c r="E398" s="57"/>
      <c r="F398" s="57"/>
      <c r="G398" s="57"/>
      <c r="H398" s="57"/>
      <c r="I398" s="57"/>
      <c r="J398" s="57"/>
      <c r="K398" s="57"/>
      <c r="L398" s="57"/>
    </row>
    <row r="399" spans="1:12">
      <c r="A399" s="57"/>
      <c r="B399" s="55"/>
      <c r="C399" s="55"/>
      <c r="D399" s="57"/>
      <c r="E399" s="57"/>
      <c r="F399" s="57"/>
      <c r="G399" s="57"/>
      <c r="H399" s="57"/>
      <c r="I399" s="57"/>
      <c r="J399" s="57"/>
      <c r="K399" s="57"/>
      <c r="L399" s="57"/>
    </row>
    <row r="400" spans="1:12">
      <c r="A400" s="57"/>
      <c r="B400" s="55"/>
      <c r="C400" s="55"/>
      <c r="D400" s="57"/>
      <c r="E400" s="57"/>
      <c r="F400" s="57"/>
      <c r="G400" s="57"/>
      <c r="H400" s="57"/>
      <c r="I400" s="57"/>
      <c r="J400" s="57"/>
      <c r="K400" s="57"/>
      <c r="L400" s="57"/>
    </row>
  </sheetData>
  <mergeCells count="3">
    <mergeCell ref="A1:C1"/>
    <mergeCell ref="A4:C4"/>
    <mergeCell ref="A2:C2"/>
  </mergeCells>
  <conditionalFormatting sqref="D6:D312">
    <cfRule type="cellIs" dxfId="3" priority="1" operator="equal">
      <formula>"C"</formula>
    </cfRule>
    <cfRule type="cellIs" dxfId="2" priority="2" operator="equal">
      <formula>"B"</formula>
    </cfRule>
    <cfRule type="cellIs" dxfId="1" priority="3" operator="equal">
      <formula>"A"</formula>
    </cfRule>
  </conditionalFormatting>
  <dataValidations count="2">
    <dataValidation type="list" allowBlank="1" sqref="A6:A400" xr:uid="{00000000-0002-0000-0800-000000000000}">
      <formula1>DepartmentCatalog</formula1>
    </dataValidation>
    <dataValidation type="list" allowBlank="1" sqref="C6:C400" xr:uid="{00000000-0002-0000-0800-000001000000}">
      <formula1>MasterSkillCatalog</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H803"/>
  <sheetViews>
    <sheetView showGridLines="0" topLeftCell="A16" workbookViewId="0">
      <selection activeCell="J34" sqref="J34"/>
    </sheetView>
  </sheetViews>
  <sheetFormatPr defaultRowHeight="13.8"/>
  <cols>
    <col min="1" max="1" width="13" customWidth="1"/>
    <col min="2" max="2" width="23" customWidth="1"/>
    <col min="3" max="3" width="18" customWidth="1"/>
    <col min="4" max="4" width="8" customWidth="1"/>
    <col min="5" max="5" width="20" customWidth="1"/>
    <col min="6" max="6" width="12" customWidth="1"/>
    <col min="7" max="7" width="11" customWidth="1"/>
    <col min="8" max="8" width="24" customWidth="1"/>
    <col min="9" max="9" width="10" customWidth="1"/>
    <col min="10" max="10" width="25" customWidth="1"/>
    <col min="11" max="11" width="18" customWidth="1"/>
    <col min="12" max="12" width="10" customWidth="1"/>
    <col min="13" max="13" width="15" customWidth="1"/>
    <col min="14" max="14" width="9" customWidth="1"/>
    <col min="15" max="15" width="2.5" customWidth="1"/>
    <col min="16" max="16" width="25" hidden="1" customWidth="1"/>
    <col min="17" max="17" width="18" hidden="1" customWidth="1"/>
    <col min="18" max="18" width="11" hidden="1" customWidth="1"/>
    <col min="19" max="21" width="13" hidden="1" customWidth="1"/>
    <col min="22" max="22" width="18" hidden="1" customWidth="1"/>
    <col min="23" max="23" width="25" hidden="1" customWidth="1"/>
    <col min="24" max="24" width="16" hidden="1" customWidth="1"/>
    <col min="25" max="25" width="13" hidden="1" customWidth="1"/>
    <col min="26" max="26" width="14" hidden="1" customWidth="1"/>
    <col min="27" max="31" width="13" hidden="1" customWidth="1"/>
    <col min="32" max="32" width="23" hidden="1" customWidth="1"/>
    <col min="33" max="33" width="18" hidden="1" customWidth="1"/>
    <col min="34" max="34" width="12" hidden="1" customWidth="1"/>
    <col min="35" max="35" width="13" hidden="1" customWidth="1"/>
    <col min="36" max="36" width="15" hidden="1" customWidth="1"/>
    <col min="37" max="37" width="20" hidden="1" customWidth="1"/>
    <col min="38" max="38" width="14" hidden="1" customWidth="1"/>
    <col min="39" max="39" width="16" hidden="1" customWidth="1"/>
    <col min="40" max="41" width="13" hidden="1" customWidth="1"/>
    <col min="42" max="42" width="16.5" hidden="1" customWidth="1"/>
    <col min="43" max="43" width="12" hidden="1" customWidth="1"/>
    <col min="44" max="78" width="13" hidden="1" customWidth="1"/>
    <col min="79" max="79" width="13.19921875" hidden="1" customWidth="1"/>
    <col min="80" max="80" width="13" hidden="1" customWidth="1"/>
    <col min="81" max="81" width="15.3984375" hidden="1" customWidth="1"/>
    <col min="82" max="82" width="13" hidden="1" customWidth="1"/>
    <col min="83" max="83" width="13.69921875" hidden="1" customWidth="1"/>
    <col min="84" max="86" width="13" hidden="1" customWidth="1"/>
  </cols>
  <sheetData>
    <row r="1" spans="1:85" ht="34.049999999999997" customHeight="1">
      <c r="A1" s="147" t="s">
        <v>1233</v>
      </c>
      <c r="B1" s="67"/>
      <c r="C1" s="67"/>
      <c r="D1" s="67"/>
      <c r="E1" s="67"/>
      <c r="F1" s="67"/>
      <c r="G1" s="67"/>
      <c r="H1" s="67"/>
      <c r="I1" s="67"/>
      <c r="J1" s="67"/>
      <c r="K1" s="67"/>
      <c r="L1" s="67"/>
      <c r="M1" s="67"/>
      <c r="N1" s="67"/>
    </row>
    <row r="2" spans="1:85">
      <c r="A2" s="73" t="s">
        <v>1234</v>
      </c>
      <c r="B2" s="67"/>
      <c r="C2" s="67"/>
      <c r="D2" s="67"/>
      <c r="E2" s="67"/>
      <c r="F2" s="67"/>
      <c r="G2" s="67"/>
      <c r="H2" s="67"/>
      <c r="I2" s="121" t="s">
        <v>1235</v>
      </c>
      <c r="J2" s="67"/>
      <c r="K2" s="67"/>
      <c r="L2" s="67"/>
      <c r="M2" s="67"/>
      <c r="N2" s="67"/>
      <c r="P2" s="146" t="s">
        <v>1236</v>
      </c>
      <c r="Q2" s="67"/>
      <c r="R2" s="67"/>
      <c r="S2" s="67"/>
      <c r="T2" s="67"/>
      <c r="U2" s="67"/>
      <c r="W2" s="146" t="s">
        <v>1237</v>
      </c>
      <c r="X2" s="67"/>
      <c r="Y2" s="67"/>
      <c r="Z2" s="67"/>
      <c r="AA2" s="67"/>
      <c r="AB2" s="67"/>
      <c r="AC2" s="67"/>
      <c r="AD2" s="67"/>
      <c r="AE2" s="67"/>
      <c r="AF2" s="146" t="s">
        <v>1238</v>
      </c>
      <c r="AG2" s="67"/>
      <c r="AH2" s="67"/>
      <c r="AI2" s="67"/>
      <c r="AJ2" s="67"/>
      <c r="AK2" s="67"/>
      <c r="AL2" s="67"/>
      <c r="AP2" s="148" t="s">
        <v>1239</v>
      </c>
      <c r="AQ2" s="67"/>
      <c r="AR2" s="67"/>
      <c r="AS2" s="67"/>
      <c r="AT2" s="67"/>
      <c r="AU2" s="67"/>
      <c r="AV2" s="67"/>
      <c r="AW2" s="67"/>
      <c r="AX2" s="67"/>
      <c r="AY2" s="67"/>
      <c r="BA2" s="148" t="s">
        <v>1240</v>
      </c>
      <c r="BB2" s="67"/>
      <c r="BC2" s="67"/>
      <c r="BD2" s="67"/>
      <c r="BE2" s="67"/>
      <c r="BF2" s="67"/>
      <c r="BG2" s="67"/>
      <c r="BH2" s="67"/>
      <c r="BI2" s="67"/>
      <c r="BJ2" s="67"/>
      <c r="BL2" s="56"/>
      <c r="BT2" s="149" t="s">
        <v>1241</v>
      </c>
      <c r="BU2" s="67"/>
      <c r="BV2" s="67"/>
      <c r="BW2" s="67"/>
      <c r="BX2" s="67"/>
      <c r="BY2" s="67"/>
      <c r="BZ2" s="67"/>
      <c r="CA2" s="67"/>
      <c r="CB2" s="149" t="s">
        <v>1242</v>
      </c>
      <c r="CC2" s="67"/>
      <c r="CD2" s="149" t="s">
        <v>1243</v>
      </c>
      <c r="CE2" s="67"/>
      <c r="CF2" s="149" t="s">
        <v>1244</v>
      </c>
      <c r="CG2" s="67"/>
    </row>
    <row r="3" spans="1:85" ht="27.6" customHeight="1">
      <c r="A3" s="20" t="s">
        <v>3</v>
      </c>
      <c r="B3" s="20" t="s">
        <v>1183</v>
      </c>
      <c r="C3" s="20" t="s">
        <v>4</v>
      </c>
      <c r="D3" s="20" t="s">
        <v>287</v>
      </c>
      <c r="E3" s="20" t="s">
        <v>181</v>
      </c>
      <c r="F3" s="20" t="s">
        <v>1184</v>
      </c>
      <c r="G3" s="20" t="s">
        <v>8</v>
      </c>
      <c r="H3" s="20" t="s">
        <v>1245</v>
      </c>
      <c r="I3" s="20" t="s">
        <v>405</v>
      </c>
      <c r="J3" s="20" t="s">
        <v>1246</v>
      </c>
      <c r="K3" s="20" t="s">
        <v>4</v>
      </c>
      <c r="L3" s="20" t="s">
        <v>285</v>
      </c>
      <c r="M3" s="20" t="s">
        <v>1247</v>
      </c>
      <c r="N3" s="20" t="s">
        <v>16</v>
      </c>
      <c r="P3" s="20" t="s">
        <v>282</v>
      </c>
      <c r="Q3" s="20" t="s">
        <v>4</v>
      </c>
      <c r="R3" s="20" t="s">
        <v>293</v>
      </c>
      <c r="S3" s="20" t="s">
        <v>292</v>
      </c>
      <c r="T3" s="20" t="s">
        <v>294</v>
      </c>
      <c r="U3" s="20" t="s">
        <v>1248</v>
      </c>
      <c r="V3" s="20" t="s">
        <v>1249</v>
      </c>
      <c r="W3" s="20" t="s">
        <v>282</v>
      </c>
      <c r="X3" s="20" t="s">
        <v>4</v>
      </c>
      <c r="Y3" s="20" t="s">
        <v>285</v>
      </c>
      <c r="Z3" s="20" t="s">
        <v>1250</v>
      </c>
      <c r="AA3" s="20" t="s">
        <v>1248</v>
      </c>
      <c r="AB3" s="20" t="s">
        <v>1251</v>
      </c>
      <c r="AC3" s="20" t="s">
        <v>293</v>
      </c>
      <c r="AD3" s="20" t="s">
        <v>1252</v>
      </c>
      <c r="AE3" s="20" t="s">
        <v>286</v>
      </c>
      <c r="AF3" s="20" t="s">
        <v>2</v>
      </c>
      <c r="AG3" s="20" t="s">
        <v>4</v>
      </c>
      <c r="AH3" s="20" t="s">
        <v>287</v>
      </c>
      <c r="AI3" s="20" t="s">
        <v>1250</v>
      </c>
      <c r="AJ3" s="20" t="s">
        <v>284</v>
      </c>
      <c r="AK3" s="20" t="s">
        <v>181</v>
      </c>
      <c r="AL3" s="20" t="s">
        <v>1248</v>
      </c>
      <c r="AM3" s="20" t="s">
        <v>1253</v>
      </c>
      <c r="AN3" s="20" t="s">
        <v>1254</v>
      </c>
      <c r="AO3" s="20" t="s">
        <v>1255</v>
      </c>
      <c r="AP3" s="20" t="s">
        <v>282</v>
      </c>
      <c r="AQ3" s="20" t="s">
        <v>4</v>
      </c>
      <c r="AR3" s="20" t="s">
        <v>285</v>
      </c>
      <c r="AS3" s="20" t="s">
        <v>293</v>
      </c>
      <c r="AT3" s="20" t="s">
        <v>292</v>
      </c>
      <c r="AU3" s="20" t="s">
        <v>333</v>
      </c>
      <c r="AV3" s="20" t="s">
        <v>294</v>
      </c>
      <c r="AW3" s="20" t="s">
        <v>1256</v>
      </c>
      <c r="AX3" s="20" t="s">
        <v>1257</v>
      </c>
      <c r="AY3" s="20" t="s">
        <v>16</v>
      </c>
      <c r="BA3" s="20" t="s">
        <v>2</v>
      </c>
      <c r="BB3" s="20" t="s">
        <v>4</v>
      </c>
      <c r="BC3" s="20" t="s">
        <v>282</v>
      </c>
      <c r="BD3" s="20" t="s">
        <v>348</v>
      </c>
      <c r="BE3" s="20" t="s">
        <v>315</v>
      </c>
      <c r="BF3" s="20" t="s">
        <v>8</v>
      </c>
      <c r="BG3" s="20" t="s">
        <v>395</v>
      </c>
      <c r="BH3" s="20" t="s">
        <v>316</v>
      </c>
      <c r="BI3" s="20" t="s">
        <v>1256</v>
      </c>
      <c r="BJ3" s="20" t="s">
        <v>1257</v>
      </c>
      <c r="BK3" s="20" t="s">
        <v>1258</v>
      </c>
      <c r="BL3" s="20"/>
      <c r="BM3" s="20"/>
      <c r="BN3" s="20"/>
      <c r="BO3" s="20"/>
      <c r="BP3" s="20"/>
      <c r="BQ3" s="20"/>
      <c r="BR3" s="20"/>
      <c r="BS3" s="20"/>
      <c r="BT3" s="20" t="s">
        <v>282</v>
      </c>
      <c r="BU3" s="20" t="s">
        <v>4</v>
      </c>
      <c r="BV3" s="20" t="s">
        <v>283</v>
      </c>
      <c r="BW3" s="20" t="s">
        <v>1259</v>
      </c>
      <c r="BX3" s="20" t="s">
        <v>1260</v>
      </c>
      <c r="BY3" s="20" t="s">
        <v>285</v>
      </c>
      <c r="BZ3" s="20" t="s">
        <v>393</v>
      </c>
      <c r="CA3" s="20" t="s">
        <v>1257</v>
      </c>
      <c r="CB3" s="20" t="s">
        <v>403</v>
      </c>
      <c r="CC3" s="20" t="s">
        <v>1257</v>
      </c>
      <c r="CD3" s="20" t="s">
        <v>1261</v>
      </c>
      <c r="CE3" s="20" t="s">
        <v>1257</v>
      </c>
      <c r="CF3" s="20" t="s">
        <v>1261</v>
      </c>
      <c r="CG3" s="20" t="s">
        <v>1257</v>
      </c>
    </row>
    <row r="4" spans="1:85">
      <c r="A4" s="2" t="s">
        <v>413</v>
      </c>
      <c r="B4" s="1" t="s">
        <v>20</v>
      </c>
      <c r="C4" s="1" t="s">
        <v>304</v>
      </c>
      <c r="D4" s="1">
        <v>1</v>
      </c>
      <c r="E4" s="1" t="s">
        <v>409</v>
      </c>
      <c r="F4" s="3">
        <v>45355</v>
      </c>
      <c r="G4" s="1" t="s">
        <v>16</v>
      </c>
      <c r="H4" s="4" t="s">
        <v>414</v>
      </c>
      <c r="I4" s="1" t="s">
        <v>488</v>
      </c>
      <c r="J4" s="1" t="s">
        <v>486</v>
      </c>
      <c r="K4" s="1" t="s">
        <v>304</v>
      </c>
      <c r="L4" s="1" t="s">
        <v>411</v>
      </c>
      <c r="M4" s="1">
        <v>3</v>
      </c>
      <c r="N4" s="1" t="s">
        <v>27</v>
      </c>
      <c r="P4" s="1" t="s">
        <v>486</v>
      </c>
      <c r="Q4" s="1" t="s">
        <v>304</v>
      </c>
      <c r="R4" s="1">
        <v>0</v>
      </c>
      <c r="S4" s="1">
        <f>COUNTIF('Skills Matrix'!$G$6:$G$205,3)</f>
        <v>1</v>
      </c>
      <c r="T4" s="1">
        <f t="shared" ref="T4:T35" si="0">MAX(0,R4-S4)</f>
        <v>0</v>
      </c>
      <c r="U4" s="1" t="str">
        <f>IF(AND(T4&gt;0,OR('HR Quick View'!$F$24="All Departments",Q4='HR Quick View'!$F$24)),COUNTIFS($T$4:$T$108,"&gt;"&amp;T4,$Q$4:$Q$108,IF('HR Quick View'!$F$24="All Departments","*",'HR Quick View'!$F$24))+COUNTIFS($T$4:T4,T4,$Q$4:Q4,IF('HR Quick View'!$F$24="All Departments","*",'HR Quick View'!$F$24)),"")</f>
        <v/>
      </c>
      <c r="V4" s="1" t="s">
        <v>211</v>
      </c>
      <c r="W4" s="1" t="s">
        <v>486</v>
      </c>
      <c r="X4" s="1" t="s">
        <v>304</v>
      </c>
      <c r="Y4" s="1" t="s">
        <v>411</v>
      </c>
      <c r="Z4" s="1" t="str">
        <f>IF('HR Quick View'!$C$9="","",IF(COUNTIFS('Competency Event Log'!$B$4:$B$803,'HR Quick View'!$C$9,'Competency Event Log'!$C$4:$C$803,W4,'Competency Event Log'!$T$4:$T$803,"Current")=0,"",SUMIFS('Competency Event Log'!$D$4:$D$803,'Competency Event Log'!$B$4:$B$803,'HR Quick View'!$C$9,'Competency Event Log'!$C$4:$C$803,W4,'Competency Event Log'!$T$4:$T$803,"Current")))</f>
        <v/>
      </c>
      <c r="AA4" s="1" t="str">
        <f>IF($Z4="","",IF('HR Quick View'!$B$10="Qualified only",IF($Z4=3,COUNTIF($Z$4:$Z4,3),""),IF('HR Quick View'!$B$10="Developing only",IF(OR($Z4=1,$Z4=2),COUNTIF($Z$4:$Z$108,"&gt;"&amp;$Z4)+COUNTIF($Z$4:$Z4,$Z4)-COUNTIF($Z$4:$Z$108,3),""),IF('HR Quick View'!$B$10="All scored",COUNTIF($Z$4:$Z$108,"&gt;"&amp;$Z4)+COUNTIF($Z$4:$Z4,$Z4),""))))</f>
        <v/>
      </c>
      <c r="AB4" s="1" t="str">
        <f>""</f>
        <v/>
      </c>
      <c r="AC4" s="1">
        <f t="shared" ref="AC4:AC35" si="1">R4</f>
        <v>0</v>
      </c>
      <c r="AD4" s="1">
        <f t="shared" ref="AD4:AD35" si="2">S4</f>
        <v>1</v>
      </c>
      <c r="AE4" s="1">
        <f t="shared" ref="AE4:AE35" si="3">T4</f>
        <v>0</v>
      </c>
      <c r="AF4" s="1" t="str">
        <f>IFERROR(IF(Lists!$B4="","",Lists!$B4),"")</f>
        <v>Alex Bennett</v>
      </c>
      <c r="AG4" s="1" t="str">
        <f>IFERROR(IF(Lists!$B4="","",Lists!$C4),"")</f>
        <v>Customer Support</v>
      </c>
      <c r="AH4" s="1">
        <f>IFERROR(IF(Lists!$B4="","",Lists!$D4),"")</f>
        <v>1</v>
      </c>
      <c r="AI4" s="1">
        <f>IF(AF4="","",IFERROR(INDEX('Skills Matrix'!$G$6:$DE$205,MATCH(AF4,'Skills Matrix'!$B$6:$B$205,0),MATCH('HR Quick View'!$J$9,'Skills Matrix'!$G$5:$DE$5,0)),""))</f>
        <v>3</v>
      </c>
      <c r="AJ4" s="1" t="str">
        <f t="shared" ref="AJ4:AJ35" si="4">IF(AI4=3,"Qualified",IF(AI4=2,"Developing",IF(AI4=1,"Needs Training","")))</f>
        <v>Qualified</v>
      </c>
      <c r="AK4" s="1" t="str">
        <f>IFERROR(IF(Lists!$B4="","",Lists!$E4),"")</f>
        <v>Jordan Blake</v>
      </c>
      <c r="AL4" s="1">
        <f>IF(AND(OR('HR Quick View'!$L$10="All Shifts",AH4='HR Quick View'!$L$10),OR(AND('HR Quick View'!$I$10="Qualified only",AI4=3),AND('HR Quick View'!$I$10="All trained",AI4&gt;0))),IF('HR Quick View'!$L$10="All Shifts",COUNTIF($AI$4:$AI$203,"&gt;"&amp;AI4)+COUNTIF($AI$4:AI4,AI4),COUNTIFS($AI$4:$AI$203,"&gt;"&amp;AI4,$AH$4:$AH$203,'HR Quick View'!$L$10)+COUNTIFS($AI$4:AI4,AI4,$AH$4:AH4,'HR Quick View'!$L$10)),"")</f>
        <v>1</v>
      </c>
      <c r="AM4" s="1" t="s">
        <v>270</v>
      </c>
      <c r="AN4" s="1" t="s">
        <v>270</v>
      </c>
      <c r="AO4" s="1" t="s">
        <v>272</v>
      </c>
      <c r="AP4" s="17" t="str">
        <f>IFERROR(IF(Lists!$J4="","",Lists!$J4),"")</f>
        <v>Zendesk Queue Triage</v>
      </c>
      <c r="AQ4" s="17" t="str">
        <f>IFERROR(IF(Lists!$J4="","",Lists!$K4),"")</f>
        <v>Customer Support</v>
      </c>
      <c r="AR4" s="17" t="str">
        <f>IFERROR(IF(Lists!$J4="","",Lists!$L4),"")</f>
        <v>No</v>
      </c>
      <c r="AS4" s="17">
        <f>IFERROR(IF(Lists!$J4="","",Lists!$M4),0)</f>
        <v>3</v>
      </c>
      <c r="AT4" s="17">
        <f>IF(AP4="","",COUNTIF('Skills Matrix'!$G$6:$G$205,3))</f>
        <v>1</v>
      </c>
      <c r="AU4" s="17">
        <f>IF(AP4="","",COUNTIF('Skills Matrix'!$G$6:$G$205,2))</f>
        <v>1</v>
      </c>
      <c r="AV4" s="17">
        <f t="shared" ref="AV4:AV35" si="5">IF(OR(AP4="",AS4&lt;=0),"",MAX(0,AS4-AT4))</f>
        <v>2</v>
      </c>
      <c r="AW4" s="17">
        <f>IF(OR(AP4="",AS4&lt;=0,AV4&lt;=0,AND('Skill Management'!$D$4&lt;&gt;"All Departments",AQ4&lt;&gt;'Skill Management'!$D$4)),"",IF(AT4=0,100000,0)+IF(AR4="Yes",10000,0)+AV4*100+AU4)</f>
        <v>201</v>
      </c>
      <c r="AX4" s="17">
        <f>IF(AW4="","",COUNTIF($AW$4:$AW$106,"&gt;"&amp;AW4)+COUNTIF($AW$4:AW4,AW4))</f>
        <v>71</v>
      </c>
      <c r="AY4" s="17" t="str">
        <f>IFERROR(IF(Lists!$J4="","",Lists!$N4),"")</f>
        <v>Yes</v>
      </c>
      <c r="BA4" s="17" t="str">
        <f>IFERROR(IF('Training Plan'!$A5="","",'Training Plan'!$A5),"")</f>
        <v>Emerson Perry</v>
      </c>
      <c r="BB4" s="17" t="str">
        <f>IFERROR(IF('Training Plan'!$A5="","",'Training Plan'!$B5),"")</f>
        <v>Software Engineering</v>
      </c>
      <c r="BC4" s="17" t="str">
        <f>IFERROR(IF('Training Plan'!$A5="","",'Training Plan'!$C5),"")</f>
        <v>Secure Coding Basics</v>
      </c>
      <c r="BD4" s="17" t="str">
        <f>IFERROR(IF('Training Plan'!$A5="","",'Training Plan'!$D5),"")</f>
        <v>Complete two guided workflow sessions with a qualified peer before assessment.</v>
      </c>
      <c r="BE4" s="17">
        <f>IFERROR(IF('Training Plan'!$A5="","",'Training Plan'!$E5),"")</f>
        <v>46346</v>
      </c>
      <c r="BF4" s="17" t="str">
        <f>IFERROR(IF('Training Plan'!$A5="","",'Training Plan'!$F5),"")</f>
        <v>Not Started</v>
      </c>
      <c r="BG4" s="17">
        <f>IFERROR(IF('Training Plan'!$A5="","",'Training Plan'!$G5),"")</f>
        <v>0</v>
      </c>
      <c r="BH4" s="17" t="str">
        <f>IFERROR(IF('Training Plan'!$A5="","",'Training Plan'!$H5),"")</f>
        <v>Casey Hart</v>
      </c>
      <c r="BI4" s="17">
        <f>IF(OR(BA4="",BF4="Complete",AND('Skill Management'!$D$4&lt;&gt;"All Departments",BB4&lt;&gt;'Skill Management'!$D$4)),"",IF(BF4="Blocked",100000,IF(BF4="In Progress",200000,300000))+IF(BE4="",99999,BE4))</f>
        <v>346346</v>
      </c>
      <c r="BJ4" s="17">
        <f>IF(BI4="","",COUNTIFS($BI$4:$BI$203,"&gt;0",$BI$4:$BI$203,"&lt;"&amp;BI4)+COUNTIF($BI$4:BI4,BI4))</f>
        <v>16</v>
      </c>
      <c r="BK4" s="1" t="s">
        <v>211</v>
      </c>
      <c r="BT4" t="str">
        <f t="shared" ref="BT4:BT35" si="6">IF($J4="","",$J4)</f>
        <v>Zendesk Queue Triage</v>
      </c>
      <c r="BU4" t="str">
        <f t="shared" ref="BU4:BU35" si="7">IF(BT4="","",$K4)</f>
        <v>Customer Support</v>
      </c>
      <c r="BV4" t="str">
        <f>IF(BT4="","",IFERROR(INDEX('Skills Matrix'!$G$6:$DE$205,MATCH('Employee Transcript'!$C$4,'Skills Matrix'!$B$6:$B$205,0),MATCH(BT4,'Skills Matrix'!$G$5:$DE$5,0)),""))</f>
        <v/>
      </c>
      <c r="BW4" t="str">
        <f>IF(BT4="","",IFERROR(INDEX('Competency Event Log'!$E$4:$E$803,MATCH('Employee Transcript'!$C$4&amp;"|"&amp;BT4,'Competency Event Log'!$U$4:$U$803,0)),""))</f>
        <v/>
      </c>
      <c r="BX4" t="str">
        <f>IF(BT4="","",IF(BU4='Employee Transcript'!$B$7,"Home Department","Cross-Trained"))</f>
        <v>Home Department</v>
      </c>
      <c r="BY4" t="str">
        <f t="shared" ref="BY4:BY35" si="8">IF(BT4="","",$L4)</f>
        <v>No</v>
      </c>
      <c r="BZ4" t="str">
        <f>IF(BT4="","",IFERROR(INDEX('Competency Event Log'!$L$4:$L$803,MATCH('Employee Transcript'!$C$4&amp;"|"&amp;BT4,'Competency Event Log'!$U$4:$U$803,0)),""))</f>
        <v/>
      </c>
      <c r="CA4" t="str">
        <f>IF(N(BV4)&gt;0,COUNTIF($BV$4:BV4,"&gt;0"),"")</f>
        <v/>
      </c>
      <c r="CB4">
        <f>IF(AND('Competency Event Log'!$B4='Employee Transcript'!$C$4,'Competency Event Log'!$I4&lt;&gt;"Yes"),'Competency Event Log'!$K4,"")</f>
        <v>1</v>
      </c>
      <c r="CC4">
        <f t="shared" ref="CC4:CC67" si="9">IF(CB4="","",COUNTIF($CB$4:$CB$803,"&gt;"&amp;CB4)+1)</f>
        <v>13</v>
      </c>
      <c r="CD4">
        <f>IF(Certifications!$A4='Employee Transcript'!$C$4,4,"")</f>
        <v>4</v>
      </c>
      <c r="CE4">
        <f>IF(CD4="","",COUNTIF($CD$4:CD4,"&gt;0"))</f>
        <v>1</v>
      </c>
      <c r="CF4" t="str">
        <f>IF(AND('Training Plan'!$A5='Employee Transcript'!$C$4,'Training Plan'!$F5&lt;&gt;"Complete"),5,"")</f>
        <v/>
      </c>
      <c r="CG4" t="str">
        <f>IF(CF4="","",COUNTIF($CF$4:CF4,"&gt;0"))</f>
        <v/>
      </c>
    </row>
    <row r="5" spans="1:85">
      <c r="A5" s="2" t="s">
        <v>442</v>
      </c>
      <c r="B5" s="1" t="s">
        <v>33</v>
      </c>
      <c r="C5" s="1" t="s">
        <v>304</v>
      </c>
      <c r="D5" s="1">
        <v>2</v>
      </c>
      <c r="E5" s="1" t="s">
        <v>409</v>
      </c>
      <c r="F5" s="3">
        <v>42838</v>
      </c>
      <c r="G5" s="1" t="s">
        <v>16</v>
      </c>
      <c r="H5" s="4" t="s">
        <v>443</v>
      </c>
      <c r="I5" s="1" t="s">
        <v>459</v>
      </c>
      <c r="J5" s="1" t="s">
        <v>457</v>
      </c>
      <c r="K5" s="1" t="s">
        <v>304</v>
      </c>
      <c r="L5" s="1" t="s">
        <v>411</v>
      </c>
      <c r="M5" s="1">
        <v>3</v>
      </c>
      <c r="N5" s="1" t="s">
        <v>27</v>
      </c>
      <c r="P5" s="1" t="s">
        <v>457</v>
      </c>
      <c r="Q5" s="1" t="s">
        <v>304</v>
      </c>
      <c r="R5" s="1">
        <v>0</v>
      </c>
      <c r="S5" s="1">
        <f>COUNTIF('Skills Matrix'!$H$6:$H$205,3)</f>
        <v>2</v>
      </c>
      <c r="T5" s="1">
        <f t="shared" si="0"/>
        <v>0</v>
      </c>
      <c r="U5" s="1" t="str">
        <f>IF(AND(T5&gt;0,OR('HR Quick View'!$F$24="All Departments",Q5='HR Quick View'!$F$24)),COUNTIFS($T$4:$T$108,"&gt;"&amp;T5,$Q$4:$Q$108,IF('HR Quick View'!$F$24="All Departments","*",'HR Quick View'!$F$24))+COUNTIFS($T$4:T5,T5,$Q$4:Q5,IF('HR Quick View'!$F$24="All Departments","*",'HR Quick View'!$F$24)),"")</f>
        <v/>
      </c>
      <c r="V5" s="1" t="s">
        <v>211</v>
      </c>
      <c r="W5" s="1" t="s">
        <v>457</v>
      </c>
      <c r="X5" s="1" t="s">
        <v>304</v>
      </c>
      <c r="Y5" s="1" t="s">
        <v>411</v>
      </c>
      <c r="Z5" s="1" t="str">
        <f>IF('HR Quick View'!$C$9="","",IF(COUNTIFS('Competency Event Log'!$B$4:$B$803,'HR Quick View'!$C$9,'Competency Event Log'!$C$4:$C$803,W5,'Competency Event Log'!$T$4:$T$803,"Current")=0,"",SUMIFS('Competency Event Log'!$D$4:$D$803,'Competency Event Log'!$B$4:$B$803,'HR Quick View'!$C$9,'Competency Event Log'!$C$4:$C$803,W5,'Competency Event Log'!$T$4:$T$803,"Current")))</f>
        <v/>
      </c>
      <c r="AA5" s="1" t="str">
        <f>IF($Z5="","",IF('HR Quick View'!$B$10="Qualified only",IF($Z5=3,COUNTIF($Z$4:$Z5,3),""),IF('HR Quick View'!$B$10="Developing only",IF(OR($Z5=1,$Z5=2),COUNTIF($Z$4:$Z$108,"&gt;"&amp;$Z5)+COUNTIF($Z$4:$Z5,$Z5)-COUNTIF($Z$4:$Z$108,3),""),IF('HR Quick View'!$B$10="All scored",COUNTIF($Z$4:$Z$108,"&gt;"&amp;$Z5)+COUNTIF($Z$4:$Z5,$Z5),""))))</f>
        <v/>
      </c>
      <c r="AB5" s="1" t="str">
        <f>""</f>
        <v/>
      </c>
      <c r="AC5" s="1">
        <f t="shared" si="1"/>
        <v>0</v>
      </c>
      <c r="AD5" s="1">
        <f t="shared" si="2"/>
        <v>2</v>
      </c>
      <c r="AE5" s="1">
        <f t="shared" si="3"/>
        <v>0</v>
      </c>
      <c r="AF5" s="1" t="str">
        <f>IFERROR(IF(Lists!$B5="","",Lists!$B5),"")</f>
        <v>Jordan Collins</v>
      </c>
      <c r="AG5" s="1" t="str">
        <f>IFERROR(IF(Lists!$B5="","",Lists!$C5),"")</f>
        <v>Customer Support</v>
      </c>
      <c r="AH5" s="1">
        <f>IFERROR(IF(Lists!$B5="","",Lists!$D5),"")</f>
        <v>2</v>
      </c>
      <c r="AI5" s="1" t="str">
        <f>IF(AF5="","",IFERROR(INDEX('Skills Matrix'!$G$6:$DE$205,MATCH(AF5,'Skills Matrix'!$B$6:$B$205,0),MATCH('HR Quick View'!$J$9,'Skills Matrix'!$G$5:$DE$5,0)),""))</f>
        <v/>
      </c>
      <c r="AJ5" s="1" t="str">
        <f t="shared" si="4"/>
        <v/>
      </c>
      <c r="AK5" s="1" t="str">
        <f>IFERROR(IF(Lists!$B5="","",Lists!$E5),"")</f>
        <v>Jordan Blake</v>
      </c>
      <c r="AL5" s="1" t="str">
        <f>IF(AND(OR('HR Quick View'!$L$10="All Shifts",AH5='HR Quick View'!$L$10),OR(AND('HR Quick View'!$I$10="Qualified only",AI5=3),AND('HR Quick View'!$I$10="All trained",AI5&gt;0))),IF('HR Quick View'!$L$10="All Shifts",COUNTIF($AI$4:$AI$203,"&gt;"&amp;AI5)+COUNTIF($AI$4:AI5,AI5),COUNTIFS($AI$4:$AI$203,"&gt;"&amp;AI5,$AH$4:$AH$203,'HR Quick View'!$L$10)+COUNTIFS($AI$4:AI5,AI5,$AH$4:AH5,'HR Quick View'!$L$10)),"")</f>
        <v/>
      </c>
      <c r="AM5" s="1" t="s">
        <v>1262</v>
      </c>
      <c r="AN5" s="1" t="s">
        <v>1263</v>
      </c>
      <c r="AO5" s="1">
        <v>1</v>
      </c>
      <c r="AP5" s="17" t="str">
        <f>IFERROR(IF(Lists!$J5="","",Lists!$J5),"")</f>
        <v>ServiceNow Ticket Handling</v>
      </c>
      <c r="AQ5" s="17" t="str">
        <f>IFERROR(IF(Lists!$J5="","",Lists!$K5),"")</f>
        <v>Customer Support</v>
      </c>
      <c r="AR5" s="17" t="str">
        <f>IFERROR(IF(Lists!$J5="","",Lists!$L5),"")</f>
        <v>No</v>
      </c>
      <c r="AS5" s="17">
        <f>IFERROR(IF(Lists!$J5="","",Lists!$M5),0)</f>
        <v>3</v>
      </c>
      <c r="AT5" s="17">
        <f>IF(AP5="","",COUNTIF('Skills Matrix'!$H$6:$H$205,3))</f>
        <v>2</v>
      </c>
      <c r="AU5" s="17">
        <f>IF(AP5="","",COUNTIF('Skills Matrix'!$H$6:$H$205,2))</f>
        <v>0</v>
      </c>
      <c r="AV5" s="17">
        <f t="shared" si="5"/>
        <v>1</v>
      </c>
      <c r="AW5" s="17">
        <f>IF(OR(AP5="",AS5&lt;=0,AV5&lt;=0,AND('Skill Management'!$D$4&lt;&gt;"All Departments",AQ5&lt;&gt;'Skill Management'!$D$4)),"",IF(AT5=0,100000,0)+IF(AR5="Yes",10000,0)+AV5*100+AU5)</f>
        <v>100</v>
      </c>
      <c r="AX5" s="17">
        <f>IF(AW5="","",COUNTIF($AW$4:$AW$106,"&gt;"&amp;AW5)+COUNTIF($AW$4:AW5,AW5))</f>
        <v>84</v>
      </c>
      <c r="AY5" s="17" t="str">
        <f>IFERROR(IF(Lists!$J5="","",Lists!$N5),"")</f>
        <v>Yes</v>
      </c>
      <c r="BA5" s="17" t="str">
        <f>IFERROR(IF('Training Plan'!$A6="","",'Training Plan'!$A6),"")</f>
        <v>Emerson Perry</v>
      </c>
      <c r="BB5" s="17" t="str">
        <f>IFERROR(IF('Training Plan'!$A6="","",'Training Plan'!$B6),"")</f>
        <v>Software Engineering</v>
      </c>
      <c r="BC5" s="17" t="str">
        <f>IFERROR(IF('Training Plan'!$A6="","",'Training Plan'!$C6),"")</f>
        <v>Feature Flag Management</v>
      </c>
      <c r="BD5" s="17" t="str">
        <f>IFERROR(IF('Training Plan'!$A6="","",'Training Plan'!$D6),"")</f>
        <v>Complete two guided workflow sessions with a qualified peer before assessment.</v>
      </c>
      <c r="BE5" s="17">
        <f>IFERROR(IF('Training Plan'!$A6="","",'Training Plan'!$E6),"")</f>
        <v>46286</v>
      </c>
      <c r="BF5" s="17" t="str">
        <f>IFERROR(IF('Training Plan'!$A6="","",'Training Plan'!$F6),"")</f>
        <v>Not Started</v>
      </c>
      <c r="BG5" s="17">
        <f>IFERROR(IF('Training Plan'!$A6="","",'Training Plan'!$G6),"")</f>
        <v>0</v>
      </c>
      <c r="BH5" s="17" t="str">
        <f>IFERROR(IF('Training Plan'!$A6="","",'Training Plan'!$H6),"")</f>
        <v>Casey Hart</v>
      </c>
      <c r="BI5" s="17">
        <f>IF(OR(BA5="",BF5="Complete",AND('Skill Management'!$D$4&lt;&gt;"All Departments",BB5&lt;&gt;'Skill Management'!$D$4)),"",IF(BF5="Blocked",100000,IF(BF5="In Progress",200000,300000))+IF(BE5="",99999,BE5))</f>
        <v>346286</v>
      </c>
      <c r="BJ5" s="17">
        <f>IF(BI5="","",COUNTIFS($BI$4:$BI$203,"&gt;0",$BI$4:$BI$203,"&lt;"&amp;BI5)+COUNTIF($BI$4:BI5,BI5))</f>
        <v>11</v>
      </c>
      <c r="BK5" s="1" t="s">
        <v>304</v>
      </c>
      <c r="BT5" t="str">
        <f t="shared" si="6"/>
        <v>ServiceNow Ticket Handling</v>
      </c>
      <c r="BU5" t="str">
        <f t="shared" si="7"/>
        <v>Customer Support</v>
      </c>
      <c r="BV5" t="str">
        <f>IF(BT5="","",IFERROR(INDEX('Skills Matrix'!$G$6:$DE$205,MATCH('Employee Transcript'!$C$4,'Skills Matrix'!$B$6:$B$205,0),MATCH(BT5,'Skills Matrix'!$G$5:$DE$5,0)),""))</f>
        <v/>
      </c>
      <c r="BW5" t="str">
        <f>IF(BT5="","",IFERROR(INDEX('Competency Event Log'!$E$4:$E$803,MATCH('Employee Transcript'!$C$4&amp;"|"&amp;BT5,'Competency Event Log'!$U$4:$U$803,0)),""))</f>
        <v/>
      </c>
      <c r="BX5" t="str">
        <f>IF(BT5="","",IF(BU5='Employee Transcript'!$B$7,"Home Department","Cross-Trained"))</f>
        <v>Home Department</v>
      </c>
      <c r="BY5" t="str">
        <f t="shared" si="8"/>
        <v>No</v>
      </c>
      <c r="BZ5" t="str">
        <f>IF(BT5="","",IFERROR(INDEX('Competency Event Log'!$L$4:$L$803,MATCH('Employee Transcript'!$C$4&amp;"|"&amp;BT5,'Competency Event Log'!$U$4:$U$803,0)),""))</f>
        <v/>
      </c>
      <c r="CA5" t="str">
        <f>IF(N(BV5)&gt;0,COUNTIF($BV$4:BV5,"&gt;0"),"")</f>
        <v/>
      </c>
      <c r="CB5">
        <f>IF(AND('Competency Event Log'!$B5='Employee Transcript'!$C$4,'Competency Event Log'!$I5&lt;&gt;"Yes"),'Competency Event Log'!$K5,"")</f>
        <v>2</v>
      </c>
      <c r="CC5">
        <f t="shared" si="9"/>
        <v>12</v>
      </c>
      <c r="CD5">
        <f>IF(Certifications!$A5='Employee Transcript'!$C$4,5,"")</f>
        <v>5</v>
      </c>
      <c r="CE5">
        <f>IF(CD5="","",COUNTIF($CD$4:CD5,"&gt;0"))</f>
        <v>2</v>
      </c>
      <c r="CF5" t="str">
        <f>IF(AND('Training Plan'!$A6='Employee Transcript'!$C$4,'Training Plan'!$F6&lt;&gt;"Complete"),6,"")</f>
        <v/>
      </c>
      <c r="CG5" t="str">
        <f>IF(CF5="","",COUNTIF($CF$4:CF5,"&gt;0"))</f>
        <v/>
      </c>
    </row>
    <row r="6" spans="1:85">
      <c r="A6" s="2" t="s">
        <v>474</v>
      </c>
      <c r="B6" s="1" t="s">
        <v>38</v>
      </c>
      <c r="C6" s="1" t="s">
        <v>304</v>
      </c>
      <c r="D6" s="1">
        <v>3</v>
      </c>
      <c r="E6" s="1" t="s">
        <v>409</v>
      </c>
      <c r="F6" s="3">
        <v>43739</v>
      </c>
      <c r="G6" s="1" t="s">
        <v>16</v>
      </c>
      <c r="H6" s="4" t="s">
        <v>475</v>
      </c>
      <c r="I6" s="1" t="s">
        <v>424</v>
      </c>
      <c r="J6" s="1" t="s">
        <v>422</v>
      </c>
      <c r="K6" s="1" t="s">
        <v>304</v>
      </c>
      <c r="L6" s="1" t="s">
        <v>411</v>
      </c>
      <c r="M6" s="1">
        <v>3</v>
      </c>
      <c r="N6" s="1" t="s">
        <v>27</v>
      </c>
      <c r="P6" s="1" t="s">
        <v>422</v>
      </c>
      <c r="Q6" s="1" t="s">
        <v>304</v>
      </c>
      <c r="R6" s="1">
        <v>0</v>
      </c>
      <c r="S6" s="1">
        <f>COUNTIF('Skills Matrix'!$I$6:$I$205,3)</f>
        <v>4</v>
      </c>
      <c r="T6" s="1">
        <f t="shared" si="0"/>
        <v>0</v>
      </c>
      <c r="U6" s="1" t="str">
        <f>IF(AND(T6&gt;0,OR('HR Quick View'!$F$24="All Departments",Q6='HR Quick View'!$F$24)),COUNTIFS($T$4:$T$108,"&gt;"&amp;T6,$Q$4:$Q$108,IF('HR Quick View'!$F$24="All Departments","*",'HR Quick View'!$F$24))+COUNTIFS($T$4:T6,T6,$Q$4:Q6,IF('HR Quick View'!$F$24="All Departments","*",'HR Quick View'!$F$24)),"")</f>
        <v/>
      </c>
      <c r="V6" s="1" t="s">
        <v>310</v>
      </c>
      <c r="W6" s="1" t="s">
        <v>422</v>
      </c>
      <c r="X6" s="1" t="s">
        <v>304</v>
      </c>
      <c r="Y6" s="1" t="s">
        <v>411</v>
      </c>
      <c r="Z6" s="1">
        <f>IF('HR Quick View'!$C$9="","",IF(COUNTIFS('Competency Event Log'!$B$4:$B$803,'HR Quick View'!$C$9,'Competency Event Log'!$C$4:$C$803,W6,'Competency Event Log'!$T$4:$T$803,"Current")=0,"",SUMIFS('Competency Event Log'!$D$4:$D$803,'Competency Event Log'!$B$4:$B$803,'HR Quick View'!$C$9,'Competency Event Log'!$C$4:$C$803,W6,'Competency Event Log'!$T$4:$T$803,"Current")))</f>
        <v>3</v>
      </c>
      <c r="AA6" s="1">
        <f>IF($Z6="","",IF('HR Quick View'!$B$10="Qualified only",IF($Z6=3,COUNTIF($Z$4:$Z6,3),""),IF('HR Quick View'!$B$10="Developing only",IF(OR($Z6=1,$Z6=2),COUNTIF($Z$4:$Z$108,"&gt;"&amp;$Z6)+COUNTIF($Z$4:$Z6,$Z6)-COUNTIF($Z$4:$Z$108,3),""),IF('HR Quick View'!$B$10="All scored",COUNTIF($Z$4:$Z$108,"&gt;"&amp;$Z6)+COUNTIF($Z$4:$Z6,$Z6),""))))</f>
        <v>1</v>
      </c>
      <c r="AB6" s="1" t="str">
        <f>""</f>
        <v/>
      </c>
      <c r="AC6" s="1">
        <f t="shared" si="1"/>
        <v>0</v>
      </c>
      <c r="AD6" s="1">
        <f t="shared" si="2"/>
        <v>4</v>
      </c>
      <c r="AE6" s="1">
        <f t="shared" si="3"/>
        <v>0</v>
      </c>
      <c r="AF6" s="1" t="str">
        <f>IFERROR(IF(Lists!$B6="","",Lists!$B6),"")</f>
        <v>Taylor Bell</v>
      </c>
      <c r="AG6" s="1" t="str">
        <f>IFERROR(IF(Lists!$B6="","",Lists!$C6),"")</f>
        <v>Customer Support</v>
      </c>
      <c r="AH6" s="1">
        <f>IFERROR(IF(Lists!$B6="","",Lists!$D6),"")</f>
        <v>3</v>
      </c>
      <c r="AI6" s="1">
        <f>IF(AF6="","",IFERROR(INDEX('Skills Matrix'!$G$6:$DE$205,MATCH(AF6,'Skills Matrix'!$B$6:$B$205,0),MATCH('HR Quick View'!$J$9,'Skills Matrix'!$G$5:$DE$5,0)),""))</f>
        <v>3</v>
      </c>
      <c r="AJ6" s="1" t="str">
        <f t="shared" si="4"/>
        <v>Qualified</v>
      </c>
      <c r="AK6" s="1" t="str">
        <f>IFERROR(IF(Lists!$B6="","",Lists!$E6),"")</f>
        <v>Jordan Blake</v>
      </c>
      <c r="AL6" s="1">
        <f>IF(AND(OR('HR Quick View'!$L$10="All Shifts",AH6='HR Quick View'!$L$10),OR(AND('HR Quick View'!$I$10="Qualified only",AI6=3),AND('HR Quick View'!$I$10="All trained",AI6&gt;0))),IF('HR Quick View'!$L$10="All Shifts",COUNTIF($AI$4:$AI$203,"&gt;"&amp;AI6)+COUNTIF($AI$4:AI6,AI6),COUNTIFS($AI$4:$AI$203,"&gt;"&amp;AI6,$AH$4:$AH$203,'HR Quick View'!$L$10)+COUNTIFS($AI$4:AI6,AI6,$AH$4:AH6,'HR Quick View'!$L$10)),"")</f>
        <v>2</v>
      </c>
      <c r="AM6" s="1"/>
      <c r="AN6" s="1" t="s">
        <v>268</v>
      </c>
      <c r="AO6" s="1">
        <v>2</v>
      </c>
      <c r="AP6" s="17" t="str">
        <f>IFERROR(IF(Lists!$J6="","",Lists!$J6),"")</f>
        <v>CRM Case Management</v>
      </c>
      <c r="AQ6" s="17" t="str">
        <f>IFERROR(IF(Lists!$J6="","",Lists!$K6),"")</f>
        <v>Customer Support</v>
      </c>
      <c r="AR6" s="17" t="str">
        <f>IFERROR(IF(Lists!$J6="","",Lists!$L6),"")</f>
        <v>No</v>
      </c>
      <c r="AS6" s="17">
        <f>IFERROR(IF(Lists!$J6="","",Lists!$M6),0)</f>
        <v>3</v>
      </c>
      <c r="AT6" s="17">
        <f>IF(AP6="","",COUNTIF('Skills Matrix'!$I$6:$I$205,3))</f>
        <v>4</v>
      </c>
      <c r="AU6" s="17">
        <f>IF(AP6="","",COUNTIF('Skills Matrix'!$I$6:$I$205,2))</f>
        <v>0</v>
      </c>
      <c r="AV6" s="17">
        <f t="shared" si="5"/>
        <v>0</v>
      </c>
      <c r="AW6" s="17" t="str">
        <f>IF(OR(AP6="",AS6&lt;=0,AV6&lt;=0,AND('Skill Management'!$D$4&lt;&gt;"All Departments",AQ6&lt;&gt;'Skill Management'!$D$4)),"",IF(AT6=0,100000,0)+IF(AR6="Yes",10000,0)+AV6*100+AU6)</f>
        <v/>
      </c>
      <c r="AX6" s="17" t="str">
        <f>IF(AW6="","",COUNTIF($AW$4:$AW$106,"&gt;"&amp;AW6)+COUNTIF($AW$4:AW6,AW6))</f>
        <v/>
      </c>
      <c r="AY6" s="17" t="str">
        <f>IFERROR(IF(Lists!$J6="","",Lists!$N6),"")</f>
        <v>Yes</v>
      </c>
      <c r="BA6" s="17" t="str">
        <f>IFERROR(IF('Training Plan'!$A7="","",'Training Plan'!$A7),"")</f>
        <v>Dakota Ward</v>
      </c>
      <c r="BB6" s="17" t="str">
        <f>IFERROR(IF('Training Plan'!$A7="","",'Training Plan'!$B7),"")</f>
        <v>IT Operations</v>
      </c>
      <c r="BC6" s="17" t="str">
        <f>IFERROR(IF('Training Plan'!$A7="","",'Training Plan'!$C7),"")</f>
        <v>Network Support Analyst</v>
      </c>
      <c r="BD6" s="17" t="str">
        <f>IFERROR(IF('Training Plan'!$A7="","",'Training Plan'!$D7),"")</f>
        <v>Schedule guided practice in the standard workflow environment.</v>
      </c>
      <c r="BE6" s="17">
        <f>IFERROR(IF('Training Plan'!$A7="","",'Training Plan'!$E7),"")</f>
        <v>46320</v>
      </c>
      <c r="BF6" s="17" t="str">
        <f>IFERROR(IF('Training Plan'!$A7="","",'Training Plan'!$F7),"")</f>
        <v>In Progress</v>
      </c>
      <c r="BG6" s="17">
        <f>IFERROR(IF('Training Plan'!$A7="","",'Training Plan'!$G7),"")</f>
        <v>0</v>
      </c>
      <c r="BH6" s="17" t="str">
        <f>IFERROR(IF('Training Plan'!$A7="","",'Training Plan'!$H7),"")</f>
        <v>Riley Stone</v>
      </c>
      <c r="BI6" s="17">
        <f>IF(OR(BA6="",BF6="Complete",AND('Skill Management'!$D$4&lt;&gt;"All Departments",BB6&lt;&gt;'Skill Management'!$D$4)),"",IF(BF6="Blocked",100000,IF(BF6="In Progress",200000,300000))+IF(BE6="",99999,BE6))</f>
        <v>246320</v>
      </c>
      <c r="BJ6" s="17">
        <f>IF(BI6="","",COUNTIFS($BI$4:$BI$203,"&gt;0",$BI$4:$BI$203,"&lt;"&amp;BI6)+COUNTIF($BI$4:BI6,BI6))</f>
        <v>5</v>
      </c>
      <c r="BK6" s="1" t="s">
        <v>305</v>
      </c>
      <c r="BT6" t="str">
        <f t="shared" si="6"/>
        <v>CRM Case Management</v>
      </c>
      <c r="BU6" t="str">
        <f t="shared" si="7"/>
        <v>Customer Support</v>
      </c>
      <c r="BV6">
        <f>IF(BT6="","",IFERROR(INDEX('Skills Matrix'!$G$6:$DE$205,MATCH('Employee Transcript'!$C$4,'Skills Matrix'!$B$6:$B$205,0),MATCH(BT6,'Skills Matrix'!$G$5:$DE$5,0)),""))</f>
        <v>3</v>
      </c>
      <c r="BW6">
        <f>IF(BT6="","",IFERROR(INDEX('Competency Event Log'!$E$4:$E$803,MATCH('Employee Transcript'!$C$4&amp;"|"&amp;BT6,'Competency Event Log'!$U$4:$U$803,0)),""))</f>
        <v>46219</v>
      </c>
      <c r="BX6" t="str">
        <f>IF(BT6="","",IF(BU6='Employee Transcript'!$B$7,"Home Department","Cross-Trained"))</f>
        <v>Home Department</v>
      </c>
      <c r="BY6" t="str">
        <f t="shared" si="8"/>
        <v>No</v>
      </c>
      <c r="BZ6" t="str">
        <f>IF(BT6="","",IFERROR(INDEX('Competency Event Log'!$L$4:$L$803,MATCH('Employee Transcript'!$C$4&amp;"|"&amp;BT6,'Competency Event Log'!$U$4:$U$803,0)),""))</f>
        <v>DEMO-00007</v>
      </c>
      <c r="CA6">
        <f>IF(N(BV6)&gt;0,COUNTIF($BV$4:BV6,"&gt;0"),"")</f>
        <v>1</v>
      </c>
      <c r="CB6">
        <f>IF(AND('Competency Event Log'!$B6='Employee Transcript'!$C$4,'Competency Event Log'!$I6&lt;&gt;"Yes"),'Competency Event Log'!$K6,"")</f>
        <v>3</v>
      </c>
      <c r="CC6">
        <f t="shared" si="9"/>
        <v>11</v>
      </c>
      <c r="CD6" t="str">
        <f>IF(Certifications!$A6='Employee Transcript'!$C$4,6,"")</f>
        <v/>
      </c>
      <c r="CE6" t="str">
        <f>IF(CD6="","",COUNTIF($CD$4:CD6,"&gt;0"))</f>
        <v/>
      </c>
      <c r="CF6" t="str">
        <f>IF(AND('Training Plan'!$A7='Employee Transcript'!$C$4,'Training Plan'!$F7&lt;&gt;"Complete"),7,"")</f>
        <v/>
      </c>
      <c r="CG6" t="str">
        <f>IF(CF6="","",COUNTIF($CF$4:CF6,"&gt;0"))</f>
        <v/>
      </c>
    </row>
    <row r="7" spans="1:85">
      <c r="A7" s="2" t="s">
        <v>508</v>
      </c>
      <c r="B7" s="1" t="s">
        <v>43</v>
      </c>
      <c r="C7" s="1" t="s">
        <v>304</v>
      </c>
      <c r="D7" s="1">
        <v>1</v>
      </c>
      <c r="E7" s="1" t="s">
        <v>409</v>
      </c>
      <c r="F7" s="3">
        <v>43307</v>
      </c>
      <c r="G7" s="1" t="s">
        <v>16</v>
      </c>
      <c r="H7" s="4" t="s">
        <v>414</v>
      </c>
      <c r="I7" s="1" t="s">
        <v>462</v>
      </c>
      <c r="J7" s="1" t="s">
        <v>460</v>
      </c>
      <c r="K7" s="1" t="s">
        <v>304</v>
      </c>
      <c r="L7" s="1" t="s">
        <v>411</v>
      </c>
      <c r="M7" s="1">
        <v>3</v>
      </c>
      <c r="N7" s="1" t="s">
        <v>27</v>
      </c>
      <c r="P7" s="1" t="s">
        <v>460</v>
      </c>
      <c r="Q7" s="1" t="s">
        <v>304</v>
      </c>
      <c r="R7" s="1">
        <v>0</v>
      </c>
      <c r="S7" s="1">
        <f>COUNTIF('Skills Matrix'!$J$6:$J$205,3)</f>
        <v>2</v>
      </c>
      <c r="T7" s="1">
        <f t="shared" si="0"/>
        <v>0</v>
      </c>
      <c r="U7" s="1" t="str">
        <f>IF(AND(T7&gt;0,OR('HR Quick View'!$F$24="All Departments",Q7='HR Quick View'!$F$24)),COUNTIFS($T$4:$T$108,"&gt;"&amp;T7,$Q$4:$Q$108,IF('HR Quick View'!$F$24="All Departments","*",'HR Quick View'!$F$24))+COUNTIFS($T$4:T7,T7,$Q$4:Q7,IF('HR Quick View'!$F$24="All Departments","*",'HR Quick View'!$F$24)),"")</f>
        <v/>
      </c>
      <c r="V7" s="1" t="s">
        <v>306</v>
      </c>
      <c r="W7" s="1" t="s">
        <v>460</v>
      </c>
      <c r="X7" s="1" t="s">
        <v>304</v>
      </c>
      <c r="Y7" s="1" t="s">
        <v>411</v>
      </c>
      <c r="Z7" s="1" t="str">
        <f>IF('HR Quick View'!$C$9="","",IF(COUNTIFS('Competency Event Log'!$B$4:$B$803,'HR Quick View'!$C$9,'Competency Event Log'!$C$4:$C$803,W7,'Competency Event Log'!$T$4:$T$803,"Current")=0,"",SUMIFS('Competency Event Log'!$D$4:$D$803,'Competency Event Log'!$B$4:$B$803,'HR Quick View'!$C$9,'Competency Event Log'!$C$4:$C$803,W7,'Competency Event Log'!$T$4:$T$803,"Current")))</f>
        <v/>
      </c>
      <c r="AA7" s="1" t="str">
        <f>IF($Z7="","",IF('HR Quick View'!$B$10="Qualified only",IF($Z7=3,COUNTIF($Z$4:$Z7,3),""),IF('HR Quick View'!$B$10="Developing only",IF(OR($Z7=1,$Z7=2),COUNTIF($Z$4:$Z$108,"&gt;"&amp;$Z7)+COUNTIF($Z$4:$Z7,$Z7)-COUNTIF($Z$4:$Z$108,3),""),IF('HR Quick View'!$B$10="All scored",COUNTIF($Z$4:$Z$108,"&gt;"&amp;$Z7)+COUNTIF($Z$4:$Z7,$Z7),""))))</f>
        <v/>
      </c>
      <c r="AB7" s="1" t="str">
        <f>""</f>
        <v/>
      </c>
      <c r="AC7" s="1">
        <f t="shared" si="1"/>
        <v>0</v>
      </c>
      <c r="AD7" s="1">
        <f t="shared" si="2"/>
        <v>2</v>
      </c>
      <c r="AE7" s="1">
        <f t="shared" si="3"/>
        <v>0</v>
      </c>
      <c r="AF7" s="1" t="str">
        <f>IFERROR(IF(Lists!$B7="","",Lists!$B7),"")</f>
        <v>Morgan Long</v>
      </c>
      <c r="AG7" s="1" t="str">
        <f>IFERROR(IF(Lists!$B7="","",Lists!$C7),"")</f>
        <v>Customer Support</v>
      </c>
      <c r="AH7" s="1">
        <f>IFERROR(IF(Lists!$B7="","",Lists!$D7),"")</f>
        <v>1</v>
      </c>
      <c r="AI7" s="1" t="str">
        <f>IF(AF7="","",IFERROR(INDEX('Skills Matrix'!$G$6:$DE$205,MATCH(AF7,'Skills Matrix'!$B$6:$B$205,0),MATCH('HR Quick View'!$J$9,'Skills Matrix'!$G$5:$DE$5,0)),""))</f>
        <v/>
      </c>
      <c r="AJ7" s="1" t="str">
        <f t="shared" si="4"/>
        <v/>
      </c>
      <c r="AK7" s="1" t="str">
        <f>IFERROR(IF(Lists!$B7="","",Lists!$E7),"")</f>
        <v>Jordan Blake</v>
      </c>
      <c r="AL7" s="1" t="str">
        <f>IF(AND(OR('HR Quick View'!$L$10="All Shifts",AH7='HR Quick View'!$L$10),OR(AND('HR Quick View'!$I$10="Qualified only",AI7=3),AND('HR Quick View'!$I$10="All trained",AI7&gt;0))),IF('HR Quick View'!$L$10="All Shifts",COUNTIF($AI$4:$AI$203,"&gt;"&amp;AI7)+COUNTIF($AI$4:AI7,AI7),COUNTIFS($AI$4:$AI$203,"&gt;"&amp;AI7,$AH$4:$AH$203,'HR Quick View'!$L$10)+COUNTIFS($AI$4:AI7,AI7,$AH$4:AH7,'HR Quick View'!$L$10)),"")</f>
        <v/>
      </c>
      <c r="AM7" s="1"/>
      <c r="AN7" s="1"/>
      <c r="AO7" s="1">
        <v>3</v>
      </c>
      <c r="AP7" s="17" t="str">
        <f>IFERROR(IF(Lists!$J7="","",Lists!$J7),"")</f>
        <v>Knowledge Base Authoring</v>
      </c>
      <c r="AQ7" s="17" t="str">
        <f>IFERROR(IF(Lists!$J7="","",Lists!$K7),"")</f>
        <v>Customer Support</v>
      </c>
      <c r="AR7" s="17" t="str">
        <f>IFERROR(IF(Lists!$J7="","",Lists!$L7),"")</f>
        <v>No</v>
      </c>
      <c r="AS7" s="17">
        <f>IFERROR(IF(Lists!$J7="","",Lists!$M7),0)</f>
        <v>3</v>
      </c>
      <c r="AT7" s="17">
        <f>IF(AP7="","",COUNTIF('Skills Matrix'!$J$6:$J$205,3))</f>
        <v>2</v>
      </c>
      <c r="AU7" s="17">
        <f>IF(AP7="","",COUNTIF('Skills Matrix'!$J$6:$J$205,2))</f>
        <v>2</v>
      </c>
      <c r="AV7" s="17">
        <f t="shared" si="5"/>
        <v>1</v>
      </c>
      <c r="AW7" s="17">
        <f>IF(OR(AP7="",AS7&lt;=0,AV7&lt;=0,AND('Skill Management'!$D$4&lt;&gt;"All Departments",AQ7&lt;&gt;'Skill Management'!$D$4)),"",IF(AT7=0,100000,0)+IF(AR7="Yes",10000,0)+AV7*100+AU7)</f>
        <v>102</v>
      </c>
      <c r="AX7" s="17">
        <f>IF(AW7="","",COUNTIF($AW$4:$AW$106,"&gt;"&amp;AW7)+COUNTIF($AW$4:AW7,AW7))</f>
        <v>79</v>
      </c>
      <c r="AY7" s="17" t="str">
        <f>IFERROR(IF(Lists!$J7="","",Lists!$N7),"")</f>
        <v>Yes</v>
      </c>
      <c r="BA7" s="17" t="str">
        <f>IFERROR(IF('Training Plan'!$A8="","",'Training Plan'!$A8),"")</f>
        <v>Kendall Washington</v>
      </c>
      <c r="BB7" s="17" t="str">
        <f>IFERROR(IF('Training Plan'!$A8="","",'Training Plan'!$B8),"")</f>
        <v>IT Operations</v>
      </c>
      <c r="BC7" s="17" t="str">
        <f>IFERROR(IF('Training Plan'!$A8="","",'Training Plan'!$C8),"")</f>
        <v>Git Workflow</v>
      </c>
      <c r="BD7" s="17" t="str">
        <f>IFERROR(IF('Training Plan'!$A8="","",'Training Plan'!$D8),"")</f>
        <v>Complete refresher training and submit the competency assessment for review.</v>
      </c>
      <c r="BE7" s="17">
        <f>IFERROR(IF('Training Plan'!$A8="","",'Training Plan'!$E8),"")</f>
        <v>46282</v>
      </c>
      <c r="BF7" s="17" t="str">
        <f>IFERROR(IF('Training Plan'!$A8="","",'Training Plan'!$F8),"")</f>
        <v>Complete</v>
      </c>
      <c r="BG7" s="17">
        <f>IFERROR(IF('Training Plan'!$A8="","",'Training Plan'!$G8),"")</f>
        <v>46267</v>
      </c>
      <c r="BH7" s="17" t="str">
        <f>IFERROR(IF('Training Plan'!$A8="","",'Training Plan'!$H8),"")</f>
        <v>Riley Stone</v>
      </c>
      <c r="BI7" s="17" t="str">
        <f>IF(OR(BA7="",BF7="Complete",AND('Skill Management'!$D$4&lt;&gt;"All Departments",BB7&lt;&gt;'Skill Management'!$D$4)),"",IF(BF7="Blocked",100000,IF(BF7="In Progress",200000,300000))+IF(BE7="",99999,BE7))</f>
        <v/>
      </c>
      <c r="BJ7" s="17" t="str">
        <f>IF(BI7="","",COUNTIFS($BI$4:$BI$203,"&gt;0",$BI$4:$BI$203,"&lt;"&amp;BI7)+COUNTIF($BI$4:BI7,BI7))</f>
        <v/>
      </c>
      <c r="BK7" s="1" t="s">
        <v>306</v>
      </c>
      <c r="BT7" t="str">
        <f t="shared" si="6"/>
        <v>Knowledge Base Authoring</v>
      </c>
      <c r="BU7" t="str">
        <f t="shared" si="7"/>
        <v>Customer Support</v>
      </c>
      <c r="BV7" t="str">
        <f>IF(BT7="","",IFERROR(INDEX('Skills Matrix'!$G$6:$DE$205,MATCH('Employee Transcript'!$C$4,'Skills Matrix'!$B$6:$B$205,0),MATCH(BT7,'Skills Matrix'!$G$5:$DE$5,0)),""))</f>
        <v/>
      </c>
      <c r="BW7" t="str">
        <f>IF(BT7="","",IFERROR(INDEX('Competency Event Log'!$E$4:$E$803,MATCH('Employee Transcript'!$C$4&amp;"|"&amp;BT7,'Competency Event Log'!$U$4:$U$803,0)),""))</f>
        <v/>
      </c>
      <c r="BX7" t="str">
        <f>IF(BT7="","",IF(BU7='Employee Transcript'!$B$7,"Home Department","Cross-Trained"))</f>
        <v>Home Department</v>
      </c>
      <c r="BY7" t="str">
        <f t="shared" si="8"/>
        <v>No</v>
      </c>
      <c r="BZ7" t="str">
        <f>IF(BT7="","",IFERROR(INDEX('Competency Event Log'!$L$4:$L$803,MATCH('Employee Transcript'!$C$4&amp;"|"&amp;BT7,'Competency Event Log'!$U$4:$U$803,0)),""))</f>
        <v/>
      </c>
      <c r="CA7" t="str">
        <f>IF(N(BV7)&gt;0,COUNTIF($BV$4:BV7,"&gt;0"),"")</f>
        <v/>
      </c>
      <c r="CB7">
        <f>IF(AND('Competency Event Log'!$B7='Employee Transcript'!$C$4,'Competency Event Log'!$I7&lt;&gt;"Yes"),'Competency Event Log'!$K7,"")</f>
        <v>4</v>
      </c>
      <c r="CC7">
        <f t="shared" si="9"/>
        <v>10</v>
      </c>
      <c r="CD7" t="str">
        <f>IF(Certifications!$A7='Employee Transcript'!$C$4,7,"")</f>
        <v/>
      </c>
      <c r="CE7" t="str">
        <f>IF(CD7="","",COUNTIF($CD$4:CD7,"&gt;0"))</f>
        <v/>
      </c>
      <c r="CF7" t="str">
        <f>IF(AND('Training Plan'!$A8='Employee Transcript'!$C$4,'Training Plan'!$F8&lt;&gt;"Complete"),8,"")</f>
        <v/>
      </c>
      <c r="CG7" t="str">
        <f>IF(CF7="","",COUNTIF($CF$4:CF7,"&gt;0"))</f>
        <v/>
      </c>
    </row>
    <row r="8" spans="1:85">
      <c r="A8" s="2" t="s">
        <v>535</v>
      </c>
      <c r="B8" s="1" t="s">
        <v>47</v>
      </c>
      <c r="C8" s="1" t="s">
        <v>304</v>
      </c>
      <c r="D8" s="1">
        <v>2</v>
      </c>
      <c r="E8" s="1" t="s">
        <v>409</v>
      </c>
      <c r="F8" s="3">
        <v>45507</v>
      </c>
      <c r="G8" s="1" t="s">
        <v>16</v>
      </c>
      <c r="H8" s="4" t="s">
        <v>536</v>
      </c>
      <c r="I8" s="1" t="s">
        <v>415</v>
      </c>
      <c r="J8" s="1" t="s">
        <v>266</v>
      </c>
      <c r="K8" s="1" t="s">
        <v>304</v>
      </c>
      <c r="L8" s="1" t="s">
        <v>411</v>
      </c>
      <c r="M8" s="1">
        <v>3</v>
      </c>
      <c r="N8" s="1" t="s">
        <v>27</v>
      </c>
      <c r="P8" s="1" t="s">
        <v>266</v>
      </c>
      <c r="Q8" s="1" t="s">
        <v>304</v>
      </c>
      <c r="R8" s="1">
        <v>0</v>
      </c>
      <c r="S8" s="1">
        <f>COUNTIF('Skills Matrix'!$K$6:$K$205,3)</f>
        <v>3</v>
      </c>
      <c r="T8" s="1">
        <f t="shared" si="0"/>
        <v>0</v>
      </c>
      <c r="U8" s="1" t="str">
        <f>IF(AND(T8&gt;0,OR('HR Quick View'!$F$24="All Departments",Q8='HR Quick View'!$F$24)),COUNTIFS($T$4:$T$108,"&gt;"&amp;T8,$Q$4:$Q$108,IF('HR Quick View'!$F$24="All Departments","*",'HR Quick View'!$F$24))+COUNTIFS($T$4:T8,T8,$Q$4:Q8,IF('HR Quick View'!$F$24="All Departments","*",'HR Quick View'!$F$24)),"")</f>
        <v/>
      </c>
      <c r="V8" s="1" t="s">
        <v>309</v>
      </c>
      <c r="W8" s="1" t="s">
        <v>266</v>
      </c>
      <c r="X8" s="1" t="s">
        <v>304</v>
      </c>
      <c r="Y8" s="1" t="s">
        <v>411</v>
      </c>
      <c r="Z8" s="1">
        <f>IF('HR Quick View'!$C$9="","",IF(COUNTIFS('Competency Event Log'!$B$4:$B$803,'HR Quick View'!$C$9,'Competency Event Log'!$C$4:$C$803,W8,'Competency Event Log'!$T$4:$T$803,"Current")=0,"",SUMIFS('Competency Event Log'!$D$4:$D$803,'Competency Event Log'!$B$4:$B$803,'HR Quick View'!$C$9,'Competency Event Log'!$C$4:$C$803,W8,'Competency Event Log'!$T$4:$T$803,"Current")))</f>
        <v>3</v>
      </c>
      <c r="AA8" s="1">
        <f>IF($Z8="","",IF('HR Quick View'!$B$10="Qualified only",IF($Z8=3,COUNTIF($Z$4:$Z8,3),""),IF('HR Quick View'!$B$10="Developing only",IF(OR($Z8=1,$Z8=2),COUNTIF($Z$4:$Z$108,"&gt;"&amp;$Z8)+COUNTIF($Z$4:$Z8,$Z8)-COUNTIF($Z$4:$Z$108,3),""),IF('HR Quick View'!$B$10="All scored",COUNTIF($Z$4:$Z$108,"&gt;"&amp;$Z8)+COUNTIF($Z$4:$Z8,$Z8),""))))</f>
        <v>2</v>
      </c>
      <c r="AB8" s="1" t="str">
        <f>""</f>
        <v/>
      </c>
      <c r="AC8" s="1">
        <f t="shared" si="1"/>
        <v>0</v>
      </c>
      <c r="AD8" s="1">
        <f t="shared" si="2"/>
        <v>3</v>
      </c>
      <c r="AE8" s="1">
        <f t="shared" si="3"/>
        <v>0</v>
      </c>
      <c r="AF8" s="1" t="str">
        <f>IFERROR(IF(Lists!$B8="","",Lists!$B8),"")</f>
        <v>Casey Barnes</v>
      </c>
      <c r="AG8" s="1" t="str">
        <f>IFERROR(IF(Lists!$B8="","",Lists!$C8),"")</f>
        <v>Customer Support</v>
      </c>
      <c r="AH8" s="1">
        <f>IFERROR(IF(Lists!$B8="","",Lists!$D8),"")</f>
        <v>2</v>
      </c>
      <c r="AI8" s="1">
        <f>IF(AF8="","",IFERROR(INDEX('Skills Matrix'!$G$6:$DE$205,MATCH(AF8,'Skills Matrix'!$B$6:$B$205,0),MATCH('HR Quick View'!$J$9,'Skills Matrix'!$G$5:$DE$5,0)),""))</f>
        <v>3</v>
      </c>
      <c r="AJ8" s="1" t="str">
        <f t="shared" si="4"/>
        <v>Qualified</v>
      </c>
      <c r="AK8" s="1" t="str">
        <f>IFERROR(IF(Lists!$B8="","",Lists!$E8),"")</f>
        <v>Jordan Blake</v>
      </c>
      <c r="AL8" s="1">
        <f>IF(AND(OR('HR Quick View'!$L$10="All Shifts",AH8='HR Quick View'!$L$10),OR(AND('HR Quick View'!$I$10="Qualified only",AI8=3),AND('HR Quick View'!$I$10="All trained",AI8&gt;0))),IF('HR Quick View'!$L$10="All Shifts",COUNTIF($AI$4:$AI$203,"&gt;"&amp;AI8)+COUNTIF($AI$4:AI8,AI8),COUNTIFS($AI$4:$AI$203,"&gt;"&amp;AI8,$AH$4:$AH$203,'HR Quick View'!$L$10)+COUNTIFS($AI$4:AI8,AI8,$AH$4:AH8,'HR Quick View'!$L$10)),"")</f>
        <v>3</v>
      </c>
      <c r="AP8" s="17" t="str">
        <f>IFERROR(IF(Lists!$J8="","",Lists!$J8),"")</f>
        <v>Customer Onboarding Workflow</v>
      </c>
      <c r="AQ8" s="17" t="str">
        <f>IFERROR(IF(Lists!$J8="","",Lists!$K8),"")</f>
        <v>Customer Support</v>
      </c>
      <c r="AR8" s="17" t="str">
        <f>IFERROR(IF(Lists!$J8="","",Lists!$L8),"")</f>
        <v>No</v>
      </c>
      <c r="AS8" s="17">
        <f>IFERROR(IF(Lists!$J8="","",Lists!$M8),0)</f>
        <v>3</v>
      </c>
      <c r="AT8" s="17">
        <f>IF(AP8="","",COUNTIF('Skills Matrix'!$K$6:$K$205,3))</f>
        <v>3</v>
      </c>
      <c r="AU8" s="17">
        <f>IF(AP8="","",COUNTIF('Skills Matrix'!$K$6:$K$205,2))</f>
        <v>0</v>
      </c>
      <c r="AV8" s="17">
        <f t="shared" si="5"/>
        <v>0</v>
      </c>
      <c r="AW8" s="17" t="str">
        <f>IF(OR(AP8="",AS8&lt;=0,AV8&lt;=0,AND('Skill Management'!$D$4&lt;&gt;"All Departments",AQ8&lt;&gt;'Skill Management'!$D$4)),"",IF(AT8=0,100000,0)+IF(AR8="Yes",10000,0)+AV8*100+AU8)</f>
        <v/>
      </c>
      <c r="AX8" s="17" t="str">
        <f>IF(AW8="","",COUNTIF($AW$4:$AW$106,"&gt;"&amp;AW8)+COUNTIF($AW$4:AW8,AW8))</f>
        <v/>
      </c>
      <c r="AY8" s="17" t="str">
        <f>IFERROR(IF(Lists!$J8="","",Lists!$N8),"")</f>
        <v>Yes</v>
      </c>
      <c r="BA8" s="17" t="str">
        <f>IFERROR(IF('Training Plan'!$A9="","",'Training Plan'!$A9),"")</f>
        <v>Jordan Collins</v>
      </c>
      <c r="BB8" s="17" t="str">
        <f>IFERROR(IF('Training Plan'!$A9="","",'Training Plan'!$B9),"")</f>
        <v>Customer Support</v>
      </c>
      <c r="BC8" s="17" t="str">
        <f>IFERROR(IF('Training Plan'!$A9="","",'Training Plan'!$C9),"")</f>
        <v>Account Access Support</v>
      </c>
      <c r="BD8" s="17" t="str">
        <f>IFERROR(IF('Training Plan'!$A9="","",'Training Plan'!$D9),"")</f>
        <v>Shadow a qualified peer and complete the observation checklist.</v>
      </c>
      <c r="BE8" s="17">
        <f>IFERROR(IF('Training Plan'!$A9="","",'Training Plan'!$E9),"")</f>
        <v>46301</v>
      </c>
      <c r="BF8" s="17" t="str">
        <f>IFERROR(IF('Training Plan'!$A9="","",'Training Plan'!$F9),"")</f>
        <v>Not Started</v>
      </c>
      <c r="BG8" s="17">
        <f>IFERROR(IF('Training Plan'!$A9="","",'Training Plan'!$G9),"")</f>
        <v>0</v>
      </c>
      <c r="BH8" s="17" t="str">
        <f>IFERROR(IF('Training Plan'!$A9="","",'Training Plan'!$H9),"")</f>
        <v>Jordan Blake</v>
      </c>
      <c r="BI8" s="17">
        <f>IF(OR(BA8="",BF8="Complete",AND('Skill Management'!$D$4&lt;&gt;"All Departments",BB8&lt;&gt;'Skill Management'!$D$4)),"",IF(BF8="Blocked",100000,IF(BF8="In Progress",200000,300000))+IF(BE8="",99999,BE8))</f>
        <v>346301</v>
      </c>
      <c r="BJ8" s="17">
        <f>IF(BI8="","",COUNTIFS($BI$4:$BI$203,"&gt;0",$BI$4:$BI$203,"&lt;"&amp;BI8)+COUNTIF($BI$4:BI8,BI8))</f>
        <v>13</v>
      </c>
      <c r="BK8" s="1" t="s">
        <v>307</v>
      </c>
      <c r="BT8" t="str">
        <f t="shared" si="6"/>
        <v>Customer Onboarding Workflow</v>
      </c>
      <c r="BU8" t="str">
        <f t="shared" si="7"/>
        <v>Customer Support</v>
      </c>
      <c r="BV8">
        <f>IF(BT8="","",IFERROR(INDEX('Skills Matrix'!$G$6:$DE$205,MATCH('Employee Transcript'!$C$4,'Skills Matrix'!$B$6:$B$205,0),MATCH(BT8,'Skills Matrix'!$G$5:$DE$5,0)),""))</f>
        <v>3</v>
      </c>
      <c r="BW8">
        <f>IF(BT8="","",IFERROR(INDEX('Competency Event Log'!$E$4:$E$803,MATCH('Employee Transcript'!$C$4&amp;"|"&amp;BT8,'Competency Event Log'!$U$4:$U$803,0)),""))</f>
        <v>45674</v>
      </c>
      <c r="BX8" t="str">
        <f>IF(BT8="","",IF(BU8='Employee Transcript'!$B$7,"Home Department","Cross-Trained"))</f>
        <v>Home Department</v>
      </c>
      <c r="BY8" t="str">
        <f t="shared" si="8"/>
        <v>No</v>
      </c>
      <c r="BZ8" t="str">
        <f>IF(BT8="","",IFERROR(INDEX('Competency Event Log'!$L$4:$L$803,MATCH('Employee Transcript'!$C$4&amp;"|"&amp;BT8,'Competency Event Log'!$U$4:$U$803,0)),""))</f>
        <v>DEMO-00001</v>
      </c>
      <c r="CA8">
        <f>IF(N(BV8)&gt;0,COUNTIF($BV$4:BV8,"&gt;0"),"")</f>
        <v>2</v>
      </c>
      <c r="CB8">
        <f>IF(AND('Competency Event Log'!$B8='Employee Transcript'!$C$4,'Competency Event Log'!$I8&lt;&gt;"Yes"),'Competency Event Log'!$K8,"")</f>
        <v>5</v>
      </c>
      <c r="CC8">
        <f t="shared" si="9"/>
        <v>9</v>
      </c>
      <c r="CD8" t="str">
        <f>IF(Certifications!$A8='Employee Transcript'!$C$4,8,"")</f>
        <v/>
      </c>
      <c r="CE8" t="str">
        <f>IF(CD8="","",COUNTIF($CD$4:CD8,"&gt;0"))</f>
        <v/>
      </c>
      <c r="CF8" t="str">
        <f>IF(AND('Training Plan'!$A9='Employee Transcript'!$C$4,'Training Plan'!$F9&lt;&gt;"Complete"),9,"")</f>
        <v/>
      </c>
      <c r="CG8" t="str">
        <f>IF(CF8="","",COUNTIF($CF$4:CF8,"&gt;0"))</f>
        <v/>
      </c>
    </row>
    <row r="9" spans="1:85">
      <c r="A9" s="2" t="s">
        <v>558</v>
      </c>
      <c r="B9" s="1" t="s">
        <v>50</v>
      </c>
      <c r="C9" s="1" t="s">
        <v>304</v>
      </c>
      <c r="D9" s="1">
        <v>3</v>
      </c>
      <c r="E9" s="1" t="s">
        <v>409</v>
      </c>
      <c r="F9" s="3">
        <v>43092</v>
      </c>
      <c r="G9" s="1" t="s">
        <v>16</v>
      </c>
      <c r="H9" s="4" t="s">
        <v>536</v>
      </c>
      <c r="I9" s="1" t="s">
        <v>516</v>
      </c>
      <c r="J9" s="1" t="s">
        <v>514</v>
      </c>
      <c r="K9" s="1" t="s">
        <v>304</v>
      </c>
      <c r="L9" s="1" t="s">
        <v>411</v>
      </c>
      <c r="M9" s="1">
        <v>3</v>
      </c>
      <c r="N9" s="1" t="s">
        <v>27</v>
      </c>
      <c r="P9" s="1" t="s">
        <v>514</v>
      </c>
      <c r="Q9" s="1" t="s">
        <v>304</v>
      </c>
      <c r="R9" s="1">
        <v>0</v>
      </c>
      <c r="S9" s="1">
        <f>COUNTIF('Skills Matrix'!$L$6:$L$205,3)</f>
        <v>0</v>
      </c>
      <c r="T9" s="1">
        <f t="shared" si="0"/>
        <v>0</v>
      </c>
      <c r="U9" s="1" t="str">
        <f>IF(AND(T9&gt;0,OR('HR Quick View'!$F$24="All Departments",Q9='HR Quick View'!$F$24)),COUNTIFS($T$4:$T$108,"&gt;"&amp;T9,$Q$4:$Q$108,IF('HR Quick View'!$F$24="All Departments","*",'HR Quick View'!$F$24))+COUNTIFS($T$4:T9,T9,$Q$4:Q9,IF('HR Quick View'!$F$24="All Departments","*",'HR Quick View'!$F$24)),"")</f>
        <v/>
      </c>
      <c r="V9" s="1" t="s">
        <v>312</v>
      </c>
      <c r="W9" s="1" t="s">
        <v>514</v>
      </c>
      <c r="X9" s="1" t="s">
        <v>304</v>
      </c>
      <c r="Y9" s="1" t="s">
        <v>411</v>
      </c>
      <c r="Z9" s="1" t="str">
        <f>IF('HR Quick View'!$C$9="","",IF(COUNTIFS('Competency Event Log'!$B$4:$B$803,'HR Quick View'!$C$9,'Competency Event Log'!$C$4:$C$803,W9,'Competency Event Log'!$T$4:$T$803,"Current")=0,"",SUMIFS('Competency Event Log'!$D$4:$D$803,'Competency Event Log'!$B$4:$B$803,'HR Quick View'!$C$9,'Competency Event Log'!$C$4:$C$803,W9,'Competency Event Log'!$T$4:$T$803,"Current")))</f>
        <v/>
      </c>
      <c r="AA9" s="1" t="str">
        <f>IF($Z9="","",IF('HR Quick View'!$B$10="Qualified only",IF($Z9=3,COUNTIF($Z$4:$Z9,3),""),IF('HR Quick View'!$B$10="Developing only",IF(OR($Z9=1,$Z9=2),COUNTIF($Z$4:$Z$108,"&gt;"&amp;$Z9)+COUNTIF($Z$4:$Z9,$Z9)-COUNTIF($Z$4:$Z$108,3),""),IF('HR Quick View'!$B$10="All scored",COUNTIF($Z$4:$Z$108,"&gt;"&amp;$Z9)+COUNTIF($Z$4:$Z9,$Z9),""))))</f>
        <v/>
      </c>
      <c r="AB9" s="1" t="str">
        <f>""</f>
        <v/>
      </c>
      <c r="AC9" s="1">
        <f t="shared" si="1"/>
        <v>0</v>
      </c>
      <c r="AD9" s="1">
        <f t="shared" si="2"/>
        <v>0</v>
      </c>
      <c r="AE9" s="1">
        <f t="shared" si="3"/>
        <v>0</v>
      </c>
      <c r="AF9" s="1" t="str">
        <f>IFERROR(IF(Lists!$B9="","",Lists!$B9),"")</f>
        <v>Riley Rivera</v>
      </c>
      <c r="AG9" s="1" t="str">
        <f>IFERROR(IF(Lists!$B9="","",Lists!$C9),"")</f>
        <v>Customer Support</v>
      </c>
      <c r="AH9" s="1">
        <f>IFERROR(IF(Lists!$B9="","",Lists!$D9),"")</f>
        <v>3</v>
      </c>
      <c r="AI9" s="1" t="str">
        <f>IF(AF9="","",IFERROR(INDEX('Skills Matrix'!$G$6:$DE$205,MATCH(AF9,'Skills Matrix'!$B$6:$B$205,0),MATCH('HR Quick View'!$J$9,'Skills Matrix'!$G$5:$DE$5,0)),""))</f>
        <v/>
      </c>
      <c r="AJ9" s="1" t="str">
        <f t="shared" si="4"/>
        <v/>
      </c>
      <c r="AK9" s="1" t="str">
        <f>IFERROR(IF(Lists!$B9="","",Lists!$E9),"")</f>
        <v>Jordan Blake</v>
      </c>
      <c r="AL9" s="1" t="str">
        <f>IF(AND(OR('HR Quick View'!$L$10="All Shifts",AH9='HR Quick View'!$L$10),OR(AND('HR Quick View'!$I$10="Qualified only",AI9=3),AND('HR Quick View'!$I$10="All trained",AI9&gt;0))),IF('HR Quick View'!$L$10="All Shifts",COUNTIF($AI$4:$AI$203,"&gt;"&amp;AI9)+COUNTIF($AI$4:AI9,AI9),COUNTIFS($AI$4:$AI$203,"&gt;"&amp;AI9,$AH$4:$AH$203,'HR Quick View'!$L$10)+COUNTIFS($AI$4:AI9,AI9,$AH$4:AH9,'HR Quick View'!$L$10)),"")</f>
        <v/>
      </c>
      <c r="AP9" s="17" t="str">
        <f>IFERROR(IF(Lists!$J9="","",Lists!$J9),"")</f>
        <v>Escalation Management</v>
      </c>
      <c r="AQ9" s="17" t="str">
        <f>IFERROR(IF(Lists!$J9="","",Lists!$K9),"")</f>
        <v>Customer Support</v>
      </c>
      <c r="AR9" s="17" t="str">
        <f>IFERROR(IF(Lists!$J9="","",Lists!$L9),"")</f>
        <v>No</v>
      </c>
      <c r="AS9" s="17">
        <f>IFERROR(IF(Lists!$J9="","",Lists!$M9),0)</f>
        <v>3</v>
      </c>
      <c r="AT9" s="17">
        <f>IF(AP9="","",COUNTIF('Skills Matrix'!$L$6:$L$205,3))</f>
        <v>0</v>
      </c>
      <c r="AU9" s="17">
        <f>IF(AP9="","",COUNTIF('Skills Matrix'!$L$6:$L$205,2))</f>
        <v>1</v>
      </c>
      <c r="AV9" s="17">
        <f t="shared" si="5"/>
        <v>3</v>
      </c>
      <c r="AW9" s="17">
        <f>IF(OR(AP9="",AS9&lt;=0,AV9&lt;=0,AND('Skill Management'!$D$4&lt;&gt;"All Departments",AQ9&lt;&gt;'Skill Management'!$D$4)),"",IF(AT9=0,100000,0)+IF(AR9="Yes",10000,0)+AV9*100+AU9)</f>
        <v>100301</v>
      </c>
      <c r="AX9" s="17">
        <f>IF(AW9="","",COUNTIF($AW$4:$AW$106,"&gt;"&amp;AW9)+COUNTIF($AW$4:AW9,AW9))</f>
        <v>20</v>
      </c>
      <c r="AY9" s="17" t="str">
        <f>IFERROR(IF(Lists!$J9="","",Lists!$N9),"")</f>
        <v>Yes</v>
      </c>
      <c r="BA9" s="17" t="str">
        <f>IFERROR(IF('Training Plan'!$A10="","",'Training Plan'!$A10),"")</f>
        <v>Riley Rivera</v>
      </c>
      <c r="BB9" s="17" t="str">
        <f>IFERROR(IF('Training Plan'!$A10="","",'Training Plan'!$B10),"")</f>
        <v>Customer Support</v>
      </c>
      <c r="BC9" s="17" t="str">
        <f>IFERROR(IF('Training Plan'!$A10="","",'Training Plan'!$C10),"")</f>
        <v>Security Awareness</v>
      </c>
      <c r="BD9" s="17" t="str">
        <f>IFERROR(IF('Training Plan'!$A10="","",'Training Plan'!$D10),"")</f>
        <v>Shadow a qualified peer and complete the observation checklist.</v>
      </c>
      <c r="BE9" s="17">
        <f>IFERROR(IF('Training Plan'!$A10="","",'Training Plan'!$E10),"")</f>
        <v>46298</v>
      </c>
      <c r="BF9" s="17" t="str">
        <f>IFERROR(IF('Training Plan'!$A10="","",'Training Plan'!$F10),"")</f>
        <v>In Progress</v>
      </c>
      <c r="BG9" s="17">
        <f>IFERROR(IF('Training Plan'!$A10="","",'Training Plan'!$G10),"")</f>
        <v>0</v>
      </c>
      <c r="BH9" s="17" t="str">
        <f>IFERROR(IF('Training Plan'!$A10="","",'Training Plan'!$H10),"")</f>
        <v>Jordan Blake</v>
      </c>
      <c r="BI9" s="17">
        <f>IF(OR(BA9="",BF9="Complete",AND('Skill Management'!$D$4&lt;&gt;"All Departments",BB9&lt;&gt;'Skill Management'!$D$4)),"",IF(BF9="Blocked",100000,IF(BF9="In Progress",200000,300000))+IF(BE9="",99999,BE9))</f>
        <v>246298</v>
      </c>
      <c r="BJ9" s="17">
        <f>IF(BI9="","",COUNTIFS($BI$4:$BI$203,"&gt;0",$BI$4:$BI$203,"&lt;"&amp;BI9)+COUNTIF($BI$4:BI9,BI9))</f>
        <v>4</v>
      </c>
      <c r="BK9" s="1" t="s">
        <v>308</v>
      </c>
      <c r="BT9" t="str">
        <f t="shared" si="6"/>
        <v>Escalation Management</v>
      </c>
      <c r="BU9" t="str">
        <f t="shared" si="7"/>
        <v>Customer Support</v>
      </c>
      <c r="BV9" t="str">
        <f>IF(BT9="","",IFERROR(INDEX('Skills Matrix'!$G$6:$DE$205,MATCH('Employee Transcript'!$C$4,'Skills Matrix'!$B$6:$B$205,0),MATCH(BT9,'Skills Matrix'!$G$5:$DE$5,0)),""))</f>
        <v/>
      </c>
      <c r="BW9" t="str">
        <f>IF(BT9="","",IFERROR(INDEX('Competency Event Log'!$E$4:$E$803,MATCH('Employee Transcript'!$C$4&amp;"|"&amp;BT9,'Competency Event Log'!$U$4:$U$803,0)),""))</f>
        <v/>
      </c>
      <c r="BX9" t="str">
        <f>IF(BT9="","",IF(BU9='Employee Transcript'!$B$7,"Home Department","Cross-Trained"))</f>
        <v>Home Department</v>
      </c>
      <c r="BY9" t="str">
        <f t="shared" si="8"/>
        <v>No</v>
      </c>
      <c r="BZ9" t="str">
        <f>IF(BT9="","",IFERROR(INDEX('Competency Event Log'!$L$4:$L$803,MATCH('Employee Transcript'!$C$4&amp;"|"&amp;BT9,'Competency Event Log'!$U$4:$U$803,0)),""))</f>
        <v/>
      </c>
      <c r="CA9" t="str">
        <f>IF(N(BV9)&gt;0,COUNTIF($BV$4:BV9,"&gt;0"),"")</f>
        <v/>
      </c>
      <c r="CB9">
        <f>IF(AND('Competency Event Log'!$B9='Employee Transcript'!$C$4,'Competency Event Log'!$I9&lt;&gt;"Yes"),'Competency Event Log'!$K9,"")</f>
        <v>6</v>
      </c>
      <c r="CC9">
        <f t="shared" si="9"/>
        <v>8</v>
      </c>
      <c r="CD9" t="str">
        <f>IF(Certifications!$A9='Employee Transcript'!$C$4,9,"")</f>
        <v/>
      </c>
      <c r="CE9" t="str">
        <f>IF(CD9="","",COUNTIF($CD$4:CD9,"&gt;0"))</f>
        <v/>
      </c>
      <c r="CF9" t="str">
        <f>IF(AND('Training Plan'!$A10='Employee Transcript'!$C$4,'Training Plan'!$F10&lt;&gt;"Complete"),10,"")</f>
        <v/>
      </c>
      <c r="CG9" t="str">
        <f>IF(CF9="","",COUNTIF($CF$4:CF9,"&gt;0"))</f>
        <v/>
      </c>
    </row>
    <row r="10" spans="1:85">
      <c r="A10" s="2" t="s">
        <v>579</v>
      </c>
      <c r="B10" s="1" t="s">
        <v>57</v>
      </c>
      <c r="C10" s="1" t="s">
        <v>305</v>
      </c>
      <c r="D10" s="1">
        <v>1</v>
      </c>
      <c r="E10" s="1" t="s">
        <v>577</v>
      </c>
      <c r="F10" s="3">
        <v>44464</v>
      </c>
      <c r="G10" s="1" t="s">
        <v>16</v>
      </c>
      <c r="H10" s="4" t="s">
        <v>580</v>
      </c>
      <c r="I10" s="1" t="s">
        <v>522</v>
      </c>
      <c r="J10" s="1" t="s">
        <v>520</v>
      </c>
      <c r="K10" s="1" t="s">
        <v>304</v>
      </c>
      <c r="L10" s="1" t="s">
        <v>411</v>
      </c>
      <c r="M10" s="1">
        <v>2</v>
      </c>
      <c r="N10" s="1" t="s">
        <v>27</v>
      </c>
      <c r="P10" s="1" t="s">
        <v>520</v>
      </c>
      <c r="Q10" s="1" t="s">
        <v>304</v>
      </c>
      <c r="R10" s="1">
        <v>0</v>
      </c>
      <c r="S10" s="1">
        <f>COUNTIF('Skills Matrix'!$M$6:$M$205,3)</f>
        <v>1</v>
      </c>
      <c r="T10" s="1">
        <f t="shared" si="0"/>
        <v>0</v>
      </c>
      <c r="U10" s="1" t="str">
        <f>IF(AND(T10&gt;0,OR('HR Quick View'!$F$24="All Departments",Q10='HR Quick View'!$F$24)),COUNTIFS($T$4:$T$108,"&gt;"&amp;T10,$Q$4:$Q$108,IF('HR Quick View'!$F$24="All Departments","*",'HR Quick View'!$F$24))+COUNTIFS($T$4:T10,T10,$Q$4:Q10,IF('HR Quick View'!$F$24="All Departments","*",'HR Quick View'!$F$24)),"")</f>
        <v/>
      </c>
      <c r="V10" s="1" t="s">
        <v>308</v>
      </c>
      <c r="W10" s="1" t="s">
        <v>520</v>
      </c>
      <c r="X10" s="1" t="s">
        <v>304</v>
      </c>
      <c r="Y10" s="1" t="s">
        <v>411</v>
      </c>
      <c r="Z10" s="1" t="str">
        <f>IF('HR Quick View'!$C$9="","",IF(COUNTIFS('Competency Event Log'!$B$4:$B$803,'HR Quick View'!$C$9,'Competency Event Log'!$C$4:$C$803,W10,'Competency Event Log'!$T$4:$T$803,"Current")=0,"",SUMIFS('Competency Event Log'!$D$4:$D$803,'Competency Event Log'!$B$4:$B$803,'HR Quick View'!$C$9,'Competency Event Log'!$C$4:$C$803,W10,'Competency Event Log'!$T$4:$T$803,"Current")))</f>
        <v/>
      </c>
      <c r="AA10" s="1" t="str">
        <f>IF($Z10="","",IF('HR Quick View'!$B$10="Qualified only",IF($Z10=3,COUNTIF($Z$4:$Z10,3),""),IF('HR Quick View'!$B$10="Developing only",IF(OR($Z10=1,$Z10=2),COUNTIF($Z$4:$Z$108,"&gt;"&amp;$Z10)+COUNTIF($Z$4:$Z10,$Z10)-COUNTIF($Z$4:$Z$108,3),""),IF('HR Quick View'!$B$10="All scored",COUNTIF($Z$4:$Z$108,"&gt;"&amp;$Z10)+COUNTIF($Z$4:$Z10,$Z10),""))))</f>
        <v/>
      </c>
      <c r="AB10" s="1" t="str">
        <f>""</f>
        <v/>
      </c>
      <c r="AC10" s="1">
        <f t="shared" si="1"/>
        <v>0</v>
      </c>
      <c r="AD10" s="1">
        <f t="shared" si="2"/>
        <v>1</v>
      </c>
      <c r="AE10" s="1">
        <f t="shared" si="3"/>
        <v>0</v>
      </c>
      <c r="AF10" s="1" t="str">
        <f>IFERROR(IF(Lists!$B10="","",Lists!$B10),"")</f>
        <v>Cameron Turner</v>
      </c>
      <c r="AG10" s="1" t="str">
        <f>IFERROR(IF(Lists!$B10="","",Lists!$C10),"")</f>
        <v>Platform Operations</v>
      </c>
      <c r="AH10" s="1">
        <f>IFERROR(IF(Lists!$B10="","",Lists!$D10),"")</f>
        <v>1</v>
      </c>
      <c r="AI10" s="1" t="str">
        <f>IF(AF10="","",IFERROR(INDEX('Skills Matrix'!$G$6:$DE$205,MATCH(AF10,'Skills Matrix'!$B$6:$B$205,0),MATCH('HR Quick View'!$J$9,'Skills Matrix'!$G$5:$DE$5,0)),""))</f>
        <v/>
      </c>
      <c r="AJ10" s="1" t="str">
        <f t="shared" si="4"/>
        <v/>
      </c>
      <c r="AK10" s="1" t="str">
        <f>IFERROR(IF(Lists!$B10="","",Lists!$E10),"")</f>
        <v>Morgan Reed</v>
      </c>
      <c r="AL10" s="1" t="str">
        <f>IF(AND(OR('HR Quick View'!$L$10="All Shifts",AH10='HR Quick View'!$L$10),OR(AND('HR Quick View'!$I$10="Qualified only",AI10=3),AND('HR Quick View'!$I$10="All trained",AI10&gt;0))),IF('HR Quick View'!$L$10="All Shifts",COUNTIF($AI$4:$AI$203,"&gt;"&amp;AI10)+COUNTIF($AI$4:AI10,AI10),COUNTIFS($AI$4:$AI$203,"&gt;"&amp;AI10,$AH$4:$AH$203,'HR Quick View'!$L$10)+COUNTIFS($AI$4:AI10,AI10,$AH$4:AH10,'HR Quick View'!$L$10)),"")</f>
        <v/>
      </c>
      <c r="AP10" s="17" t="str">
        <f>IFERROR(IF(Lists!$J10="","",Lists!$J10),"")</f>
        <v>SLA Prioritization</v>
      </c>
      <c r="AQ10" s="17" t="str">
        <f>IFERROR(IF(Lists!$J10="","",Lists!$K10),"")</f>
        <v>Customer Support</v>
      </c>
      <c r="AR10" s="17" t="str">
        <f>IFERROR(IF(Lists!$J10="","",Lists!$L10),"")</f>
        <v>No</v>
      </c>
      <c r="AS10" s="17">
        <f>IFERROR(IF(Lists!$J10="","",Lists!$M10),0)</f>
        <v>2</v>
      </c>
      <c r="AT10" s="17">
        <f>IF(AP10="","",COUNTIF('Skills Matrix'!$M$6:$M$205,3))</f>
        <v>1</v>
      </c>
      <c r="AU10" s="17">
        <f>IF(AP10="","",COUNTIF('Skills Matrix'!$M$6:$M$205,2))</f>
        <v>2</v>
      </c>
      <c r="AV10" s="17">
        <f t="shared" si="5"/>
        <v>1</v>
      </c>
      <c r="AW10" s="17">
        <f>IF(OR(AP10="",AS10&lt;=0,AV10&lt;=0,AND('Skill Management'!$D$4&lt;&gt;"All Departments",AQ10&lt;&gt;'Skill Management'!$D$4)),"",IF(AT10=0,100000,0)+IF(AR10="Yes",10000,0)+AV10*100+AU10)</f>
        <v>102</v>
      </c>
      <c r="AX10" s="17">
        <f>IF(AW10="","",COUNTIF($AW$4:$AW$106,"&gt;"&amp;AW10)+COUNTIF($AW$4:AW10,AW10))</f>
        <v>80</v>
      </c>
      <c r="AY10" s="17" t="str">
        <f>IFERROR(IF(Lists!$J10="","",Lists!$N10),"")</f>
        <v>Yes</v>
      </c>
      <c r="BA10" s="17" t="str">
        <f>IFERROR(IF('Training Plan'!$A11="","",'Training Plan'!$A11),"")</f>
        <v>Robin Cooper</v>
      </c>
      <c r="BB10" s="17" t="str">
        <f>IFERROR(IF('Training Plan'!$A11="","",'Training Plan'!$B11),"")</f>
        <v>Quality Assurance</v>
      </c>
      <c r="BC10" s="17" t="str">
        <f>IFERROR(IF('Training Plan'!$A11="","",'Training Plan'!$C11),"")</f>
        <v>Vulnerability Scanning</v>
      </c>
      <c r="BD10" s="17" t="str">
        <f>IFERROR(IF('Training Plan'!$A11="","",'Training Plan'!$D11),"")</f>
        <v>Schedule guided practice in the standard workflow environment.</v>
      </c>
      <c r="BE10" s="17">
        <f>IFERROR(IF('Training Plan'!$A11="","",'Training Plan'!$E11),"")</f>
        <v>46349</v>
      </c>
      <c r="BF10" s="17" t="str">
        <f>IFERROR(IF('Training Plan'!$A11="","",'Training Plan'!$F11),"")</f>
        <v>In Progress</v>
      </c>
      <c r="BG10" s="17">
        <f>IFERROR(IF('Training Plan'!$A11="","",'Training Plan'!$G11),"")</f>
        <v>0</v>
      </c>
      <c r="BH10" s="17" t="str">
        <f>IFERROR(IF('Training Plan'!$A11="","",'Training Plan'!$H11),"")</f>
        <v>Cameron Wells</v>
      </c>
      <c r="BI10" s="17">
        <f>IF(OR(BA10="",BF10="Complete",AND('Skill Management'!$D$4&lt;&gt;"All Departments",BB10&lt;&gt;'Skill Management'!$D$4)),"",IF(BF10="Blocked",100000,IF(BF10="In Progress",200000,300000))+IF(BE10="",99999,BE10))</f>
        <v>246349</v>
      </c>
      <c r="BJ10" s="17">
        <f>IF(BI10="","",COUNTIFS($BI$4:$BI$203,"&gt;0",$BI$4:$BI$203,"&lt;"&amp;BI10)+COUNTIF($BI$4:BI10,BI10))</f>
        <v>7</v>
      </c>
      <c r="BK10" s="1" t="s">
        <v>309</v>
      </c>
      <c r="BT10" t="str">
        <f t="shared" si="6"/>
        <v>SLA Prioritization</v>
      </c>
      <c r="BU10" t="str">
        <f t="shared" si="7"/>
        <v>Customer Support</v>
      </c>
      <c r="BV10" t="str">
        <f>IF(BT10="","",IFERROR(INDEX('Skills Matrix'!$G$6:$DE$205,MATCH('Employee Transcript'!$C$4,'Skills Matrix'!$B$6:$B$205,0),MATCH(BT10,'Skills Matrix'!$G$5:$DE$5,0)),""))</f>
        <v/>
      </c>
      <c r="BW10" t="str">
        <f>IF(BT10="","",IFERROR(INDEX('Competency Event Log'!$E$4:$E$803,MATCH('Employee Transcript'!$C$4&amp;"|"&amp;BT10,'Competency Event Log'!$U$4:$U$803,0)),""))</f>
        <v/>
      </c>
      <c r="BX10" t="str">
        <f>IF(BT10="","",IF(BU10='Employee Transcript'!$B$7,"Home Department","Cross-Trained"))</f>
        <v>Home Department</v>
      </c>
      <c r="BY10" t="str">
        <f t="shared" si="8"/>
        <v>No</v>
      </c>
      <c r="BZ10" t="str">
        <f>IF(BT10="","",IFERROR(INDEX('Competency Event Log'!$L$4:$L$803,MATCH('Employee Transcript'!$C$4&amp;"|"&amp;BT10,'Competency Event Log'!$U$4:$U$803,0)),""))</f>
        <v/>
      </c>
      <c r="CA10" t="str">
        <f>IF(N(BV10)&gt;0,COUNTIF($BV$4:BV10,"&gt;0"),"")</f>
        <v/>
      </c>
      <c r="CB10">
        <f>IF(AND('Competency Event Log'!$B10='Employee Transcript'!$C$4,'Competency Event Log'!$I10&lt;&gt;"Yes"),'Competency Event Log'!$K10,"")</f>
        <v>7</v>
      </c>
      <c r="CC10">
        <f t="shared" si="9"/>
        <v>7</v>
      </c>
      <c r="CD10" t="str">
        <f>IF(Certifications!$A10='Employee Transcript'!$C$4,10,"")</f>
        <v/>
      </c>
      <c r="CE10" t="str">
        <f>IF(CD10="","",COUNTIF($CD$4:CD10,"&gt;0"))</f>
        <v/>
      </c>
      <c r="CF10" t="str">
        <f>IF(AND('Training Plan'!$A11='Employee Transcript'!$C$4,'Training Plan'!$F11&lt;&gt;"Complete"),11,"")</f>
        <v/>
      </c>
      <c r="CG10" t="str">
        <f>IF(CF10="","",COUNTIF($CF$4:CF10,"&gt;0"))</f>
        <v/>
      </c>
    </row>
    <row r="11" spans="1:85">
      <c r="A11" s="2" t="s">
        <v>604</v>
      </c>
      <c r="B11" s="1" t="s">
        <v>60</v>
      </c>
      <c r="C11" s="1" t="s">
        <v>305</v>
      </c>
      <c r="D11" s="1">
        <v>2</v>
      </c>
      <c r="E11" s="1" t="s">
        <v>577</v>
      </c>
      <c r="F11" s="3">
        <v>42858</v>
      </c>
      <c r="G11" s="1" t="s">
        <v>16</v>
      </c>
      <c r="H11" s="4" t="s">
        <v>580</v>
      </c>
      <c r="I11" s="1" t="s">
        <v>456</v>
      </c>
      <c r="J11" s="1" t="s">
        <v>454</v>
      </c>
      <c r="K11" s="1" t="s">
        <v>304</v>
      </c>
      <c r="L11" s="1" t="s">
        <v>411</v>
      </c>
      <c r="M11" s="1">
        <v>3</v>
      </c>
      <c r="N11" s="1" t="s">
        <v>27</v>
      </c>
      <c r="P11" s="1" t="s">
        <v>454</v>
      </c>
      <c r="Q11" s="1" t="s">
        <v>304</v>
      </c>
      <c r="R11" s="1">
        <v>0</v>
      </c>
      <c r="S11" s="1">
        <f>COUNTIF('Skills Matrix'!$N$6:$N$205,3)</f>
        <v>1</v>
      </c>
      <c r="T11" s="1">
        <f t="shared" si="0"/>
        <v>0</v>
      </c>
      <c r="U11" s="1" t="str">
        <f>IF(AND(T11&gt;0,OR('HR Quick View'!$F$24="All Departments",Q11='HR Quick View'!$F$24)),COUNTIFS($T$4:$T$108,"&gt;"&amp;T11,$Q$4:$Q$108,IF('HR Quick View'!$F$24="All Departments","*",'HR Quick View'!$F$24))+COUNTIFS($T$4:T11,T11,$Q$4:Q11,IF('HR Quick View'!$F$24="All Departments","*",'HR Quick View'!$F$24)),"")</f>
        <v/>
      </c>
      <c r="V11" s="1" t="s">
        <v>307</v>
      </c>
      <c r="W11" s="1" t="s">
        <v>454</v>
      </c>
      <c r="X11" s="1" t="s">
        <v>304</v>
      </c>
      <c r="Y11" s="1" t="s">
        <v>411</v>
      </c>
      <c r="Z11" s="1" t="str">
        <f>IF('HR Quick View'!$C$9="","",IF(COUNTIFS('Competency Event Log'!$B$4:$B$803,'HR Quick View'!$C$9,'Competency Event Log'!$C$4:$C$803,W11,'Competency Event Log'!$T$4:$T$803,"Current")=0,"",SUMIFS('Competency Event Log'!$D$4:$D$803,'Competency Event Log'!$B$4:$B$803,'HR Quick View'!$C$9,'Competency Event Log'!$C$4:$C$803,W11,'Competency Event Log'!$T$4:$T$803,"Current")))</f>
        <v/>
      </c>
      <c r="AA11" s="1" t="str">
        <f>IF($Z11="","",IF('HR Quick View'!$B$10="Qualified only",IF($Z11=3,COUNTIF($Z$4:$Z11,3),""),IF('HR Quick View'!$B$10="Developing only",IF(OR($Z11=1,$Z11=2),COUNTIF($Z$4:$Z$108,"&gt;"&amp;$Z11)+COUNTIF($Z$4:$Z11,$Z11)-COUNTIF($Z$4:$Z$108,3),""),IF('HR Quick View'!$B$10="All scored",COUNTIF($Z$4:$Z$108,"&gt;"&amp;$Z11)+COUNTIF($Z$4:$Z11,$Z11),""))))</f>
        <v/>
      </c>
      <c r="AB11" s="1" t="str">
        <f>""</f>
        <v/>
      </c>
      <c r="AC11" s="1">
        <f t="shared" si="1"/>
        <v>0</v>
      </c>
      <c r="AD11" s="1">
        <f t="shared" si="2"/>
        <v>1</v>
      </c>
      <c r="AE11" s="1">
        <f t="shared" si="3"/>
        <v>0</v>
      </c>
      <c r="AF11" s="1" t="str">
        <f>IFERROR(IF(Lists!$B11="","",Lists!$B11),"")</f>
        <v>Avery Gray</v>
      </c>
      <c r="AG11" s="1" t="str">
        <f>IFERROR(IF(Lists!$B11="","",Lists!$C11),"")</f>
        <v>Platform Operations</v>
      </c>
      <c r="AH11" s="1">
        <f>IFERROR(IF(Lists!$B11="","",Lists!$D11),"")</f>
        <v>2</v>
      </c>
      <c r="AI11" s="1" t="str">
        <f>IF(AF11="","",IFERROR(INDEX('Skills Matrix'!$G$6:$DE$205,MATCH(AF11,'Skills Matrix'!$B$6:$B$205,0),MATCH('HR Quick View'!$J$9,'Skills Matrix'!$G$5:$DE$5,0)),""))</f>
        <v/>
      </c>
      <c r="AJ11" s="1" t="str">
        <f t="shared" si="4"/>
        <v/>
      </c>
      <c r="AK11" s="1" t="str">
        <f>IFERROR(IF(Lists!$B11="","",Lists!$E11),"")</f>
        <v>Morgan Reed</v>
      </c>
      <c r="AL11" s="1" t="str">
        <f>IF(AND(OR('HR Quick View'!$L$10="All Shifts",AH11='HR Quick View'!$L$10),OR(AND('HR Quick View'!$I$10="Qualified only",AI11=3),AND('HR Quick View'!$I$10="All trained",AI11&gt;0))),IF('HR Quick View'!$L$10="All Shifts",COUNTIF($AI$4:$AI$203,"&gt;"&amp;AI11)+COUNTIF($AI$4:AI11,AI11),COUNTIFS($AI$4:$AI$203,"&gt;"&amp;AI11,$AH$4:$AH$203,'HR Quick View'!$L$10)+COUNTIFS($AI$4:AI11,AI11,$AH$4:AH11,'HR Quick View'!$L$10)),"")</f>
        <v/>
      </c>
      <c r="AP11" s="17" t="str">
        <f>IFERROR(IF(Lists!$J11="","",Lists!$J11),"")</f>
        <v>Incident Communication</v>
      </c>
      <c r="AQ11" s="17" t="str">
        <f>IFERROR(IF(Lists!$J11="","",Lists!$K11),"")</f>
        <v>Customer Support</v>
      </c>
      <c r="AR11" s="17" t="str">
        <f>IFERROR(IF(Lists!$J11="","",Lists!$L11),"")</f>
        <v>No</v>
      </c>
      <c r="AS11" s="17">
        <f>IFERROR(IF(Lists!$J11="","",Lists!$M11),0)</f>
        <v>3</v>
      </c>
      <c r="AT11" s="17">
        <f>IF(AP11="","",COUNTIF('Skills Matrix'!$N$6:$N$205,3))</f>
        <v>1</v>
      </c>
      <c r="AU11" s="17">
        <f>IF(AP11="","",COUNTIF('Skills Matrix'!$N$6:$N$205,2))</f>
        <v>1</v>
      </c>
      <c r="AV11" s="17">
        <f t="shared" si="5"/>
        <v>2</v>
      </c>
      <c r="AW11" s="17">
        <f>IF(OR(AP11="",AS11&lt;=0,AV11&lt;=0,AND('Skill Management'!$D$4&lt;&gt;"All Departments",AQ11&lt;&gt;'Skill Management'!$D$4)),"",IF(AT11=0,100000,0)+IF(AR11="Yes",10000,0)+AV11*100+AU11)</f>
        <v>201</v>
      </c>
      <c r="AX11" s="17">
        <f>IF(AW11="","",COUNTIF($AW$4:$AW$106,"&gt;"&amp;AW11)+COUNTIF($AW$4:AW11,AW11))</f>
        <v>72</v>
      </c>
      <c r="AY11" s="17" t="str">
        <f>IFERROR(IF(Lists!$J11="","",Lists!$N11),"")</f>
        <v>Yes</v>
      </c>
      <c r="BA11" s="17" t="str">
        <f>IFERROR(IF('Training Plan'!$A12="","",'Training Plan'!$A12),"")</f>
        <v>Drew Mitchell</v>
      </c>
      <c r="BB11" s="17" t="str">
        <f>IFERROR(IF('Training Plan'!$A12="","",'Training Plan'!$B12),"")</f>
        <v>Platform Operations</v>
      </c>
      <c r="BC11" s="17" t="str">
        <f>IFERROR(IF('Training Plan'!$A12="","",'Training Plan'!$C12),"")</f>
        <v>Identity Provisioning</v>
      </c>
      <c r="BD11" s="17" t="str">
        <f>IFERROR(IF('Training Plan'!$A12="","",'Training Plan'!$D12),"")</f>
        <v>Complete refresher training and submit the competency assessment for review.</v>
      </c>
      <c r="BE11" s="17">
        <f>IFERROR(IF('Training Plan'!$A12="","",'Training Plan'!$E12),"")</f>
        <v>46346</v>
      </c>
      <c r="BF11" s="17" t="str">
        <f>IFERROR(IF('Training Plan'!$A12="","",'Training Plan'!$F12),"")</f>
        <v>Not Started</v>
      </c>
      <c r="BG11" s="17">
        <f>IFERROR(IF('Training Plan'!$A12="","",'Training Plan'!$G12),"")</f>
        <v>0</v>
      </c>
      <c r="BH11" s="17" t="str">
        <f>IFERROR(IF('Training Plan'!$A12="","",'Training Plan'!$H12),"")</f>
        <v>Morgan Reed</v>
      </c>
      <c r="BI11" s="17">
        <f>IF(OR(BA11="",BF11="Complete",AND('Skill Management'!$D$4&lt;&gt;"All Departments",BB11&lt;&gt;'Skill Management'!$D$4)),"",IF(BF11="Blocked",100000,IF(BF11="In Progress",200000,300000))+IF(BE11="",99999,BE11))</f>
        <v>346346</v>
      </c>
      <c r="BJ11" s="17">
        <f>IF(BI11="","",COUNTIFS($BI$4:$BI$203,"&gt;0",$BI$4:$BI$203,"&lt;"&amp;BI11)+COUNTIF($BI$4:BI11,BI11))</f>
        <v>17</v>
      </c>
      <c r="BK11" s="1" t="s">
        <v>310</v>
      </c>
      <c r="BT11" t="str">
        <f t="shared" si="6"/>
        <v>Incident Communication</v>
      </c>
      <c r="BU11" t="str">
        <f t="shared" si="7"/>
        <v>Customer Support</v>
      </c>
      <c r="BV11" t="str">
        <f>IF(BT11="","",IFERROR(INDEX('Skills Matrix'!$G$6:$DE$205,MATCH('Employee Transcript'!$C$4,'Skills Matrix'!$B$6:$B$205,0),MATCH(BT11,'Skills Matrix'!$G$5:$DE$5,0)),""))</f>
        <v/>
      </c>
      <c r="BW11" t="str">
        <f>IF(BT11="","",IFERROR(INDEX('Competency Event Log'!$E$4:$E$803,MATCH('Employee Transcript'!$C$4&amp;"|"&amp;BT11,'Competency Event Log'!$U$4:$U$803,0)),""))</f>
        <v/>
      </c>
      <c r="BX11" t="str">
        <f>IF(BT11="","",IF(BU11='Employee Transcript'!$B$7,"Home Department","Cross-Trained"))</f>
        <v>Home Department</v>
      </c>
      <c r="BY11" t="str">
        <f t="shared" si="8"/>
        <v>No</v>
      </c>
      <c r="BZ11" t="str">
        <f>IF(BT11="","",IFERROR(INDEX('Competency Event Log'!$L$4:$L$803,MATCH('Employee Transcript'!$C$4&amp;"|"&amp;BT11,'Competency Event Log'!$U$4:$U$803,0)),""))</f>
        <v/>
      </c>
      <c r="CA11" t="str">
        <f>IF(N(BV11)&gt;0,COUNTIF($BV$4:BV11,"&gt;0"),"")</f>
        <v/>
      </c>
      <c r="CB11">
        <f>IF(AND('Competency Event Log'!$B11='Employee Transcript'!$C$4,'Competency Event Log'!$I11&lt;&gt;"Yes"),'Competency Event Log'!$K11,"")</f>
        <v>8</v>
      </c>
      <c r="CC11">
        <f t="shared" si="9"/>
        <v>6</v>
      </c>
      <c r="CD11" t="str">
        <f>IF(Certifications!$A11='Employee Transcript'!$C$4,11,"")</f>
        <v/>
      </c>
      <c r="CE11" t="str">
        <f>IF(CD11="","",COUNTIF($CD$4:CD11,"&gt;0"))</f>
        <v/>
      </c>
      <c r="CF11" t="str">
        <f>IF(AND('Training Plan'!$A12='Employee Transcript'!$C$4,'Training Plan'!$F12&lt;&gt;"Complete"),12,"")</f>
        <v/>
      </c>
      <c r="CG11" t="str">
        <f>IF(CF11="","",COUNTIF($CF$4:CF11,"&gt;0"))</f>
        <v/>
      </c>
    </row>
    <row r="12" spans="1:85">
      <c r="A12" s="2" t="s">
        <v>622</v>
      </c>
      <c r="B12" s="1" t="s">
        <v>63</v>
      </c>
      <c r="C12" s="1" t="s">
        <v>305</v>
      </c>
      <c r="D12" s="1">
        <v>3</v>
      </c>
      <c r="E12" s="1" t="s">
        <v>577</v>
      </c>
      <c r="F12" s="3">
        <v>43631</v>
      </c>
      <c r="G12" s="1" t="s">
        <v>16</v>
      </c>
      <c r="H12" s="4" t="s">
        <v>623</v>
      </c>
      <c r="I12" s="1" t="s">
        <v>452</v>
      </c>
      <c r="J12" s="1" t="s">
        <v>450</v>
      </c>
      <c r="K12" s="1" t="s">
        <v>304</v>
      </c>
      <c r="L12" s="1" t="s">
        <v>411</v>
      </c>
      <c r="M12" s="1">
        <v>3</v>
      </c>
      <c r="N12" s="1" t="s">
        <v>27</v>
      </c>
      <c r="P12" s="1" t="s">
        <v>450</v>
      </c>
      <c r="Q12" s="1" t="s">
        <v>304</v>
      </c>
      <c r="R12" s="1">
        <v>0</v>
      </c>
      <c r="S12" s="1">
        <f>COUNTIF('Skills Matrix'!$O$6:$O$205,3)</f>
        <v>2</v>
      </c>
      <c r="T12" s="1">
        <f t="shared" si="0"/>
        <v>0</v>
      </c>
      <c r="U12" s="1" t="str">
        <f>IF(AND(T12&gt;0,OR('HR Quick View'!$F$24="All Departments",Q12='HR Quick View'!$F$24)),COUNTIFS($T$4:$T$108,"&gt;"&amp;T12,$Q$4:$Q$108,IF('HR Quick View'!$F$24="All Departments","*",'HR Quick View'!$F$24))+COUNTIFS($T$4:T12,T12,$Q$4:Q12,IF('HR Quick View'!$F$24="All Departments","*",'HR Quick View'!$F$24)),"")</f>
        <v/>
      </c>
      <c r="V12" s="1" t="s">
        <v>213</v>
      </c>
      <c r="W12" s="1" t="s">
        <v>450</v>
      </c>
      <c r="X12" s="1" t="s">
        <v>304</v>
      </c>
      <c r="Y12" s="1" t="s">
        <v>411</v>
      </c>
      <c r="Z12" s="1" t="str">
        <f>IF('HR Quick View'!$C$9="","",IF(COUNTIFS('Competency Event Log'!$B$4:$B$803,'HR Quick View'!$C$9,'Competency Event Log'!$C$4:$C$803,W12,'Competency Event Log'!$T$4:$T$803,"Current")=0,"",SUMIFS('Competency Event Log'!$D$4:$D$803,'Competency Event Log'!$B$4:$B$803,'HR Quick View'!$C$9,'Competency Event Log'!$C$4:$C$803,W12,'Competency Event Log'!$T$4:$T$803,"Current")))</f>
        <v/>
      </c>
      <c r="AA12" s="1" t="str">
        <f>IF($Z12="","",IF('HR Quick View'!$B$10="Qualified only",IF($Z12=3,COUNTIF($Z$4:$Z12,3),""),IF('HR Quick View'!$B$10="Developing only",IF(OR($Z12=1,$Z12=2),COUNTIF($Z$4:$Z$108,"&gt;"&amp;$Z12)+COUNTIF($Z$4:$Z12,$Z12)-COUNTIF($Z$4:$Z$108,3),""),IF('HR Quick View'!$B$10="All scored",COUNTIF($Z$4:$Z$108,"&gt;"&amp;$Z12)+COUNTIF($Z$4:$Z12,$Z12),""))))</f>
        <v/>
      </c>
      <c r="AB12" s="1" t="str">
        <f>""</f>
        <v/>
      </c>
      <c r="AC12" s="1">
        <f t="shared" si="1"/>
        <v>0</v>
      </c>
      <c r="AD12" s="1">
        <f t="shared" si="2"/>
        <v>2</v>
      </c>
      <c r="AE12" s="1">
        <f t="shared" si="3"/>
        <v>0</v>
      </c>
      <c r="AF12" s="1" t="str">
        <f>IFERROR(IF(Lists!$B12="","",Lists!$B12),"")</f>
        <v>Parker Powell</v>
      </c>
      <c r="AG12" s="1" t="str">
        <f>IFERROR(IF(Lists!$B12="","",Lists!$C12),"")</f>
        <v>Platform Operations</v>
      </c>
      <c r="AH12" s="1">
        <f>IFERROR(IF(Lists!$B12="","",Lists!$D12),"")</f>
        <v>3</v>
      </c>
      <c r="AI12" s="1" t="str">
        <f>IF(AF12="","",IFERROR(INDEX('Skills Matrix'!$G$6:$DE$205,MATCH(AF12,'Skills Matrix'!$B$6:$B$205,0),MATCH('HR Quick View'!$J$9,'Skills Matrix'!$G$5:$DE$5,0)),""))</f>
        <v/>
      </c>
      <c r="AJ12" s="1" t="str">
        <f t="shared" si="4"/>
        <v/>
      </c>
      <c r="AK12" s="1" t="str">
        <f>IFERROR(IF(Lists!$B12="","",Lists!$E12),"")</f>
        <v>Morgan Reed</v>
      </c>
      <c r="AL12" s="1" t="str">
        <f>IF(AND(OR('HR Quick View'!$L$10="All Shifts",AH12='HR Quick View'!$L$10),OR(AND('HR Quick View'!$I$10="Qualified only",AI12=3),AND('HR Quick View'!$I$10="All trained",AI12&gt;0))),IF('HR Quick View'!$L$10="All Shifts",COUNTIF($AI$4:$AI$203,"&gt;"&amp;AI12)+COUNTIF($AI$4:AI12,AI12),COUNTIFS($AI$4:$AI$203,"&gt;"&amp;AI12,$AH$4:$AH$203,'HR Quick View'!$L$10)+COUNTIFS($AI$4:AI12,AI12,$AH$4:AH12,'HR Quick View'!$L$10)),"")</f>
        <v/>
      </c>
      <c r="AP12" s="17" t="str">
        <f>IFERROR(IF(Lists!$J12="","",Lists!$J12),"")</f>
        <v>Account Access Support</v>
      </c>
      <c r="AQ12" s="17" t="str">
        <f>IFERROR(IF(Lists!$J12="","",Lists!$K12),"")</f>
        <v>Customer Support</v>
      </c>
      <c r="AR12" s="17" t="str">
        <f>IFERROR(IF(Lists!$J12="","",Lists!$L12),"")</f>
        <v>No</v>
      </c>
      <c r="AS12" s="17">
        <f>IFERROR(IF(Lists!$J12="","",Lists!$M12),0)</f>
        <v>3</v>
      </c>
      <c r="AT12" s="17">
        <f>IF(AP12="","",COUNTIF('Skills Matrix'!$O$6:$O$205,3))</f>
        <v>2</v>
      </c>
      <c r="AU12" s="17">
        <f>IF(AP12="","",COUNTIF('Skills Matrix'!$O$6:$O$205,2))</f>
        <v>1</v>
      </c>
      <c r="AV12" s="17">
        <f t="shared" si="5"/>
        <v>1</v>
      </c>
      <c r="AW12" s="17">
        <f>IF(OR(AP12="",AS12&lt;=0,AV12&lt;=0,AND('Skill Management'!$D$4&lt;&gt;"All Departments",AQ12&lt;&gt;'Skill Management'!$D$4)),"",IF(AT12=0,100000,0)+IF(AR12="Yes",10000,0)+AV12*100+AU12)</f>
        <v>101</v>
      </c>
      <c r="AX12" s="17">
        <f>IF(AW12="","",COUNTIF($AW$4:$AW$106,"&gt;"&amp;AW12)+COUNTIF($AW$4:AW12,AW12))</f>
        <v>82</v>
      </c>
      <c r="AY12" s="17" t="str">
        <f>IFERROR(IF(Lists!$J12="","",Lists!$N12),"")</f>
        <v>Yes</v>
      </c>
      <c r="BA12" s="17" t="str">
        <f>IFERROR(IF('Training Plan'!$A13="","",'Training Plan'!$A13),"")</f>
        <v>Parker Powell</v>
      </c>
      <c r="BB12" s="17" t="str">
        <f>IFERROR(IF('Training Plan'!$A13="","",'Training Plan'!$B13),"")</f>
        <v>Platform Operations</v>
      </c>
      <c r="BC12" s="17" t="str">
        <f>IFERROR(IF('Training Plan'!$A13="","",'Training Plan'!$C13),"")</f>
        <v>API Credential Management</v>
      </c>
      <c r="BD12" s="17" t="str">
        <f>IFERROR(IF('Training Plan'!$A13="","",'Training Plan'!$D13),"")</f>
        <v>Complete two guided workflow sessions with a qualified peer before assessment.</v>
      </c>
      <c r="BE12" s="17">
        <f>IFERROR(IF('Training Plan'!$A13="","",'Training Plan'!$E13),"")</f>
        <v>46295</v>
      </c>
      <c r="BF12" s="17" t="str">
        <f>IFERROR(IF('Training Plan'!$A13="","",'Training Plan'!$F13),"")</f>
        <v>Blocked</v>
      </c>
      <c r="BG12" s="17">
        <f>IFERROR(IF('Training Plan'!$A13="","",'Training Plan'!$G13),"")</f>
        <v>0</v>
      </c>
      <c r="BH12" s="17" t="str">
        <f>IFERROR(IF('Training Plan'!$A13="","",'Training Plan'!$H13),"")</f>
        <v>Morgan Reed</v>
      </c>
      <c r="BI12" s="17">
        <f>IF(OR(BA12="",BF12="Complete",AND('Skill Management'!$D$4&lt;&gt;"All Departments",BB12&lt;&gt;'Skill Management'!$D$4)),"",IF(BF12="Blocked",100000,IF(BF12="In Progress",200000,300000))+IF(BE12="",99999,BE12))</f>
        <v>146295</v>
      </c>
      <c r="BJ12" s="17">
        <f>IF(BI12="","",COUNTIFS($BI$4:$BI$203,"&gt;0",$BI$4:$BI$203,"&lt;"&amp;BI12)+COUNTIF($BI$4:BI12,BI12))</f>
        <v>1</v>
      </c>
      <c r="BK12" s="1" t="s">
        <v>311</v>
      </c>
      <c r="BT12" t="str">
        <f t="shared" si="6"/>
        <v>Account Access Support</v>
      </c>
      <c r="BU12" t="str">
        <f t="shared" si="7"/>
        <v>Customer Support</v>
      </c>
      <c r="BV12" t="str">
        <f>IF(BT12="","",IFERROR(INDEX('Skills Matrix'!$G$6:$DE$205,MATCH('Employee Transcript'!$C$4,'Skills Matrix'!$B$6:$B$205,0),MATCH(BT12,'Skills Matrix'!$G$5:$DE$5,0)),""))</f>
        <v/>
      </c>
      <c r="BW12" t="str">
        <f>IF(BT12="","",IFERROR(INDEX('Competency Event Log'!$E$4:$E$803,MATCH('Employee Transcript'!$C$4&amp;"|"&amp;BT12,'Competency Event Log'!$U$4:$U$803,0)),""))</f>
        <v/>
      </c>
      <c r="BX12" t="str">
        <f>IF(BT12="","",IF(BU12='Employee Transcript'!$B$7,"Home Department","Cross-Trained"))</f>
        <v>Home Department</v>
      </c>
      <c r="BY12" t="str">
        <f t="shared" si="8"/>
        <v>No</v>
      </c>
      <c r="BZ12" t="str">
        <f>IF(BT12="","",IFERROR(INDEX('Competency Event Log'!$L$4:$L$803,MATCH('Employee Transcript'!$C$4&amp;"|"&amp;BT12,'Competency Event Log'!$U$4:$U$803,0)),""))</f>
        <v/>
      </c>
      <c r="CA12" t="str">
        <f>IF(N(BV12)&gt;0,COUNTIF($BV$4:BV12,"&gt;0"),"")</f>
        <v/>
      </c>
      <c r="CB12">
        <f>IF(AND('Competency Event Log'!$B12='Employee Transcript'!$C$4,'Competency Event Log'!$I12&lt;&gt;"Yes"),'Competency Event Log'!$K12,"")</f>
        <v>9</v>
      </c>
      <c r="CC12">
        <f t="shared" si="9"/>
        <v>5</v>
      </c>
      <c r="CD12" t="str">
        <f>IF(Certifications!$A12='Employee Transcript'!$C$4,12,"")</f>
        <v/>
      </c>
      <c r="CE12" t="str">
        <f>IF(CD12="","",COUNTIF($CD$4:CD12,"&gt;0"))</f>
        <v/>
      </c>
      <c r="CF12" t="str">
        <f>IF(AND('Training Plan'!$A13='Employee Transcript'!$C$4,'Training Plan'!$F13&lt;&gt;"Complete"),13,"")</f>
        <v/>
      </c>
      <c r="CG12" t="str">
        <f>IF(CF12="","",COUNTIF($CF$4:CF12,"&gt;0"))</f>
        <v/>
      </c>
    </row>
    <row r="13" spans="1:85">
      <c r="A13" s="2" t="s">
        <v>643</v>
      </c>
      <c r="B13" s="1" t="s">
        <v>66</v>
      </c>
      <c r="C13" s="1" t="s">
        <v>305</v>
      </c>
      <c r="D13" s="1">
        <v>1</v>
      </c>
      <c r="E13" s="1" t="s">
        <v>577</v>
      </c>
      <c r="F13" s="3">
        <v>44805</v>
      </c>
      <c r="G13" s="1" t="s">
        <v>16</v>
      </c>
      <c r="H13" s="4" t="s">
        <v>580</v>
      </c>
      <c r="I13" s="1" t="s">
        <v>493</v>
      </c>
      <c r="J13" s="1" t="s">
        <v>491</v>
      </c>
      <c r="K13" s="1" t="s">
        <v>304</v>
      </c>
      <c r="L13" s="1" t="s">
        <v>411</v>
      </c>
      <c r="M13" s="1">
        <v>3</v>
      </c>
      <c r="N13" s="1" t="s">
        <v>27</v>
      </c>
      <c r="P13" s="1" t="s">
        <v>491</v>
      </c>
      <c r="Q13" s="1" t="s">
        <v>304</v>
      </c>
      <c r="R13" s="1">
        <v>0</v>
      </c>
      <c r="S13" s="1">
        <f>COUNTIF('Skills Matrix'!$P$6:$P$205,3)</f>
        <v>1</v>
      </c>
      <c r="T13" s="1">
        <f t="shared" si="0"/>
        <v>0</v>
      </c>
      <c r="U13" s="1" t="str">
        <f>IF(AND(T13&gt;0,OR('HR Quick View'!$F$24="All Departments",Q13='HR Quick View'!$F$24)),COUNTIFS($T$4:$T$108,"&gt;"&amp;T13,$Q$4:$Q$108,IF('HR Quick View'!$F$24="All Departments","*",'HR Quick View'!$F$24))+COUNTIFS($T$4:T13,T13,$Q$4:Q13,IF('HR Quick View'!$F$24="All Departments","*",'HR Quick View'!$F$24)),"")</f>
        <v/>
      </c>
      <c r="V13" s="1" t="s">
        <v>305</v>
      </c>
      <c r="W13" s="1" t="s">
        <v>491</v>
      </c>
      <c r="X13" s="1" t="s">
        <v>304</v>
      </c>
      <c r="Y13" s="1" t="s">
        <v>411</v>
      </c>
      <c r="Z13" s="1" t="str">
        <f>IF('HR Quick View'!$C$9="","",IF(COUNTIFS('Competency Event Log'!$B$4:$B$803,'HR Quick View'!$C$9,'Competency Event Log'!$C$4:$C$803,W13,'Competency Event Log'!$T$4:$T$803,"Current")=0,"",SUMIFS('Competency Event Log'!$D$4:$D$803,'Competency Event Log'!$B$4:$B$803,'HR Quick View'!$C$9,'Competency Event Log'!$C$4:$C$803,W13,'Competency Event Log'!$T$4:$T$803,"Current")))</f>
        <v/>
      </c>
      <c r="AA13" s="1" t="str">
        <f>IF($Z13="","",IF('HR Quick View'!$B$10="Qualified only",IF($Z13=3,COUNTIF($Z$4:$Z13,3),""),IF('HR Quick View'!$B$10="Developing only",IF(OR($Z13=1,$Z13=2),COUNTIF($Z$4:$Z$108,"&gt;"&amp;$Z13)+COUNTIF($Z$4:$Z13,$Z13)-COUNTIF($Z$4:$Z$108,3),""),IF('HR Quick View'!$B$10="All scored",COUNTIF($Z$4:$Z$108,"&gt;"&amp;$Z13)+COUNTIF($Z$4:$Z13,$Z13),""))))</f>
        <v/>
      </c>
      <c r="AB13" s="1" t="str">
        <f>""</f>
        <v/>
      </c>
      <c r="AC13" s="1">
        <f t="shared" si="1"/>
        <v>0</v>
      </c>
      <c r="AD13" s="1">
        <f t="shared" si="2"/>
        <v>1</v>
      </c>
      <c r="AE13" s="1">
        <f t="shared" si="3"/>
        <v>0</v>
      </c>
      <c r="AF13" s="1" t="str">
        <f>IFERROR(IF(Lists!$B13="","",Lists!$B13),"")</f>
        <v>Quinn Simmons</v>
      </c>
      <c r="AG13" s="1" t="str">
        <f>IFERROR(IF(Lists!$B13="","",Lists!$C13),"")</f>
        <v>Platform Operations</v>
      </c>
      <c r="AH13" s="1">
        <f>IFERROR(IF(Lists!$B13="","",Lists!$D13),"")</f>
        <v>1</v>
      </c>
      <c r="AI13" s="1" t="str">
        <f>IF(AF13="","",IFERROR(INDEX('Skills Matrix'!$G$6:$DE$205,MATCH(AF13,'Skills Matrix'!$B$6:$B$205,0),MATCH('HR Quick View'!$J$9,'Skills Matrix'!$G$5:$DE$5,0)),""))</f>
        <v/>
      </c>
      <c r="AJ13" s="1" t="str">
        <f t="shared" si="4"/>
        <v/>
      </c>
      <c r="AK13" s="1" t="str">
        <f>IFERROR(IF(Lists!$B13="","",Lists!$E13),"")</f>
        <v>Morgan Reed</v>
      </c>
      <c r="AL13" s="1" t="str">
        <f>IF(AND(OR('HR Quick View'!$L$10="All Shifts",AH13='HR Quick View'!$L$10),OR(AND('HR Quick View'!$I$10="Qualified only",AI13=3),AND('HR Quick View'!$I$10="All trained",AI13&gt;0))),IF('HR Quick View'!$L$10="All Shifts",COUNTIF($AI$4:$AI$203,"&gt;"&amp;AI13)+COUNTIF($AI$4:AI13,AI13),COUNTIFS($AI$4:$AI$203,"&gt;"&amp;AI13,$AH$4:$AH$203,'HR Quick View'!$L$10)+COUNTIFS($AI$4:AI13,AI13,$AH$4:AH13,'HR Quick View'!$L$10)),"")</f>
        <v/>
      </c>
      <c r="AP13" s="17" t="str">
        <f>IFERROR(IF(Lists!$J13="","",Lists!$J13),"")</f>
        <v>Subscription &amp; Billing Support</v>
      </c>
      <c r="AQ13" s="17" t="str">
        <f>IFERROR(IF(Lists!$J13="","",Lists!$K13),"")</f>
        <v>Customer Support</v>
      </c>
      <c r="AR13" s="17" t="str">
        <f>IFERROR(IF(Lists!$J13="","",Lists!$L13),"")</f>
        <v>No</v>
      </c>
      <c r="AS13" s="17">
        <f>IFERROR(IF(Lists!$J13="","",Lists!$M13),0)</f>
        <v>3</v>
      </c>
      <c r="AT13" s="17">
        <f>IF(AP13="","",COUNTIF('Skills Matrix'!$P$6:$P$205,3))</f>
        <v>1</v>
      </c>
      <c r="AU13" s="17">
        <f>IF(AP13="","",COUNTIF('Skills Matrix'!$P$6:$P$205,2))</f>
        <v>1</v>
      </c>
      <c r="AV13" s="17">
        <f t="shared" si="5"/>
        <v>2</v>
      </c>
      <c r="AW13" s="17">
        <f>IF(OR(AP13="",AS13&lt;=0,AV13&lt;=0,AND('Skill Management'!$D$4&lt;&gt;"All Departments",AQ13&lt;&gt;'Skill Management'!$D$4)),"",IF(AT13=0,100000,0)+IF(AR13="Yes",10000,0)+AV13*100+AU13)</f>
        <v>201</v>
      </c>
      <c r="AX13" s="17">
        <f>IF(AW13="","",COUNTIF($AW$4:$AW$106,"&gt;"&amp;AW13)+COUNTIF($AW$4:AW13,AW13))</f>
        <v>73</v>
      </c>
      <c r="AY13" s="17" t="str">
        <f>IFERROR(IF(Lists!$J13="","",Lists!$N13),"")</f>
        <v>Yes</v>
      </c>
      <c r="BA13" s="17" t="str">
        <f>IFERROR(IF('Training Plan'!$A14="","",'Training Plan'!$A14),"")</f>
        <v>Rowan Carter</v>
      </c>
      <c r="BB13" s="17" t="str">
        <f>IFERROR(IF('Training Plan'!$A14="","",'Training Plan'!$B14),"")</f>
        <v>Software Engineering</v>
      </c>
      <c r="BC13" s="17" t="str">
        <f>IFERROR(IF('Training Plan'!$A14="","",'Training Plan'!$C14),"")</f>
        <v>Disaster Recovery</v>
      </c>
      <c r="BD13" s="17" t="str">
        <f>IFERROR(IF('Training Plan'!$A14="","",'Training Plan'!$D14),"")</f>
        <v>Shadow a qualified peer and complete the observation checklist.</v>
      </c>
      <c r="BE13" s="17">
        <f>IFERROR(IF('Training Plan'!$A14="","",'Training Plan'!$E14),"")</f>
        <v>46356</v>
      </c>
      <c r="BF13" s="17" t="str">
        <f>IFERROR(IF('Training Plan'!$A14="","",'Training Plan'!$F14),"")</f>
        <v>In Progress</v>
      </c>
      <c r="BG13" s="17">
        <f>IFERROR(IF('Training Plan'!$A14="","",'Training Plan'!$G14),"")</f>
        <v>0</v>
      </c>
      <c r="BH13" s="17" t="str">
        <f>IFERROR(IF('Training Plan'!$A14="","",'Training Plan'!$H14),"")</f>
        <v>Casey Hart</v>
      </c>
      <c r="BI13" s="17">
        <f>IF(OR(BA13="",BF13="Complete",AND('Skill Management'!$D$4&lt;&gt;"All Departments",BB13&lt;&gt;'Skill Management'!$D$4)),"",IF(BF13="Blocked",100000,IF(BF13="In Progress",200000,300000))+IF(BE13="",99999,BE13))</f>
        <v>246356</v>
      </c>
      <c r="BJ13" s="17">
        <f>IF(BI13="","",COUNTIFS($BI$4:$BI$203,"&gt;0",$BI$4:$BI$203,"&lt;"&amp;BI13)+COUNTIF($BI$4:BI13,BI13))</f>
        <v>8</v>
      </c>
      <c r="BK13" s="1" t="s">
        <v>312</v>
      </c>
      <c r="BT13" t="str">
        <f t="shared" si="6"/>
        <v>Subscription &amp; Billing Support</v>
      </c>
      <c r="BU13" t="str">
        <f t="shared" si="7"/>
        <v>Customer Support</v>
      </c>
      <c r="BV13" t="str">
        <f>IF(BT13="","",IFERROR(INDEX('Skills Matrix'!$G$6:$DE$205,MATCH('Employee Transcript'!$C$4,'Skills Matrix'!$B$6:$B$205,0),MATCH(BT13,'Skills Matrix'!$G$5:$DE$5,0)),""))</f>
        <v/>
      </c>
      <c r="BW13" t="str">
        <f>IF(BT13="","",IFERROR(INDEX('Competency Event Log'!$E$4:$E$803,MATCH('Employee Transcript'!$C$4&amp;"|"&amp;BT13,'Competency Event Log'!$U$4:$U$803,0)),""))</f>
        <v/>
      </c>
      <c r="BX13" t="str">
        <f>IF(BT13="","",IF(BU13='Employee Transcript'!$B$7,"Home Department","Cross-Trained"))</f>
        <v>Home Department</v>
      </c>
      <c r="BY13" t="str">
        <f t="shared" si="8"/>
        <v>No</v>
      </c>
      <c r="BZ13" t="str">
        <f>IF(BT13="","",IFERROR(INDEX('Competency Event Log'!$L$4:$L$803,MATCH('Employee Transcript'!$C$4&amp;"|"&amp;BT13,'Competency Event Log'!$U$4:$U$803,0)),""))</f>
        <v/>
      </c>
      <c r="CA13" t="str">
        <f>IF(N(BV13)&gt;0,COUNTIF($BV$4:BV13,"&gt;0"),"")</f>
        <v/>
      </c>
      <c r="CB13">
        <f>IF(AND('Competency Event Log'!$B13='Employee Transcript'!$C$4,'Competency Event Log'!$I13&lt;&gt;"Yes"),'Competency Event Log'!$K13,"")</f>
        <v>10</v>
      </c>
      <c r="CC13">
        <f t="shared" si="9"/>
        <v>4</v>
      </c>
      <c r="CD13" t="str">
        <f>IF(Certifications!$A13='Employee Transcript'!$C$4,13,"")</f>
        <v/>
      </c>
      <c r="CE13" t="str">
        <f>IF(CD13="","",COUNTIF($CD$4:CD13,"&gt;0"))</f>
        <v/>
      </c>
      <c r="CF13" t="str">
        <f>IF(AND('Training Plan'!$A14='Employee Transcript'!$C$4,'Training Plan'!$F14&lt;&gt;"Complete"),14,"")</f>
        <v/>
      </c>
      <c r="CG13" t="str">
        <f>IF(CF13="","",COUNTIF($CF$4:CF13,"&gt;0"))</f>
        <v/>
      </c>
    </row>
    <row r="14" spans="1:85">
      <c r="A14" s="2" t="s">
        <v>653</v>
      </c>
      <c r="B14" s="1" t="s">
        <v>69</v>
      </c>
      <c r="C14" s="1" t="s">
        <v>305</v>
      </c>
      <c r="D14" s="1">
        <v>2</v>
      </c>
      <c r="E14" s="1" t="s">
        <v>577</v>
      </c>
      <c r="F14" s="3">
        <v>45034</v>
      </c>
      <c r="G14" s="1" t="s">
        <v>16</v>
      </c>
      <c r="H14" s="4" t="s">
        <v>623</v>
      </c>
      <c r="I14" s="1" t="s">
        <v>418</v>
      </c>
      <c r="J14" s="1" t="s">
        <v>416</v>
      </c>
      <c r="K14" s="1" t="s">
        <v>304</v>
      </c>
      <c r="L14" s="1" t="s">
        <v>411</v>
      </c>
      <c r="M14" s="1">
        <v>4</v>
      </c>
      <c r="N14" s="1" t="s">
        <v>27</v>
      </c>
      <c r="P14" s="1" t="s">
        <v>416</v>
      </c>
      <c r="Q14" s="1" t="s">
        <v>304</v>
      </c>
      <c r="R14" s="1">
        <v>0</v>
      </c>
      <c r="S14" s="1">
        <f>COUNTIF('Skills Matrix'!$Q$6:$Q$205,3)</f>
        <v>4</v>
      </c>
      <c r="T14" s="1">
        <f t="shared" si="0"/>
        <v>0</v>
      </c>
      <c r="U14" s="1" t="str">
        <f>IF(AND(T14&gt;0,OR('HR Quick View'!$F$24="All Departments",Q14='HR Quick View'!$F$24)),COUNTIFS($T$4:$T$108,"&gt;"&amp;T14,$Q$4:$Q$108,IF('HR Quick View'!$F$24="All Departments","*",'HR Quick View'!$F$24))+COUNTIFS($T$4:T14,T14,$Q$4:Q14,IF('HR Quick View'!$F$24="All Departments","*",'HR Quick View'!$F$24)),"")</f>
        <v/>
      </c>
      <c r="V14" s="1" t="s">
        <v>304</v>
      </c>
      <c r="W14" s="1" t="s">
        <v>416</v>
      </c>
      <c r="X14" s="1" t="s">
        <v>304</v>
      </c>
      <c r="Y14" s="1" t="s">
        <v>411</v>
      </c>
      <c r="Z14" s="1">
        <f>IF('HR Quick View'!$C$9="","",IF(COUNTIFS('Competency Event Log'!$B$4:$B$803,'HR Quick View'!$C$9,'Competency Event Log'!$C$4:$C$803,W14,'Competency Event Log'!$T$4:$T$803,"Current")=0,"",SUMIFS('Competency Event Log'!$D$4:$D$803,'Competency Event Log'!$B$4:$B$803,'HR Quick View'!$C$9,'Competency Event Log'!$C$4:$C$803,W14,'Competency Event Log'!$T$4:$T$803,"Current")))</f>
        <v>3</v>
      </c>
      <c r="AA14" s="1">
        <f>IF($Z14="","",IF('HR Quick View'!$B$10="Qualified only",IF($Z14=3,COUNTIF($Z$4:$Z14,3),""),IF('HR Quick View'!$B$10="Developing only",IF(OR($Z14=1,$Z14=2),COUNTIF($Z$4:$Z$108,"&gt;"&amp;$Z14)+COUNTIF($Z$4:$Z14,$Z14)-COUNTIF($Z$4:$Z$108,3),""),IF('HR Quick View'!$B$10="All scored",COUNTIF($Z$4:$Z$108,"&gt;"&amp;$Z14)+COUNTIF($Z$4:$Z14,$Z14),""))))</f>
        <v>3</v>
      </c>
      <c r="AB14" s="1" t="str">
        <f>""</f>
        <v/>
      </c>
      <c r="AC14" s="1">
        <f t="shared" si="1"/>
        <v>0</v>
      </c>
      <c r="AD14" s="1">
        <f t="shared" si="2"/>
        <v>4</v>
      </c>
      <c r="AE14" s="1">
        <f t="shared" si="3"/>
        <v>0</v>
      </c>
      <c r="AF14" s="1" t="str">
        <f>IFERROR(IF(Lists!$B14="","",Lists!$B14),"")</f>
        <v>Drew Mitchell</v>
      </c>
      <c r="AG14" s="1" t="str">
        <f>IFERROR(IF(Lists!$B14="","",Lists!$C14),"")</f>
        <v>Platform Operations</v>
      </c>
      <c r="AH14" s="1">
        <f>IFERROR(IF(Lists!$B14="","",Lists!$D14),"")</f>
        <v>2</v>
      </c>
      <c r="AI14" s="1" t="str">
        <f>IF(AF14="","",IFERROR(INDEX('Skills Matrix'!$G$6:$DE$205,MATCH(AF14,'Skills Matrix'!$B$6:$B$205,0),MATCH('HR Quick View'!$J$9,'Skills Matrix'!$G$5:$DE$5,0)),""))</f>
        <v/>
      </c>
      <c r="AJ14" s="1" t="str">
        <f t="shared" si="4"/>
        <v/>
      </c>
      <c r="AK14" s="1" t="str">
        <f>IFERROR(IF(Lists!$B14="","",Lists!$E14),"")</f>
        <v>Morgan Reed</v>
      </c>
      <c r="AL14" s="1" t="str">
        <f>IF(AND(OR('HR Quick View'!$L$10="All Shifts",AH14='HR Quick View'!$L$10),OR(AND('HR Quick View'!$I$10="Qualified only",AI14=3),AND('HR Quick View'!$I$10="All trained",AI14&gt;0))),IF('HR Quick View'!$L$10="All Shifts",COUNTIF($AI$4:$AI$203,"&gt;"&amp;AI14)+COUNTIF($AI$4:AI14,AI14),COUNTIFS($AI$4:$AI$203,"&gt;"&amp;AI14,$AH$4:$AH$203,'HR Quick View'!$L$10)+COUNTIFS($AI$4:AI14,AI14,$AH$4:AH14,'HR Quick View'!$L$10)),"")</f>
        <v/>
      </c>
      <c r="AP14" s="17" t="str">
        <f>IFERROR(IF(Lists!$J14="","",Lists!$J14),"")</f>
        <v>Data Privacy Handling</v>
      </c>
      <c r="AQ14" s="17" t="str">
        <f>IFERROR(IF(Lists!$J14="","",Lists!$K14),"")</f>
        <v>Customer Support</v>
      </c>
      <c r="AR14" s="17" t="str">
        <f>IFERROR(IF(Lists!$J14="","",Lists!$L14),"")</f>
        <v>No</v>
      </c>
      <c r="AS14" s="17">
        <f>IFERROR(IF(Lists!$J14="","",Lists!$M14),0)</f>
        <v>4</v>
      </c>
      <c r="AT14" s="17">
        <f>IF(AP14="","",COUNTIF('Skills Matrix'!$Q$6:$Q$205,3))</f>
        <v>4</v>
      </c>
      <c r="AU14" s="17">
        <f>IF(AP14="","",COUNTIF('Skills Matrix'!$Q$6:$Q$205,2))</f>
        <v>0</v>
      </c>
      <c r="AV14" s="17">
        <f t="shared" si="5"/>
        <v>0</v>
      </c>
      <c r="AW14" s="17" t="str">
        <f>IF(OR(AP14="",AS14&lt;=0,AV14&lt;=0,AND('Skill Management'!$D$4&lt;&gt;"All Departments",AQ14&lt;&gt;'Skill Management'!$D$4)),"",IF(AT14=0,100000,0)+IF(AR14="Yes",10000,0)+AV14*100+AU14)</f>
        <v/>
      </c>
      <c r="AX14" s="17" t="str">
        <f>IF(AW14="","",COUNTIF($AW$4:$AW$106,"&gt;"&amp;AW14)+COUNTIF($AW$4:AW14,AW14))</f>
        <v/>
      </c>
      <c r="AY14" s="17" t="str">
        <f>IFERROR(IF(Lists!$J14="","",Lists!$N14),"")</f>
        <v>Yes</v>
      </c>
      <c r="BA14" s="17" t="str">
        <f>IFERROR(IF('Training Plan'!$A15="","",'Training Plan'!$A15),"")</f>
        <v>Logan Russell</v>
      </c>
      <c r="BB14" s="17" t="str">
        <f>IFERROR(IF('Training Plan'!$A15="","",'Training Plan'!$B15),"")</f>
        <v>IT Operations</v>
      </c>
      <c r="BC14" s="17" t="str">
        <f>IFERROR(IF('Training Plan'!$A15="","",'Training Plan'!$C15),"")</f>
        <v>Device Provisioning Specialist</v>
      </c>
      <c r="BD14" s="17" t="str">
        <f>IFERROR(IF('Training Plan'!$A15="","",'Training Plan'!$D15),"")</f>
        <v>Shadow a qualified peer and complete the observation checklist.</v>
      </c>
      <c r="BE14" s="17">
        <f>IFERROR(IF('Training Plan'!$A15="","",'Training Plan'!$E15),"")</f>
        <v>46327</v>
      </c>
      <c r="BF14" s="17" t="str">
        <f>IFERROR(IF('Training Plan'!$A15="","",'Training Plan'!$F15),"")</f>
        <v>Not Started</v>
      </c>
      <c r="BG14" s="17">
        <f>IFERROR(IF('Training Plan'!$A15="","",'Training Plan'!$G15),"")</f>
        <v>0</v>
      </c>
      <c r="BH14" s="17" t="str">
        <f>IFERROR(IF('Training Plan'!$A15="","",'Training Plan'!$H15),"")</f>
        <v>Riley Stone</v>
      </c>
      <c r="BI14" s="17">
        <f>IF(OR(BA14="",BF14="Complete",AND('Skill Management'!$D$4&lt;&gt;"All Departments",BB14&lt;&gt;'Skill Management'!$D$4)),"",IF(BF14="Blocked",100000,IF(BF14="In Progress",200000,300000))+IF(BE14="",99999,BE14))</f>
        <v>346327</v>
      </c>
      <c r="BJ14" s="17">
        <f>IF(BI14="","",COUNTIFS($BI$4:$BI$203,"&gt;0",$BI$4:$BI$203,"&lt;"&amp;BI14)+COUNTIF($BI$4:BI14,BI14))</f>
        <v>15</v>
      </c>
      <c r="BK14" s="1" t="s">
        <v>213</v>
      </c>
      <c r="BT14" t="str">
        <f t="shared" si="6"/>
        <v>Data Privacy Handling</v>
      </c>
      <c r="BU14" t="str">
        <f t="shared" si="7"/>
        <v>Customer Support</v>
      </c>
      <c r="BV14">
        <f>IF(BT14="","",IFERROR(INDEX('Skills Matrix'!$G$6:$DE$205,MATCH('Employee Transcript'!$C$4,'Skills Matrix'!$B$6:$B$205,0),MATCH(BT14,'Skills Matrix'!$G$5:$DE$5,0)),""))</f>
        <v>3</v>
      </c>
      <c r="BW14">
        <f>IF(BT14="","",IFERROR(INDEX('Competency Event Log'!$E$4:$E$803,MATCH('Employee Transcript'!$C$4&amp;"|"&amp;BT14,'Competency Event Log'!$U$4:$U$803,0)),""))</f>
        <v>46125</v>
      </c>
      <c r="BX14" t="str">
        <f>IF(BT14="","",IF(BU14='Employee Transcript'!$B$7,"Home Department","Cross-Trained"))</f>
        <v>Home Department</v>
      </c>
      <c r="BY14" t="str">
        <f t="shared" si="8"/>
        <v>No</v>
      </c>
      <c r="BZ14" t="str">
        <f>IF(BT14="","",IFERROR(INDEX('Competency Event Log'!$L$4:$L$803,MATCH('Employee Transcript'!$C$4&amp;"|"&amp;BT14,'Competency Event Log'!$U$4:$U$803,0)),""))</f>
        <v>DEMO-00004</v>
      </c>
      <c r="CA14">
        <f>IF(N(BV14)&gt;0,COUNTIF($BV$4:BV14,"&gt;0"),"")</f>
        <v>3</v>
      </c>
      <c r="CB14">
        <f>IF(AND('Competency Event Log'!$B14='Employee Transcript'!$C$4,'Competency Event Log'!$I14&lt;&gt;"Yes"),'Competency Event Log'!$K14,"")</f>
        <v>11</v>
      </c>
      <c r="CC14">
        <f t="shared" si="9"/>
        <v>3</v>
      </c>
      <c r="CD14" t="str">
        <f>IF(Certifications!$A14='Employee Transcript'!$C$4,14,"")</f>
        <v/>
      </c>
      <c r="CE14" t="str">
        <f>IF(CD14="","",COUNTIF($CD$4:CD14,"&gt;0"))</f>
        <v/>
      </c>
      <c r="CF14" t="str">
        <f>IF(AND('Training Plan'!$A15='Employee Transcript'!$C$4,'Training Plan'!$F15&lt;&gt;"Complete"),15,"")</f>
        <v/>
      </c>
      <c r="CG14" t="str">
        <f>IF(CF14="","",COUNTIF($CF$4:CF14,"&gt;0"))</f>
        <v/>
      </c>
    </row>
    <row r="15" spans="1:85">
      <c r="A15" s="2" t="s">
        <v>667</v>
      </c>
      <c r="B15" s="1" t="s">
        <v>74</v>
      </c>
      <c r="C15" s="1" t="s">
        <v>305</v>
      </c>
      <c r="D15" s="1">
        <v>3</v>
      </c>
      <c r="E15" s="1" t="s">
        <v>577</v>
      </c>
      <c r="F15" s="3">
        <v>45668</v>
      </c>
      <c r="G15" s="1" t="s">
        <v>16</v>
      </c>
      <c r="H15" s="4" t="s">
        <v>668</v>
      </c>
      <c r="I15" s="1" t="s">
        <v>550</v>
      </c>
      <c r="J15" s="1" t="s">
        <v>548</v>
      </c>
      <c r="K15" s="1" t="s">
        <v>304</v>
      </c>
      <c r="L15" s="1" t="s">
        <v>411</v>
      </c>
      <c r="M15" s="1">
        <v>4</v>
      </c>
      <c r="N15" s="1" t="s">
        <v>27</v>
      </c>
      <c r="P15" s="1" t="s">
        <v>548</v>
      </c>
      <c r="Q15" s="1" t="s">
        <v>304</v>
      </c>
      <c r="R15" s="1">
        <v>0</v>
      </c>
      <c r="S15" s="1">
        <f>COUNTIF('Skills Matrix'!$R$6:$R$205,3)</f>
        <v>1</v>
      </c>
      <c r="T15" s="1">
        <f t="shared" si="0"/>
        <v>0</v>
      </c>
      <c r="U15" s="1" t="str">
        <f>IF(AND(T15&gt;0,OR('HR Quick View'!$F$24="All Departments",Q15='HR Quick View'!$F$24)),COUNTIFS($T$4:$T$108,"&gt;"&amp;T15,$Q$4:$Q$108,IF('HR Quick View'!$F$24="All Departments","*",'HR Quick View'!$F$24))+COUNTIFS($T$4:T15,T15,$Q$4:Q15,IF('HR Quick View'!$F$24="All Departments","*",'HR Quick View'!$F$24)),"")</f>
        <v/>
      </c>
      <c r="V15" s="1" t="s">
        <v>311</v>
      </c>
      <c r="W15" s="1" t="s">
        <v>548</v>
      </c>
      <c r="X15" s="1" t="s">
        <v>304</v>
      </c>
      <c r="Y15" s="1" t="s">
        <v>411</v>
      </c>
      <c r="Z15" s="1" t="str">
        <f>IF('HR Quick View'!$C$9="","",IF(COUNTIFS('Competency Event Log'!$B$4:$B$803,'HR Quick View'!$C$9,'Competency Event Log'!$C$4:$C$803,W15,'Competency Event Log'!$T$4:$T$803,"Current")=0,"",SUMIFS('Competency Event Log'!$D$4:$D$803,'Competency Event Log'!$B$4:$B$803,'HR Quick View'!$C$9,'Competency Event Log'!$C$4:$C$803,W15,'Competency Event Log'!$T$4:$T$803,"Current")))</f>
        <v/>
      </c>
      <c r="AA15" s="1" t="str">
        <f>IF($Z15="","",IF('HR Quick View'!$B$10="Qualified only",IF($Z15=3,COUNTIF($Z$4:$Z15,3),""),IF('HR Quick View'!$B$10="Developing only",IF(OR($Z15=1,$Z15=2),COUNTIF($Z$4:$Z$108,"&gt;"&amp;$Z15)+COUNTIF($Z$4:$Z15,$Z15)-COUNTIF($Z$4:$Z$108,3),""),IF('HR Quick View'!$B$10="All scored",COUNTIF($Z$4:$Z$108,"&gt;"&amp;$Z15)+COUNTIF($Z$4:$Z15,$Z15),""))))</f>
        <v/>
      </c>
      <c r="AB15" s="1" t="str">
        <f>""</f>
        <v/>
      </c>
      <c r="AC15" s="1">
        <f t="shared" si="1"/>
        <v>0</v>
      </c>
      <c r="AD15" s="1">
        <f t="shared" si="2"/>
        <v>1</v>
      </c>
      <c r="AE15" s="1">
        <f t="shared" si="3"/>
        <v>0</v>
      </c>
      <c r="AF15" s="1" t="str">
        <f>IFERROR(IF(Lists!$B15="","",Lists!$B15),"")</f>
        <v>Jamie Sullivan</v>
      </c>
      <c r="AG15" s="1" t="str">
        <f>IFERROR(IF(Lists!$B15="","",Lists!$C15),"")</f>
        <v>Platform Operations</v>
      </c>
      <c r="AH15" s="1">
        <f>IFERROR(IF(Lists!$B15="","",Lists!$D15),"")</f>
        <v>3</v>
      </c>
      <c r="AI15" s="1" t="str">
        <f>IF(AF15="","",IFERROR(INDEX('Skills Matrix'!$G$6:$DE$205,MATCH(AF15,'Skills Matrix'!$B$6:$B$205,0),MATCH('HR Quick View'!$J$9,'Skills Matrix'!$G$5:$DE$5,0)),""))</f>
        <v/>
      </c>
      <c r="AJ15" s="1" t="str">
        <f t="shared" si="4"/>
        <v/>
      </c>
      <c r="AK15" s="1" t="str">
        <f>IFERROR(IF(Lists!$B15="","",Lists!$E15),"")</f>
        <v>Morgan Reed</v>
      </c>
      <c r="AL15" s="1" t="str">
        <f>IF(AND(OR('HR Quick View'!$L$10="All Shifts",AH15='HR Quick View'!$L$10),OR(AND('HR Quick View'!$I$10="Qualified only",AI15=3),AND('HR Quick View'!$I$10="All trained",AI15&gt;0))),IF('HR Quick View'!$L$10="All Shifts",COUNTIF($AI$4:$AI$203,"&gt;"&amp;AI15)+COUNTIF($AI$4:AI15,AI15),COUNTIFS($AI$4:$AI$203,"&gt;"&amp;AI15,$AH$4:$AH$203,'HR Quick View'!$L$10)+COUNTIFS($AI$4:AI15,AI15,$AH$4:AH15,'HR Quick View'!$L$10)),"")</f>
        <v/>
      </c>
      <c r="AP15" s="17" t="str">
        <f>IFERROR(IF(Lists!$J15="","",Lists!$J15),"")</f>
        <v>Remote Support Session</v>
      </c>
      <c r="AQ15" s="17" t="str">
        <f>IFERROR(IF(Lists!$J15="","",Lists!$K15),"")</f>
        <v>Customer Support</v>
      </c>
      <c r="AR15" s="17" t="str">
        <f>IFERROR(IF(Lists!$J15="","",Lists!$L15),"")</f>
        <v>No</v>
      </c>
      <c r="AS15" s="17">
        <f>IFERROR(IF(Lists!$J15="","",Lists!$M15),0)</f>
        <v>4</v>
      </c>
      <c r="AT15" s="17">
        <f>IF(AP15="","",COUNTIF('Skills Matrix'!$R$6:$R$205,3))</f>
        <v>1</v>
      </c>
      <c r="AU15" s="17">
        <f>IF(AP15="","",COUNTIF('Skills Matrix'!$R$6:$R$205,2))</f>
        <v>1</v>
      </c>
      <c r="AV15" s="17">
        <f t="shared" si="5"/>
        <v>3</v>
      </c>
      <c r="AW15" s="17">
        <f>IF(OR(AP15="",AS15&lt;=0,AV15&lt;=0,AND('Skill Management'!$D$4&lt;&gt;"All Departments",AQ15&lt;&gt;'Skill Management'!$D$4)),"",IF(AT15=0,100000,0)+IF(AR15="Yes",10000,0)+AV15*100+AU15)</f>
        <v>301</v>
      </c>
      <c r="AX15" s="17">
        <f>IF(AW15="","",COUNTIF($AW$4:$AW$106,"&gt;"&amp;AW15)+COUNTIF($AW$4:AW15,AW15))</f>
        <v>68</v>
      </c>
      <c r="AY15" s="17" t="str">
        <f>IFERROR(IF(Lists!$J15="","",Lists!$N15),"")</f>
        <v>Yes</v>
      </c>
      <c r="BA15" s="17" t="str">
        <f>IFERROR(IF('Training Plan'!$A16="","",'Training Plan'!$A16),"")</f>
        <v>Blake Price</v>
      </c>
      <c r="BB15" s="17" t="str">
        <f>IFERROR(IF('Training Plan'!$A16="","",'Training Plan'!$B16),"")</f>
        <v>Software Engineering</v>
      </c>
      <c r="BC15" s="17" t="str">
        <f>IFERROR(IF('Training Plan'!$A16="","",'Training Plan'!$C16),"")</f>
        <v>Release Branching</v>
      </c>
      <c r="BD15" s="17" t="str">
        <f>IFERROR(IF('Training Plan'!$A16="","",'Training Plan'!$D16),"")</f>
        <v>Close remaining skill gap during weekly cross-training block.</v>
      </c>
      <c r="BE15" s="17">
        <f>IFERROR(IF('Training Plan'!$A16="","",'Training Plan'!$E16),"")</f>
        <v>46294</v>
      </c>
      <c r="BF15" s="17" t="str">
        <f>IFERROR(IF('Training Plan'!$A16="","",'Training Plan'!$F16),"")</f>
        <v>Not Started</v>
      </c>
      <c r="BG15" s="17">
        <f>IFERROR(IF('Training Plan'!$A16="","",'Training Plan'!$G16),"")</f>
        <v>0</v>
      </c>
      <c r="BH15" s="17" t="str">
        <f>IFERROR(IF('Training Plan'!$A16="","",'Training Plan'!$H16),"")</f>
        <v>Casey Hart</v>
      </c>
      <c r="BI15" s="17">
        <f>IF(OR(BA15="",BF15="Complete",AND('Skill Management'!$D$4&lt;&gt;"All Departments",BB15&lt;&gt;'Skill Management'!$D$4)),"",IF(BF15="Blocked",100000,IF(BF15="In Progress",200000,300000))+IF(BE15="",99999,BE15))</f>
        <v>346294</v>
      </c>
      <c r="BJ15" s="17">
        <f>IF(BI15="","",COUNTIFS($BI$4:$BI$203,"&gt;0",$BI$4:$BI$203,"&lt;"&amp;BI15)+COUNTIF($BI$4:BI15,BI15))</f>
        <v>12</v>
      </c>
      <c r="BT15" t="str">
        <f t="shared" si="6"/>
        <v>Remote Support Session</v>
      </c>
      <c r="BU15" t="str">
        <f t="shared" si="7"/>
        <v>Customer Support</v>
      </c>
      <c r="BV15" t="str">
        <f>IF(BT15="","",IFERROR(INDEX('Skills Matrix'!$G$6:$DE$205,MATCH('Employee Transcript'!$C$4,'Skills Matrix'!$B$6:$B$205,0),MATCH(BT15,'Skills Matrix'!$G$5:$DE$5,0)),""))</f>
        <v/>
      </c>
      <c r="BW15" t="str">
        <f>IF(BT15="","",IFERROR(INDEX('Competency Event Log'!$E$4:$E$803,MATCH('Employee Transcript'!$C$4&amp;"|"&amp;BT15,'Competency Event Log'!$U$4:$U$803,0)),""))</f>
        <v/>
      </c>
      <c r="BX15" t="str">
        <f>IF(BT15="","",IF(BU15='Employee Transcript'!$B$7,"Home Department","Cross-Trained"))</f>
        <v>Home Department</v>
      </c>
      <c r="BY15" t="str">
        <f t="shared" si="8"/>
        <v>No</v>
      </c>
      <c r="BZ15" t="str">
        <f>IF(BT15="","",IFERROR(INDEX('Competency Event Log'!$L$4:$L$803,MATCH('Employee Transcript'!$C$4&amp;"|"&amp;BT15,'Competency Event Log'!$U$4:$U$803,0)),""))</f>
        <v/>
      </c>
      <c r="CA15" t="str">
        <f>IF(N(BV15)&gt;0,COUNTIF($BV$4:BV15,"&gt;0"),"")</f>
        <v/>
      </c>
      <c r="CB15">
        <f>IF(AND('Competency Event Log'!$B15='Employee Transcript'!$C$4,'Competency Event Log'!$I15&lt;&gt;"Yes"),'Competency Event Log'!$K15,"")</f>
        <v>12</v>
      </c>
      <c r="CC15">
        <f t="shared" si="9"/>
        <v>2</v>
      </c>
      <c r="CD15" t="str">
        <f>IF(Certifications!$A15='Employee Transcript'!$C$4,15,"")</f>
        <v/>
      </c>
      <c r="CE15" t="str">
        <f>IF(CD15="","",COUNTIF($CD$4:CD15,"&gt;0"))</f>
        <v/>
      </c>
      <c r="CF15" t="str">
        <f>IF(AND('Training Plan'!$A16='Employee Transcript'!$C$4,'Training Plan'!$F16&lt;&gt;"Complete"),16,"")</f>
        <v/>
      </c>
      <c r="CG15" t="str">
        <f>IF(CF15="","",COUNTIF($CF$4:CF15,"&gt;0"))</f>
        <v/>
      </c>
    </row>
    <row r="16" spans="1:85">
      <c r="A16" s="2" t="s">
        <v>685</v>
      </c>
      <c r="B16" s="1" t="s">
        <v>77</v>
      </c>
      <c r="C16" s="1" t="s">
        <v>306</v>
      </c>
      <c r="D16" s="1">
        <v>1</v>
      </c>
      <c r="E16" s="1" t="s">
        <v>683</v>
      </c>
      <c r="F16" s="3">
        <v>43638</v>
      </c>
      <c r="G16" s="1" t="s">
        <v>16</v>
      </c>
      <c r="H16" s="4" t="s">
        <v>686</v>
      </c>
      <c r="I16" s="1" t="s">
        <v>429</v>
      </c>
      <c r="J16" s="1" t="s">
        <v>427</v>
      </c>
      <c r="K16" s="1" t="s">
        <v>304</v>
      </c>
      <c r="L16" s="1" t="s">
        <v>411</v>
      </c>
      <c r="M16" s="1">
        <v>3</v>
      </c>
      <c r="N16" s="1" t="s">
        <v>27</v>
      </c>
      <c r="P16" s="1" t="s">
        <v>427</v>
      </c>
      <c r="Q16" s="1" t="s">
        <v>304</v>
      </c>
      <c r="R16" s="1">
        <v>0</v>
      </c>
      <c r="S16" s="1">
        <f>COUNTIF('Skills Matrix'!$S$6:$S$205,3)</f>
        <v>1</v>
      </c>
      <c r="T16" s="1">
        <f t="shared" si="0"/>
        <v>0</v>
      </c>
      <c r="U16" s="1" t="str">
        <f>IF(AND(T16&gt;0,OR('HR Quick View'!$F$24="All Departments",Q16='HR Quick View'!$F$24)),COUNTIFS($T$4:$T$108,"&gt;"&amp;T16,$Q$4:$Q$108,IF('HR Quick View'!$F$24="All Departments","*",'HR Quick View'!$F$24))+COUNTIFS($T$4:T16,T16,$Q$4:Q16,IF('HR Quick View'!$F$24="All Departments","*",'HR Quick View'!$F$24)),"")</f>
        <v/>
      </c>
      <c r="W16" s="1" t="s">
        <v>427</v>
      </c>
      <c r="X16" s="1" t="s">
        <v>304</v>
      </c>
      <c r="Y16" s="1" t="s">
        <v>411</v>
      </c>
      <c r="Z16" s="1">
        <f>IF('HR Quick View'!$C$9="","",IF(COUNTIFS('Competency Event Log'!$B$4:$B$803,'HR Quick View'!$C$9,'Competency Event Log'!$C$4:$C$803,W16,'Competency Event Log'!$T$4:$T$803,"Current")=0,"",SUMIFS('Competency Event Log'!$D$4:$D$803,'Competency Event Log'!$B$4:$B$803,'HR Quick View'!$C$9,'Competency Event Log'!$C$4:$C$803,W16,'Competency Event Log'!$T$4:$T$803,"Current")))</f>
        <v>3</v>
      </c>
      <c r="AA16" s="1">
        <f>IF($Z16="","",IF('HR Quick View'!$B$10="Qualified only",IF($Z16=3,COUNTIF($Z$4:$Z16,3),""),IF('HR Quick View'!$B$10="Developing only",IF(OR($Z16=1,$Z16=2),COUNTIF($Z$4:$Z$108,"&gt;"&amp;$Z16)+COUNTIF($Z$4:$Z16,$Z16)-COUNTIF($Z$4:$Z$108,3),""),IF('HR Quick View'!$B$10="All scored",COUNTIF($Z$4:$Z$108,"&gt;"&amp;$Z16)+COUNTIF($Z$4:$Z16,$Z16),""))))</f>
        <v>4</v>
      </c>
      <c r="AB16" s="1" t="str">
        <f>""</f>
        <v/>
      </c>
      <c r="AC16" s="1">
        <f t="shared" si="1"/>
        <v>0</v>
      </c>
      <c r="AD16" s="1">
        <f t="shared" si="2"/>
        <v>1</v>
      </c>
      <c r="AE16" s="1">
        <f t="shared" si="3"/>
        <v>0</v>
      </c>
      <c r="AF16" s="1" t="str">
        <f>IFERROR(IF(Lists!$B16="","",Lists!$B16),"")</f>
        <v>Reese Reed</v>
      </c>
      <c r="AG16" s="1" t="str">
        <f>IFERROR(IF(Lists!$B16="","",Lists!$C16),"")</f>
        <v>Software Engineering</v>
      </c>
      <c r="AH16" s="1">
        <f>IFERROR(IF(Lists!$B16="","",Lists!$D16),"")</f>
        <v>1</v>
      </c>
      <c r="AI16" s="1" t="str">
        <f>IF(AF16="","",IFERROR(INDEX('Skills Matrix'!$G$6:$DE$205,MATCH(AF16,'Skills Matrix'!$B$6:$B$205,0),MATCH('HR Quick View'!$J$9,'Skills Matrix'!$G$5:$DE$5,0)),""))</f>
        <v/>
      </c>
      <c r="AJ16" s="1" t="str">
        <f t="shared" si="4"/>
        <v/>
      </c>
      <c r="AK16" s="1" t="str">
        <f>IFERROR(IF(Lists!$B16="","",Lists!$E16),"")</f>
        <v>Casey Hart</v>
      </c>
      <c r="AL16" s="1" t="str">
        <f>IF(AND(OR('HR Quick View'!$L$10="All Shifts",AH16='HR Quick View'!$L$10),OR(AND('HR Quick View'!$I$10="Qualified only",AI16=3),AND('HR Quick View'!$I$10="All trained",AI16&gt;0))),IF('HR Quick View'!$L$10="All Shifts",COUNTIF($AI$4:$AI$203,"&gt;"&amp;AI16)+COUNTIF($AI$4:AI16,AI16),COUNTIFS($AI$4:$AI$203,"&gt;"&amp;AI16,$AH$4:$AH$203,'HR Quick View'!$L$10)+COUNTIFS($AI$4:AI16,AI16,$AH$4:AH16,'HR Quick View'!$L$10)),"")</f>
        <v/>
      </c>
      <c r="AP16" s="17" t="str">
        <f>IFERROR(IF(Lists!$J16="","",Lists!$J16),"")</f>
        <v>Troubleshooting Fundamentals</v>
      </c>
      <c r="AQ16" s="17" t="str">
        <f>IFERROR(IF(Lists!$J16="","",Lists!$K16),"")</f>
        <v>Customer Support</v>
      </c>
      <c r="AR16" s="17" t="str">
        <f>IFERROR(IF(Lists!$J16="","",Lists!$L16),"")</f>
        <v>No</v>
      </c>
      <c r="AS16" s="17">
        <f>IFERROR(IF(Lists!$J16="","",Lists!$M16),0)</f>
        <v>3</v>
      </c>
      <c r="AT16" s="17">
        <f>IF(AP16="","",COUNTIF('Skills Matrix'!$S$6:$S$205,3))</f>
        <v>1</v>
      </c>
      <c r="AU16" s="17">
        <f>IF(AP16="","",COUNTIF('Skills Matrix'!$S$6:$S$205,2))</f>
        <v>0</v>
      </c>
      <c r="AV16" s="17">
        <f t="shared" si="5"/>
        <v>2</v>
      </c>
      <c r="AW16" s="17">
        <f>IF(OR(AP16="",AS16&lt;=0,AV16&lt;=0,AND('Skill Management'!$D$4&lt;&gt;"All Departments",AQ16&lt;&gt;'Skill Management'!$D$4)),"",IF(AT16=0,100000,0)+IF(AR16="Yes",10000,0)+AV16*100+AU16)</f>
        <v>200</v>
      </c>
      <c r="AX16" s="17">
        <f>IF(AW16="","",COUNTIF($AW$4:$AW$106,"&gt;"&amp;AW16)+COUNTIF($AW$4:AW16,AW16))</f>
        <v>75</v>
      </c>
      <c r="AY16" s="17" t="str">
        <f>IFERROR(IF(Lists!$J16="","",Lists!$N16),"")</f>
        <v>Yes</v>
      </c>
      <c r="BA16" s="17" t="str">
        <f>IFERROR(IF('Training Plan'!$A17="","",'Training Plan'!$A17),"")</f>
        <v>Skyler Ross</v>
      </c>
      <c r="BB16" s="17" t="str">
        <f>IFERROR(IF('Training Plan'!$A17="","",'Training Plan'!$B17),"")</f>
        <v>Software Engineering</v>
      </c>
      <c r="BC16" s="17" t="str">
        <f>IFERROR(IF('Training Plan'!$A17="","",'Training Plan'!$C17),"")</f>
        <v>Windows Server Administration</v>
      </c>
      <c r="BD16" s="17" t="str">
        <f>IFERROR(IF('Training Plan'!$A17="","",'Training Plan'!$D17),"")</f>
        <v>Shadow a qualified peer and complete the observation checklist.</v>
      </c>
      <c r="BE16" s="17">
        <f>IFERROR(IF('Training Plan'!$A17="","",'Training Plan'!$E17),"")</f>
        <v>46267</v>
      </c>
      <c r="BF16" s="17" t="str">
        <f>IFERROR(IF('Training Plan'!$A17="","",'Training Plan'!$F17),"")</f>
        <v>In Progress</v>
      </c>
      <c r="BG16" s="17">
        <f>IFERROR(IF('Training Plan'!$A17="","",'Training Plan'!$G17),"")</f>
        <v>0</v>
      </c>
      <c r="BH16" s="17" t="str">
        <f>IFERROR(IF('Training Plan'!$A17="","",'Training Plan'!$H17),"")</f>
        <v>Casey Hart</v>
      </c>
      <c r="BI16" s="17">
        <f>IF(OR(BA16="",BF16="Complete",AND('Skill Management'!$D$4&lt;&gt;"All Departments",BB16&lt;&gt;'Skill Management'!$D$4)),"",IF(BF16="Blocked",100000,IF(BF16="In Progress",200000,300000))+IF(BE16="",99999,BE16))</f>
        <v>246267</v>
      </c>
      <c r="BJ16" s="17">
        <f>IF(BI16="","",COUNTIFS($BI$4:$BI$203,"&gt;0",$BI$4:$BI$203,"&lt;"&amp;BI16)+COUNTIF($BI$4:BI16,BI16))</f>
        <v>2</v>
      </c>
      <c r="BT16" t="str">
        <f t="shared" si="6"/>
        <v>Troubleshooting Fundamentals</v>
      </c>
      <c r="BU16" t="str">
        <f t="shared" si="7"/>
        <v>Customer Support</v>
      </c>
      <c r="BV16">
        <f>IF(BT16="","",IFERROR(INDEX('Skills Matrix'!$G$6:$DE$205,MATCH('Employee Transcript'!$C$4,'Skills Matrix'!$B$6:$B$205,0),MATCH(BT16,'Skills Matrix'!$G$5:$DE$5,0)),""))</f>
        <v>3</v>
      </c>
      <c r="BW16">
        <f>IF(BT16="","",IFERROR(INDEX('Competency Event Log'!$E$4:$E$803,MATCH('Employee Transcript'!$C$4&amp;"|"&amp;BT16,'Competency Event Log'!$U$4:$U$803,0)),""))</f>
        <v>45919</v>
      </c>
      <c r="BX16" t="str">
        <f>IF(BT16="","",IF(BU16='Employee Transcript'!$B$7,"Home Department","Cross-Trained"))</f>
        <v>Home Department</v>
      </c>
      <c r="BY16" t="str">
        <f t="shared" si="8"/>
        <v>No</v>
      </c>
      <c r="BZ16" t="str">
        <f>IF(BT16="","",IFERROR(INDEX('Competency Event Log'!$L$4:$L$803,MATCH('Employee Transcript'!$C$4&amp;"|"&amp;BT16,'Competency Event Log'!$U$4:$U$803,0)),""))</f>
        <v>DEMO-00010</v>
      </c>
      <c r="CA16">
        <f>IF(N(BV16)&gt;0,COUNTIF($BV$4:BV16,"&gt;0"),"")</f>
        <v>4</v>
      </c>
      <c r="CB16">
        <f>IF(AND('Competency Event Log'!$B16='Employee Transcript'!$C$4,'Competency Event Log'!$I16&lt;&gt;"Yes"),'Competency Event Log'!$K16,"")</f>
        <v>13</v>
      </c>
      <c r="CC16">
        <f t="shared" si="9"/>
        <v>1</v>
      </c>
      <c r="CD16" t="str">
        <f>IF(Certifications!$A16='Employee Transcript'!$C$4,16,"")</f>
        <v/>
      </c>
      <c r="CE16" t="str">
        <f>IF(CD16="","",COUNTIF($CD$4:CD16,"&gt;0"))</f>
        <v/>
      </c>
      <c r="CF16" t="str">
        <f>IF(AND('Training Plan'!$A17='Employee Transcript'!$C$4,'Training Plan'!$F17&lt;&gt;"Complete"),17,"")</f>
        <v/>
      </c>
      <c r="CG16" t="str">
        <f>IF(CF16="","",COUNTIF($CF$4:CF16,"&gt;0"))</f>
        <v/>
      </c>
    </row>
    <row r="17" spans="1:85">
      <c r="A17" s="2" t="s">
        <v>716</v>
      </c>
      <c r="B17" s="1" t="s">
        <v>80</v>
      </c>
      <c r="C17" s="1" t="s">
        <v>306</v>
      </c>
      <c r="D17" s="1">
        <v>2</v>
      </c>
      <c r="E17" s="1" t="s">
        <v>683</v>
      </c>
      <c r="F17" s="3">
        <v>45149</v>
      </c>
      <c r="G17" s="1" t="s">
        <v>16</v>
      </c>
      <c r="H17" s="4" t="s">
        <v>717</v>
      </c>
      <c r="I17" s="1" t="s">
        <v>485</v>
      </c>
      <c r="J17" s="1" t="s">
        <v>483</v>
      </c>
      <c r="K17" s="1" t="s">
        <v>304</v>
      </c>
      <c r="L17" s="1" t="s">
        <v>411</v>
      </c>
      <c r="M17" s="1">
        <v>3</v>
      </c>
      <c r="N17" s="1" t="s">
        <v>27</v>
      </c>
      <c r="P17" s="1" t="s">
        <v>483</v>
      </c>
      <c r="Q17" s="1" t="s">
        <v>304</v>
      </c>
      <c r="R17" s="1">
        <v>0</v>
      </c>
      <c r="S17" s="1">
        <f>COUNTIF('Skills Matrix'!$T$6:$T$205,3)</f>
        <v>3</v>
      </c>
      <c r="T17" s="1">
        <f t="shared" si="0"/>
        <v>0</v>
      </c>
      <c r="U17" s="1" t="str">
        <f>IF(AND(T17&gt;0,OR('HR Quick View'!$F$24="All Departments",Q17='HR Quick View'!$F$24)),COUNTIFS($T$4:$T$108,"&gt;"&amp;T17,$Q$4:$Q$108,IF('HR Quick View'!$F$24="All Departments","*",'HR Quick View'!$F$24))+COUNTIFS($T$4:T17,T17,$Q$4:Q17,IF('HR Quick View'!$F$24="All Departments","*",'HR Quick View'!$F$24)),"")</f>
        <v/>
      </c>
      <c r="W17" s="1" t="s">
        <v>483</v>
      </c>
      <c r="X17" s="1" t="s">
        <v>304</v>
      </c>
      <c r="Y17" s="1" t="s">
        <v>411</v>
      </c>
      <c r="Z17" s="1" t="str">
        <f>IF('HR Quick View'!$C$9="","",IF(COUNTIFS('Competency Event Log'!$B$4:$B$803,'HR Quick View'!$C$9,'Competency Event Log'!$C$4:$C$803,W17,'Competency Event Log'!$T$4:$T$803,"Current")=0,"",SUMIFS('Competency Event Log'!$D$4:$D$803,'Competency Event Log'!$B$4:$B$803,'HR Quick View'!$C$9,'Competency Event Log'!$C$4:$C$803,W17,'Competency Event Log'!$T$4:$T$803,"Current")))</f>
        <v/>
      </c>
      <c r="AA17" s="1" t="str">
        <f>IF($Z17="","",IF('HR Quick View'!$B$10="Qualified only",IF($Z17=3,COUNTIF($Z$4:$Z17,3),""),IF('HR Quick View'!$B$10="Developing only",IF(OR($Z17=1,$Z17=2),COUNTIF($Z$4:$Z$108,"&gt;"&amp;$Z17)+COUNTIF($Z$4:$Z17,$Z17)-COUNTIF($Z$4:$Z$108,3),""),IF('HR Quick View'!$B$10="All scored",COUNTIF($Z$4:$Z$108,"&gt;"&amp;$Z17)+COUNTIF($Z$4:$Z17,$Z17),""))))</f>
        <v/>
      </c>
      <c r="AB17" s="1" t="str">
        <f>""</f>
        <v/>
      </c>
      <c r="AC17" s="1">
        <f t="shared" si="1"/>
        <v>0</v>
      </c>
      <c r="AD17" s="1">
        <f t="shared" si="2"/>
        <v>3</v>
      </c>
      <c r="AE17" s="1">
        <f t="shared" si="3"/>
        <v>0</v>
      </c>
      <c r="AF17" s="1" t="str">
        <f>IFERROR(IF(Lists!$B17="","",Lists!$B17),"")</f>
        <v>Skyler Ross</v>
      </c>
      <c r="AG17" s="1" t="str">
        <f>IFERROR(IF(Lists!$B17="","",Lists!$C17),"")</f>
        <v>Software Engineering</v>
      </c>
      <c r="AH17" s="1">
        <f>IFERROR(IF(Lists!$B17="","",Lists!$D17),"")</f>
        <v>2</v>
      </c>
      <c r="AI17" s="1" t="str">
        <f>IF(AF17="","",IFERROR(INDEX('Skills Matrix'!$G$6:$DE$205,MATCH(AF17,'Skills Matrix'!$B$6:$B$205,0),MATCH('HR Quick View'!$J$9,'Skills Matrix'!$G$5:$DE$5,0)),""))</f>
        <v/>
      </c>
      <c r="AJ17" s="1" t="str">
        <f t="shared" si="4"/>
        <v/>
      </c>
      <c r="AK17" s="1" t="str">
        <f>IFERROR(IF(Lists!$B17="","",Lists!$E17),"")</f>
        <v>Casey Hart</v>
      </c>
      <c r="AL17" s="1" t="str">
        <f>IF(AND(OR('HR Quick View'!$L$10="All Shifts",AH17='HR Quick View'!$L$10),OR(AND('HR Quick View'!$I$10="Qualified only",AI17=3),AND('HR Quick View'!$I$10="All trained",AI17&gt;0))),IF('HR Quick View'!$L$10="All Shifts",COUNTIF($AI$4:$AI$203,"&gt;"&amp;AI17)+COUNTIF($AI$4:AI17,AI17),COUNTIFS($AI$4:$AI$203,"&gt;"&amp;AI17,$AH$4:$AH$203,'HR Quick View'!$L$10)+COUNTIFS($AI$4:AI17,AI17,$AH$4:AH17,'HR Quick View'!$L$10)),"")</f>
        <v/>
      </c>
      <c r="AP17" s="17" t="str">
        <f>IFERROR(IF(Lists!$J17="","",Lists!$J17),"")</f>
        <v>Support QA Review</v>
      </c>
      <c r="AQ17" s="17" t="str">
        <f>IFERROR(IF(Lists!$J17="","",Lists!$K17),"")</f>
        <v>Customer Support</v>
      </c>
      <c r="AR17" s="17" t="str">
        <f>IFERROR(IF(Lists!$J17="","",Lists!$L17),"")</f>
        <v>No</v>
      </c>
      <c r="AS17" s="17">
        <f>IFERROR(IF(Lists!$J17="","",Lists!$M17),0)</f>
        <v>3</v>
      </c>
      <c r="AT17" s="17">
        <f>IF(AP17="","",COUNTIF('Skills Matrix'!$T$6:$T$205,3))</f>
        <v>3</v>
      </c>
      <c r="AU17" s="17">
        <f>IF(AP17="","",COUNTIF('Skills Matrix'!$T$6:$T$205,2))</f>
        <v>1</v>
      </c>
      <c r="AV17" s="17">
        <f t="shared" si="5"/>
        <v>0</v>
      </c>
      <c r="AW17" s="17" t="str">
        <f>IF(OR(AP17="",AS17&lt;=0,AV17&lt;=0,AND('Skill Management'!$D$4&lt;&gt;"All Departments",AQ17&lt;&gt;'Skill Management'!$D$4)),"",IF(AT17=0,100000,0)+IF(AR17="Yes",10000,0)+AV17*100+AU17)</f>
        <v/>
      </c>
      <c r="AX17" s="17" t="str">
        <f>IF(AW17="","",COUNTIF($AW$4:$AW$106,"&gt;"&amp;AW17)+COUNTIF($AW$4:AW17,AW17))</f>
        <v/>
      </c>
      <c r="AY17" s="17" t="str">
        <f>IFERROR(IF(Lists!$J17="","",Lists!$N17),"")</f>
        <v>Yes</v>
      </c>
      <c r="BA17" s="17" t="str">
        <f>IFERROR(IF('Training Plan'!$A18="","",'Training Plan'!$A18),"")</f>
        <v>Sydney Morgan</v>
      </c>
      <c r="BB17" s="17" t="str">
        <f>IFERROR(IF('Training Plan'!$A18="","",'Training Plan'!$B18),"")</f>
        <v>IT Operations</v>
      </c>
      <c r="BC17" s="17" t="str">
        <f>IFERROR(IF('Training Plan'!$A18="","",'Training Plan'!$C18),"")</f>
        <v>Business Continuity Basics</v>
      </c>
      <c r="BD17" s="17" t="str">
        <f>IFERROR(IF('Training Plan'!$A18="","",'Training Plan'!$D18),"")</f>
        <v>Complete two guided workflow sessions with a qualified peer before assessment.</v>
      </c>
      <c r="BE17" s="17">
        <f>IFERROR(IF('Training Plan'!$A18="","",'Training Plan'!$E18),"")</f>
        <v>46281</v>
      </c>
      <c r="BF17" s="17" t="str">
        <f>IFERROR(IF('Training Plan'!$A18="","",'Training Plan'!$F18),"")</f>
        <v>In Progress</v>
      </c>
      <c r="BG17" s="17">
        <f>IFERROR(IF('Training Plan'!$A18="","",'Training Plan'!$G18),"")</f>
        <v>0</v>
      </c>
      <c r="BH17" s="17" t="str">
        <f>IFERROR(IF('Training Plan'!$A18="","",'Training Plan'!$H18),"")</f>
        <v>Riley Stone</v>
      </c>
      <c r="BI17" s="17">
        <f>IF(OR(BA17="",BF17="Complete",AND('Skill Management'!$D$4&lt;&gt;"All Departments",BB17&lt;&gt;'Skill Management'!$D$4)),"",IF(BF17="Blocked",100000,IF(BF17="In Progress",200000,300000))+IF(BE17="",99999,BE17))</f>
        <v>246281</v>
      </c>
      <c r="BJ17" s="17">
        <f>IF(BI17="","",COUNTIFS($BI$4:$BI$203,"&gt;0",$BI$4:$BI$203,"&lt;"&amp;BI17)+COUNTIF($BI$4:BI17,BI17))</f>
        <v>3</v>
      </c>
      <c r="BT17" t="str">
        <f t="shared" si="6"/>
        <v>Support QA Review</v>
      </c>
      <c r="BU17" t="str">
        <f t="shared" si="7"/>
        <v>Customer Support</v>
      </c>
      <c r="BV17" t="str">
        <f>IF(BT17="","",IFERROR(INDEX('Skills Matrix'!$G$6:$DE$205,MATCH('Employee Transcript'!$C$4,'Skills Matrix'!$B$6:$B$205,0),MATCH(BT17,'Skills Matrix'!$G$5:$DE$5,0)),""))</f>
        <v/>
      </c>
      <c r="BW17" t="str">
        <f>IF(BT17="","",IFERROR(INDEX('Competency Event Log'!$E$4:$E$803,MATCH('Employee Transcript'!$C$4&amp;"|"&amp;BT17,'Competency Event Log'!$U$4:$U$803,0)),""))</f>
        <v/>
      </c>
      <c r="BX17" t="str">
        <f>IF(BT17="","",IF(BU17='Employee Transcript'!$B$7,"Home Department","Cross-Trained"))</f>
        <v>Home Department</v>
      </c>
      <c r="BY17" t="str">
        <f t="shared" si="8"/>
        <v>No</v>
      </c>
      <c r="BZ17" t="str">
        <f>IF(BT17="","",IFERROR(INDEX('Competency Event Log'!$L$4:$L$803,MATCH('Employee Transcript'!$C$4&amp;"|"&amp;BT17,'Competency Event Log'!$U$4:$U$803,0)),""))</f>
        <v/>
      </c>
      <c r="CA17" t="str">
        <f>IF(N(BV17)&gt;0,COUNTIF($BV$4:BV17,"&gt;0"),"")</f>
        <v/>
      </c>
      <c r="CB17" t="str">
        <f>IF(AND('Competency Event Log'!$B17='Employee Transcript'!$C$4,'Competency Event Log'!$I17&lt;&gt;"Yes"),'Competency Event Log'!$K17,"")</f>
        <v/>
      </c>
      <c r="CC17" t="str">
        <f t="shared" si="9"/>
        <v/>
      </c>
      <c r="CD17" t="str">
        <f>IF(Certifications!$A17='Employee Transcript'!$C$4,17,"")</f>
        <v/>
      </c>
      <c r="CE17" t="str">
        <f>IF(CD17="","",COUNTIF($CD$4:CD17,"&gt;0"))</f>
        <v/>
      </c>
      <c r="CF17" t="str">
        <f>IF(AND('Training Plan'!$A18='Employee Transcript'!$C$4,'Training Plan'!$F18&lt;&gt;"Complete"),18,"")</f>
        <v/>
      </c>
      <c r="CG17" t="str">
        <f>IF(CF17="","",COUNTIF($CF$4:CF17,"&gt;0"))</f>
        <v/>
      </c>
    </row>
    <row r="18" spans="1:85">
      <c r="A18" s="2" t="s">
        <v>741</v>
      </c>
      <c r="B18" s="1" t="s">
        <v>83</v>
      </c>
      <c r="C18" s="1" t="s">
        <v>306</v>
      </c>
      <c r="D18" s="1">
        <v>3</v>
      </c>
      <c r="E18" s="1" t="s">
        <v>683</v>
      </c>
      <c r="F18" s="3">
        <v>42762</v>
      </c>
      <c r="G18" s="1" t="s">
        <v>16</v>
      </c>
      <c r="H18" s="4" t="s">
        <v>742</v>
      </c>
      <c r="I18" s="1" t="s">
        <v>434</v>
      </c>
      <c r="J18" s="1" t="s">
        <v>432</v>
      </c>
      <c r="K18" s="1" t="s">
        <v>304</v>
      </c>
      <c r="L18" s="1" t="s">
        <v>411</v>
      </c>
      <c r="M18" s="1">
        <v>3</v>
      </c>
      <c r="N18" s="1" t="s">
        <v>27</v>
      </c>
      <c r="P18" s="1" t="s">
        <v>432</v>
      </c>
      <c r="Q18" s="1" t="s">
        <v>304</v>
      </c>
      <c r="R18" s="1">
        <v>0</v>
      </c>
      <c r="S18" s="1">
        <f>COUNTIF('Skills Matrix'!$U$6:$U$205,3)</f>
        <v>2</v>
      </c>
      <c r="T18" s="1">
        <f t="shared" si="0"/>
        <v>0</v>
      </c>
      <c r="U18" s="1" t="str">
        <f>IF(AND(T18&gt;0,OR('HR Quick View'!$F$24="All Departments",Q18='HR Quick View'!$F$24)),COUNTIFS($T$4:$T$108,"&gt;"&amp;T18,$Q$4:$Q$108,IF('HR Quick View'!$F$24="All Departments","*",'HR Quick View'!$F$24))+COUNTIFS($T$4:T18,T18,$Q$4:Q18,IF('HR Quick View'!$F$24="All Departments","*",'HR Quick View'!$F$24)),"")</f>
        <v/>
      </c>
      <c r="W18" s="1" t="s">
        <v>432</v>
      </c>
      <c r="X18" s="1" t="s">
        <v>304</v>
      </c>
      <c r="Y18" s="1" t="s">
        <v>411</v>
      </c>
      <c r="Z18" s="1">
        <f>IF('HR Quick View'!$C$9="","",IF(COUNTIFS('Competency Event Log'!$B$4:$B$803,'HR Quick View'!$C$9,'Competency Event Log'!$C$4:$C$803,W18,'Competency Event Log'!$T$4:$T$803,"Current")=0,"",SUMIFS('Competency Event Log'!$D$4:$D$803,'Competency Event Log'!$B$4:$B$803,'HR Quick View'!$C$9,'Competency Event Log'!$C$4:$C$803,W18,'Competency Event Log'!$T$4:$T$803,"Current")))</f>
        <v>3</v>
      </c>
      <c r="AA18" s="1">
        <f>IF($Z18="","",IF('HR Quick View'!$B$10="Qualified only",IF($Z18=3,COUNTIF($Z$4:$Z18,3),""),IF('HR Quick View'!$B$10="Developing only",IF(OR($Z18=1,$Z18=2),COUNTIF($Z$4:$Z$108,"&gt;"&amp;$Z18)+COUNTIF($Z$4:$Z18,$Z18)-COUNTIF($Z$4:$Z$108,3),""),IF('HR Quick View'!$B$10="All scored",COUNTIF($Z$4:$Z$108,"&gt;"&amp;$Z18)+COUNTIF($Z$4:$Z18,$Z18),""))))</f>
        <v>5</v>
      </c>
      <c r="AB18" s="1" t="str">
        <f>""</f>
        <v/>
      </c>
      <c r="AC18" s="1">
        <f t="shared" si="1"/>
        <v>0</v>
      </c>
      <c r="AD18" s="1">
        <f t="shared" si="2"/>
        <v>2</v>
      </c>
      <c r="AE18" s="1">
        <f t="shared" si="3"/>
        <v>0</v>
      </c>
      <c r="AF18" s="1" t="str">
        <f>IFERROR(IF(Lists!$B18="","",Lists!$B18),"")</f>
        <v>Hayden Butler</v>
      </c>
      <c r="AG18" s="1" t="str">
        <f>IFERROR(IF(Lists!$B18="","",Lists!$C18),"")</f>
        <v>Software Engineering</v>
      </c>
      <c r="AH18" s="1">
        <f>IFERROR(IF(Lists!$B18="","",Lists!$D18),"")</f>
        <v>3</v>
      </c>
      <c r="AI18" s="1" t="str">
        <f>IF(AF18="","",IFERROR(INDEX('Skills Matrix'!$G$6:$DE$205,MATCH(AF18,'Skills Matrix'!$B$6:$B$205,0),MATCH('HR Quick View'!$J$9,'Skills Matrix'!$G$5:$DE$5,0)),""))</f>
        <v/>
      </c>
      <c r="AJ18" s="1" t="str">
        <f t="shared" si="4"/>
        <v/>
      </c>
      <c r="AK18" s="1" t="str">
        <f>IFERROR(IF(Lists!$B18="","",Lists!$E18),"")</f>
        <v>Casey Hart</v>
      </c>
      <c r="AL18" s="1" t="str">
        <f>IF(AND(OR('HR Quick View'!$L$10="All Shifts",AH18='HR Quick View'!$L$10),OR(AND('HR Quick View'!$I$10="Qualified only",AI18=3),AND('HR Quick View'!$I$10="All trained",AI18&gt;0))),IF('HR Quick View'!$L$10="All Shifts",COUNTIF($AI$4:$AI$203,"&gt;"&amp;AI18)+COUNTIF($AI$4:AI18,AI18),COUNTIFS($AI$4:$AI$203,"&gt;"&amp;AI18,$AH$4:$AH$203,'HR Quick View'!$L$10)+COUNTIFS($AI$4:AI18,AI18,$AH$4:AH18,'HR Quick View'!$L$10)),"")</f>
        <v/>
      </c>
      <c r="AP18" s="17" t="str">
        <f>IFERROR(IF(Lists!$J18="","",Lists!$J18),"")</f>
        <v>Customer Configuration Support</v>
      </c>
      <c r="AQ18" s="17" t="str">
        <f>IFERROR(IF(Lists!$J18="","",Lists!$K18),"")</f>
        <v>Customer Support</v>
      </c>
      <c r="AR18" s="17" t="str">
        <f>IFERROR(IF(Lists!$J18="","",Lists!$L18),"")</f>
        <v>No</v>
      </c>
      <c r="AS18" s="17">
        <f>IFERROR(IF(Lists!$J18="","",Lists!$M18),0)</f>
        <v>3</v>
      </c>
      <c r="AT18" s="17">
        <f>IF(AP18="","",COUNTIF('Skills Matrix'!$U$6:$U$205,3))</f>
        <v>2</v>
      </c>
      <c r="AU18" s="17">
        <f>IF(AP18="","",COUNTIF('Skills Matrix'!$U$6:$U$205,2))</f>
        <v>1</v>
      </c>
      <c r="AV18" s="17">
        <f t="shared" si="5"/>
        <v>1</v>
      </c>
      <c r="AW18" s="17">
        <f>IF(OR(AP18="",AS18&lt;=0,AV18&lt;=0,AND('Skill Management'!$D$4&lt;&gt;"All Departments",AQ18&lt;&gt;'Skill Management'!$D$4)),"",IF(AT18=0,100000,0)+IF(AR18="Yes",10000,0)+AV18*100+AU18)</f>
        <v>101</v>
      </c>
      <c r="AX18" s="17">
        <f>IF(AW18="","",COUNTIF($AW$4:$AW$106,"&gt;"&amp;AW18)+COUNTIF($AW$4:AW18,AW18))</f>
        <v>83</v>
      </c>
      <c r="AY18" s="17" t="str">
        <f>IFERROR(IF(Lists!$J18="","",Lists!$N18),"")</f>
        <v>Yes</v>
      </c>
      <c r="BA18" s="17" t="str">
        <f>IFERROR(IF('Training Plan'!$A19="","",'Training Plan'!$A19),"")</f>
        <v>Dakota Ward</v>
      </c>
      <c r="BB18" s="17" t="str">
        <f>IFERROR(IF('Training Plan'!$A19="","",'Training Plan'!$B19),"")</f>
        <v>IT Operations</v>
      </c>
      <c r="BC18" s="17" t="str">
        <f>IFERROR(IF('Training Plan'!$A19="","",'Training Plan'!$C19),"")</f>
        <v>Endpoint Provisioning</v>
      </c>
      <c r="BD18" s="17" t="str">
        <f>IFERROR(IF('Training Plan'!$A19="","",'Training Plan'!$D19),"")</f>
        <v>Shadow a qualified peer and complete the observation checklist.</v>
      </c>
      <c r="BE18" s="17">
        <f>IFERROR(IF('Training Plan'!$A19="","",'Training Plan'!$E19),"")</f>
        <v>46327</v>
      </c>
      <c r="BF18" s="17" t="str">
        <f>IFERROR(IF('Training Plan'!$A19="","",'Training Plan'!$F19),"")</f>
        <v>In Progress</v>
      </c>
      <c r="BG18" s="17">
        <f>IFERROR(IF('Training Plan'!$A19="","",'Training Plan'!$G19),"")</f>
        <v>0</v>
      </c>
      <c r="BH18" s="17" t="str">
        <f>IFERROR(IF('Training Plan'!$A19="","",'Training Plan'!$H19),"")</f>
        <v>Riley Stone</v>
      </c>
      <c r="BI18" s="17">
        <f>IF(OR(BA18="",BF18="Complete",AND('Skill Management'!$D$4&lt;&gt;"All Departments",BB18&lt;&gt;'Skill Management'!$D$4)),"",IF(BF18="Blocked",100000,IF(BF18="In Progress",200000,300000))+IF(BE18="",99999,BE18))</f>
        <v>246327</v>
      </c>
      <c r="BJ18" s="17">
        <f>IF(BI18="","",COUNTIFS($BI$4:$BI$203,"&gt;0",$BI$4:$BI$203,"&lt;"&amp;BI18)+COUNTIF($BI$4:BI18,BI18))</f>
        <v>6</v>
      </c>
      <c r="BT18" t="str">
        <f t="shared" si="6"/>
        <v>Customer Configuration Support</v>
      </c>
      <c r="BU18" t="str">
        <f t="shared" si="7"/>
        <v>Customer Support</v>
      </c>
      <c r="BV18">
        <f>IF(BT18="","",IFERROR(INDEX('Skills Matrix'!$G$6:$DE$205,MATCH('Employee Transcript'!$C$4,'Skills Matrix'!$B$6:$B$205,0),MATCH(BT18,'Skills Matrix'!$G$5:$DE$5,0)),""))</f>
        <v>3</v>
      </c>
      <c r="BW18">
        <f>IF(BT18="","",IFERROR(INDEX('Competency Event Log'!$E$4:$E$803,MATCH('Employee Transcript'!$C$4&amp;"|"&amp;BT18,'Competency Event Log'!$U$4:$U$803,0)),""))</f>
        <v>46208</v>
      </c>
      <c r="BX18" t="str">
        <f>IF(BT18="","",IF(BU18='Employee Transcript'!$B$7,"Home Department","Cross-Trained"))</f>
        <v>Home Department</v>
      </c>
      <c r="BY18" t="str">
        <f t="shared" si="8"/>
        <v>No</v>
      </c>
      <c r="BZ18" t="str">
        <f>IF(BT18="","",IFERROR(INDEX('Competency Event Log'!$L$4:$L$803,MATCH('Employee Transcript'!$C$4&amp;"|"&amp;BT18,'Competency Event Log'!$U$4:$U$803,0)),""))</f>
        <v>DEMO-00011</v>
      </c>
      <c r="CA18">
        <f>IF(N(BV18)&gt;0,COUNTIF($BV$4:BV18,"&gt;0"),"")</f>
        <v>5</v>
      </c>
      <c r="CB18" t="str">
        <f>IF(AND('Competency Event Log'!$B18='Employee Transcript'!$C$4,'Competency Event Log'!$I18&lt;&gt;"Yes"),'Competency Event Log'!$K18,"")</f>
        <v/>
      </c>
      <c r="CC18" t="str">
        <f t="shared" si="9"/>
        <v/>
      </c>
      <c r="CD18" t="str">
        <f>IF(Certifications!$A18='Employee Transcript'!$C$4,18,"")</f>
        <v/>
      </c>
      <c r="CE18" t="str">
        <f>IF(CD18="","",COUNTIF($CD$4:CD18,"&gt;0"))</f>
        <v/>
      </c>
      <c r="CF18" t="str">
        <f>IF(AND('Training Plan'!$A19='Employee Transcript'!$C$4,'Training Plan'!$F19&lt;&gt;"Complete"),19,"")</f>
        <v/>
      </c>
      <c r="CG18" t="str">
        <f>IF(CF18="","",COUNTIF($CF$4:CF18,"&gt;0"))</f>
        <v/>
      </c>
    </row>
    <row r="19" spans="1:85">
      <c r="A19" s="2" t="s">
        <v>765</v>
      </c>
      <c r="B19" s="1" t="s">
        <v>86</v>
      </c>
      <c r="C19" s="1" t="s">
        <v>306</v>
      </c>
      <c r="D19" s="1">
        <v>1</v>
      </c>
      <c r="E19" s="1" t="s">
        <v>683</v>
      </c>
      <c r="F19" s="3">
        <v>45595</v>
      </c>
      <c r="G19" s="1" t="s">
        <v>16</v>
      </c>
      <c r="H19" s="4" t="s">
        <v>686</v>
      </c>
      <c r="I19" s="1" t="s">
        <v>447</v>
      </c>
      <c r="J19" s="1" t="s">
        <v>445</v>
      </c>
      <c r="K19" s="1" t="s">
        <v>304</v>
      </c>
      <c r="L19" s="1" t="s">
        <v>411</v>
      </c>
      <c r="M19" s="1">
        <v>2</v>
      </c>
      <c r="N19" s="1" t="s">
        <v>27</v>
      </c>
      <c r="P19" s="1" t="s">
        <v>445</v>
      </c>
      <c r="Q19" s="1" t="s">
        <v>304</v>
      </c>
      <c r="R19" s="1">
        <v>0</v>
      </c>
      <c r="S19" s="1">
        <f>COUNTIF('Skills Matrix'!$V$6:$V$205,3)</f>
        <v>3</v>
      </c>
      <c r="T19" s="1">
        <f t="shared" si="0"/>
        <v>0</v>
      </c>
      <c r="U19" s="1" t="str">
        <f>IF(AND(T19&gt;0,OR('HR Quick View'!$F$24="All Departments",Q19='HR Quick View'!$F$24)),COUNTIFS($T$4:$T$108,"&gt;"&amp;T19,$Q$4:$Q$108,IF('HR Quick View'!$F$24="All Departments","*",'HR Quick View'!$F$24))+COUNTIFS($T$4:T19,T19,$Q$4:Q19,IF('HR Quick View'!$F$24="All Departments","*",'HR Quick View'!$F$24)),"")</f>
        <v/>
      </c>
      <c r="W19" s="1" t="s">
        <v>445</v>
      </c>
      <c r="X19" s="1" t="s">
        <v>304</v>
      </c>
      <c r="Y19" s="1" t="s">
        <v>411</v>
      </c>
      <c r="Z19" s="1" t="str">
        <f>IF('HR Quick View'!$C$9="","",IF(COUNTIFS('Competency Event Log'!$B$4:$B$803,'HR Quick View'!$C$9,'Competency Event Log'!$C$4:$C$803,W19,'Competency Event Log'!$T$4:$T$803,"Current")=0,"",SUMIFS('Competency Event Log'!$D$4:$D$803,'Competency Event Log'!$B$4:$B$803,'HR Quick View'!$C$9,'Competency Event Log'!$C$4:$C$803,W19,'Competency Event Log'!$T$4:$T$803,"Current")))</f>
        <v/>
      </c>
      <c r="AA19" s="1" t="str">
        <f>IF($Z19="","",IF('HR Quick View'!$B$10="Qualified only",IF($Z19=3,COUNTIF($Z$4:$Z19,3),""),IF('HR Quick View'!$B$10="Developing only",IF(OR($Z19=1,$Z19=2),COUNTIF($Z$4:$Z$108,"&gt;"&amp;$Z19)+COUNTIF($Z$4:$Z19,$Z19)-COUNTIF($Z$4:$Z$108,3),""),IF('HR Quick View'!$B$10="All scored",COUNTIF($Z$4:$Z$108,"&gt;"&amp;$Z19)+COUNTIF($Z$4:$Z19,$Z19),""))))</f>
        <v/>
      </c>
      <c r="AB19" s="1" t="str">
        <f>""</f>
        <v/>
      </c>
      <c r="AC19" s="1">
        <f t="shared" si="1"/>
        <v>0</v>
      </c>
      <c r="AD19" s="1">
        <f t="shared" si="2"/>
        <v>3</v>
      </c>
      <c r="AE19" s="1">
        <f t="shared" si="3"/>
        <v>0</v>
      </c>
      <c r="AF19" s="1" t="str">
        <f>IFERROR(IF(Lists!$B19="","",Lists!$B19),"")</f>
        <v>Rowan Carter</v>
      </c>
      <c r="AG19" s="1" t="str">
        <f>IFERROR(IF(Lists!$B19="","",Lists!$C19),"")</f>
        <v>Software Engineering</v>
      </c>
      <c r="AH19" s="1">
        <f>IFERROR(IF(Lists!$B19="","",Lists!$D19),"")</f>
        <v>1</v>
      </c>
      <c r="AI19" s="1" t="str">
        <f>IF(AF19="","",IFERROR(INDEX('Skills Matrix'!$G$6:$DE$205,MATCH(AF19,'Skills Matrix'!$B$6:$B$205,0),MATCH('HR Quick View'!$J$9,'Skills Matrix'!$G$5:$DE$5,0)),""))</f>
        <v/>
      </c>
      <c r="AJ19" s="1" t="str">
        <f t="shared" si="4"/>
        <v/>
      </c>
      <c r="AK19" s="1" t="str">
        <f>IFERROR(IF(Lists!$B19="","",Lists!$E19),"")</f>
        <v>Casey Hart</v>
      </c>
      <c r="AL19" s="1" t="str">
        <f>IF(AND(OR('HR Quick View'!$L$10="All Shifts",AH19='HR Quick View'!$L$10),OR(AND('HR Quick View'!$I$10="Qualified only",AI19=3),AND('HR Quick View'!$I$10="All trained",AI19&gt;0))),IF('HR Quick View'!$L$10="All Shifts",COUNTIF($AI$4:$AI$203,"&gt;"&amp;AI19)+COUNTIF($AI$4:AI19,AI19),COUNTIFS($AI$4:$AI$203,"&gt;"&amp;AI19,$AH$4:$AH$203,'HR Quick View'!$L$10)+COUNTIFS($AI$4:AI19,AI19,$AH$4:AH19,'HR Quick View'!$L$10)),"")</f>
        <v/>
      </c>
      <c r="AP19" s="17" t="str">
        <f>IFERROR(IF(Lists!$J19="","",Lists!$J19),"")</f>
        <v>Support Documentation Standards</v>
      </c>
      <c r="AQ19" s="17" t="str">
        <f>IFERROR(IF(Lists!$J19="","",Lists!$K19),"")</f>
        <v>Customer Support</v>
      </c>
      <c r="AR19" s="17" t="str">
        <f>IFERROR(IF(Lists!$J19="","",Lists!$L19),"")</f>
        <v>No</v>
      </c>
      <c r="AS19" s="17">
        <f>IFERROR(IF(Lists!$J19="","",Lists!$M19),0)</f>
        <v>2</v>
      </c>
      <c r="AT19" s="17">
        <f>IF(AP19="","",COUNTIF('Skills Matrix'!$V$6:$V$205,3))</f>
        <v>3</v>
      </c>
      <c r="AU19" s="17">
        <f>IF(AP19="","",COUNTIF('Skills Matrix'!$V$6:$V$205,2))</f>
        <v>0</v>
      </c>
      <c r="AV19" s="17">
        <f t="shared" si="5"/>
        <v>0</v>
      </c>
      <c r="AW19" s="17" t="str">
        <f>IF(OR(AP19="",AS19&lt;=0,AV19&lt;=0,AND('Skill Management'!$D$4&lt;&gt;"All Departments",AQ19&lt;&gt;'Skill Management'!$D$4)),"",IF(AT19=0,100000,0)+IF(AR19="Yes",10000,0)+AV19*100+AU19)</f>
        <v/>
      </c>
      <c r="AX19" s="17" t="str">
        <f>IF(AW19="","",COUNTIF($AW$4:$AW$106,"&gt;"&amp;AW19)+COUNTIF($AW$4:AW19,AW19))</f>
        <v/>
      </c>
      <c r="AY19" s="17" t="str">
        <f>IFERROR(IF(Lists!$J19="","",Lists!$N19),"")</f>
        <v>Yes</v>
      </c>
      <c r="BA19" s="17" t="str">
        <f>IFERROR(IF('Training Plan'!$A20="","",'Training Plan'!$A20),"")</f>
        <v>Kendall Washington</v>
      </c>
      <c r="BB19" s="17" t="str">
        <f>IFERROR(IF('Training Plan'!$A20="","",'Training Plan'!$B20),"")</f>
        <v>IT Operations</v>
      </c>
      <c r="BC19" s="17" t="str">
        <f>IFERROR(IF('Training Plan'!$A20="","",'Training Plan'!$C20),"")</f>
        <v>Business Continuity Basics</v>
      </c>
      <c r="BD19" s="17" t="str">
        <f>IFERROR(IF('Training Plan'!$A20="","",'Training Plan'!$D20),"")</f>
        <v>Shadow a qualified peer and complete the observation checklist.</v>
      </c>
      <c r="BE19" s="17">
        <f>IFERROR(IF('Training Plan'!$A20="","",'Training Plan'!$E20),"")</f>
        <v>46277</v>
      </c>
      <c r="BF19" s="17" t="str">
        <f>IFERROR(IF('Training Plan'!$A20="","",'Training Plan'!$F20),"")</f>
        <v>Not Started</v>
      </c>
      <c r="BG19" s="17">
        <f>IFERROR(IF('Training Plan'!$A20="","",'Training Plan'!$G20),"")</f>
        <v>0</v>
      </c>
      <c r="BH19" s="17" t="str">
        <f>IFERROR(IF('Training Plan'!$A20="","",'Training Plan'!$H20),"")</f>
        <v>Riley Stone</v>
      </c>
      <c r="BI19" s="17">
        <f>IF(OR(BA19="",BF19="Complete",AND('Skill Management'!$D$4&lt;&gt;"All Departments",BB19&lt;&gt;'Skill Management'!$D$4)),"",IF(BF19="Blocked",100000,IF(BF19="In Progress",200000,300000))+IF(BE19="",99999,BE19))</f>
        <v>346277</v>
      </c>
      <c r="BJ19" s="17">
        <f>IF(BI19="","",COUNTIFS($BI$4:$BI$203,"&gt;0",$BI$4:$BI$203,"&lt;"&amp;BI19)+COUNTIF($BI$4:BI19,BI19))</f>
        <v>9</v>
      </c>
      <c r="BT19" t="str">
        <f t="shared" si="6"/>
        <v>Support Documentation Standards</v>
      </c>
      <c r="BU19" t="str">
        <f t="shared" si="7"/>
        <v>Customer Support</v>
      </c>
      <c r="BV19" t="str">
        <f>IF(BT19="","",IFERROR(INDEX('Skills Matrix'!$G$6:$DE$205,MATCH('Employee Transcript'!$C$4,'Skills Matrix'!$B$6:$B$205,0),MATCH(BT19,'Skills Matrix'!$G$5:$DE$5,0)),""))</f>
        <v/>
      </c>
      <c r="BW19" t="str">
        <f>IF(BT19="","",IFERROR(INDEX('Competency Event Log'!$E$4:$E$803,MATCH('Employee Transcript'!$C$4&amp;"|"&amp;BT19,'Competency Event Log'!$U$4:$U$803,0)),""))</f>
        <v/>
      </c>
      <c r="BX19" t="str">
        <f>IF(BT19="","",IF(BU19='Employee Transcript'!$B$7,"Home Department","Cross-Trained"))</f>
        <v>Home Department</v>
      </c>
      <c r="BY19" t="str">
        <f t="shared" si="8"/>
        <v>No</v>
      </c>
      <c r="BZ19" t="str">
        <f>IF(BT19="","",IFERROR(INDEX('Competency Event Log'!$L$4:$L$803,MATCH('Employee Transcript'!$C$4&amp;"|"&amp;BT19,'Competency Event Log'!$U$4:$U$803,0)),""))</f>
        <v/>
      </c>
      <c r="CA19" t="str">
        <f>IF(N(BV19)&gt;0,COUNTIF($BV$4:BV19,"&gt;0"),"")</f>
        <v/>
      </c>
      <c r="CB19" t="str">
        <f>IF(AND('Competency Event Log'!$B19='Employee Transcript'!$C$4,'Competency Event Log'!$I19&lt;&gt;"Yes"),'Competency Event Log'!$K19,"")</f>
        <v/>
      </c>
      <c r="CC19" t="str">
        <f t="shared" si="9"/>
        <v/>
      </c>
      <c r="CD19" t="str">
        <f>IF(Certifications!$A19='Employee Transcript'!$C$4,19,"")</f>
        <v/>
      </c>
      <c r="CE19" t="str">
        <f>IF(CD19="","",COUNTIF($CD$4:CD19,"&gt;0"))</f>
        <v/>
      </c>
      <c r="CF19" t="str">
        <f>IF(AND('Training Plan'!$A20='Employee Transcript'!$C$4,'Training Plan'!$F20&lt;&gt;"Complete"),20,"")</f>
        <v/>
      </c>
      <c r="CG19" t="str">
        <f>IF(CF19="","",COUNTIF($CF$4:CF19,"&gt;0"))</f>
        <v/>
      </c>
    </row>
    <row r="20" spans="1:85">
      <c r="A20" s="2" t="s">
        <v>783</v>
      </c>
      <c r="B20" s="1" t="s">
        <v>91</v>
      </c>
      <c r="C20" s="1" t="s">
        <v>306</v>
      </c>
      <c r="D20" s="1">
        <v>2</v>
      </c>
      <c r="E20" s="1" t="s">
        <v>683</v>
      </c>
      <c r="F20" s="3">
        <v>44129</v>
      </c>
      <c r="G20" s="1" t="s">
        <v>16</v>
      </c>
      <c r="H20" s="4" t="s">
        <v>717</v>
      </c>
      <c r="I20" s="1" t="s">
        <v>644</v>
      </c>
      <c r="J20" s="1" t="s">
        <v>641</v>
      </c>
      <c r="K20" s="1" t="s">
        <v>305</v>
      </c>
      <c r="L20" s="1" t="s">
        <v>27</v>
      </c>
      <c r="M20" s="1">
        <v>4</v>
      </c>
      <c r="N20" s="1" t="s">
        <v>27</v>
      </c>
      <c r="P20" s="1" t="s">
        <v>641</v>
      </c>
      <c r="Q20" s="1" t="s">
        <v>305</v>
      </c>
      <c r="R20" s="1">
        <v>4</v>
      </c>
      <c r="S20" s="1">
        <f>COUNTIF('Skills Matrix'!$W$6:$W$205,3)</f>
        <v>1</v>
      </c>
      <c r="T20" s="1">
        <f t="shared" si="0"/>
        <v>3</v>
      </c>
      <c r="U20" s="1">
        <f>IF(AND(T20&gt;0,OR('HR Quick View'!$F$24="All Departments",Q20='HR Quick View'!$F$24)),COUNTIFS($T$4:$T$108,"&gt;"&amp;T20,$Q$4:$Q$108,IF('HR Quick View'!$F$24="All Departments","*",'HR Quick View'!$F$24))+COUNTIFS($T$4:T20,T20,$Q$4:Q20,IF('HR Quick View'!$F$24="All Departments","*",'HR Quick View'!$F$24)),"")</f>
        <v>19</v>
      </c>
      <c r="W20" s="1" t="s">
        <v>641</v>
      </c>
      <c r="X20" s="1" t="s">
        <v>305</v>
      </c>
      <c r="Y20" s="1" t="s">
        <v>27</v>
      </c>
      <c r="Z20" s="1" t="str">
        <f>IF('HR Quick View'!$C$9="","",IF(COUNTIFS('Competency Event Log'!$B$4:$B$803,'HR Quick View'!$C$9,'Competency Event Log'!$C$4:$C$803,W20,'Competency Event Log'!$T$4:$T$803,"Current")=0,"",SUMIFS('Competency Event Log'!$D$4:$D$803,'Competency Event Log'!$B$4:$B$803,'HR Quick View'!$C$9,'Competency Event Log'!$C$4:$C$803,W20,'Competency Event Log'!$T$4:$T$803,"Current")))</f>
        <v/>
      </c>
      <c r="AA20" s="1" t="str">
        <f>IF($Z20="","",IF('HR Quick View'!$B$10="Qualified only",IF($Z20=3,COUNTIF($Z$4:$Z20,3),""),IF('HR Quick View'!$B$10="Developing only",IF(OR($Z20=1,$Z20=2),COUNTIF($Z$4:$Z$108,"&gt;"&amp;$Z20)+COUNTIF($Z$4:$Z20,$Z20)-COUNTIF($Z$4:$Z$108,3),""),IF('HR Quick View'!$B$10="All scored",COUNTIF($Z$4:$Z$108,"&gt;"&amp;$Z20)+COUNTIF($Z$4:$Z20,$Z20),""))))</f>
        <v/>
      </c>
      <c r="AB20" s="1" t="str">
        <f>""</f>
        <v/>
      </c>
      <c r="AC20" s="1">
        <f t="shared" si="1"/>
        <v>4</v>
      </c>
      <c r="AD20" s="1">
        <f t="shared" si="2"/>
        <v>1</v>
      </c>
      <c r="AE20" s="1">
        <f t="shared" si="3"/>
        <v>3</v>
      </c>
      <c r="AF20" s="1" t="str">
        <f>IFERROR(IF(Lists!$B20="","",Lists!$B20),"")</f>
        <v>Emerson Perry</v>
      </c>
      <c r="AG20" s="1" t="str">
        <f>IFERROR(IF(Lists!$B20="","",Lists!$C20),"")</f>
        <v>Software Engineering</v>
      </c>
      <c r="AH20" s="1">
        <f>IFERROR(IF(Lists!$B20="","",Lists!$D20),"")</f>
        <v>2</v>
      </c>
      <c r="AI20" s="1" t="str">
        <f>IF(AF20="","",IFERROR(INDEX('Skills Matrix'!$G$6:$DE$205,MATCH(AF20,'Skills Matrix'!$B$6:$B$205,0),MATCH('HR Quick View'!$J$9,'Skills Matrix'!$G$5:$DE$5,0)),""))</f>
        <v/>
      </c>
      <c r="AJ20" s="1" t="str">
        <f t="shared" si="4"/>
        <v/>
      </c>
      <c r="AK20" s="1" t="str">
        <f>IFERROR(IF(Lists!$B20="","",Lists!$E20),"")</f>
        <v>Casey Hart</v>
      </c>
      <c r="AL20" s="1" t="str">
        <f>IF(AND(OR('HR Quick View'!$L$10="All Shifts",AH20='HR Quick View'!$L$10),OR(AND('HR Quick View'!$I$10="Qualified only",AI20=3),AND('HR Quick View'!$I$10="All trained",AI20&gt;0))),IF('HR Quick View'!$L$10="All Shifts",COUNTIF($AI$4:$AI$203,"&gt;"&amp;AI20)+COUNTIF($AI$4:AI20,AI20),COUNTIFS($AI$4:$AI$203,"&gt;"&amp;AI20,$AH$4:$AH$203,'HR Quick View'!$L$10)+COUNTIFS($AI$4:AI20,AI20,$AH$4:AH20,'HR Quick View'!$L$10)),"")</f>
        <v/>
      </c>
      <c r="AP20" s="17" t="str">
        <f>IFERROR(IF(Lists!$J20="","",Lists!$J20),"")</f>
        <v>Linux Administration</v>
      </c>
      <c r="AQ20" s="17" t="str">
        <f>IFERROR(IF(Lists!$J20="","",Lists!$K20),"")</f>
        <v>Platform Operations</v>
      </c>
      <c r="AR20" s="17" t="str">
        <f>IFERROR(IF(Lists!$J20="","",Lists!$L20),"")</f>
        <v>Yes</v>
      </c>
      <c r="AS20" s="17">
        <f>IFERROR(IF(Lists!$J20="","",Lists!$M20),0)</f>
        <v>4</v>
      </c>
      <c r="AT20" s="17">
        <f>IF(AP20="","",COUNTIF('Skills Matrix'!$W$6:$W$205,3))</f>
        <v>1</v>
      </c>
      <c r="AU20" s="17">
        <f>IF(AP20="","",COUNTIF('Skills Matrix'!$W$6:$W$205,2))</f>
        <v>0</v>
      </c>
      <c r="AV20" s="17">
        <f t="shared" si="5"/>
        <v>3</v>
      </c>
      <c r="AW20" s="17">
        <f>IF(OR(AP20="",AS20&lt;=0,AV20&lt;=0,AND('Skill Management'!$D$4&lt;&gt;"All Departments",AQ20&lt;&gt;'Skill Management'!$D$4)),"",IF(AT20=0,100000,0)+IF(AR20="Yes",10000,0)+AV20*100+AU20)</f>
        <v>10300</v>
      </c>
      <c r="AX20" s="17">
        <f>IF(AW20="","",COUNTIF($AW$4:$AW$106,"&gt;"&amp;AW20)+COUNTIF($AW$4:AW20,AW20))</f>
        <v>43</v>
      </c>
      <c r="AY20" s="17" t="str">
        <f>IFERROR(IF(Lists!$J20="","",Lists!$N20),"")</f>
        <v>Yes</v>
      </c>
      <c r="BA20" s="17" t="str">
        <f>IFERROR(IF('Training Plan'!$A21="","",'Training Plan'!$A21),"")</f>
        <v>Casey Barnes</v>
      </c>
      <c r="BB20" s="17" t="str">
        <f>IFERROR(IF('Training Plan'!$A21="","",'Training Plan'!$B21),"")</f>
        <v>Customer Support</v>
      </c>
      <c r="BC20" s="17" t="str">
        <f>IFERROR(IF('Training Plan'!$A21="","",'Training Plan'!$C21),"")</f>
        <v>CRM Case Management</v>
      </c>
      <c r="BD20" s="17" t="str">
        <f>IFERROR(IF('Training Plan'!$A21="","",'Training Plan'!$D21),"")</f>
        <v>Complete refresher training and submit the competency assessment for review.</v>
      </c>
      <c r="BE20" s="17">
        <f>IFERROR(IF('Training Plan'!$A21="","",'Training Plan'!$E21),"")</f>
        <v>46313</v>
      </c>
      <c r="BF20" s="17" t="str">
        <f>IFERROR(IF('Training Plan'!$A21="","",'Training Plan'!$F21),"")</f>
        <v>Not Started</v>
      </c>
      <c r="BG20" s="17">
        <f>IFERROR(IF('Training Plan'!$A21="","",'Training Plan'!$G21),"")</f>
        <v>0</v>
      </c>
      <c r="BH20" s="17" t="str">
        <f>IFERROR(IF('Training Plan'!$A21="","",'Training Plan'!$H21),"")</f>
        <v>Jordan Blake</v>
      </c>
      <c r="BI20" s="17">
        <f>IF(OR(BA20="",BF20="Complete",AND('Skill Management'!$D$4&lt;&gt;"All Departments",BB20&lt;&gt;'Skill Management'!$D$4)),"",IF(BF20="Blocked",100000,IF(BF20="In Progress",200000,300000))+IF(BE20="",99999,BE20))</f>
        <v>346313</v>
      </c>
      <c r="BJ20" s="17">
        <f>IF(BI20="","",COUNTIFS($BI$4:$BI$203,"&gt;0",$BI$4:$BI$203,"&lt;"&amp;BI20)+COUNTIF($BI$4:BI20,BI20))</f>
        <v>14</v>
      </c>
      <c r="BT20" t="str">
        <f t="shared" si="6"/>
        <v>Linux Administration</v>
      </c>
      <c r="BU20" t="str">
        <f t="shared" si="7"/>
        <v>Platform Operations</v>
      </c>
      <c r="BV20" t="str">
        <f>IF(BT20="","",IFERROR(INDEX('Skills Matrix'!$G$6:$DE$205,MATCH('Employee Transcript'!$C$4,'Skills Matrix'!$B$6:$B$205,0),MATCH(BT20,'Skills Matrix'!$G$5:$DE$5,0)),""))</f>
        <v/>
      </c>
      <c r="BW20" t="str">
        <f>IF(BT20="","",IFERROR(INDEX('Competency Event Log'!$E$4:$E$803,MATCH('Employee Transcript'!$C$4&amp;"|"&amp;BT20,'Competency Event Log'!$U$4:$U$803,0)),""))</f>
        <v/>
      </c>
      <c r="BX20" t="str">
        <f>IF(BT20="","",IF(BU20='Employee Transcript'!$B$7,"Home Department","Cross-Trained"))</f>
        <v>Cross-Trained</v>
      </c>
      <c r="BY20" t="str">
        <f t="shared" si="8"/>
        <v>Yes</v>
      </c>
      <c r="BZ20" t="str">
        <f>IF(BT20="","",IFERROR(INDEX('Competency Event Log'!$L$4:$L$803,MATCH('Employee Transcript'!$C$4&amp;"|"&amp;BT20,'Competency Event Log'!$U$4:$U$803,0)),""))</f>
        <v/>
      </c>
      <c r="CA20" t="str">
        <f>IF(N(BV20)&gt;0,COUNTIF($BV$4:BV20,"&gt;0"),"")</f>
        <v/>
      </c>
      <c r="CB20" t="str">
        <f>IF(AND('Competency Event Log'!$B20='Employee Transcript'!$C$4,'Competency Event Log'!$I20&lt;&gt;"Yes"),'Competency Event Log'!$K20,"")</f>
        <v/>
      </c>
      <c r="CC20" t="str">
        <f t="shared" si="9"/>
        <v/>
      </c>
      <c r="CD20" t="str">
        <f>IF(Certifications!$A20='Employee Transcript'!$C$4,20,"")</f>
        <v/>
      </c>
      <c r="CE20" t="str">
        <f>IF(CD20="","",COUNTIF($CD$4:CD20,"&gt;0"))</f>
        <v/>
      </c>
      <c r="CF20" t="str">
        <f>IF(AND('Training Plan'!$A21='Employee Transcript'!$C$4,'Training Plan'!$F21&lt;&gt;"Complete"),21,"")</f>
        <v/>
      </c>
      <c r="CG20" t="str">
        <f>IF(CF20="","",COUNTIF($CF$4:CF20,"&gt;0"))</f>
        <v/>
      </c>
    </row>
    <row r="21" spans="1:85">
      <c r="A21" s="2" t="s">
        <v>800</v>
      </c>
      <c r="B21" s="1" t="s">
        <v>94</v>
      </c>
      <c r="C21" s="1" t="s">
        <v>306</v>
      </c>
      <c r="D21" s="1">
        <v>3</v>
      </c>
      <c r="E21" s="1" t="s">
        <v>683</v>
      </c>
      <c r="F21" s="3">
        <v>43372</v>
      </c>
      <c r="G21" s="1" t="s">
        <v>16</v>
      </c>
      <c r="H21" s="4" t="s">
        <v>742</v>
      </c>
      <c r="I21" s="1" t="s">
        <v>588</v>
      </c>
      <c r="J21" s="1" t="s">
        <v>586</v>
      </c>
      <c r="K21" s="1" t="s">
        <v>305</v>
      </c>
      <c r="L21" s="1" t="s">
        <v>27</v>
      </c>
      <c r="M21" s="1">
        <v>4</v>
      </c>
      <c r="N21" s="1" t="s">
        <v>27</v>
      </c>
      <c r="P21" s="1" t="s">
        <v>586</v>
      </c>
      <c r="Q21" s="1" t="s">
        <v>305</v>
      </c>
      <c r="R21" s="1">
        <v>2</v>
      </c>
      <c r="S21" s="1">
        <f>COUNTIF('Skills Matrix'!$X$6:$X$205,3)</f>
        <v>1</v>
      </c>
      <c r="T21" s="1">
        <f t="shared" si="0"/>
        <v>1</v>
      </c>
      <c r="U21" s="1">
        <f>IF(AND(T21&gt;0,OR('HR Quick View'!$F$24="All Departments",Q21='HR Quick View'!$F$24)),COUNTIFS($T$4:$T$108,"&gt;"&amp;T21,$Q$4:$Q$108,IF('HR Quick View'!$F$24="All Departments","*",'HR Quick View'!$F$24))+COUNTIFS($T$4:T21,T21,$Q$4:Q21,IF('HR Quick View'!$F$24="All Departments","*",'HR Quick View'!$F$24)),"")</f>
        <v>43</v>
      </c>
      <c r="W21" s="1" t="s">
        <v>586</v>
      </c>
      <c r="X21" s="1" t="s">
        <v>305</v>
      </c>
      <c r="Y21" s="1" t="s">
        <v>27</v>
      </c>
      <c r="Z21" s="1" t="str">
        <f>IF('HR Quick View'!$C$9="","",IF(COUNTIFS('Competency Event Log'!$B$4:$B$803,'HR Quick View'!$C$9,'Competency Event Log'!$C$4:$C$803,W21,'Competency Event Log'!$T$4:$T$803,"Current")=0,"",SUMIFS('Competency Event Log'!$D$4:$D$803,'Competency Event Log'!$B$4:$B$803,'HR Quick View'!$C$9,'Competency Event Log'!$C$4:$C$803,W21,'Competency Event Log'!$T$4:$T$803,"Current")))</f>
        <v/>
      </c>
      <c r="AA21" s="1" t="str">
        <f>IF($Z21="","",IF('HR Quick View'!$B$10="Qualified only",IF($Z21=3,COUNTIF($Z$4:$Z21,3),""),IF('HR Quick View'!$B$10="Developing only",IF(OR($Z21=1,$Z21=2),COUNTIF($Z$4:$Z$108,"&gt;"&amp;$Z21)+COUNTIF($Z$4:$Z21,$Z21)-COUNTIF($Z$4:$Z$108,3),""),IF('HR Quick View'!$B$10="All scored",COUNTIF($Z$4:$Z$108,"&gt;"&amp;$Z21)+COUNTIF($Z$4:$Z21,$Z21),""))))</f>
        <v/>
      </c>
      <c r="AB21" s="1" t="str">
        <f>""</f>
        <v/>
      </c>
      <c r="AC21" s="1">
        <f t="shared" si="1"/>
        <v>2</v>
      </c>
      <c r="AD21" s="1">
        <f t="shared" si="2"/>
        <v>1</v>
      </c>
      <c r="AE21" s="1">
        <f t="shared" si="3"/>
        <v>1</v>
      </c>
      <c r="AF21" s="1" t="str">
        <f>IFERROR(IF(Lists!$B21="","",Lists!$B21),"")</f>
        <v>Blake Price</v>
      </c>
      <c r="AG21" s="1" t="str">
        <f>IFERROR(IF(Lists!$B21="","",Lists!$C21),"")</f>
        <v>Software Engineering</v>
      </c>
      <c r="AH21" s="1">
        <f>IFERROR(IF(Lists!$B21="","",Lists!$D21),"")</f>
        <v>3</v>
      </c>
      <c r="AI21" s="1" t="str">
        <f>IF(AF21="","",IFERROR(INDEX('Skills Matrix'!$G$6:$DE$205,MATCH(AF21,'Skills Matrix'!$B$6:$B$205,0),MATCH('HR Quick View'!$J$9,'Skills Matrix'!$G$5:$DE$5,0)),""))</f>
        <v/>
      </c>
      <c r="AJ21" s="1" t="str">
        <f t="shared" si="4"/>
        <v/>
      </c>
      <c r="AK21" s="1" t="str">
        <f>IFERROR(IF(Lists!$B21="","",Lists!$E21),"")</f>
        <v>Casey Hart</v>
      </c>
      <c r="AL21" s="1" t="str">
        <f>IF(AND(OR('HR Quick View'!$L$10="All Shifts",AH21='HR Quick View'!$L$10),OR(AND('HR Quick View'!$I$10="Qualified only",AI21=3),AND('HR Quick View'!$I$10="All trained",AI21&gt;0))),IF('HR Quick View'!$L$10="All Shifts",COUNTIF($AI$4:$AI$203,"&gt;"&amp;AI21)+COUNTIF($AI$4:AI21,AI21),COUNTIFS($AI$4:$AI$203,"&gt;"&amp;AI21,$AH$4:$AH$203,'HR Quick View'!$L$10)+COUNTIFS($AI$4:AI21,AI21,$AH$4:AH21,'HR Quick View'!$L$10)),"")</f>
        <v/>
      </c>
      <c r="AP21" s="17" t="str">
        <f>IFERROR(IF(Lists!$J21="","",Lists!$J21),"")</f>
        <v>Windows Server Administration</v>
      </c>
      <c r="AQ21" s="17" t="str">
        <f>IFERROR(IF(Lists!$J21="","",Lists!$K21),"")</f>
        <v>Platform Operations</v>
      </c>
      <c r="AR21" s="17" t="str">
        <f>IFERROR(IF(Lists!$J21="","",Lists!$L21),"")</f>
        <v>Yes</v>
      </c>
      <c r="AS21" s="17">
        <f>IFERROR(IF(Lists!$J21="","",Lists!$M21),0)</f>
        <v>4</v>
      </c>
      <c r="AT21" s="17">
        <f>IF(AP21="","",COUNTIF('Skills Matrix'!$X$6:$X$205,3))</f>
        <v>1</v>
      </c>
      <c r="AU21" s="17">
        <f>IF(AP21="","",COUNTIF('Skills Matrix'!$X$6:$X$205,2))</f>
        <v>1</v>
      </c>
      <c r="AV21" s="17">
        <f t="shared" si="5"/>
        <v>3</v>
      </c>
      <c r="AW21" s="17">
        <f>IF(OR(AP21="",AS21&lt;=0,AV21&lt;=0,AND('Skill Management'!$D$4&lt;&gt;"All Departments",AQ21&lt;&gt;'Skill Management'!$D$4)),"",IF(AT21=0,100000,0)+IF(AR21="Yes",10000,0)+AV21*100+AU21)</f>
        <v>10301</v>
      </c>
      <c r="AX21" s="17">
        <f>IF(AW21="","",COUNTIF($AW$4:$AW$106,"&gt;"&amp;AW21)+COUNTIF($AW$4:AW21,AW21))</f>
        <v>34</v>
      </c>
      <c r="AY21" s="17" t="str">
        <f>IFERROR(IF(Lists!$J21="","",Lists!$N21),"")</f>
        <v>Yes</v>
      </c>
      <c r="BA21" s="17" t="str">
        <f>IFERROR(IF('Training Plan'!$A22="","",'Training Plan'!$A22),"")</f>
        <v>Bailey Hughes</v>
      </c>
      <c r="BB21" s="17" t="str">
        <f>IFERROR(IF('Training Plan'!$A22="","",'Training Plan'!$B22),"")</f>
        <v>Quality Assurance</v>
      </c>
      <c r="BC21" s="17" t="str">
        <f>IFERROR(IF('Training Plan'!$A22="","",'Training Plan'!$C22),"")</f>
        <v>Test Case Design</v>
      </c>
      <c r="BD21" s="17" t="str">
        <f>IFERROR(IF('Training Plan'!$A22="","",'Training Plan'!$D22),"")</f>
        <v>Schedule guided practice in the standard workflow environment.</v>
      </c>
      <c r="BE21" s="17">
        <f>IFERROR(IF('Training Plan'!$A22="","",'Training Plan'!$E22),"")</f>
        <v>46283</v>
      </c>
      <c r="BF21" s="17" t="str">
        <f>IFERROR(IF('Training Plan'!$A22="","",'Training Plan'!$F22),"")</f>
        <v>Not Started</v>
      </c>
      <c r="BG21" s="17">
        <f>IFERROR(IF('Training Plan'!$A22="","",'Training Plan'!$G22),"")</f>
        <v>0</v>
      </c>
      <c r="BH21" s="17" t="str">
        <f>IFERROR(IF('Training Plan'!$A22="","",'Training Plan'!$H22),"")</f>
        <v>Cameron Wells</v>
      </c>
      <c r="BI21" s="17">
        <f>IF(OR(BA21="",BF21="Complete",AND('Skill Management'!$D$4&lt;&gt;"All Departments",BB21&lt;&gt;'Skill Management'!$D$4)),"",IF(BF21="Blocked",100000,IF(BF21="In Progress",200000,300000))+IF(BE21="",99999,BE21))</f>
        <v>346283</v>
      </c>
      <c r="BJ21" s="17">
        <f>IF(BI21="","",COUNTIFS($BI$4:$BI$203,"&gt;0",$BI$4:$BI$203,"&lt;"&amp;BI21)+COUNTIF($BI$4:BI21,BI21))</f>
        <v>10</v>
      </c>
      <c r="BT21" t="str">
        <f t="shared" si="6"/>
        <v>Windows Server Administration</v>
      </c>
      <c r="BU21" t="str">
        <f t="shared" si="7"/>
        <v>Platform Operations</v>
      </c>
      <c r="BV21" t="str">
        <f>IF(BT21="","",IFERROR(INDEX('Skills Matrix'!$G$6:$DE$205,MATCH('Employee Transcript'!$C$4,'Skills Matrix'!$B$6:$B$205,0),MATCH(BT21,'Skills Matrix'!$G$5:$DE$5,0)),""))</f>
        <v/>
      </c>
      <c r="BW21" t="str">
        <f>IF(BT21="","",IFERROR(INDEX('Competency Event Log'!$E$4:$E$803,MATCH('Employee Transcript'!$C$4&amp;"|"&amp;BT21,'Competency Event Log'!$U$4:$U$803,0)),""))</f>
        <v/>
      </c>
      <c r="BX21" t="str">
        <f>IF(BT21="","",IF(BU21='Employee Transcript'!$B$7,"Home Department","Cross-Trained"))</f>
        <v>Cross-Trained</v>
      </c>
      <c r="BY21" t="str">
        <f t="shared" si="8"/>
        <v>Yes</v>
      </c>
      <c r="BZ21" t="str">
        <f>IF(BT21="","",IFERROR(INDEX('Competency Event Log'!$L$4:$L$803,MATCH('Employee Transcript'!$C$4&amp;"|"&amp;BT21,'Competency Event Log'!$U$4:$U$803,0)),""))</f>
        <v/>
      </c>
      <c r="CA21" t="str">
        <f>IF(N(BV21)&gt;0,COUNTIF($BV$4:BV21,"&gt;0"),"")</f>
        <v/>
      </c>
      <c r="CB21" t="str">
        <f>IF(AND('Competency Event Log'!$B21='Employee Transcript'!$C$4,'Competency Event Log'!$I21&lt;&gt;"Yes"),'Competency Event Log'!$K21,"")</f>
        <v/>
      </c>
      <c r="CC21" t="str">
        <f t="shared" si="9"/>
        <v/>
      </c>
      <c r="CD21" t="str">
        <f>IF(Certifications!$A21='Employee Transcript'!$C$4,21,"")</f>
        <v/>
      </c>
      <c r="CE21" t="str">
        <f>IF(CD21="","",COUNTIF($CD$4:CD21,"&gt;0"))</f>
        <v/>
      </c>
      <c r="CF21" t="str">
        <f>IF(AND('Training Plan'!$A22='Employee Transcript'!$C$4,'Training Plan'!$F22&lt;&gt;"Complete"),22,"")</f>
        <v/>
      </c>
      <c r="CG21" t="str">
        <f>IF(CF21="","",COUNTIF($CF$4:CF21,"&gt;0"))</f>
        <v/>
      </c>
    </row>
    <row r="22" spans="1:85">
      <c r="A22" s="2" t="s">
        <v>814</v>
      </c>
      <c r="B22" s="1" t="s">
        <v>97</v>
      </c>
      <c r="C22" s="1" t="s">
        <v>307</v>
      </c>
      <c r="D22" s="1">
        <v>1</v>
      </c>
      <c r="E22" s="1" t="s">
        <v>812</v>
      </c>
      <c r="F22" s="3">
        <v>45863</v>
      </c>
      <c r="G22" s="1" t="s">
        <v>16</v>
      </c>
      <c r="H22" s="4" t="s">
        <v>815</v>
      </c>
      <c r="I22" s="1" t="s">
        <v>581</v>
      </c>
      <c r="J22" s="1" t="s">
        <v>576</v>
      </c>
      <c r="K22" s="1" t="s">
        <v>305</v>
      </c>
      <c r="L22" s="1" t="s">
        <v>27</v>
      </c>
      <c r="M22" s="1">
        <v>4</v>
      </c>
      <c r="N22" s="1" t="s">
        <v>27</v>
      </c>
      <c r="P22" s="1" t="s">
        <v>576</v>
      </c>
      <c r="Q22" s="1" t="s">
        <v>305</v>
      </c>
      <c r="R22" s="1">
        <v>4</v>
      </c>
      <c r="S22" s="1">
        <f>COUNTIF('Skills Matrix'!$Y$6:$Y$205,3)</f>
        <v>2</v>
      </c>
      <c r="T22" s="1">
        <f t="shared" si="0"/>
        <v>2</v>
      </c>
      <c r="U22" s="1">
        <f>IF(AND(T22&gt;0,OR('HR Quick View'!$F$24="All Departments",Q22='HR Quick View'!$F$24)),COUNTIFS($T$4:$T$108,"&gt;"&amp;T22,$Q$4:$Q$108,IF('HR Quick View'!$F$24="All Departments","*",'HR Quick View'!$F$24))+COUNTIFS($T$4:T22,T22,$Q$4:Q22,IF('HR Quick View'!$F$24="All Departments","*",'HR Quick View'!$F$24)),"")</f>
        <v>36</v>
      </c>
      <c r="W22" s="1" t="s">
        <v>576</v>
      </c>
      <c r="X22" s="1" t="s">
        <v>305</v>
      </c>
      <c r="Y22" s="1" t="s">
        <v>27</v>
      </c>
      <c r="Z22" s="1" t="str">
        <f>IF('HR Quick View'!$C$9="","",IF(COUNTIFS('Competency Event Log'!$B$4:$B$803,'HR Quick View'!$C$9,'Competency Event Log'!$C$4:$C$803,W22,'Competency Event Log'!$T$4:$T$803,"Current")=0,"",SUMIFS('Competency Event Log'!$D$4:$D$803,'Competency Event Log'!$B$4:$B$803,'HR Quick View'!$C$9,'Competency Event Log'!$C$4:$C$803,W22,'Competency Event Log'!$T$4:$T$803,"Current")))</f>
        <v/>
      </c>
      <c r="AA22" s="1" t="str">
        <f>IF($Z22="","",IF('HR Quick View'!$B$10="Qualified only",IF($Z22=3,COUNTIF($Z$4:$Z22,3),""),IF('HR Quick View'!$B$10="Developing only",IF(OR($Z22=1,$Z22=2),COUNTIF($Z$4:$Z$108,"&gt;"&amp;$Z22)+COUNTIF($Z$4:$Z22,$Z22)-COUNTIF($Z$4:$Z$108,3),""),IF('HR Quick View'!$B$10="All scored",COUNTIF($Z$4:$Z$108,"&gt;"&amp;$Z22)+COUNTIF($Z$4:$Z22,$Z22),""))))</f>
        <v/>
      </c>
      <c r="AB22" s="1" t="str">
        <f>""</f>
        <v/>
      </c>
      <c r="AC22" s="1">
        <f t="shared" si="1"/>
        <v>4</v>
      </c>
      <c r="AD22" s="1">
        <f t="shared" si="2"/>
        <v>2</v>
      </c>
      <c r="AE22" s="1">
        <f t="shared" si="3"/>
        <v>2</v>
      </c>
      <c r="AF22" s="1" t="str">
        <f>IFERROR(IF(Lists!$B22="","",Lists!$B22),"")</f>
        <v>Devon Kelly</v>
      </c>
      <c r="AG22" s="1" t="str">
        <f>IFERROR(IF(Lists!$B22="","",Lists!$C22),"")</f>
        <v>IT Operations</v>
      </c>
      <c r="AH22" s="1">
        <f>IFERROR(IF(Lists!$B22="","",Lists!$D22),"")</f>
        <v>1</v>
      </c>
      <c r="AI22" s="1" t="str">
        <f>IF(AF22="","",IFERROR(INDEX('Skills Matrix'!$G$6:$DE$205,MATCH(AF22,'Skills Matrix'!$B$6:$B$205,0),MATCH('HR Quick View'!$J$9,'Skills Matrix'!$G$5:$DE$5,0)),""))</f>
        <v/>
      </c>
      <c r="AJ22" s="1" t="str">
        <f t="shared" si="4"/>
        <v/>
      </c>
      <c r="AK22" s="1" t="str">
        <f>IFERROR(IF(Lists!$B22="","",Lists!$E22),"")</f>
        <v>Riley Stone</v>
      </c>
      <c r="AL22" s="1" t="str">
        <f>IF(AND(OR('HR Quick View'!$L$10="All Shifts",AH22='HR Quick View'!$L$10),OR(AND('HR Quick View'!$I$10="Qualified only",AI22=3),AND('HR Quick View'!$I$10="All trained",AI22&gt;0))),IF('HR Quick View'!$L$10="All Shifts",COUNTIF($AI$4:$AI$203,"&gt;"&amp;AI22)+COUNTIF($AI$4:AI22,AI22),COUNTIFS($AI$4:$AI$203,"&gt;"&amp;AI22,$AH$4:$AH$203,'HR Quick View'!$L$10)+COUNTIFS($AI$4:AI22,AI22,$AH$4:AH22,'HR Quick View'!$L$10)),"")</f>
        <v/>
      </c>
      <c r="AP22" s="17" t="str">
        <f>IFERROR(IF(Lists!$J22="","",Lists!$J22),"")</f>
        <v>Identity Provisioning</v>
      </c>
      <c r="AQ22" s="17" t="str">
        <f>IFERROR(IF(Lists!$J22="","",Lists!$K22),"")</f>
        <v>Platform Operations</v>
      </c>
      <c r="AR22" s="17" t="str">
        <f>IFERROR(IF(Lists!$J22="","",Lists!$L22),"")</f>
        <v>Yes</v>
      </c>
      <c r="AS22" s="17">
        <f>IFERROR(IF(Lists!$J22="","",Lists!$M22),0)</f>
        <v>4</v>
      </c>
      <c r="AT22" s="17">
        <f>IF(AP22="","",COUNTIF('Skills Matrix'!$Y$6:$Y$205,3))</f>
        <v>2</v>
      </c>
      <c r="AU22" s="17">
        <f>IF(AP22="","",COUNTIF('Skills Matrix'!$Y$6:$Y$205,2))</f>
        <v>2</v>
      </c>
      <c r="AV22" s="17">
        <f t="shared" si="5"/>
        <v>2</v>
      </c>
      <c r="AW22" s="17">
        <f>IF(OR(AP22="",AS22&lt;=0,AV22&lt;=0,AND('Skill Management'!$D$4&lt;&gt;"All Departments",AQ22&lt;&gt;'Skill Management'!$D$4)),"",IF(AT22=0,100000,0)+IF(AR22="Yes",10000,0)+AV22*100+AU22)</f>
        <v>10202</v>
      </c>
      <c r="AX22" s="17">
        <f>IF(AW22="","",COUNTIF($AW$4:$AW$106,"&gt;"&amp;AW22)+COUNTIF($AW$4:AW22,AW22))</f>
        <v>47</v>
      </c>
      <c r="AY22" s="17" t="str">
        <f>IFERROR(IF(Lists!$J22="","",Lists!$N22),"")</f>
        <v>Yes</v>
      </c>
      <c r="BA22" s="17" t="str">
        <f>IFERROR(IF('Training Plan'!$A23="","",'Training Plan'!$A23),"")</f>
        <v/>
      </c>
      <c r="BB22" s="17" t="str">
        <f>IFERROR(IF('Training Plan'!$A23="","",'Training Plan'!$B23),"")</f>
        <v/>
      </c>
      <c r="BC22" s="17" t="str">
        <f>IFERROR(IF('Training Plan'!$A23="","",'Training Plan'!$C23),"")</f>
        <v/>
      </c>
      <c r="BD22" s="17" t="str">
        <f>IFERROR(IF('Training Plan'!$A23="","",'Training Plan'!$D23),"")</f>
        <v/>
      </c>
      <c r="BE22" s="17" t="str">
        <f>IFERROR(IF('Training Plan'!$A23="","",'Training Plan'!$E23),"")</f>
        <v/>
      </c>
      <c r="BF22" s="17" t="str">
        <f>IFERROR(IF('Training Plan'!$A23="","",'Training Plan'!$F23),"")</f>
        <v/>
      </c>
      <c r="BG22" s="17" t="str">
        <f>IFERROR(IF('Training Plan'!$A23="","",'Training Plan'!$G23),"")</f>
        <v/>
      </c>
      <c r="BH22" s="17" t="str">
        <f>IFERROR(IF('Training Plan'!$A23="","",'Training Plan'!$H23),"")</f>
        <v/>
      </c>
      <c r="BI22" s="17" t="str">
        <f>IF(OR(BA22="",BF22="Complete",AND('Skill Management'!$D$4&lt;&gt;"All Departments",BB22&lt;&gt;'Skill Management'!$D$4)),"",IF(BF22="Blocked",100000,IF(BF22="In Progress",200000,300000))+IF(BE22="",99999,BE22))</f>
        <v/>
      </c>
      <c r="BJ22" s="17" t="str">
        <f>IF(BI22="","",COUNTIFS($BI$4:$BI$203,"&gt;0",$BI$4:$BI$203,"&lt;"&amp;BI22)+COUNTIF($BI$4:BI22,BI22))</f>
        <v/>
      </c>
      <c r="BT22" t="str">
        <f t="shared" si="6"/>
        <v>Identity Provisioning</v>
      </c>
      <c r="BU22" t="str">
        <f t="shared" si="7"/>
        <v>Platform Operations</v>
      </c>
      <c r="BV22" t="str">
        <f>IF(BT22="","",IFERROR(INDEX('Skills Matrix'!$G$6:$DE$205,MATCH('Employee Transcript'!$C$4,'Skills Matrix'!$B$6:$B$205,0),MATCH(BT22,'Skills Matrix'!$G$5:$DE$5,0)),""))</f>
        <v/>
      </c>
      <c r="BW22" t="str">
        <f>IF(BT22="","",IFERROR(INDEX('Competency Event Log'!$E$4:$E$803,MATCH('Employee Transcript'!$C$4&amp;"|"&amp;BT22,'Competency Event Log'!$U$4:$U$803,0)),""))</f>
        <v/>
      </c>
      <c r="BX22" t="str">
        <f>IF(BT22="","",IF(BU22='Employee Transcript'!$B$7,"Home Department","Cross-Trained"))</f>
        <v>Cross-Trained</v>
      </c>
      <c r="BY22" t="str">
        <f t="shared" si="8"/>
        <v>Yes</v>
      </c>
      <c r="BZ22" t="str">
        <f>IF(BT22="","",IFERROR(INDEX('Competency Event Log'!$L$4:$L$803,MATCH('Employee Transcript'!$C$4&amp;"|"&amp;BT22,'Competency Event Log'!$U$4:$U$803,0)),""))</f>
        <v/>
      </c>
      <c r="CA22" t="str">
        <f>IF(N(BV22)&gt;0,COUNTIF($BV$4:BV22,"&gt;0"),"")</f>
        <v/>
      </c>
      <c r="CB22" t="str">
        <f>IF(AND('Competency Event Log'!$B22='Employee Transcript'!$C$4,'Competency Event Log'!$I22&lt;&gt;"Yes"),'Competency Event Log'!$K22,"")</f>
        <v/>
      </c>
      <c r="CC22" t="str">
        <f t="shared" si="9"/>
        <v/>
      </c>
      <c r="CD22" t="str">
        <f>IF(Certifications!$A22='Employee Transcript'!$C$4,22,"")</f>
        <v/>
      </c>
      <c r="CE22" t="str">
        <f>IF(CD22="","",COUNTIF($CD$4:CD22,"&gt;0"))</f>
        <v/>
      </c>
      <c r="CF22" t="str">
        <f>IF(AND('Training Plan'!$A23='Employee Transcript'!$C$4,'Training Plan'!$F23&lt;&gt;"Complete"),23,"")</f>
        <v/>
      </c>
      <c r="CG22" t="str">
        <f>IF(CF22="","",COUNTIF($CF$4:CF22,"&gt;0"))</f>
        <v/>
      </c>
    </row>
    <row r="23" spans="1:85">
      <c r="A23" s="2" t="s">
        <v>845</v>
      </c>
      <c r="B23" s="1" t="s">
        <v>100</v>
      </c>
      <c r="C23" s="1" t="s">
        <v>307</v>
      </c>
      <c r="D23" s="1">
        <v>2</v>
      </c>
      <c r="E23" s="1" t="s">
        <v>812</v>
      </c>
      <c r="F23" s="3">
        <v>43154</v>
      </c>
      <c r="G23" s="1" t="s">
        <v>16</v>
      </c>
      <c r="H23" s="4" t="s">
        <v>833</v>
      </c>
      <c r="I23" s="1" t="s">
        <v>595</v>
      </c>
      <c r="J23" s="1" t="s">
        <v>593</v>
      </c>
      <c r="K23" s="1" t="s">
        <v>305</v>
      </c>
      <c r="L23" s="1" t="s">
        <v>27</v>
      </c>
      <c r="M23" s="1">
        <v>4</v>
      </c>
      <c r="N23" s="1" t="s">
        <v>27</v>
      </c>
      <c r="P23" s="1" t="s">
        <v>593</v>
      </c>
      <c r="Q23" s="1" t="s">
        <v>305</v>
      </c>
      <c r="R23" s="1">
        <v>4</v>
      </c>
      <c r="S23" s="1">
        <f>COUNTIF('Skills Matrix'!$Z$6:$Z$205,3)</f>
        <v>3</v>
      </c>
      <c r="T23" s="1">
        <f t="shared" si="0"/>
        <v>1</v>
      </c>
      <c r="U23" s="1">
        <f>IF(AND(T23&gt;0,OR('HR Quick View'!$F$24="All Departments",Q23='HR Quick View'!$F$24)),COUNTIFS($T$4:$T$108,"&gt;"&amp;T23,$Q$4:$Q$108,IF('HR Quick View'!$F$24="All Departments","*",'HR Quick View'!$F$24))+COUNTIFS($T$4:T23,T23,$Q$4:Q23,IF('HR Quick View'!$F$24="All Departments","*",'HR Quick View'!$F$24)),"")</f>
        <v>44</v>
      </c>
      <c r="W23" s="1" t="s">
        <v>593</v>
      </c>
      <c r="X23" s="1" t="s">
        <v>305</v>
      </c>
      <c r="Y23" s="1" t="s">
        <v>27</v>
      </c>
      <c r="Z23" s="1" t="str">
        <f>IF('HR Quick View'!$C$9="","",IF(COUNTIFS('Competency Event Log'!$B$4:$B$803,'HR Quick View'!$C$9,'Competency Event Log'!$C$4:$C$803,W23,'Competency Event Log'!$T$4:$T$803,"Current")=0,"",SUMIFS('Competency Event Log'!$D$4:$D$803,'Competency Event Log'!$B$4:$B$803,'HR Quick View'!$C$9,'Competency Event Log'!$C$4:$C$803,W23,'Competency Event Log'!$T$4:$T$803,"Current")))</f>
        <v/>
      </c>
      <c r="AA23" s="1" t="str">
        <f>IF($Z23="","",IF('HR Quick View'!$B$10="Qualified only",IF($Z23=3,COUNTIF($Z$4:$Z23,3),""),IF('HR Quick View'!$B$10="Developing only",IF(OR($Z23=1,$Z23=2),COUNTIF($Z$4:$Z$108,"&gt;"&amp;$Z23)+COUNTIF($Z$4:$Z23,$Z23)-COUNTIF($Z$4:$Z$108,3),""),IF('HR Quick View'!$B$10="All scored",COUNTIF($Z$4:$Z$108,"&gt;"&amp;$Z23)+COUNTIF($Z$4:$Z23,$Z23),""))))</f>
        <v/>
      </c>
      <c r="AB23" s="1" t="str">
        <f>""</f>
        <v/>
      </c>
      <c r="AC23" s="1">
        <f t="shared" si="1"/>
        <v>4</v>
      </c>
      <c r="AD23" s="1">
        <f t="shared" si="2"/>
        <v>3</v>
      </c>
      <c r="AE23" s="1">
        <f t="shared" si="3"/>
        <v>1</v>
      </c>
      <c r="AF23" s="1" t="str">
        <f>IFERROR(IF(Lists!$B23="","",Lists!$B23),"")</f>
        <v>Kendall Washington</v>
      </c>
      <c r="AG23" s="1" t="str">
        <f>IFERROR(IF(Lists!$B23="","",Lists!$C23),"")</f>
        <v>IT Operations</v>
      </c>
      <c r="AH23" s="1">
        <f>IFERROR(IF(Lists!$B23="","",Lists!$D23),"")</f>
        <v>2</v>
      </c>
      <c r="AI23" s="1" t="str">
        <f>IF(AF23="","",IFERROR(INDEX('Skills Matrix'!$G$6:$DE$205,MATCH(AF23,'Skills Matrix'!$B$6:$B$205,0),MATCH('HR Quick View'!$J$9,'Skills Matrix'!$G$5:$DE$5,0)),""))</f>
        <v/>
      </c>
      <c r="AJ23" s="1" t="str">
        <f t="shared" si="4"/>
        <v/>
      </c>
      <c r="AK23" s="1" t="str">
        <f>IFERROR(IF(Lists!$B23="","",Lists!$E23),"")</f>
        <v>Riley Stone</v>
      </c>
      <c r="AL23" s="1" t="str">
        <f>IF(AND(OR('HR Quick View'!$L$10="All Shifts",AH23='HR Quick View'!$L$10),OR(AND('HR Quick View'!$I$10="Qualified only",AI23=3),AND('HR Quick View'!$I$10="All trained",AI23&gt;0))),IF('HR Quick View'!$L$10="All Shifts",COUNTIF($AI$4:$AI$203,"&gt;"&amp;AI23)+COUNTIF($AI$4:AI23,AI23),COUNTIFS($AI$4:$AI$203,"&gt;"&amp;AI23,$AH$4:$AH$203,'HR Quick View'!$L$10)+COUNTIFS($AI$4:AI23,AI23,$AH$4:AH23,'HR Quick View'!$L$10)),"")</f>
        <v/>
      </c>
      <c r="AP23" s="17" t="str">
        <f>IFERROR(IF(Lists!$J23="","",Lists!$J23),"")</f>
        <v>SSO Configuration</v>
      </c>
      <c r="AQ23" s="17" t="str">
        <f>IFERROR(IF(Lists!$J23="","",Lists!$K23),"")</f>
        <v>Platform Operations</v>
      </c>
      <c r="AR23" s="17" t="str">
        <f>IFERROR(IF(Lists!$J23="","",Lists!$L23),"")</f>
        <v>Yes</v>
      </c>
      <c r="AS23" s="17">
        <f>IFERROR(IF(Lists!$J23="","",Lists!$M23),0)</f>
        <v>4</v>
      </c>
      <c r="AT23" s="17">
        <f>IF(AP23="","",COUNTIF('Skills Matrix'!$Z$6:$Z$205,3))</f>
        <v>3</v>
      </c>
      <c r="AU23" s="17">
        <f>IF(AP23="","",COUNTIF('Skills Matrix'!$Z$6:$Z$205,2))</f>
        <v>1</v>
      </c>
      <c r="AV23" s="17">
        <f t="shared" si="5"/>
        <v>1</v>
      </c>
      <c r="AW23" s="17">
        <f>IF(OR(AP23="",AS23&lt;=0,AV23&lt;=0,AND('Skill Management'!$D$4&lt;&gt;"All Departments",AQ23&lt;&gt;'Skill Management'!$D$4)),"",IF(AT23=0,100000,0)+IF(AR23="Yes",10000,0)+AV23*100+AU23)</f>
        <v>10101</v>
      </c>
      <c r="AX23" s="17">
        <f>IF(AW23="","",COUNTIF($AW$4:$AW$106,"&gt;"&amp;AW23)+COUNTIF($AW$4:AW23,AW23))</f>
        <v>60</v>
      </c>
      <c r="AY23" s="17" t="str">
        <f>IFERROR(IF(Lists!$J23="","",Lists!$N23),"")</f>
        <v>Yes</v>
      </c>
      <c r="BA23" s="17" t="str">
        <f>IFERROR(IF('Training Plan'!$A24="","",'Training Plan'!$A24),"")</f>
        <v/>
      </c>
      <c r="BB23" s="17" t="str">
        <f>IFERROR(IF('Training Plan'!$A24="","",'Training Plan'!$B24),"")</f>
        <v/>
      </c>
      <c r="BC23" s="17" t="str">
        <f>IFERROR(IF('Training Plan'!$A24="","",'Training Plan'!$C24),"")</f>
        <v/>
      </c>
      <c r="BD23" s="17" t="str">
        <f>IFERROR(IF('Training Plan'!$A24="","",'Training Plan'!$D24),"")</f>
        <v/>
      </c>
      <c r="BE23" s="17" t="str">
        <f>IFERROR(IF('Training Plan'!$A24="","",'Training Plan'!$E24),"")</f>
        <v/>
      </c>
      <c r="BF23" s="17" t="str">
        <f>IFERROR(IF('Training Plan'!$A24="","",'Training Plan'!$F24),"")</f>
        <v/>
      </c>
      <c r="BG23" s="17" t="str">
        <f>IFERROR(IF('Training Plan'!$A24="","",'Training Plan'!$G24),"")</f>
        <v/>
      </c>
      <c r="BH23" s="17" t="str">
        <f>IFERROR(IF('Training Plan'!$A24="","",'Training Plan'!$H24),"")</f>
        <v/>
      </c>
      <c r="BI23" s="17" t="str">
        <f>IF(OR(BA23="",BF23="Complete",AND('Skill Management'!$D$4&lt;&gt;"All Departments",BB23&lt;&gt;'Skill Management'!$D$4)),"",IF(BF23="Blocked",100000,IF(BF23="In Progress",200000,300000))+IF(BE23="",99999,BE23))</f>
        <v/>
      </c>
      <c r="BJ23" s="17" t="str">
        <f>IF(BI23="","",COUNTIFS($BI$4:$BI$203,"&gt;0",$BI$4:$BI$203,"&lt;"&amp;BI23)+COUNTIF($BI$4:BI23,BI23))</f>
        <v/>
      </c>
      <c r="BT23" t="str">
        <f t="shared" si="6"/>
        <v>SSO Configuration</v>
      </c>
      <c r="BU23" t="str">
        <f t="shared" si="7"/>
        <v>Platform Operations</v>
      </c>
      <c r="BV23" t="str">
        <f>IF(BT23="","",IFERROR(INDEX('Skills Matrix'!$G$6:$DE$205,MATCH('Employee Transcript'!$C$4,'Skills Matrix'!$B$6:$B$205,0),MATCH(BT23,'Skills Matrix'!$G$5:$DE$5,0)),""))</f>
        <v/>
      </c>
      <c r="BW23" t="str">
        <f>IF(BT23="","",IFERROR(INDEX('Competency Event Log'!$E$4:$E$803,MATCH('Employee Transcript'!$C$4&amp;"|"&amp;BT23,'Competency Event Log'!$U$4:$U$803,0)),""))</f>
        <v/>
      </c>
      <c r="BX23" t="str">
        <f>IF(BT23="","",IF(BU23='Employee Transcript'!$B$7,"Home Department","Cross-Trained"))</f>
        <v>Cross-Trained</v>
      </c>
      <c r="BY23" t="str">
        <f t="shared" si="8"/>
        <v>Yes</v>
      </c>
      <c r="BZ23" t="str">
        <f>IF(BT23="","",IFERROR(INDEX('Competency Event Log'!$L$4:$L$803,MATCH('Employee Transcript'!$C$4&amp;"|"&amp;BT23,'Competency Event Log'!$U$4:$U$803,0)),""))</f>
        <v/>
      </c>
      <c r="CA23" t="str">
        <f>IF(N(BV23)&gt;0,COUNTIF($BV$4:BV23,"&gt;0"),"")</f>
        <v/>
      </c>
      <c r="CB23" t="str">
        <f>IF(AND('Competency Event Log'!$B23='Employee Transcript'!$C$4,'Competency Event Log'!$I23&lt;&gt;"Yes"),'Competency Event Log'!$K23,"")</f>
        <v/>
      </c>
      <c r="CC23" t="str">
        <f t="shared" si="9"/>
        <v/>
      </c>
      <c r="CD23" t="str">
        <f>IF(Certifications!$A23='Employee Transcript'!$C$4,23,"")</f>
        <v/>
      </c>
      <c r="CE23" t="str">
        <f>IF(CD23="","",COUNTIF($CD$4:CD23,"&gt;0"))</f>
        <v/>
      </c>
      <c r="CF23" t="str">
        <f>IF(AND('Training Plan'!$A24='Employee Transcript'!$C$4,'Training Plan'!$F24&lt;&gt;"Complete"),24,"")</f>
        <v/>
      </c>
      <c r="CG23" t="str">
        <f>IF(CF23="","",COUNTIF($CF$4:CF23,"&gt;0"))</f>
        <v/>
      </c>
    </row>
    <row r="24" spans="1:85">
      <c r="A24" s="2" t="s">
        <v>869</v>
      </c>
      <c r="B24" s="1" t="s">
        <v>103</v>
      </c>
      <c r="C24" s="1" t="s">
        <v>307</v>
      </c>
      <c r="D24" s="1">
        <v>3</v>
      </c>
      <c r="E24" s="1" t="s">
        <v>812</v>
      </c>
      <c r="F24" s="3">
        <v>44292</v>
      </c>
      <c r="G24" s="1" t="s">
        <v>16</v>
      </c>
      <c r="H24" s="4" t="s">
        <v>833</v>
      </c>
      <c r="I24" s="1" t="s">
        <v>614</v>
      </c>
      <c r="J24" s="1" t="s">
        <v>612</v>
      </c>
      <c r="K24" s="1" t="s">
        <v>305</v>
      </c>
      <c r="L24" s="1" t="s">
        <v>27</v>
      </c>
      <c r="M24" s="1">
        <v>4</v>
      </c>
      <c r="N24" s="1" t="s">
        <v>27</v>
      </c>
      <c r="P24" s="1" t="s">
        <v>612</v>
      </c>
      <c r="Q24" s="1" t="s">
        <v>305</v>
      </c>
      <c r="R24" s="1">
        <v>4</v>
      </c>
      <c r="S24" s="1">
        <f>COUNTIF('Skills Matrix'!$AA$6:$AA$205,3)</f>
        <v>1</v>
      </c>
      <c r="T24" s="1">
        <f t="shared" si="0"/>
        <v>3</v>
      </c>
      <c r="U24" s="1">
        <f>IF(AND(T24&gt;0,OR('HR Quick View'!$F$24="All Departments",Q24='HR Quick View'!$F$24)),COUNTIFS($T$4:$T$108,"&gt;"&amp;T24,$Q$4:$Q$108,IF('HR Quick View'!$F$24="All Departments","*",'HR Quick View'!$F$24))+COUNTIFS($T$4:T24,T24,$Q$4:Q24,IF('HR Quick View'!$F$24="All Departments","*",'HR Quick View'!$F$24)),"")</f>
        <v>20</v>
      </c>
      <c r="W24" s="1" t="s">
        <v>612</v>
      </c>
      <c r="X24" s="1" t="s">
        <v>305</v>
      </c>
      <c r="Y24" s="1" t="s">
        <v>27</v>
      </c>
      <c r="Z24" s="1" t="str">
        <f>IF('HR Quick View'!$C$9="","",IF(COUNTIFS('Competency Event Log'!$B$4:$B$803,'HR Quick View'!$C$9,'Competency Event Log'!$C$4:$C$803,W24,'Competency Event Log'!$T$4:$T$803,"Current")=0,"",SUMIFS('Competency Event Log'!$D$4:$D$803,'Competency Event Log'!$B$4:$B$803,'HR Quick View'!$C$9,'Competency Event Log'!$C$4:$C$803,W24,'Competency Event Log'!$T$4:$T$803,"Current")))</f>
        <v/>
      </c>
      <c r="AA24" s="1" t="str">
        <f>IF($Z24="","",IF('HR Quick View'!$B$10="Qualified only",IF($Z24=3,COUNTIF($Z$4:$Z24,3),""),IF('HR Quick View'!$B$10="Developing only",IF(OR($Z24=1,$Z24=2),COUNTIF($Z$4:$Z$108,"&gt;"&amp;$Z24)+COUNTIF($Z$4:$Z24,$Z24)-COUNTIF($Z$4:$Z$108,3),""),IF('HR Quick View'!$B$10="All scored",COUNTIF($Z$4:$Z$108,"&gt;"&amp;$Z24)+COUNTIF($Z$4:$Z24,$Z24),""))))</f>
        <v/>
      </c>
      <c r="AB24" s="1" t="str">
        <f>""</f>
        <v/>
      </c>
      <c r="AC24" s="1">
        <f t="shared" si="1"/>
        <v>4</v>
      </c>
      <c r="AD24" s="1">
        <f t="shared" si="2"/>
        <v>1</v>
      </c>
      <c r="AE24" s="1">
        <f t="shared" si="3"/>
        <v>3</v>
      </c>
      <c r="AF24" s="1" t="str">
        <f>IFERROR(IF(Lists!$B24="","",Lists!$B24),"")</f>
        <v>Logan Russell</v>
      </c>
      <c r="AG24" s="1" t="str">
        <f>IFERROR(IF(Lists!$B24="","",Lists!$C24),"")</f>
        <v>IT Operations</v>
      </c>
      <c r="AH24" s="1">
        <f>IFERROR(IF(Lists!$B24="","",Lists!$D24),"")</f>
        <v>3</v>
      </c>
      <c r="AI24" s="1" t="str">
        <f>IF(AF24="","",IFERROR(INDEX('Skills Matrix'!$G$6:$DE$205,MATCH(AF24,'Skills Matrix'!$B$6:$B$205,0),MATCH('HR Quick View'!$J$9,'Skills Matrix'!$G$5:$DE$5,0)),""))</f>
        <v/>
      </c>
      <c r="AJ24" s="1" t="str">
        <f t="shared" si="4"/>
        <v/>
      </c>
      <c r="AK24" s="1" t="str">
        <f>IFERROR(IF(Lists!$B24="","",Lists!$E24),"")</f>
        <v>Riley Stone</v>
      </c>
      <c r="AL24" s="1" t="str">
        <f>IF(AND(OR('HR Quick View'!$L$10="All Shifts",AH24='HR Quick View'!$L$10),OR(AND('HR Quick View'!$I$10="Qualified only",AI24=3),AND('HR Quick View'!$I$10="All trained",AI24&gt;0))),IF('HR Quick View'!$L$10="All Shifts",COUNTIF($AI$4:$AI$203,"&gt;"&amp;AI24)+COUNTIF($AI$4:AI24,AI24),COUNTIFS($AI$4:$AI$203,"&gt;"&amp;AI24,$AH$4:$AH$203,'HR Quick View'!$L$10)+COUNTIFS($AI$4:AI24,AI24,$AH$4:AH24,'HR Quick View'!$L$10)),"")</f>
        <v/>
      </c>
      <c r="AP24" s="17" t="str">
        <f>IFERROR(IF(Lists!$J24="","",Lists!$J24),"")</f>
        <v>API Credential Management</v>
      </c>
      <c r="AQ24" s="17" t="str">
        <f>IFERROR(IF(Lists!$J24="","",Lists!$K24),"")</f>
        <v>Platform Operations</v>
      </c>
      <c r="AR24" s="17" t="str">
        <f>IFERROR(IF(Lists!$J24="","",Lists!$L24),"")</f>
        <v>Yes</v>
      </c>
      <c r="AS24" s="17">
        <f>IFERROR(IF(Lists!$J24="","",Lists!$M24),0)</f>
        <v>4</v>
      </c>
      <c r="AT24" s="17">
        <f>IF(AP24="","",COUNTIF('Skills Matrix'!$AA$6:$AA$205,3))</f>
        <v>1</v>
      </c>
      <c r="AU24" s="17">
        <f>IF(AP24="","",COUNTIF('Skills Matrix'!$AA$6:$AA$205,2))</f>
        <v>3</v>
      </c>
      <c r="AV24" s="17">
        <f t="shared" si="5"/>
        <v>3</v>
      </c>
      <c r="AW24" s="17">
        <f>IF(OR(AP24="",AS24&lt;=0,AV24&lt;=0,AND('Skill Management'!$D$4&lt;&gt;"All Departments",AQ24&lt;&gt;'Skill Management'!$D$4)),"",IF(AT24=0,100000,0)+IF(AR24="Yes",10000,0)+AV24*100+AU24)</f>
        <v>10303</v>
      </c>
      <c r="AX24" s="17">
        <f>IF(AW24="","",COUNTIF($AW$4:$AW$106,"&gt;"&amp;AW24)+COUNTIF($AW$4:AW24,AW24))</f>
        <v>30</v>
      </c>
      <c r="AY24" s="17" t="str">
        <f>IFERROR(IF(Lists!$J24="","",Lists!$N24),"")</f>
        <v>Yes</v>
      </c>
      <c r="BA24" s="17" t="str">
        <f>IFERROR(IF('Training Plan'!$A25="","",'Training Plan'!$A25),"")</f>
        <v/>
      </c>
      <c r="BB24" s="17" t="str">
        <f>IFERROR(IF('Training Plan'!$A25="","",'Training Plan'!$B25),"")</f>
        <v/>
      </c>
      <c r="BC24" s="17" t="str">
        <f>IFERROR(IF('Training Plan'!$A25="","",'Training Plan'!$C25),"")</f>
        <v/>
      </c>
      <c r="BD24" s="17" t="str">
        <f>IFERROR(IF('Training Plan'!$A25="","",'Training Plan'!$D25),"")</f>
        <v/>
      </c>
      <c r="BE24" s="17" t="str">
        <f>IFERROR(IF('Training Plan'!$A25="","",'Training Plan'!$E25),"")</f>
        <v/>
      </c>
      <c r="BF24" s="17" t="str">
        <f>IFERROR(IF('Training Plan'!$A25="","",'Training Plan'!$F25),"")</f>
        <v/>
      </c>
      <c r="BG24" s="17" t="str">
        <f>IFERROR(IF('Training Plan'!$A25="","",'Training Plan'!$G25),"")</f>
        <v/>
      </c>
      <c r="BH24" s="17" t="str">
        <f>IFERROR(IF('Training Plan'!$A25="","",'Training Plan'!$H25),"")</f>
        <v/>
      </c>
      <c r="BI24" s="17" t="str">
        <f>IF(OR(BA24="",BF24="Complete",AND('Skill Management'!$D$4&lt;&gt;"All Departments",BB24&lt;&gt;'Skill Management'!$D$4)),"",IF(BF24="Blocked",100000,IF(BF24="In Progress",200000,300000))+IF(BE24="",99999,BE24))</f>
        <v/>
      </c>
      <c r="BJ24" s="17" t="str">
        <f>IF(BI24="","",COUNTIFS($BI$4:$BI$203,"&gt;0",$BI$4:$BI$203,"&lt;"&amp;BI24)+COUNTIF($BI$4:BI24,BI24))</f>
        <v/>
      </c>
      <c r="BT24" t="str">
        <f t="shared" si="6"/>
        <v>API Credential Management</v>
      </c>
      <c r="BU24" t="str">
        <f t="shared" si="7"/>
        <v>Platform Operations</v>
      </c>
      <c r="BV24" t="str">
        <f>IF(BT24="","",IFERROR(INDEX('Skills Matrix'!$G$6:$DE$205,MATCH('Employee Transcript'!$C$4,'Skills Matrix'!$B$6:$B$205,0),MATCH(BT24,'Skills Matrix'!$G$5:$DE$5,0)),""))</f>
        <v/>
      </c>
      <c r="BW24" t="str">
        <f>IF(BT24="","",IFERROR(INDEX('Competency Event Log'!$E$4:$E$803,MATCH('Employee Transcript'!$C$4&amp;"|"&amp;BT24,'Competency Event Log'!$U$4:$U$803,0)),""))</f>
        <v/>
      </c>
      <c r="BX24" t="str">
        <f>IF(BT24="","",IF(BU24='Employee Transcript'!$B$7,"Home Department","Cross-Trained"))</f>
        <v>Cross-Trained</v>
      </c>
      <c r="BY24" t="str">
        <f t="shared" si="8"/>
        <v>Yes</v>
      </c>
      <c r="BZ24" t="str">
        <f>IF(BT24="","",IFERROR(INDEX('Competency Event Log'!$L$4:$L$803,MATCH('Employee Transcript'!$C$4&amp;"|"&amp;BT24,'Competency Event Log'!$U$4:$U$803,0)),""))</f>
        <v/>
      </c>
      <c r="CA24" t="str">
        <f>IF(N(BV24)&gt;0,COUNTIF($BV$4:BV24,"&gt;0"),"")</f>
        <v/>
      </c>
      <c r="CB24" t="str">
        <f>IF(AND('Competency Event Log'!$B24='Employee Transcript'!$C$4,'Competency Event Log'!$I24&lt;&gt;"Yes"),'Competency Event Log'!$K24,"")</f>
        <v/>
      </c>
      <c r="CC24" t="str">
        <f t="shared" si="9"/>
        <v/>
      </c>
      <c r="CD24" t="str">
        <f>IF(Certifications!$A24='Employee Transcript'!$C$4,24,"")</f>
        <v/>
      </c>
      <c r="CE24" t="str">
        <f>IF(CD24="","",COUNTIF($CD$4:CD24,"&gt;0"))</f>
        <v/>
      </c>
      <c r="CF24" t="str">
        <f>IF(AND('Training Plan'!$A25='Employee Transcript'!$C$4,'Training Plan'!$F25&lt;&gt;"Complete"),25,"")</f>
        <v/>
      </c>
      <c r="CG24" t="str">
        <f>IF(CF24="","",COUNTIF($CF$4:CF24,"&gt;0"))</f>
        <v/>
      </c>
    </row>
    <row r="25" spans="1:85">
      <c r="A25" s="2" t="s">
        <v>889</v>
      </c>
      <c r="B25" s="1" t="s">
        <v>108</v>
      </c>
      <c r="C25" s="1" t="s">
        <v>307</v>
      </c>
      <c r="D25" s="1">
        <v>1</v>
      </c>
      <c r="E25" s="1" t="s">
        <v>812</v>
      </c>
      <c r="F25" s="3">
        <v>44206</v>
      </c>
      <c r="G25" s="1" t="s">
        <v>16</v>
      </c>
      <c r="H25" s="4" t="s">
        <v>819</v>
      </c>
      <c r="I25" s="1" t="s">
        <v>611</v>
      </c>
      <c r="J25" s="1" t="s">
        <v>609</v>
      </c>
      <c r="K25" s="1" t="s">
        <v>305</v>
      </c>
      <c r="L25" s="1" t="s">
        <v>27</v>
      </c>
      <c r="M25" s="1">
        <v>4</v>
      </c>
      <c r="N25" s="1" t="s">
        <v>27</v>
      </c>
      <c r="P25" s="1" t="s">
        <v>609</v>
      </c>
      <c r="Q25" s="1" t="s">
        <v>305</v>
      </c>
      <c r="R25" s="1">
        <v>4</v>
      </c>
      <c r="S25" s="1">
        <f>COUNTIF('Skills Matrix'!$AB$6:$AB$205,3)</f>
        <v>1</v>
      </c>
      <c r="T25" s="1">
        <f t="shared" si="0"/>
        <v>3</v>
      </c>
      <c r="U25" s="1">
        <f>IF(AND(T25&gt;0,OR('HR Quick View'!$F$24="All Departments",Q25='HR Quick View'!$F$24)),COUNTIFS($T$4:$T$108,"&gt;"&amp;T25,$Q$4:$Q$108,IF('HR Quick View'!$F$24="All Departments","*",'HR Quick View'!$F$24))+COUNTIFS($T$4:T25,T25,$Q$4:Q25,IF('HR Quick View'!$F$24="All Departments","*",'HR Quick View'!$F$24)),"")</f>
        <v>21</v>
      </c>
      <c r="W25" s="1" t="s">
        <v>609</v>
      </c>
      <c r="X25" s="1" t="s">
        <v>305</v>
      </c>
      <c r="Y25" s="1" t="s">
        <v>27</v>
      </c>
      <c r="Z25" s="1" t="str">
        <f>IF('HR Quick View'!$C$9="","",IF(COUNTIFS('Competency Event Log'!$B$4:$B$803,'HR Quick View'!$C$9,'Competency Event Log'!$C$4:$C$803,W25,'Competency Event Log'!$T$4:$T$803,"Current")=0,"",SUMIFS('Competency Event Log'!$D$4:$D$803,'Competency Event Log'!$B$4:$B$803,'HR Quick View'!$C$9,'Competency Event Log'!$C$4:$C$803,W25,'Competency Event Log'!$T$4:$T$803,"Current")))</f>
        <v/>
      </c>
      <c r="AA25" s="1" t="str">
        <f>IF($Z25="","",IF('HR Quick View'!$B$10="Qualified only",IF($Z25=3,COUNTIF($Z$4:$Z25,3),""),IF('HR Quick View'!$B$10="Developing only",IF(OR($Z25=1,$Z25=2),COUNTIF($Z$4:$Z$108,"&gt;"&amp;$Z25)+COUNTIF($Z$4:$Z25,$Z25)-COUNTIF($Z$4:$Z$108,3),""),IF('HR Quick View'!$B$10="All scored",COUNTIF($Z$4:$Z$108,"&gt;"&amp;$Z25)+COUNTIF($Z$4:$Z25,$Z25),""))))</f>
        <v/>
      </c>
      <c r="AB25" s="1" t="str">
        <f>""</f>
        <v/>
      </c>
      <c r="AC25" s="1">
        <f t="shared" si="1"/>
        <v>4</v>
      </c>
      <c r="AD25" s="1">
        <f t="shared" si="2"/>
        <v>1</v>
      </c>
      <c r="AE25" s="1">
        <f t="shared" si="3"/>
        <v>3</v>
      </c>
      <c r="AF25" s="1" t="str">
        <f>IFERROR(IF(Lists!$B25="","",Lists!$B25),"")</f>
        <v>Sydney Morgan</v>
      </c>
      <c r="AG25" s="1" t="str">
        <f>IFERROR(IF(Lists!$B25="","",Lists!$C25),"")</f>
        <v>IT Operations</v>
      </c>
      <c r="AH25" s="1">
        <f>IFERROR(IF(Lists!$B25="","",Lists!$D25),"")</f>
        <v>1</v>
      </c>
      <c r="AI25" s="1" t="str">
        <f>IF(AF25="","",IFERROR(INDEX('Skills Matrix'!$G$6:$DE$205,MATCH(AF25,'Skills Matrix'!$B$6:$B$205,0),MATCH('HR Quick View'!$J$9,'Skills Matrix'!$G$5:$DE$5,0)),""))</f>
        <v/>
      </c>
      <c r="AJ25" s="1" t="str">
        <f t="shared" si="4"/>
        <v/>
      </c>
      <c r="AK25" s="1" t="str">
        <f>IFERROR(IF(Lists!$B25="","",Lists!$E25),"")</f>
        <v>Riley Stone</v>
      </c>
      <c r="AL25" s="1" t="str">
        <f>IF(AND(OR('HR Quick View'!$L$10="All Shifts",AH25='HR Quick View'!$L$10),OR(AND('HR Quick View'!$I$10="Qualified only",AI25=3),AND('HR Quick View'!$I$10="All trained",AI25&gt;0))),IF('HR Quick View'!$L$10="All Shifts",COUNTIF($AI$4:$AI$203,"&gt;"&amp;AI25)+COUNTIF($AI$4:AI25,AI25),COUNTIFS($AI$4:$AI$203,"&gt;"&amp;AI25,$AH$4:$AH$203,'HR Quick View'!$L$10)+COUNTIFS($AI$4:AI25,AI25,$AH$4:AH25,'HR Quick View'!$L$10)),"")</f>
        <v/>
      </c>
      <c r="AP25" s="17" t="str">
        <f>IFERROR(IF(Lists!$J25="","",Lists!$J25),"")</f>
        <v>Configuration Management</v>
      </c>
      <c r="AQ25" s="17" t="str">
        <f>IFERROR(IF(Lists!$J25="","",Lists!$K25),"")</f>
        <v>Platform Operations</v>
      </c>
      <c r="AR25" s="17" t="str">
        <f>IFERROR(IF(Lists!$J25="","",Lists!$L25),"")</f>
        <v>Yes</v>
      </c>
      <c r="AS25" s="17">
        <f>IFERROR(IF(Lists!$J25="","",Lists!$M25),0)</f>
        <v>4</v>
      </c>
      <c r="AT25" s="17">
        <f>IF(AP25="","",COUNTIF('Skills Matrix'!$AB$6:$AB$205,3))</f>
        <v>1</v>
      </c>
      <c r="AU25" s="17">
        <f>IF(AP25="","",COUNTIF('Skills Matrix'!$AB$6:$AB$205,2))</f>
        <v>1</v>
      </c>
      <c r="AV25" s="17">
        <f t="shared" si="5"/>
        <v>3</v>
      </c>
      <c r="AW25" s="17">
        <f>IF(OR(AP25="",AS25&lt;=0,AV25&lt;=0,AND('Skill Management'!$D$4&lt;&gt;"All Departments",AQ25&lt;&gt;'Skill Management'!$D$4)),"",IF(AT25=0,100000,0)+IF(AR25="Yes",10000,0)+AV25*100+AU25)</f>
        <v>10301</v>
      </c>
      <c r="AX25" s="17">
        <f>IF(AW25="","",COUNTIF($AW$4:$AW$106,"&gt;"&amp;AW25)+COUNTIF($AW$4:AW25,AW25))</f>
        <v>35</v>
      </c>
      <c r="AY25" s="17" t="str">
        <f>IFERROR(IF(Lists!$J25="","",Lists!$N25),"")</f>
        <v>Yes</v>
      </c>
      <c r="BA25" s="17" t="str">
        <f>IFERROR(IF('Training Plan'!$A26="","",'Training Plan'!$A26),"")</f>
        <v/>
      </c>
      <c r="BB25" s="17" t="str">
        <f>IFERROR(IF('Training Plan'!$A26="","",'Training Plan'!$B26),"")</f>
        <v/>
      </c>
      <c r="BC25" s="17" t="str">
        <f>IFERROR(IF('Training Plan'!$A26="","",'Training Plan'!$C26),"")</f>
        <v/>
      </c>
      <c r="BD25" s="17" t="str">
        <f>IFERROR(IF('Training Plan'!$A26="","",'Training Plan'!$D26),"")</f>
        <v/>
      </c>
      <c r="BE25" s="17" t="str">
        <f>IFERROR(IF('Training Plan'!$A26="","",'Training Plan'!$E26),"")</f>
        <v/>
      </c>
      <c r="BF25" s="17" t="str">
        <f>IFERROR(IF('Training Plan'!$A26="","",'Training Plan'!$F26),"")</f>
        <v/>
      </c>
      <c r="BG25" s="17" t="str">
        <f>IFERROR(IF('Training Plan'!$A26="","",'Training Plan'!$G26),"")</f>
        <v/>
      </c>
      <c r="BH25" s="17" t="str">
        <f>IFERROR(IF('Training Plan'!$A26="","",'Training Plan'!$H26),"")</f>
        <v/>
      </c>
      <c r="BI25" s="17" t="str">
        <f>IF(OR(BA25="",BF25="Complete",AND('Skill Management'!$D$4&lt;&gt;"All Departments",BB25&lt;&gt;'Skill Management'!$D$4)),"",IF(BF25="Blocked",100000,IF(BF25="In Progress",200000,300000))+IF(BE25="",99999,BE25))</f>
        <v/>
      </c>
      <c r="BJ25" s="17" t="str">
        <f>IF(BI25="","",COUNTIFS($BI$4:$BI$203,"&gt;0",$BI$4:$BI$203,"&lt;"&amp;BI25)+COUNTIF($BI$4:BI25,BI25))</f>
        <v/>
      </c>
      <c r="BT25" t="str">
        <f t="shared" si="6"/>
        <v>Configuration Management</v>
      </c>
      <c r="BU25" t="str">
        <f t="shared" si="7"/>
        <v>Platform Operations</v>
      </c>
      <c r="BV25" t="str">
        <f>IF(BT25="","",IFERROR(INDEX('Skills Matrix'!$G$6:$DE$205,MATCH('Employee Transcript'!$C$4,'Skills Matrix'!$B$6:$B$205,0),MATCH(BT25,'Skills Matrix'!$G$5:$DE$5,0)),""))</f>
        <v/>
      </c>
      <c r="BW25" t="str">
        <f>IF(BT25="","",IFERROR(INDEX('Competency Event Log'!$E$4:$E$803,MATCH('Employee Transcript'!$C$4&amp;"|"&amp;BT25,'Competency Event Log'!$U$4:$U$803,0)),""))</f>
        <v/>
      </c>
      <c r="BX25" t="str">
        <f>IF(BT25="","",IF(BU25='Employee Transcript'!$B$7,"Home Department","Cross-Trained"))</f>
        <v>Cross-Trained</v>
      </c>
      <c r="BY25" t="str">
        <f t="shared" si="8"/>
        <v>Yes</v>
      </c>
      <c r="BZ25" t="str">
        <f>IF(BT25="","",IFERROR(INDEX('Competency Event Log'!$L$4:$L$803,MATCH('Employee Transcript'!$C$4&amp;"|"&amp;BT25,'Competency Event Log'!$U$4:$U$803,0)),""))</f>
        <v/>
      </c>
      <c r="CA25" t="str">
        <f>IF(N(BV25)&gt;0,COUNTIF($BV$4:BV25,"&gt;0"),"")</f>
        <v/>
      </c>
      <c r="CB25" t="str">
        <f>IF(AND('Competency Event Log'!$B25='Employee Transcript'!$C$4,'Competency Event Log'!$I25&lt;&gt;"Yes"),'Competency Event Log'!$K25,"")</f>
        <v/>
      </c>
      <c r="CC25" t="str">
        <f t="shared" si="9"/>
        <v/>
      </c>
      <c r="CD25" t="str">
        <f>IF(Certifications!$A25='Employee Transcript'!$C$4,25,"")</f>
        <v/>
      </c>
      <c r="CE25" t="str">
        <f>IF(CD25="","",COUNTIF($CD$4:CD25,"&gt;0"))</f>
        <v/>
      </c>
      <c r="CF25" t="str">
        <f>IF(AND('Training Plan'!$A26='Employee Transcript'!$C$4,'Training Plan'!$F26&lt;&gt;"Complete"),26,"")</f>
        <v/>
      </c>
      <c r="CG25" t="str">
        <f>IF(CF25="","",COUNTIF($CF$4:CF25,"&gt;0"))</f>
        <v/>
      </c>
    </row>
    <row r="26" spans="1:85">
      <c r="A26" s="2" t="s">
        <v>903</v>
      </c>
      <c r="B26" s="1" t="s">
        <v>111</v>
      </c>
      <c r="C26" s="1" t="s">
        <v>307</v>
      </c>
      <c r="D26" s="1">
        <v>2</v>
      </c>
      <c r="E26" s="1" t="s">
        <v>812</v>
      </c>
      <c r="F26" s="3">
        <v>44144</v>
      </c>
      <c r="G26" s="1" t="s">
        <v>16</v>
      </c>
      <c r="H26" s="4" t="s">
        <v>904</v>
      </c>
      <c r="I26" s="1" t="s">
        <v>504</v>
      </c>
      <c r="J26" s="1" t="s">
        <v>502</v>
      </c>
      <c r="K26" s="1" t="s">
        <v>305</v>
      </c>
      <c r="L26" s="1" t="s">
        <v>27</v>
      </c>
      <c r="M26" s="1">
        <v>4</v>
      </c>
      <c r="N26" s="1" t="s">
        <v>27</v>
      </c>
      <c r="P26" s="1" t="s">
        <v>502</v>
      </c>
      <c r="Q26" s="1" t="s">
        <v>305</v>
      </c>
      <c r="R26" s="1">
        <v>3</v>
      </c>
      <c r="S26" s="1">
        <f>COUNTIF('Skills Matrix'!$AC$6:$AC$205,3)</f>
        <v>0</v>
      </c>
      <c r="T26" s="1">
        <f t="shared" si="0"/>
        <v>3</v>
      </c>
      <c r="U26" s="1">
        <f>IF(AND(T26&gt;0,OR('HR Quick View'!$F$24="All Departments",Q26='HR Quick View'!$F$24)),COUNTIFS($T$4:$T$108,"&gt;"&amp;T26,$Q$4:$Q$108,IF('HR Quick View'!$F$24="All Departments","*",'HR Quick View'!$F$24))+COUNTIFS($T$4:T26,T26,$Q$4:Q26,IF('HR Quick View'!$F$24="All Departments","*",'HR Quick View'!$F$24)),"")</f>
        <v>22</v>
      </c>
      <c r="W26" s="1" t="s">
        <v>502</v>
      </c>
      <c r="X26" s="1" t="s">
        <v>305</v>
      </c>
      <c r="Y26" s="1" t="s">
        <v>27</v>
      </c>
      <c r="Z26" s="1" t="str">
        <f>IF('HR Quick View'!$C$9="","",IF(COUNTIFS('Competency Event Log'!$B$4:$B$803,'HR Quick View'!$C$9,'Competency Event Log'!$C$4:$C$803,W26,'Competency Event Log'!$T$4:$T$803,"Current")=0,"",SUMIFS('Competency Event Log'!$D$4:$D$803,'Competency Event Log'!$B$4:$B$803,'HR Quick View'!$C$9,'Competency Event Log'!$C$4:$C$803,W26,'Competency Event Log'!$T$4:$T$803,"Current")))</f>
        <v/>
      </c>
      <c r="AA26" s="1" t="str">
        <f>IF($Z26="","",IF('HR Quick View'!$B$10="Qualified only",IF($Z26=3,COUNTIF($Z$4:$Z26,3),""),IF('HR Quick View'!$B$10="Developing only",IF(OR($Z26=1,$Z26=2),COUNTIF($Z$4:$Z$108,"&gt;"&amp;$Z26)+COUNTIF($Z$4:$Z26,$Z26)-COUNTIF($Z$4:$Z$108,3),""),IF('HR Quick View'!$B$10="All scored",COUNTIF($Z$4:$Z$108,"&gt;"&amp;$Z26)+COUNTIF($Z$4:$Z26,$Z26),""))))</f>
        <v/>
      </c>
      <c r="AB26" s="1" t="str">
        <f>""</f>
        <v/>
      </c>
      <c r="AC26" s="1">
        <f t="shared" si="1"/>
        <v>3</v>
      </c>
      <c r="AD26" s="1">
        <f t="shared" si="2"/>
        <v>0</v>
      </c>
      <c r="AE26" s="1">
        <f t="shared" si="3"/>
        <v>3</v>
      </c>
      <c r="AF26" s="1" t="str">
        <f>IFERROR(IF(Lists!$B26="","",Lists!$B26),"")</f>
        <v>Dakota Ward</v>
      </c>
      <c r="AG26" s="1" t="str">
        <f>IFERROR(IF(Lists!$B26="","",Lists!$C26),"")</f>
        <v>IT Operations</v>
      </c>
      <c r="AH26" s="1">
        <f>IFERROR(IF(Lists!$B26="","",Lists!$D26),"")</f>
        <v>2</v>
      </c>
      <c r="AI26" s="1" t="str">
        <f>IF(AF26="","",IFERROR(INDEX('Skills Matrix'!$G$6:$DE$205,MATCH(AF26,'Skills Matrix'!$B$6:$B$205,0),MATCH('HR Quick View'!$J$9,'Skills Matrix'!$G$5:$DE$5,0)),""))</f>
        <v/>
      </c>
      <c r="AJ26" s="1" t="str">
        <f t="shared" si="4"/>
        <v/>
      </c>
      <c r="AK26" s="1" t="str">
        <f>IFERROR(IF(Lists!$B26="","",Lists!$E26),"")</f>
        <v>Riley Stone</v>
      </c>
      <c r="AL26" s="1" t="str">
        <f>IF(AND(OR('HR Quick View'!$L$10="All Shifts",AH26='HR Quick View'!$L$10),OR(AND('HR Quick View'!$I$10="Qualified only",AI26=3),AND('HR Quick View'!$I$10="All trained",AI26&gt;0))),IF('HR Quick View'!$L$10="All Shifts",COUNTIF($AI$4:$AI$203,"&gt;"&amp;AI26)+COUNTIF($AI$4:AI26,AI26),COUNTIFS($AI$4:$AI$203,"&gt;"&amp;AI26,$AH$4:$AH$203,'HR Quick View'!$L$10)+COUNTIFS($AI$4:AI26,AI26,$AH$4:AH26,'HR Quick View'!$L$10)),"")</f>
        <v/>
      </c>
      <c r="AP26" s="17" t="str">
        <f>IFERROR(IF(Lists!$J26="","",Lists!$J26),"")</f>
        <v>Kubernetes Basics</v>
      </c>
      <c r="AQ26" s="17" t="str">
        <f>IFERROR(IF(Lists!$J26="","",Lists!$K26),"")</f>
        <v>Platform Operations</v>
      </c>
      <c r="AR26" s="17" t="str">
        <f>IFERROR(IF(Lists!$J26="","",Lists!$L26),"")</f>
        <v>Yes</v>
      </c>
      <c r="AS26" s="17">
        <f>IFERROR(IF(Lists!$J26="","",Lists!$M26),0)</f>
        <v>4</v>
      </c>
      <c r="AT26" s="17">
        <f>IF(AP26="","",COUNTIF('Skills Matrix'!$AC$6:$AC$205,3))</f>
        <v>0</v>
      </c>
      <c r="AU26" s="17">
        <f>IF(AP26="","",COUNTIF('Skills Matrix'!$AC$6:$AC$205,2))</f>
        <v>0</v>
      </c>
      <c r="AV26" s="17">
        <f t="shared" si="5"/>
        <v>4</v>
      </c>
      <c r="AW26" s="17">
        <f>IF(OR(AP26="",AS26&lt;=0,AV26&lt;=0,AND('Skill Management'!$D$4&lt;&gt;"All Departments",AQ26&lt;&gt;'Skill Management'!$D$4)),"",IF(AT26=0,100000,0)+IF(AR26="Yes",10000,0)+AV26*100+AU26)</f>
        <v>110400</v>
      </c>
      <c r="AX26" s="17">
        <f>IF(AW26="","",COUNTIF($AW$4:$AW$106,"&gt;"&amp;AW26)+COUNTIF($AW$4:AW26,AW26))</f>
        <v>4</v>
      </c>
      <c r="AY26" s="17" t="str">
        <f>IFERROR(IF(Lists!$J26="","",Lists!$N26),"")</f>
        <v>Yes</v>
      </c>
      <c r="BA26" s="17" t="str">
        <f>IFERROR(IF('Training Plan'!$A27="","",'Training Plan'!$A27),"")</f>
        <v/>
      </c>
      <c r="BB26" s="17" t="str">
        <f>IFERROR(IF('Training Plan'!$A27="","",'Training Plan'!$B27),"")</f>
        <v/>
      </c>
      <c r="BC26" s="17" t="str">
        <f>IFERROR(IF('Training Plan'!$A27="","",'Training Plan'!$C27),"")</f>
        <v/>
      </c>
      <c r="BD26" s="17" t="str">
        <f>IFERROR(IF('Training Plan'!$A27="","",'Training Plan'!$D27),"")</f>
        <v/>
      </c>
      <c r="BE26" s="17" t="str">
        <f>IFERROR(IF('Training Plan'!$A27="","",'Training Plan'!$E27),"")</f>
        <v/>
      </c>
      <c r="BF26" s="17" t="str">
        <f>IFERROR(IF('Training Plan'!$A27="","",'Training Plan'!$F27),"")</f>
        <v/>
      </c>
      <c r="BG26" s="17" t="str">
        <f>IFERROR(IF('Training Plan'!$A27="","",'Training Plan'!$G27),"")</f>
        <v/>
      </c>
      <c r="BH26" s="17" t="str">
        <f>IFERROR(IF('Training Plan'!$A27="","",'Training Plan'!$H27),"")</f>
        <v/>
      </c>
      <c r="BI26" s="17" t="str">
        <f>IF(OR(BA26="",BF26="Complete",AND('Skill Management'!$D$4&lt;&gt;"All Departments",BB26&lt;&gt;'Skill Management'!$D$4)),"",IF(BF26="Blocked",100000,IF(BF26="In Progress",200000,300000))+IF(BE26="",99999,BE26))</f>
        <v/>
      </c>
      <c r="BJ26" s="17" t="str">
        <f>IF(BI26="","",COUNTIFS($BI$4:$BI$203,"&gt;0",$BI$4:$BI$203,"&lt;"&amp;BI26)+COUNTIF($BI$4:BI26,BI26))</f>
        <v/>
      </c>
      <c r="BT26" t="str">
        <f t="shared" si="6"/>
        <v>Kubernetes Basics</v>
      </c>
      <c r="BU26" t="str">
        <f t="shared" si="7"/>
        <v>Platform Operations</v>
      </c>
      <c r="BV26" t="str">
        <f>IF(BT26="","",IFERROR(INDEX('Skills Matrix'!$G$6:$DE$205,MATCH('Employee Transcript'!$C$4,'Skills Matrix'!$B$6:$B$205,0),MATCH(BT26,'Skills Matrix'!$G$5:$DE$5,0)),""))</f>
        <v/>
      </c>
      <c r="BW26" t="str">
        <f>IF(BT26="","",IFERROR(INDEX('Competency Event Log'!$E$4:$E$803,MATCH('Employee Transcript'!$C$4&amp;"|"&amp;BT26,'Competency Event Log'!$U$4:$U$803,0)),""))</f>
        <v/>
      </c>
      <c r="BX26" t="str">
        <f>IF(BT26="","",IF(BU26='Employee Transcript'!$B$7,"Home Department","Cross-Trained"))</f>
        <v>Cross-Trained</v>
      </c>
      <c r="BY26" t="str">
        <f t="shared" si="8"/>
        <v>Yes</v>
      </c>
      <c r="BZ26" t="str">
        <f>IF(BT26="","",IFERROR(INDEX('Competency Event Log'!$L$4:$L$803,MATCH('Employee Transcript'!$C$4&amp;"|"&amp;BT26,'Competency Event Log'!$U$4:$U$803,0)),""))</f>
        <v/>
      </c>
      <c r="CA26" t="str">
        <f>IF(N(BV26)&gt;0,COUNTIF($BV$4:BV26,"&gt;0"),"")</f>
        <v/>
      </c>
      <c r="CB26" t="str">
        <f>IF(AND('Competency Event Log'!$B26='Employee Transcript'!$C$4,'Competency Event Log'!$I26&lt;&gt;"Yes"),'Competency Event Log'!$K26,"")</f>
        <v/>
      </c>
      <c r="CC26" t="str">
        <f t="shared" si="9"/>
        <v/>
      </c>
      <c r="CD26" t="str">
        <f>IF(Certifications!$A26='Employee Transcript'!$C$4,26,"")</f>
        <v/>
      </c>
      <c r="CE26" t="str">
        <f>IF(CD26="","",COUNTIF($CD$4:CD26,"&gt;0"))</f>
        <v/>
      </c>
      <c r="CF26" t="str">
        <f>IF(AND('Training Plan'!$A27='Employee Transcript'!$C$4,'Training Plan'!$F27&lt;&gt;"Complete"),27,"")</f>
        <v/>
      </c>
      <c r="CG26" t="str">
        <f>IF(CF26="","",COUNTIF($CF$4:CF26,"&gt;0"))</f>
        <v/>
      </c>
    </row>
    <row r="27" spans="1:85">
      <c r="A27" s="2" t="s">
        <v>916</v>
      </c>
      <c r="B27" s="1" t="s">
        <v>114</v>
      </c>
      <c r="C27" s="1" t="s">
        <v>307</v>
      </c>
      <c r="D27" s="1">
        <v>3</v>
      </c>
      <c r="E27" s="1" t="s">
        <v>812</v>
      </c>
      <c r="F27" s="3">
        <v>43819</v>
      </c>
      <c r="G27" s="1" t="s">
        <v>16</v>
      </c>
      <c r="H27" s="4" t="s">
        <v>819</v>
      </c>
      <c r="I27" s="1" t="s">
        <v>499</v>
      </c>
      <c r="J27" s="1" t="s">
        <v>497</v>
      </c>
      <c r="K27" s="1" t="s">
        <v>305</v>
      </c>
      <c r="L27" s="1" t="s">
        <v>27</v>
      </c>
      <c r="M27" s="1">
        <v>4</v>
      </c>
      <c r="N27" s="1" t="s">
        <v>27</v>
      </c>
      <c r="P27" s="1" t="s">
        <v>497</v>
      </c>
      <c r="Q27" s="1" t="s">
        <v>305</v>
      </c>
      <c r="R27" s="1">
        <v>3</v>
      </c>
      <c r="S27" s="1">
        <f>COUNTIF('Skills Matrix'!$AD$6:$AD$205,3)</f>
        <v>4</v>
      </c>
      <c r="T27" s="1">
        <f t="shared" si="0"/>
        <v>0</v>
      </c>
      <c r="U27" s="1" t="str">
        <f>IF(AND(T27&gt;0,OR('HR Quick View'!$F$24="All Departments",Q27='HR Quick View'!$F$24)),COUNTIFS($T$4:$T$108,"&gt;"&amp;T27,$Q$4:$Q$108,IF('HR Quick View'!$F$24="All Departments","*",'HR Quick View'!$F$24))+COUNTIFS($T$4:T27,T27,$Q$4:Q27,IF('HR Quick View'!$F$24="All Departments","*",'HR Quick View'!$F$24)),"")</f>
        <v/>
      </c>
      <c r="W27" s="1" t="s">
        <v>497</v>
      </c>
      <c r="X27" s="1" t="s">
        <v>305</v>
      </c>
      <c r="Y27" s="1" t="s">
        <v>27</v>
      </c>
      <c r="Z27" s="1" t="str">
        <f>IF('HR Quick View'!$C$9="","",IF(COUNTIFS('Competency Event Log'!$B$4:$B$803,'HR Quick View'!$C$9,'Competency Event Log'!$C$4:$C$803,W27,'Competency Event Log'!$T$4:$T$803,"Current")=0,"",SUMIFS('Competency Event Log'!$D$4:$D$803,'Competency Event Log'!$B$4:$B$803,'HR Quick View'!$C$9,'Competency Event Log'!$C$4:$C$803,W27,'Competency Event Log'!$T$4:$T$803,"Current")))</f>
        <v/>
      </c>
      <c r="AA27" s="1" t="str">
        <f>IF($Z27="","",IF('HR Quick View'!$B$10="Qualified only",IF($Z27=3,COUNTIF($Z$4:$Z27,3),""),IF('HR Quick View'!$B$10="Developing only",IF(OR($Z27=1,$Z27=2),COUNTIF($Z$4:$Z$108,"&gt;"&amp;$Z27)+COUNTIF($Z$4:$Z27,$Z27)-COUNTIF($Z$4:$Z$108,3),""),IF('HR Quick View'!$B$10="All scored",COUNTIF($Z$4:$Z$108,"&gt;"&amp;$Z27)+COUNTIF($Z$4:$Z27,$Z27),""))))</f>
        <v/>
      </c>
      <c r="AB27" s="1" t="str">
        <f>""</f>
        <v/>
      </c>
      <c r="AC27" s="1">
        <f t="shared" si="1"/>
        <v>3</v>
      </c>
      <c r="AD27" s="1">
        <f t="shared" si="2"/>
        <v>4</v>
      </c>
      <c r="AE27" s="1">
        <f t="shared" si="3"/>
        <v>0</v>
      </c>
      <c r="AF27" s="1" t="str">
        <f>IFERROR(IF(Lists!$B27="","",Lists!$B27),"")</f>
        <v>Payton Bailey</v>
      </c>
      <c r="AG27" s="1" t="str">
        <f>IFERROR(IF(Lists!$B27="","",Lists!$C27),"")</f>
        <v>IT Operations</v>
      </c>
      <c r="AH27" s="1">
        <f>IFERROR(IF(Lists!$B27="","",Lists!$D27),"")</f>
        <v>3</v>
      </c>
      <c r="AI27" s="1" t="str">
        <f>IF(AF27="","",IFERROR(INDEX('Skills Matrix'!$G$6:$DE$205,MATCH(AF27,'Skills Matrix'!$B$6:$B$205,0),MATCH('HR Quick View'!$J$9,'Skills Matrix'!$G$5:$DE$5,0)),""))</f>
        <v/>
      </c>
      <c r="AJ27" s="1" t="str">
        <f t="shared" si="4"/>
        <v/>
      </c>
      <c r="AK27" s="1" t="str">
        <f>IFERROR(IF(Lists!$B27="","",Lists!$E27),"")</f>
        <v>Riley Stone</v>
      </c>
      <c r="AL27" s="1" t="str">
        <f>IF(AND(OR('HR Quick View'!$L$10="All Shifts",AH27='HR Quick View'!$L$10),OR(AND('HR Quick View'!$I$10="Qualified only",AI27=3),AND('HR Quick View'!$I$10="All trained",AI27&gt;0))),IF('HR Quick View'!$L$10="All Shifts",COUNTIF($AI$4:$AI$203,"&gt;"&amp;AI27)+COUNTIF($AI$4:AI27,AI27),COUNTIFS($AI$4:$AI$203,"&gt;"&amp;AI27,$AH$4:$AH$203,'HR Quick View'!$L$10)+COUNTIFS($AI$4:AI27,AI27,$AH$4:AH27,'HR Quick View'!$L$10)),"")</f>
        <v/>
      </c>
      <c r="AP27" s="17" t="str">
        <f>IFERROR(IF(Lists!$J27="","",Lists!$J27),"")</f>
        <v>CI/CD Pipeline Operations</v>
      </c>
      <c r="AQ27" s="17" t="str">
        <f>IFERROR(IF(Lists!$J27="","",Lists!$K27),"")</f>
        <v>Platform Operations</v>
      </c>
      <c r="AR27" s="17" t="str">
        <f>IFERROR(IF(Lists!$J27="","",Lists!$L27),"")</f>
        <v>Yes</v>
      </c>
      <c r="AS27" s="17">
        <f>IFERROR(IF(Lists!$J27="","",Lists!$M27),0)</f>
        <v>4</v>
      </c>
      <c r="AT27" s="17">
        <f>IF(AP27="","",COUNTIF('Skills Matrix'!$AD$6:$AD$205,3))</f>
        <v>4</v>
      </c>
      <c r="AU27" s="17">
        <f>IF(AP27="","",COUNTIF('Skills Matrix'!$AD$6:$AD$205,2))</f>
        <v>2</v>
      </c>
      <c r="AV27" s="17">
        <f t="shared" si="5"/>
        <v>0</v>
      </c>
      <c r="AW27" s="17" t="str">
        <f>IF(OR(AP27="",AS27&lt;=0,AV27&lt;=0,AND('Skill Management'!$D$4&lt;&gt;"All Departments",AQ27&lt;&gt;'Skill Management'!$D$4)),"",IF(AT27=0,100000,0)+IF(AR27="Yes",10000,0)+AV27*100+AU27)</f>
        <v/>
      </c>
      <c r="AX27" s="17" t="str">
        <f>IF(AW27="","",COUNTIF($AW$4:$AW$106,"&gt;"&amp;AW27)+COUNTIF($AW$4:AW27,AW27))</f>
        <v/>
      </c>
      <c r="AY27" s="17" t="str">
        <f>IFERROR(IF(Lists!$J27="","",Lists!$N27),"")</f>
        <v>Yes</v>
      </c>
      <c r="BA27" s="17" t="str">
        <f>IFERROR(IF('Training Plan'!$A28="","",'Training Plan'!$A28),"")</f>
        <v/>
      </c>
      <c r="BB27" s="17" t="str">
        <f>IFERROR(IF('Training Plan'!$A28="","",'Training Plan'!$B28),"")</f>
        <v/>
      </c>
      <c r="BC27" s="17" t="str">
        <f>IFERROR(IF('Training Plan'!$A28="","",'Training Plan'!$C28),"")</f>
        <v/>
      </c>
      <c r="BD27" s="17" t="str">
        <f>IFERROR(IF('Training Plan'!$A28="","",'Training Plan'!$D28),"")</f>
        <v/>
      </c>
      <c r="BE27" s="17" t="str">
        <f>IFERROR(IF('Training Plan'!$A28="","",'Training Plan'!$E28),"")</f>
        <v/>
      </c>
      <c r="BF27" s="17" t="str">
        <f>IFERROR(IF('Training Plan'!$A28="","",'Training Plan'!$F28),"")</f>
        <v/>
      </c>
      <c r="BG27" s="17" t="str">
        <f>IFERROR(IF('Training Plan'!$A28="","",'Training Plan'!$G28),"")</f>
        <v/>
      </c>
      <c r="BH27" s="17" t="str">
        <f>IFERROR(IF('Training Plan'!$A28="","",'Training Plan'!$H28),"")</f>
        <v/>
      </c>
      <c r="BI27" s="17" t="str">
        <f>IF(OR(BA27="",BF27="Complete",AND('Skill Management'!$D$4&lt;&gt;"All Departments",BB27&lt;&gt;'Skill Management'!$D$4)),"",IF(BF27="Blocked",100000,IF(BF27="In Progress",200000,300000))+IF(BE27="",99999,BE27))</f>
        <v/>
      </c>
      <c r="BJ27" s="17" t="str">
        <f>IF(BI27="","",COUNTIFS($BI$4:$BI$203,"&gt;0",$BI$4:$BI$203,"&lt;"&amp;BI27)+COUNTIF($BI$4:BI27,BI27))</f>
        <v/>
      </c>
      <c r="BT27" t="str">
        <f t="shared" si="6"/>
        <v>CI/CD Pipeline Operations</v>
      </c>
      <c r="BU27" t="str">
        <f t="shared" si="7"/>
        <v>Platform Operations</v>
      </c>
      <c r="BV27" t="str">
        <f>IF(BT27="","",IFERROR(INDEX('Skills Matrix'!$G$6:$DE$205,MATCH('Employee Transcript'!$C$4,'Skills Matrix'!$B$6:$B$205,0),MATCH(BT27,'Skills Matrix'!$G$5:$DE$5,0)),""))</f>
        <v/>
      </c>
      <c r="BW27" t="str">
        <f>IF(BT27="","",IFERROR(INDEX('Competency Event Log'!$E$4:$E$803,MATCH('Employee Transcript'!$C$4&amp;"|"&amp;BT27,'Competency Event Log'!$U$4:$U$803,0)),""))</f>
        <v/>
      </c>
      <c r="BX27" t="str">
        <f>IF(BT27="","",IF(BU27='Employee Transcript'!$B$7,"Home Department","Cross-Trained"))</f>
        <v>Cross-Trained</v>
      </c>
      <c r="BY27" t="str">
        <f t="shared" si="8"/>
        <v>Yes</v>
      </c>
      <c r="BZ27" t="str">
        <f>IF(BT27="","",IFERROR(INDEX('Competency Event Log'!$L$4:$L$803,MATCH('Employee Transcript'!$C$4&amp;"|"&amp;BT27,'Competency Event Log'!$U$4:$U$803,0)),""))</f>
        <v/>
      </c>
      <c r="CA27" t="str">
        <f>IF(N(BV27)&gt;0,COUNTIF($BV$4:BV27,"&gt;0"),"")</f>
        <v/>
      </c>
      <c r="CB27" t="str">
        <f>IF(AND('Competency Event Log'!$B27='Employee Transcript'!$C$4,'Competency Event Log'!$I27&lt;&gt;"Yes"),'Competency Event Log'!$K27,"")</f>
        <v/>
      </c>
      <c r="CC27" t="str">
        <f t="shared" si="9"/>
        <v/>
      </c>
      <c r="CD27" t="str">
        <f>IF(Certifications!$A27='Employee Transcript'!$C$4,27,"")</f>
        <v/>
      </c>
      <c r="CE27" t="str">
        <f>IF(CD27="","",COUNTIF($CD$4:CD27,"&gt;0"))</f>
        <v/>
      </c>
      <c r="CF27" t="str">
        <f>IF(AND('Training Plan'!$A28='Employee Transcript'!$C$4,'Training Plan'!$F28&lt;&gt;"Complete"),28,"")</f>
        <v/>
      </c>
      <c r="CG27" t="str">
        <f>IF(CF27="","",COUNTIF($CF$4:CF27,"&gt;0"))</f>
        <v/>
      </c>
    </row>
    <row r="28" spans="1:85">
      <c r="A28" s="2" t="s">
        <v>932</v>
      </c>
      <c r="B28" s="1" t="s">
        <v>117</v>
      </c>
      <c r="C28" s="1" t="s">
        <v>308</v>
      </c>
      <c r="D28" s="1">
        <v>1</v>
      </c>
      <c r="E28" s="1" t="s">
        <v>930</v>
      </c>
      <c r="F28" s="3">
        <v>42913</v>
      </c>
      <c r="G28" s="1" t="s">
        <v>16</v>
      </c>
      <c r="H28" s="4" t="s">
        <v>933</v>
      </c>
      <c r="I28" s="1" t="s">
        <v>658</v>
      </c>
      <c r="J28" s="1" t="s">
        <v>656</v>
      </c>
      <c r="K28" s="1" t="s">
        <v>305</v>
      </c>
      <c r="L28" s="1" t="s">
        <v>27</v>
      </c>
      <c r="M28" s="1">
        <v>4</v>
      </c>
      <c r="N28" s="1" t="s">
        <v>27</v>
      </c>
      <c r="P28" s="1" t="s">
        <v>656</v>
      </c>
      <c r="Q28" s="1" t="s">
        <v>305</v>
      </c>
      <c r="R28" s="1">
        <v>4</v>
      </c>
      <c r="S28" s="1">
        <f>COUNTIF('Skills Matrix'!$AE$6:$AE$205,3)</f>
        <v>0</v>
      </c>
      <c r="T28" s="1">
        <f t="shared" si="0"/>
        <v>4</v>
      </c>
      <c r="U28" s="1">
        <f>IF(AND(T28&gt;0,OR('HR Quick View'!$F$24="All Departments",Q28='HR Quick View'!$F$24)),COUNTIFS($T$4:$T$108,"&gt;"&amp;T28,$Q$4:$Q$108,IF('HR Quick View'!$F$24="All Departments","*",'HR Quick View'!$F$24))+COUNTIFS($T$4:T28,T28,$Q$4:Q28,IF('HR Quick View'!$F$24="All Departments","*",'HR Quick View'!$F$24)),"")</f>
        <v>12</v>
      </c>
      <c r="W28" s="1" t="s">
        <v>656</v>
      </c>
      <c r="X28" s="1" t="s">
        <v>305</v>
      </c>
      <c r="Y28" s="1" t="s">
        <v>27</v>
      </c>
      <c r="Z28" s="1" t="str">
        <f>IF('HR Quick View'!$C$9="","",IF(COUNTIFS('Competency Event Log'!$B$4:$B$803,'HR Quick View'!$C$9,'Competency Event Log'!$C$4:$C$803,W28,'Competency Event Log'!$T$4:$T$803,"Current")=0,"",SUMIFS('Competency Event Log'!$D$4:$D$803,'Competency Event Log'!$B$4:$B$803,'HR Quick View'!$C$9,'Competency Event Log'!$C$4:$C$803,W28,'Competency Event Log'!$T$4:$T$803,"Current")))</f>
        <v/>
      </c>
      <c r="AA28" s="1" t="str">
        <f>IF($Z28="","",IF('HR Quick View'!$B$10="Qualified only",IF($Z28=3,COUNTIF($Z$4:$Z28,3),""),IF('HR Quick View'!$B$10="Developing only",IF(OR($Z28=1,$Z28=2),COUNTIF($Z$4:$Z$108,"&gt;"&amp;$Z28)+COUNTIF($Z$4:$Z28,$Z28)-COUNTIF($Z$4:$Z$108,3),""),IF('HR Quick View'!$B$10="All scored",COUNTIF($Z$4:$Z$108,"&gt;"&amp;$Z28)+COUNTIF($Z$4:$Z28,$Z28),""))))</f>
        <v/>
      </c>
      <c r="AB28" s="1" t="str">
        <f>""</f>
        <v/>
      </c>
      <c r="AC28" s="1">
        <f t="shared" si="1"/>
        <v>4</v>
      </c>
      <c r="AD28" s="1">
        <f t="shared" si="2"/>
        <v>0</v>
      </c>
      <c r="AE28" s="1">
        <f t="shared" si="3"/>
        <v>4</v>
      </c>
      <c r="AF28" s="1" t="str">
        <f>IFERROR(IF(Lists!$B28="","",Lists!$B28),"")</f>
        <v>Charlie Flores</v>
      </c>
      <c r="AG28" s="1" t="str">
        <f>IFERROR(IF(Lists!$B28="","",Lists!$C28),"")</f>
        <v>Quality Assurance</v>
      </c>
      <c r="AH28" s="1">
        <f>IFERROR(IF(Lists!$B28="","",Lists!$D28),"")</f>
        <v>1</v>
      </c>
      <c r="AI28" s="1" t="str">
        <f>IF(AF28="","",IFERROR(INDEX('Skills Matrix'!$G$6:$DE$205,MATCH(AF28,'Skills Matrix'!$B$6:$B$205,0),MATCH('HR Quick View'!$J$9,'Skills Matrix'!$G$5:$DE$5,0)),""))</f>
        <v/>
      </c>
      <c r="AJ28" s="1" t="str">
        <f t="shared" si="4"/>
        <v/>
      </c>
      <c r="AK28" s="1" t="str">
        <f>IFERROR(IF(Lists!$B28="","",Lists!$E28),"")</f>
        <v>Cameron Wells</v>
      </c>
      <c r="AL28" s="1" t="str">
        <f>IF(AND(OR('HR Quick View'!$L$10="All Shifts",AH28='HR Quick View'!$L$10),OR(AND('HR Quick View'!$I$10="Qualified only",AI28=3),AND('HR Quick View'!$I$10="All trained",AI28&gt;0))),IF('HR Quick View'!$L$10="All Shifts",COUNTIF($AI$4:$AI$203,"&gt;"&amp;AI28)+COUNTIF($AI$4:AI28,AI28),COUNTIFS($AI$4:$AI$203,"&gt;"&amp;AI28,$AH$4:$AH$203,'HR Quick View'!$L$10)+COUNTIFS($AI$4:AI28,AI28,$AH$4:AH28,'HR Quick View'!$L$10)),"")</f>
        <v/>
      </c>
      <c r="AP28" s="17" t="str">
        <f>IFERROR(IF(Lists!$J28="","",Lists!$J28),"")</f>
        <v>Infrastructure as Code</v>
      </c>
      <c r="AQ28" s="17" t="str">
        <f>IFERROR(IF(Lists!$J28="","",Lists!$K28),"")</f>
        <v>Platform Operations</v>
      </c>
      <c r="AR28" s="17" t="str">
        <f>IFERROR(IF(Lists!$J28="","",Lists!$L28),"")</f>
        <v>Yes</v>
      </c>
      <c r="AS28" s="17">
        <f>IFERROR(IF(Lists!$J28="","",Lists!$M28),0)</f>
        <v>4</v>
      </c>
      <c r="AT28" s="17">
        <f>IF(AP28="","",COUNTIF('Skills Matrix'!$AE$6:$AE$205,3))</f>
        <v>0</v>
      </c>
      <c r="AU28" s="17">
        <f>IF(AP28="","",COUNTIF('Skills Matrix'!$AE$6:$AE$205,2))</f>
        <v>1</v>
      </c>
      <c r="AV28" s="17">
        <f t="shared" si="5"/>
        <v>4</v>
      </c>
      <c r="AW28" s="17">
        <f>IF(OR(AP28="",AS28&lt;=0,AV28&lt;=0,AND('Skill Management'!$D$4&lt;&gt;"All Departments",AQ28&lt;&gt;'Skill Management'!$D$4)),"",IF(AT28=0,100000,0)+IF(AR28="Yes",10000,0)+AV28*100+AU28)</f>
        <v>110401</v>
      </c>
      <c r="AX28" s="17">
        <f>IF(AW28="","",COUNTIF($AW$4:$AW$106,"&gt;"&amp;AW28)+COUNTIF($AW$4:AW28,AW28))</f>
        <v>2</v>
      </c>
      <c r="AY28" s="17" t="str">
        <f>IFERROR(IF(Lists!$J28="","",Lists!$N28),"")</f>
        <v>Yes</v>
      </c>
      <c r="BA28" s="17" t="str">
        <f>IFERROR(IF('Training Plan'!$A29="","",'Training Plan'!$A29),"")</f>
        <v/>
      </c>
      <c r="BB28" s="17" t="str">
        <f>IFERROR(IF('Training Plan'!$A29="","",'Training Plan'!$B29),"")</f>
        <v/>
      </c>
      <c r="BC28" s="17" t="str">
        <f>IFERROR(IF('Training Plan'!$A29="","",'Training Plan'!$C29),"")</f>
        <v/>
      </c>
      <c r="BD28" s="17" t="str">
        <f>IFERROR(IF('Training Plan'!$A29="","",'Training Plan'!$D29),"")</f>
        <v/>
      </c>
      <c r="BE28" s="17" t="str">
        <f>IFERROR(IF('Training Plan'!$A29="","",'Training Plan'!$E29),"")</f>
        <v/>
      </c>
      <c r="BF28" s="17" t="str">
        <f>IFERROR(IF('Training Plan'!$A29="","",'Training Plan'!$F29),"")</f>
        <v/>
      </c>
      <c r="BG28" s="17" t="str">
        <f>IFERROR(IF('Training Plan'!$A29="","",'Training Plan'!$G29),"")</f>
        <v/>
      </c>
      <c r="BH28" s="17" t="str">
        <f>IFERROR(IF('Training Plan'!$A29="","",'Training Plan'!$H29),"")</f>
        <v/>
      </c>
      <c r="BI28" s="17" t="str">
        <f>IF(OR(BA28="",BF28="Complete",AND('Skill Management'!$D$4&lt;&gt;"All Departments",BB28&lt;&gt;'Skill Management'!$D$4)),"",IF(BF28="Blocked",100000,IF(BF28="In Progress",200000,300000))+IF(BE28="",99999,BE28))</f>
        <v/>
      </c>
      <c r="BJ28" s="17" t="str">
        <f>IF(BI28="","",COUNTIFS($BI$4:$BI$203,"&gt;0",$BI$4:$BI$203,"&lt;"&amp;BI28)+COUNTIF($BI$4:BI28,BI28))</f>
        <v/>
      </c>
      <c r="BT28" t="str">
        <f t="shared" si="6"/>
        <v>Infrastructure as Code</v>
      </c>
      <c r="BU28" t="str">
        <f t="shared" si="7"/>
        <v>Platform Operations</v>
      </c>
      <c r="BV28" t="str">
        <f>IF(BT28="","",IFERROR(INDEX('Skills Matrix'!$G$6:$DE$205,MATCH('Employee Transcript'!$C$4,'Skills Matrix'!$B$6:$B$205,0),MATCH(BT28,'Skills Matrix'!$G$5:$DE$5,0)),""))</f>
        <v/>
      </c>
      <c r="BW28" t="str">
        <f>IF(BT28="","",IFERROR(INDEX('Competency Event Log'!$E$4:$E$803,MATCH('Employee Transcript'!$C$4&amp;"|"&amp;BT28,'Competency Event Log'!$U$4:$U$803,0)),""))</f>
        <v/>
      </c>
      <c r="BX28" t="str">
        <f>IF(BT28="","",IF(BU28='Employee Transcript'!$B$7,"Home Department","Cross-Trained"))</f>
        <v>Cross-Trained</v>
      </c>
      <c r="BY28" t="str">
        <f t="shared" si="8"/>
        <v>Yes</v>
      </c>
      <c r="BZ28" t="str">
        <f>IF(BT28="","",IFERROR(INDEX('Competency Event Log'!$L$4:$L$803,MATCH('Employee Transcript'!$C$4&amp;"|"&amp;BT28,'Competency Event Log'!$U$4:$U$803,0)),""))</f>
        <v/>
      </c>
      <c r="CA28" t="str">
        <f>IF(N(BV28)&gt;0,COUNTIF($BV$4:BV28,"&gt;0"),"")</f>
        <v/>
      </c>
      <c r="CB28" t="str">
        <f>IF(AND('Competency Event Log'!$B28='Employee Transcript'!$C$4,'Competency Event Log'!$I28&lt;&gt;"Yes"),'Competency Event Log'!$K28,"")</f>
        <v/>
      </c>
      <c r="CC28" t="str">
        <f t="shared" si="9"/>
        <v/>
      </c>
      <c r="CD28" t="str">
        <f>IF(Certifications!$A28='Employee Transcript'!$C$4,28,"")</f>
        <v/>
      </c>
      <c r="CE28" t="str">
        <f>IF(CD28="","",COUNTIF($CD$4:CD28,"&gt;0"))</f>
        <v/>
      </c>
      <c r="CF28" t="str">
        <f>IF(AND('Training Plan'!$A29='Employee Transcript'!$C$4,'Training Plan'!$F29&lt;&gt;"Complete"),29,"")</f>
        <v/>
      </c>
      <c r="CG28" t="str">
        <f>IF(CF28="","",COUNTIF($CF$4:CF28,"&gt;0"))</f>
        <v/>
      </c>
    </row>
    <row r="29" spans="1:85">
      <c r="A29" s="2" t="s">
        <v>963</v>
      </c>
      <c r="B29" s="1" t="s">
        <v>120</v>
      </c>
      <c r="C29" s="1" t="s">
        <v>308</v>
      </c>
      <c r="D29" s="1">
        <v>2</v>
      </c>
      <c r="E29" s="1" t="s">
        <v>930</v>
      </c>
      <c r="F29" s="3">
        <v>44932</v>
      </c>
      <c r="G29" s="1" t="s">
        <v>16</v>
      </c>
      <c r="H29" s="4" t="s">
        <v>933</v>
      </c>
      <c r="I29" s="1" t="s">
        <v>591</v>
      </c>
      <c r="J29" s="1" t="s">
        <v>589</v>
      </c>
      <c r="K29" s="1" t="s">
        <v>305</v>
      </c>
      <c r="L29" s="1" t="s">
        <v>27</v>
      </c>
      <c r="M29" s="1">
        <v>4</v>
      </c>
      <c r="N29" s="1" t="s">
        <v>27</v>
      </c>
      <c r="P29" s="1" t="s">
        <v>589</v>
      </c>
      <c r="Q29" s="1" t="s">
        <v>305</v>
      </c>
      <c r="R29" s="1">
        <v>3</v>
      </c>
      <c r="S29" s="1">
        <f>COUNTIF('Skills Matrix'!$AF$6:$AF$205,3)</f>
        <v>0</v>
      </c>
      <c r="T29" s="1">
        <f t="shared" si="0"/>
        <v>3</v>
      </c>
      <c r="U29" s="1">
        <f>IF(AND(T29&gt;0,OR('HR Quick View'!$F$24="All Departments",Q29='HR Quick View'!$F$24)),COUNTIFS($T$4:$T$108,"&gt;"&amp;T29,$Q$4:$Q$108,IF('HR Quick View'!$F$24="All Departments","*",'HR Quick View'!$F$24))+COUNTIFS($T$4:T29,T29,$Q$4:Q29,IF('HR Quick View'!$F$24="All Departments","*",'HR Quick View'!$F$24)),"")</f>
        <v>23</v>
      </c>
      <c r="W29" s="1" t="s">
        <v>589</v>
      </c>
      <c r="X29" s="1" t="s">
        <v>305</v>
      </c>
      <c r="Y29" s="1" t="s">
        <v>27</v>
      </c>
      <c r="Z29" s="1" t="str">
        <f>IF('HR Quick View'!$C$9="","",IF(COUNTIFS('Competency Event Log'!$B$4:$B$803,'HR Quick View'!$C$9,'Competency Event Log'!$C$4:$C$803,W29,'Competency Event Log'!$T$4:$T$803,"Current")=0,"",SUMIFS('Competency Event Log'!$D$4:$D$803,'Competency Event Log'!$B$4:$B$803,'HR Quick View'!$C$9,'Competency Event Log'!$C$4:$C$803,W29,'Competency Event Log'!$T$4:$T$803,"Current")))</f>
        <v/>
      </c>
      <c r="AA29" s="1" t="str">
        <f>IF($Z29="","",IF('HR Quick View'!$B$10="Qualified only",IF($Z29=3,COUNTIF($Z$4:$Z29,3),""),IF('HR Quick View'!$B$10="Developing only",IF(OR($Z29=1,$Z29=2),COUNTIF($Z$4:$Z$108,"&gt;"&amp;$Z29)+COUNTIF($Z$4:$Z29,$Z29)-COUNTIF($Z$4:$Z$108,3),""),IF('HR Quick View'!$B$10="All scored",COUNTIF($Z$4:$Z$108,"&gt;"&amp;$Z29)+COUNTIF($Z$4:$Z29,$Z29),""))))</f>
        <v/>
      </c>
      <c r="AB29" s="1" t="str">
        <f>""</f>
        <v/>
      </c>
      <c r="AC29" s="1">
        <f t="shared" si="1"/>
        <v>3</v>
      </c>
      <c r="AD29" s="1">
        <f t="shared" si="2"/>
        <v>0</v>
      </c>
      <c r="AE29" s="1">
        <f t="shared" si="3"/>
        <v>3</v>
      </c>
      <c r="AF29" s="1" t="str">
        <f>IFERROR(IF(Lists!$B29="","",Lists!$B29),"")</f>
        <v>Finley Bryant</v>
      </c>
      <c r="AG29" s="1" t="str">
        <f>IFERROR(IF(Lists!$B29="","",Lists!$C29),"")</f>
        <v>Quality Assurance</v>
      </c>
      <c r="AH29" s="1">
        <f>IFERROR(IF(Lists!$B29="","",Lists!$D29),"")</f>
        <v>2</v>
      </c>
      <c r="AI29" s="1" t="str">
        <f>IF(AF29="","",IFERROR(INDEX('Skills Matrix'!$G$6:$DE$205,MATCH(AF29,'Skills Matrix'!$B$6:$B$205,0),MATCH('HR Quick View'!$J$9,'Skills Matrix'!$G$5:$DE$5,0)),""))</f>
        <v/>
      </c>
      <c r="AJ29" s="1" t="str">
        <f t="shared" si="4"/>
        <v/>
      </c>
      <c r="AK29" s="1" t="str">
        <f>IFERROR(IF(Lists!$B29="","",Lists!$E29),"")</f>
        <v>Cameron Wells</v>
      </c>
      <c r="AL29" s="1" t="str">
        <f>IF(AND(OR('HR Quick View'!$L$10="All Shifts",AH29='HR Quick View'!$L$10),OR(AND('HR Quick View'!$I$10="Qualified only",AI29=3),AND('HR Quick View'!$I$10="All trained",AI29&gt;0))),IF('HR Quick View'!$L$10="All Shifts",COUNTIF($AI$4:$AI$203,"&gt;"&amp;AI29)+COUNTIF($AI$4:AI29,AI29),COUNTIFS($AI$4:$AI$203,"&gt;"&amp;AI29,$AH$4:$AH$203,'HR Quick View'!$L$10)+COUNTIFS($AI$4:AI29,AI29,$AH$4:AH29,'HR Quick View'!$L$10)),"")</f>
        <v/>
      </c>
      <c r="AP29" s="17" t="str">
        <f>IFERROR(IF(Lists!$J29="","",Lists!$J29),"")</f>
        <v>Monitoring &amp; Alerting</v>
      </c>
      <c r="AQ29" s="17" t="str">
        <f>IFERROR(IF(Lists!$J29="","",Lists!$K29),"")</f>
        <v>Platform Operations</v>
      </c>
      <c r="AR29" s="17" t="str">
        <f>IFERROR(IF(Lists!$J29="","",Lists!$L29),"")</f>
        <v>Yes</v>
      </c>
      <c r="AS29" s="17">
        <f>IFERROR(IF(Lists!$J29="","",Lists!$M29),0)</f>
        <v>4</v>
      </c>
      <c r="AT29" s="17">
        <f>IF(AP29="","",COUNTIF('Skills Matrix'!$AF$6:$AF$205,3))</f>
        <v>0</v>
      </c>
      <c r="AU29" s="17">
        <f>IF(AP29="","",COUNTIF('Skills Matrix'!$AF$6:$AF$205,2))</f>
        <v>1</v>
      </c>
      <c r="AV29" s="17">
        <f t="shared" si="5"/>
        <v>4</v>
      </c>
      <c r="AW29" s="17">
        <f>IF(OR(AP29="",AS29&lt;=0,AV29&lt;=0,AND('Skill Management'!$D$4&lt;&gt;"All Departments",AQ29&lt;&gt;'Skill Management'!$D$4)),"",IF(AT29=0,100000,0)+IF(AR29="Yes",10000,0)+AV29*100+AU29)</f>
        <v>110401</v>
      </c>
      <c r="AX29" s="17">
        <f>IF(AW29="","",COUNTIF($AW$4:$AW$106,"&gt;"&amp;AW29)+COUNTIF($AW$4:AW29,AW29))</f>
        <v>3</v>
      </c>
      <c r="AY29" s="17" t="str">
        <f>IFERROR(IF(Lists!$J29="","",Lists!$N29),"")</f>
        <v>Yes</v>
      </c>
      <c r="BA29" s="17" t="str">
        <f>IFERROR(IF('Training Plan'!$A30="","",'Training Plan'!$A30),"")</f>
        <v/>
      </c>
      <c r="BB29" s="17" t="str">
        <f>IFERROR(IF('Training Plan'!$A30="","",'Training Plan'!$B30),"")</f>
        <v/>
      </c>
      <c r="BC29" s="17" t="str">
        <f>IFERROR(IF('Training Plan'!$A30="","",'Training Plan'!$C30),"")</f>
        <v/>
      </c>
      <c r="BD29" s="17" t="str">
        <f>IFERROR(IF('Training Plan'!$A30="","",'Training Plan'!$D30),"")</f>
        <v/>
      </c>
      <c r="BE29" s="17" t="str">
        <f>IFERROR(IF('Training Plan'!$A30="","",'Training Plan'!$E30),"")</f>
        <v/>
      </c>
      <c r="BF29" s="17" t="str">
        <f>IFERROR(IF('Training Plan'!$A30="","",'Training Plan'!$F30),"")</f>
        <v/>
      </c>
      <c r="BG29" s="17" t="str">
        <f>IFERROR(IF('Training Plan'!$A30="","",'Training Plan'!$G30),"")</f>
        <v/>
      </c>
      <c r="BH29" s="17" t="str">
        <f>IFERROR(IF('Training Plan'!$A30="","",'Training Plan'!$H30),"")</f>
        <v/>
      </c>
      <c r="BI29" s="17" t="str">
        <f>IF(OR(BA29="",BF29="Complete",AND('Skill Management'!$D$4&lt;&gt;"All Departments",BB29&lt;&gt;'Skill Management'!$D$4)),"",IF(BF29="Blocked",100000,IF(BF29="In Progress",200000,300000))+IF(BE29="",99999,BE29))</f>
        <v/>
      </c>
      <c r="BJ29" s="17" t="str">
        <f>IF(BI29="","",COUNTIFS($BI$4:$BI$203,"&gt;0",$BI$4:$BI$203,"&lt;"&amp;BI29)+COUNTIF($BI$4:BI29,BI29))</f>
        <v/>
      </c>
      <c r="BT29" t="str">
        <f t="shared" si="6"/>
        <v>Monitoring &amp; Alerting</v>
      </c>
      <c r="BU29" t="str">
        <f t="shared" si="7"/>
        <v>Platform Operations</v>
      </c>
      <c r="BV29" t="str">
        <f>IF(BT29="","",IFERROR(INDEX('Skills Matrix'!$G$6:$DE$205,MATCH('Employee Transcript'!$C$4,'Skills Matrix'!$B$6:$B$205,0),MATCH(BT29,'Skills Matrix'!$G$5:$DE$5,0)),""))</f>
        <v/>
      </c>
      <c r="BW29" t="str">
        <f>IF(BT29="","",IFERROR(INDEX('Competency Event Log'!$E$4:$E$803,MATCH('Employee Transcript'!$C$4&amp;"|"&amp;BT29,'Competency Event Log'!$U$4:$U$803,0)),""))</f>
        <v/>
      </c>
      <c r="BX29" t="str">
        <f>IF(BT29="","",IF(BU29='Employee Transcript'!$B$7,"Home Department","Cross-Trained"))</f>
        <v>Cross-Trained</v>
      </c>
      <c r="BY29" t="str">
        <f t="shared" si="8"/>
        <v>Yes</v>
      </c>
      <c r="BZ29" t="str">
        <f>IF(BT29="","",IFERROR(INDEX('Competency Event Log'!$L$4:$L$803,MATCH('Employee Transcript'!$C$4&amp;"|"&amp;BT29,'Competency Event Log'!$U$4:$U$803,0)),""))</f>
        <v/>
      </c>
      <c r="CA29" t="str">
        <f>IF(N(BV29)&gt;0,COUNTIF($BV$4:BV29,"&gt;0"),"")</f>
        <v/>
      </c>
      <c r="CB29" t="str">
        <f>IF(AND('Competency Event Log'!$B29='Employee Transcript'!$C$4,'Competency Event Log'!$I29&lt;&gt;"Yes"),'Competency Event Log'!$K29,"")</f>
        <v/>
      </c>
      <c r="CC29" t="str">
        <f t="shared" si="9"/>
        <v/>
      </c>
      <c r="CD29" t="str">
        <f>IF(Certifications!$A29='Employee Transcript'!$C$4,29,"")</f>
        <v/>
      </c>
      <c r="CE29" t="str">
        <f>IF(CD29="","",COUNTIF($CD$4:CD29,"&gt;0"))</f>
        <v/>
      </c>
      <c r="CF29" t="str">
        <f>IF(AND('Training Plan'!$A30='Employee Transcript'!$C$4,'Training Plan'!$F30&lt;&gt;"Complete"),30,"")</f>
        <v/>
      </c>
      <c r="CG29" t="str">
        <f>IF(CF29="","",COUNTIF($CF$4:CF29,"&gt;0"))</f>
        <v/>
      </c>
    </row>
    <row r="30" spans="1:85">
      <c r="A30" s="2" t="s">
        <v>980</v>
      </c>
      <c r="B30" s="1" t="s">
        <v>125</v>
      </c>
      <c r="C30" s="1" t="s">
        <v>308</v>
      </c>
      <c r="D30" s="1">
        <v>3</v>
      </c>
      <c r="E30" s="1" t="s">
        <v>930</v>
      </c>
      <c r="F30" s="3">
        <v>44286</v>
      </c>
      <c r="G30" s="1" t="s">
        <v>16</v>
      </c>
      <c r="H30" s="4" t="s">
        <v>933</v>
      </c>
      <c r="I30" s="1" t="s">
        <v>585</v>
      </c>
      <c r="J30" s="1" t="s">
        <v>583</v>
      </c>
      <c r="K30" s="1" t="s">
        <v>305</v>
      </c>
      <c r="L30" s="1" t="s">
        <v>27</v>
      </c>
      <c r="M30" s="1">
        <v>4</v>
      </c>
      <c r="N30" s="1" t="s">
        <v>27</v>
      </c>
      <c r="P30" s="1" t="s">
        <v>583</v>
      </c>
      <c r="Q30" s="1" t="s">
        <v>305</v>
      </c>
      <c r="R30" s="1">
        <v>4</v>
      </c>
      <c r="S30" s="1">
        <f>COUNTIF('Skills Matrix'!$AG$6:$AG$205,3)</f>
        <v>2</v>
      </c>
      <c r="T30" s="1">
        <f t="shared" si="0"/>
        <v>2</v>
      </c>
      <c r="U30" s="1">
        <f>IF(AND(T30&gt;0,OR('HR Quick View'!$F$24="All Departments",Q30='HR Quick View'!$F$24)),COUNTIFS($T$4:$T$108,"&gt;"&amp;T30,$Q$4:$Q$108,IF('HR Quick View'!$F$24="All Departments","*",'HR Quick View'!$F$24))+COUNTIFS($T$4:T30,T30,$Q$4:Q30,IF('HR Quick View'!$F$24="All Departments","*",'HR Quick View'!$F$24)),"")</f>
        <v>37</v>
      </c>
      <c r="W30" s="1" t="s">
        <v>583</v>
      </c>
      <c r="X30" s="1" t="s">
        <v>305</v>
      </c>
      <c r="Y30" s="1" t="s">
        <v>27</v>
      </c>
      <c r="Z30" s="1" t="str">
        <f>IF('HR Quick View'!$C$9="","",IF(COUNTIFS('Competency Event Log'!$B$4:$B$803,'HR Quick View'!$C$9,'Competency Event Log'!$C$4:$C$803,W30,'Competency Event Log'!$T$4:$T$803,"Current")=0,"",SUMIFS('Competency Event Log'!$D$4:$D$803,'Competency Event Log'!$B$4:$B$803,'HR Quick View'!$C$9,'Competency Event Log'!$C$4:$C$803,W30,'Competency Event Log'!$T$4:$T$803,"Current")))</f>
        <v/>
      </c>
      <c r="AA30" s="1" t="str">
        <f>IF($Z30="","",IF('HR Quick View'!$B$10="Qualified only",IF($Z30=3,COUNTIF($Z$4:$Z30,3),""),IF('HR Quick View'!$B$10="Developing only",IF(OR($Z30=1,$Z30=2),COUNTIF($Z$4:$Z$108,"&gt;"&amp;$Z30)+COUNTIF($Z$4:$Z30,$Z30)-COUNTIF($Z$4:$Z$108,3),""),IF('HR Quick View'!$B$10="All scored",COUNTIF($Z$4:$Z$108,"&gt;"&amp;$Z30)+COUNTIF($Z$4:$Z30,$Z30),""))))</f>
        <v/>
      </c>
      <c r="AB30" s="1" t="str">
        <f>""</f>
        <v/>
      </c>
      <c r="AC30" s="1">
        <f t="shared" si="1"/>
        <v>4</v>
      </c>
      <c r="AD30" s="1">
        <f t="shared" si="2"/>
        <v>2</v>
      </c>
      <c r="AE30" s="1">
        <f t="shared" si="3"/>
        <v>2</v>
      </c>
      <c r="AF30" s="1" t="str">
        <f>IFERROR(IF(Lists!$B30="","",Lists!$B30),"")</f>
        <v>Jesse Hayes</v>
      </c>
      <c r="AG30" s="1" t="str">
        <f>IFERROR(IF(Lists!$B30="","",Lists!$C30),"")</f>
        <v>Quality Assurance</v>
      </c>
      <c r="AH30" s="1">
        <f>IFERROR(IF(Lists!$B30="","",Lists!$D30),"")</f>
        <v>3</v>
      </c>
      <c r="AI30" s="1" t="str">
        <f>IF(AF30="","",IFERROR(INDEX('Skills Matrix'!$G$6:$DE$205,MATCH(AF30,'Skills Matrix'!$B$6:$B$205,0),MATCH('HR Quick View'!$J$9,'Skills Matrix'!$G$5:$DE$5,0)),""))</f>
        <v/>
      </c>
      <c r="AJ30" s="1" t="str">
        <f t="shared" si="4"/>
        <v/>
      </c>
      <c r="AK30" s="1" t="str">
        <f>IFERROR(IF(Lists!$B30="","",Lists!$E30),"")</f>
        <v>Cameron Wells</v>
      </c>
      <c r="AL30" s="1" t="str">
        <f>IF(AND(OR('HR Quick View'!$L$10="All Shifts",AH30='HR Quick View'!$L$10),OR(AND('HR Quick View'!$I$10="Qualified only",AI30=3),AND('HR Quick View'!$I$10="All trained",AI30&gt;0))),IF('HR Quick View'!$L$10="All Shifts",COUNTIF($AI$4:$AI$203,"&gt;"&amp;AI30)+COUNTIF($AI$4:AI30,AI30),COUNTIFS($AI$4:$AI$203,"&gt;"&amp;AI30,$AH$4:$AH$203,'HR Quick View'!$L$10)+COUNTIFS($AI$4:AI30,AI30,$AH$4:AH30,'HR Quick View'!$L$10)),"")</f>
        <v/>
      </c>
      <c r="AP30" s="17" t="str">
        <f>IFERROR(IF(Lists!$J30="","",Lists!$J30),"")</f>
        <v>Log Analysis</v>
      </c>
      <c r="AQ30" s="17" t="str">
        <f>IFERROR(IF(Lists!$J30="","",Lists!$K30),"")</f>
        <v>Platform Operations</v>
      </c>
      <c r="AR30" s="17" t="str">
        <f>IFERROR(IF(Lists!$J30="","",Lists!$L30),"")</f>
        <v>Yes</v>
      </c>
      <c r="AS30" s="17">
        <f>IFERROR(IF(Lists!$J30="","",Lists!$M30),0)</f>
        <v>4</v>
      </c>
      <c r="AT30" s="17">
        <f>IF(AP30="","",COUNTIF('Skills Matrix'!$AG$6:$AG$205,3))</f>
        <v>2</v>
      </c>
      <c r="AU30" s="17">
        <f>IF(AP30="","",COUNTIF('Skills Matrix'!$AG$6:$AG$205,2))</f>
        <v>2</v>
      </c>
      <c r="AV30" s="17">
        <f t="shared" si="5"/>
        <v>2</v>
      </c>
      <c r="AW30" s="17">
        <f>IF(OR(AP30="",AS30&lt;=0,AV30&lt;=0,AND('Skill Management'!$D$4&lt;&gt;"All Departments",AQ30&lt;&gt;'Skill Management'!$D$4)),"",IF(AT30=0,100000,0)+IF(AR30="Yes",10000,0)+AV30*100+AU30)</f>
        <v>10202</v>
      </c>
      <c r="AX30" s="17">
        <f>IF(AW30="","",COUNTIF($AW$4:$AW$106,"&gt;"&amp;AW30)+COUNTIF($AW$4:AW30,AW30))</f>
        <v>48</v>
      </c>
      <c r="AY30" s="17" t="str">
        <f>IFERROR(IF(Lists!$J30="","",Lists!$N30),"")</f>
        <v>Yes</v>
      </c>
      <c r="BA30" s="17" t="str">
        <f>IFERROR(IF('Training Plan'!$A31="","",'Training Plan'!$A31),"")</f>
        <v/>
      </c>
      <c r="BB30" s="17" t="str">
        <f>IFERROR(IF('Training Plan'!$A31="","",'Training Plan'!$B31),"")</f>
        <v/>
      </c>
      <c r="BC30" s="17" t="str">
        <f>IFERROR(IF('Training Plan'!$A31="","",'Training Plan'!$C31),"")</f>
        <v/>
      </c>
      <c r="BD30" s="17" t="str">
        <f>IFERROR(IF('Training Plan'!$A31="","",'Training Plan'!$D31),"")</f>
        <v/>
      </c>
      <c r="BE30" s="17" t="str">
        <f>IFERROR(IF('Training Plan'!$A31="","",'Training Plan'!$E31),"")</f>
        <v/>
      </c>
      <c r="BF30" s="17" t="str">
        <f>IFERROR(IF('Training Plan'!$A31="","",'Training Plan'!$F31),"")</f>
        <v/>
      </c>
      <c r="BG30" s="17" t="str">
        <f>IFERROR(IF('Training Plan'!$A31="","",'Training Plan'!$G31),"")</f>
        <v/>
      </c>
      <c r="BH30" s="17" t="str">
        <f>IFERROR(IF('Training Plan'!$A31="","",'Training Plan'!$H31),"")</f>
        <v/>
      </c>
      <c r="BI30" s="17" t="str">
        <f>IF(OR(BA30="",BF30="Complete",AND('Skill Management'!$D$4&lt;&gt;"All Departments",BB30&lt;&gt;'Skill Management'!$D$4)),"",IF(BF30="Blocked",100000,IF(BF30="In Progress",200000,300000))+IF(BE30="",99999,BE30))</f>
        <v/>
      </c>
      <c r="BJ30" s="17" t="str">
        <f>IF(BI30="","",COUNTIFS($BI$4:$BI$203,"&gt;0",$BI$4:$BI$203,"&lt;"&amp;BI30)+COUNTIF($BI$4:BI30,BI30))</f>
        <v/>
      </c>
      <c r="BT30" t="str">
        <f t="shared" si="6"/>
        <v>Log Analysis</v>
      </c>
      <c r="BU30" t="str">
        <f t="shared" si="7"/>
        <v>Platform Operations</v>
      </c>
      <c r="BV30" t="str">
        <f>IF(BT30="","",IFERROR(INDEX('Skills Matrix'!$G$6:$DE$205,MATCH('Employee Transcript'!$C$4,'Skills Matrix'!$B$6:$B$205,0),MATCH(BT30,'Skills Matrix'!$G$5:$DE$5,0)),""))</f>
        <v/>
      </c>
      <c r="BW30" t="str">
        <f>IF(BT30="","",IFERROR(INDEX('Competency Event Log'!$E$4:$E$803,MATCH('Employee Transcript'!$C$4&amp;"|"&amp;BT30,'Competency Event Log'!$U$4:$U$803,0)),""))</f>
        <v/>
      </c>
      <c r="BX30" t="str">
        <f>IF(BT30="","",IF(BU30='Employee Transcript'!$B$7,"Home Department","Cross-Trained"))</f>
        <v>Cross-Trained</v>
      </c>
      <c r="BY30" t="str">
        <f t="shared" si="8"/>
        <v>Yes</v>
      </c>
      <c r="BZ30" t="str">
        <f>IF(BT30="","",IFERROR(INDEX('Competency Event Log'!$L$4:$L$803,MATCH('Employee Transcript'!$C$4&amp;"|"&amp;BT30,'Competency Event Log'!$U$4:$U$803,0)),""))</f>
        <v/>
      </c>
      <c r="CA30" t="str">
        <f>IF(N(BV30)&gt;0,COUNTIF($BV$4:BV30,"&gt;0"),"")</f>
        <v/>
      </c>
      <c r="CB30" t="str">
        <f>IF(AND('Competency Event Log'!$B30='Employee Transcript'!$C$4,'Competency Event Log'!$I30&lt;&gt;"Yes"),'Competency Event Log'!$K30,"")</f>
        <v/>
      </c>
      <c r="CC30" t="str">
        <f t="shared" si="9"/>
        <v/>
      </c>
      <c r="CD30" t="str">
        <f>IF(Certifications!$A30='Employee Transcript'!$C$4,30,"")</f>
        <v/>
      </c>
      <c r="CE30" t="str">
        <f>IF(CD30="","",COUNTIF($CD$4:CD30,"&gt;0"))</f>
        <v/>
      </c>
      <c r="CF30" t="str">
        <f>IF(AND('Training Plan'!$A31='Employee Transcript'!$C$4,'Training Plan'!$F31&lt;&gt;"Complete"),31,"")</f>
        <v/>
      </c>
      <c r="CG30" t="str">
        <f>IF(CF30="","",COUNTIF($CF$4:CF30,"&gt;0"))</f>
        <v/>
      </c>
    </row>
    <row r="31" spans="1:85">
      <c r="A31" s="2" t="s">
        <v>1000</v>
      </c>
      <c r="B31" s="1" t="s">
        <v>128</v>
      </c>
      <c r="C31" s="1" t="s">
        <v>308</v>
      </c>
      <c r="D31" s="1">
        <v>1</v>
      </c>
      <c r="E31" s="1" t="s">
        <v>930</v>
      </c>
      <c r="F31" s="3">
        <v>44997</v>
      </c>
      <c r="G31" s="1" t="s">
        <v>16</v>
      </c>
      <c r="H31" s="4" t="s">
        <v>933</v>
      </c>
      <c r="I31" s="1" t="s">
        <v>617</v>
      </c>
      <c r="J31" s="1" t="s">
        <v>615</v>
      </c>
      <c r="K31" s="1" t="s">
        <v>305</v>
      </c>
      <c r="L31" s="1" t="s">
        <v>411</v>
      </c>
      <c r="M31" s="1">
        <v>3</v>
      </c>
      <c r="N31" s="1" t="s">
        <v>27</v>
      </c>
      <c r="P31" s="1" t="s">
        <v>615</v>
      </c>
      <c r="Q31" s="1" t="s">
        <v>305</v>
      </c>
      <c r="R31" s="1">
        <v>0</v>
      </c>
      <c r="S31" s="1">
        <f>COUNTIF('Skills Matrix'!$AH$6:$AH$205,3)</f>
        <v>1</v>
      </c>
      <c r="T31" s="1">
        <f t="shared" si="0"/>
        <v>0</v>
      </c>
      <c r="U31" s="1" t="str">
        <f>IF(AND(T31&gt;0,OR('HR Quick View'!$F$24="All Departments",Q31='HR Quick View'!$F$24)),COUNTIFS($T$4:$T$108,"&gt;"&amp;T31,$Q$4:$Q$108,IF('HR Quick View'!$F$24="All Departments","*",'HR Quick View'!$F$24))+COUNTIFS($T$4:T31,T31,$Q$4:Q31,IF('HR Quick View'!$F$24="All Departments","*",'HR Quick View'!$F$24)),"")</f>
        <v/>
      </c>
      <c r="W31" s="1" t="s">
        <v>615</v>
      </c>
      <c r="X31" s="1" t="s">
        <v>305</v>
      </c>
      <c r="Y31" s="1" t="s">
        <v>411</v>
      </c>
      <c r="Z31" s="1" t="str">
        <f>IF('HR Quick View'!$C$9="","",IF(COUNTIFS('Competency Event Log'!$B$4:$B$803,'HR Quick View'!$C$9,'Competency Event Log'!$C$4:$C$803,W31,'Competency Event Log'!$T$4:$T$803,"Current")=0,"",SUMIFS('Competency Event Log'!$D$4:$D$803,'Competency Event Log'!$B$4:$B$803,'HR Quick View'!$C$9,'Competency Event Log'!$C$4:$C$803,W31,'Competency Event Log'!$T$4:$T$803,"Current")))</f>
        <v/>
      </c>
      <c r="AA31" s="1" t="str">
        <f>IF($Z31="","",IF('HR Quick View'!$B$10="Qualified only",IF($Z31=3,COUNTIF($Z$4:$Z31,3),""),IF('HR Quick View'!$B$10="Developing only",IF(OR($Z31=1,$Z31=2),COUNTIF($Z$4:$Z$108,"&gt;"&amp;$Z31)+COUNTIF($Z$4:$Z31,$Z31)-COUNTIF($Z$4:$Z$108,3),""),IF('HR Quick View'!$B$10="All scored",COUNTIF($Z$4:$Z$108,"&gt;"&amp;$Z31)+COUNTIF($Z$4:$Z31,$Z31),""))))</f>
        <v/>
      </c>
      <c r="AB31" s="1" t="str">
        <f>""</f>
        <v/>
      </c>
      <c r="AC31" s="1">
        <f t="shared" si="1"/>
        <v>0</v>
      </c>
      <c r="AD31" s="1">
        <f t="shared" si="2"/>
        <v>1</v>
      </c>
      <c r="AE31" s="1">
        <f t="shared" si="3"/>
        <v>0</v>
      </c>
      <c r="AF31" s="1" t="str">
        <f>IFERROR(IF(Lists!$B31="","",Lists!$B31),"")</f>
        <v>Robin Cooper</v>
      </c>
      <c r="AG31" s="1" t="str">
        <f>IFERROR(IF(Lists!$B31="","",Lists!$C31),"")</f>
        <v>Quality Assurance</v>
      </c>
      <c r="AH31" s="1">
        <f>IFERROR(IF(Lists!$B31="","",Lists!$D31),"")</f>
        <v>1</v>
      </c>
      <c r="AI31" s="1" t="str">
        <f>IF(AF31="","",IFERROR(INDEX('Skills Matrix'!$G$6:$DE$205,MATCH(AF31,'Skills Matrix'!$B$6:$B$205,0),MATCH('HR Quick View'!$J$9,'Skills Matrix'!$G$5:$DE$5,0)),""))</f>
        <v/>
      </c>
      <c r="AJ31" s="1" t="str">
        <f t="shared" si="4"/>
        <v/>
      </c>
      <c r="AK31" s="1" t="str">
        <f>IFERROR(IF(Lists!$B31="","",Lists!$E31),"")</f>
        <v>Cameron Wells</v>
      </c>
      <c r="AL31" s="1" t="str">
        <f>IF(AND(OR('HR Quick View'!$L$10="All Shifts",AH31='HR Quick View'!$L$10),OR(AND('HR Quick View'!$I$10="Qualified only",AI31=3),AND('HR Quick View'!$I$10="All trained",AI31&gt;0))),IF('HR Quick View'!$L$10="All Shifts",COUNTIF($AI$4:$AI$203,"&gt;"&amp;AI31)+COUNTIF($AI$4:AI31,AI31),COUNTIFS($AI$4:$AI$203,"&gt;"&amp;AI31,$AH$4:$AH$203,'HR Quick View'!$L$10)+COUNTIFS($AI$4:AI31,AI31,$AH$4:AH31,'HR Quick View'!$L$10)),"")</f>
        <v/>
      </c>
      <c r="AP31" s="17" t="str">
        <f>IFERROR(IF(Lists!$J31="","",Lists!$J31),"")</f>
        <v>Database Operations</v>
      </c>
      <c r="AQ31" s="17" t="str">
        <f>IFERROR(IF(Lists!$J31="","",Lists!$K31),"")</f>
        <v>Platform Operations</v>
      </c>
      <c r="AR31" s="17" t="str">
        <f>IFERROR(IF(Lists!$J31="","",Lists!$L31),"")</f>
        <v>No</v>
      </c>
      <c r="AS31" s="17">
        <f>IFERROR(IF(Lists!$J31="","",Lists!$M31),0)</f>
        <v>3</v>
      </c>
      <c r="AT31" s="17">
        <f>IF(AP31="","",COUNTIF('Skills Matrix'!$AH$6:$AH$205,3))</f>
        <v>1</v>
      </c>
      <c r="AU31" s="17">
        <f>IF(AP31="","",COUNTIF('Skills Matrix'!$AH$6:$AH$205,2))</f>
        <v>2</v>
      </c>
      <c r="AV31" s="17">
        <f t="shared" si="5"/>
        <v>2</v>
      </c>
      <c r="AW31" s="17">
        <f>IF(OR(AP31="",AS31&lt;=0,AV31&lt;=0,AND('Skill Management'!$D$4&lt;&gt;"All Departments",AQ31&lt;&gt;'Skill Management'!$D$4)),"",IF(AT31=0,100000,0)+IF(AR31="Yes",10000,0)+AV31*100+AU31)</f>
        <v>202</v>
      </c>
      <c r="AX31" s="17">
        <f>IF(AW31="","",COUNTIF($AW$4:$AW$106,"&gt;"&amp;AW31)+COUNTIF($AW$4:AW31,AW31))</f>
        <v>70</v>
      </c>
      <c r="AY31" s="17" t="str">
        <f>IFERROR(IF(Lists!$J31="","",Lists!$N31),"")</f>
        <v>Yes</v>
      </c>
      <c r="BA31" s="17" t="str">
        <f>IFERROR(IF('Training Plan'!$A32="","",'Training Plan'!$A32),"")</f>
        <v/>
      </c>
      <c r="BB31" s="17" t="str">
        <f>IFERROR(IF('Training Plan'!$A32="","",'Training Plan'!$B32),"")</f>
        <v/>
      </c>
      <c r="BC31" s="17" t="str">
        <f>IFERROR(IF('Training Plan'!$A32="","",'Training Plan'!$C32),"")</f>
        <v/>
      </c>
      <c r="BD31" s="17" t="str">
        <f>IFERROR(IF('Training Plan'!$A32="","",'Training Plan'!$D32),"")</f>
        <v/>
      </c>
      <c r="BE31" s="17" t="str">
        <f>IFERROR(IF('Training Plan'!$A32="","",'Training Plan'!$E32),"")</f>
        <v/>
      </c>
      <c r="BF31" s="17" t="str">
        <f>IFERROR(IF('Training Plan'!$A32="","",'Training Plan'!$F32),"")</f>
        <v/>
      </c>
      <c r="BG31" s="17" t="str">
        <f>IFERROR(IF('Training Plan'!$A32="","",'Training Plan'!$G32),"")</f>
        <v/>
      </c>
      <c r="BH31" s="17" t="str">
        <f>IFERROR(IF('Training Plan'!$A32="","",'Training Plan'!$H32),"")</f>
        <v/>
      </c>
      <c r="BI31" s="17" t="str">
        <f>IF(OR(BA31="",BF31="Complete",AND('Skill Management'!$D$4&lt;&gt;"All Departments",BB31&lt;&gt;'Skill Management'!$D$4)),"",IF(BF31="Blocked",100000,IF(BF31="In Progress",200000,300000))+IF(BE31="",99999,BE31))</f>
        <v/>
      </c>
      <c r="BJ31" s="17" t="str">
        <f>IF(BI31="","",COUNTIFS($BI$4:$BI$203,"&gt;0",$BI$4:$BI$203,"&lt;"&amp;BI31)+COUNTIF($BI$4:BI31,BI31))</f>
        <v/>
      </c>
      <c r="BT31" t="str">
        <f t="shared" si="6"/>
        <v>Database Operations</v>
      </c>
      <c r="BU31" t="str">
        <f t="shared" si="7"/>
        <v>Platform Operations</v>
      </c>
      <c r="BV31" t="str">
        <f>IF(BT31="","",IFERROR(INDEX('Skills Matrix'!$G$6:$DE$205,MATCH('Employee Transcript'!$C$4,'Skills Matrix'!$B$6:$B$205,0),MATCH(BT31,'Skills Matrix'!$G$5:$DE$5,0)),""))</f>
        <v/>
      </c>
      <c r="BW31" t="str">
        <f>IF(BT31="","",IFERROR(INDEX('Competency Event Log'!$E$4:$E$803,MATCH('Employee Transcript'!$C$4&amp;"|"&amp;BT31,'Competency Event Log'!$U$4:$U$803,0)),""))</f>
        <v/>
      </c>
      <c r="BX31" t="str">
        <f>IF(BT31="","",IF(BU31='Employee Transcript'!$B$7,"Home Department","Cross-Trained"))</f>
        <v>Cross-Trained</v>
      </c>
      <c r="BY31" t="str">
        <f t="shared" si="8"/>
        <v>No</v>
      </c>
      <c r="BZ31" t="str">
        <f>IF(BT31="","",IFERROR(INDEX('Competency Event Log'!$L$4:$L$803,MATCH('Employee Transcript'!$C$4&amp;"|"&amp;BT31,'Competency Event Log'!$U$4:$U$803,0)),""))</f>
        <v/>
      </c>
      <c r="CA31" t="str">
        <f>IF(N(BV31)&gt;0,COUNTIF($BV$4:BV31,"&gt;0"),"")</f>
        <v/>
      </c>
      <c r="CB31" t="str">
        <f>IF(AND('Competency Event Log'!$B31='Employee Transcript'!$C$4,'Competency Event Log'!$I31&lt;&gt;"Yes"),'Competency Event Log'!$K31,"")</f>
        <v/>
      </c>
      <c r="CC31" t="str">
        <f t="shared" si="9"/>
        <v/>
      </c>
      <c r="CD31" t="str">
        <f>IF(Certifications!$A31='Employee Transcript'!$C$4,31,"")</f>
        <v/>
      </c>
      <c r="CE31" t="str">
        <f>IF(CD31="","",COUNTIF($CD$4:CD31,"&gt;0"))</f>
        <v/>
      </c>
      <c r="CF31" t="str">
        <f>IF(AND('Training Plan'!$A32='Employee Transcript'!$C$4,'Training Plan'!$F32&lt;&gt;"Complete"),32,"")</f>
        <v/>
      </c>
      <c r="CG31" t="str">
        <f>IF(CF31="","",COUNTIF($CF$4:CF31,"&gt;0"))</f>
        <v/>
      </c>
    </row>
    <row r="32" spans="1:85">
      <c r="A32" s="2" t="s">
        <v>1021</v>
      </c>
      <c r="B32" s="1" t="s">
        <v>131</v>
      </c>
      <c r="C32" s="1" t="s">
        <v>308</v>
      </c>
      <c r="D32" s="1">
        <v>2</v>
      </c>
      <c r="E32" s="1" t="s">
        <v>930</v>
      </c>
      <c r="F32" s="3">
        <v>45310</v>
      </c>
      <c r="G32" s="1" t="s">
        <v>16</v>
      </c>
      <c r="H32" s="4" t="s">
        <v>933</v>
      </c>
      <c r="I32" s="1" t="s">
        <v>629</v>
      </c>
      <c r="J32" s="1" t="s">
        <v>627</v>
      </c>
      <c r="K32" s="1" t="s">
        <v>305</v>
      </c>
      <c r="L32" s="1" t="s">
        <v>27</v>
      </c>
      <c r="M32" s="1">
        <v>4</v>
      </c>
      <c r="N32" s="1" t="s">
        <v>27</v>
      </c>
      <c r="P32" s="1" t="s">
        <v>627</v>
      </c>
      <c r="Q32" s="1" t="s">
        <v>305</v>
      </c>
      <c r="R32" s="1">
        <v>3</v>
      </c>
      <c r="S32" s="1">
        <f>COUNTIF('Skills Matrix'!$AI$6:$AI$205,3)</f>
        <v>2</v>
      </c>
      <c r="T32" s="1">
        <f t="shared" si="0"/>
        <v>1</v>
      </c>
      <c r="U32" s="1">
        <f>IF(AND(T32&gt;0,OR('HR Quick View'!$F$24="All Departments",Q32='HR Quick View'!$F$24)),COUNTIFS($T$4:$T$108,"&gt;"&amp;T32,$Q$4:$Q$108,IF('HR Quick View'!$F$24="All Departments","*",'HR Quick View'!$F$24))+COUNTIFS($T$4:T32,T32,$Q$4:Q32,IF('HR Quick View'!$F$24="All Departments","*",'HR Quick View'!$F$24)),"")</f>
        <v>45</v>
      </c>
      <c r="W32" s="1" t="s">
        <v>627</v>
      </c>
      <c r="X32" s="1" t="s">
        <v>305</v>
      </c>
      <c r="Y32" s="1" t="s">
        <v>27</v>
      </c>
      <c r="Z32" s="1" t="str">
        <f>IF('HR Quick View'!$C$9="","",IF(COUNTIFS('Competency Event Log'!$B$4:$B$803,'HR Quick View'!$C$9,'Competency Event Log'!$C$4:$C$803,W32,'Competency Event Log'!$T$4:$T$803,"Current")=0,"",SUMIFS('Competency Event Log'!$D$4:$D$803,'Competency Event Log'!$B$4:$B$803,'HR Quick View'!$C$9,'Competency Event Log'!$C$4:$C$803,W32,'Competency Event Log'!$T$4:$T$803,"Current")))</f>
        <v/>
      </c>
      <c r="AA32" s="1" t="str">
        <f>IF($Z32="","",IF('HR Quick View'!$B$10="Qualified only",IF($Z32=3,COUNTIF($Z$4:$Z32,3),""),IF('HR Quick View'!$B$10="Developing only",IF(OR($Z32=1,$Z32=2),COUNTIF($Z$4:$Z$108,"&gt;"&amp;$Z32)+COUNTIF($Z$4:$Z32,$Z32)-COUNTIF($Z$4:$Z$108,3),""),IF('HR Quick View'!$B$10="All scored",COUNTIF($Z$4:$Z$108,"&gt;"&amp;$Z32)+COUNTIF($Z$4:$Z32,$Z32),""))))</f>
        <v/>
      </c>
      <c r="AB32" s="1" t="str">
        <f>""</f>
        <v/>
      </c>
      <c r="AC32" s="1">
        <f t="shared" si="1"/>
        <v>3</v>
      </c>
      <c r="AD32" s="1">
        <f t="shared" si="2"/>
        <v>2</v>
      </c>
      <c r="AE32" s="1">
        <f t="shared" si="3"/>
        <v>1</v>
      </c>
      <c r="AF32" s="1" t="str">
        <f>IFERROR(IF(Lists!$B32="","",Lists!$B32),"")</f>
        <v>Sam Murphy</v>
      </c>
      <c r="AG32" s="1" t="str">
        <f>IFERROR(IF(Lists!$B32="","",Lists!$C32),"")</f>
        <v>Quality Assurance</v>
      </c>
      <c r="AH32" s="1">
        <f>IFERROR(IF(Lists!$B32="","",Lists!$D32),"")</f>
        <v>2</v>
      </c>
      <c r="AI32" s="1" t="str">
        <f>IF(AF32="","",IFERROR(INDEX('Skills Matrix'!$G$6:$DE$205,MATCH(AF32,'Skills Matrix'!$B$6:$B$205,0),MATCH('HR Quick View'!$J$9,'Skills Matrix'!$G$5:$DE$5,0)),""))</f>
        <v/>
      </c>
      <c r="AJ32" s="1" t="str">
        <f t="shared" si="4"/>
        <v/>
      </c>
      <c r="AK32" s="1" t="str">
        <f>IFERROR(IF(Lists!$B32="","",Lists!$E32),"")</f>
        <v>Cameron Wells</v>
      </c>
      <c r="AL32" s="1" t="str">
        <f>IF(AND(OR('HR Quick View'!$L$10="All Shifts",AH32='HR Quick View'!$L$10),OR(AND('HR Quick View'!$I$10="Qualified only",AI32=3),AND('HR Quick View'!$I$10="All trained",AI32&gt;0))),IF('HR Quick View'!$L$10="All Shifts",COUNTIF($AI$4:$AI$203,"&gt;"&amp;AI32)+COUNTIF($AI$4:AI32,AI32),COUNTIFS($AI$4:$AI$203,"&gt;"&amp;AI32,$AH$4:$AH$203,'HR Quick View'!$L$10)+COUNTIFS($AI$4:AI32,AI32,$AH$4:AH32,'HR Quick View'!$L$10)),"")</f>
        <v/>
      </c>
      <c r="AP32" s="17" t="str">
        <f>IFERROR(IF(Lists!$J32="","",Lists!$J32),"")</f>
        <v>Change Management</v>
      </c>
      <c r="AQ32" s="17" t="str">
        <f>IFERROR(IF(Lists!$J32="","",Lists!$K32),"")</f>
        <v>Platform Operations</v>
      </c>
      <c r="AR32" s="17" t="str">
        <f>IFERROR(IF(Lists!$J32="","",Lists!$L32),"")</f>
        <v>Yes</v>
      </c>
      <c r="AS32" s="17">
        <f>IFERROR(IF(Lists!$J32="","",Lists!$M32),0)</f>
        <v>4</v>
      </c>
      <c r="AT32" s="17">
        <f>IF(AP32="","",COUNTIF('Skills Matrix'!$AI$6:$AI$205,3))</f>
        <v>2</v>
      </c>
      <c r="AU32" s="17">
        <f>IF(AP32="","",COUNTIF('Skills Matrix'!$AI$6:$AI$205,2))</f>
        <v>0</v>
      </c>
      <c r="AV32" s="17">
        <f t="shared" si="5"/>
        <v>2</v>
      </c>
      <c r="AW32" s="17">
        <f>IF(OR(AP32="",AS32&lt;=0,AV32&lt;=0,AND('Skill Management'!$D$4&lt;&gt;"All Departments",AQ32&lt;&gt;'Skill Management'!$D$4)),"",IF(AT32=0,100000,0)+IF(AR32="Yes",10000,0)+AV32*100+AU32)</f>
        <v>10200</v>
      </c>
      <c r="AX32" s="17">
        <f>IF(AW32="","",COUNTIF($AW$4:$AW$106,"&gt;"&amp;AW32)+COUNTIF($AW$4:AW32,AW32))</f>
        <v>54</v>
      </c>
      <c r="AY32" s="17" t="str">
        <f>IFERROR(IF(Lists!$J32="","",Lists!$N32),"")</f>
        <v>Yes</v>
      </c>
      <c r="BA32" s="17" t="str">
        <f>IFERROR(IF('Training Plan'!$A33="","",'Training Plan'!$A33),"")</f>
        <v/>
      </c>
      <c r="BB32" s="17" t="str">
        <f>IFERROR(IF('Training Plan'!$A33="","",'Training Plan'!$B33),"")</f>
        <v/>
      </c>
      <c r="BC32" s="17" t="str">
        <f>IFERROR(IF('Training Plan'!$A33="","",'Training Plan'!$C33),"")</f>
        <v/>
      </c>
      <c r="BD32" s="17" t="str">
        <f>IFERROR(IF('Training Plan'!$A33="","",'Training Plan'!$D33),"")</f>
        <v/>
      </c>
      <c r="BE32" s="17" t="str">
        <f>IFERROR(IF('Training Plan'!$A33="","",'Training Plan'!$E33),"")</f>
        <v/>
      </c>
      <c r="BF32" s="17" t="str">
        <f>IFERROR(IF('Training Plan'!$A33="","",'Training Plan'!$F33),"")</f>
        <v/>
      </c>
      <c r="BG32" s="17" t="str">
        <f>IFERROR(IF('Training Plan'!$A33="","",'Training Plan'!$G33),"")</f>
        <v/>
      </c>
      <c r="BH32" s="17" t="str">
        <f>IFERROR(IF('Training Plan'!$A33="","",'Training Plan'!$H33),"")</f>
        <v/>
      </c>
      <c r="BI32" s="17" t="str">
        <f>IF(OR(BA32="",BF32="Complete",AND('Skill Management'!$D$4&lt;&gt;"All Departments",BB32&lt;&gt;'Skill Management'!$D$4)),"",IF(BF32="Blocked",100000,IF(BF32="In Progress",200000,300000))+IF(BE32="",99999,BE32))</f>
        <v/>
      </c>
      <c r="BJ32" s="17" t="str">
        <f>IF(BI32="","",COUNTIFS($BI$4:$BI$203,"&gt;0",$BI$4:$BI$203,"&lt;"&amp;BI32)+COUNTIF($BI$4:BI32,BI32))</f>
        <v/>
      </c>
      <c r="BT32" t="str">
        <f t="shared" si="6"/>
        <v>Change Management</v>
      </c>
      <c r="BU32" t="str">
        <f t="shared" si="7"/>
        <v>Platform Operations</v>
      </c>
      <c r="BV32" t="str">
        <f>IF(BT32="","",IFERROR(INDEX('Skills Matrix'!$G$6:$DE$205,MATCH('Employee Transcript'!$C$4,'Skills Matrix'!$B$6:$B$205,0),MATCH(BT32,'Skills Matrix'!$G$5:$DE$5,0)),""))</f>
        <v/>
      </c>
      <c r="BW32" t="str">
        <f>IF(BT32="","",IFERROR(INDEX('Competency Event Log'!$E$4:$E$803,MATCH('Employee Transcript'!$C$4&amp;"|"&amp;BT32,'Competency Event Log'!$U$4:$U$803,0)),""))</f>
        <v/>
      </c>
      <c r="BX32" t="str">
        <f>IF(BT32="","",IF(BU32='Employee Transcript'!$B$7,"Home Department","Cross-Trained"))</f>
        <v>Cross-Trained</v>
      </c>
      <c r="BY32" t="str">
        <f t="shared" si="8"/>
        <v>Yes</v>
      </c>
      <c r="BZ32" t="str">
        <f>IF(BT32="","",IFERROR(INDEX('Competency Event Log'!$L$4:$L$803,MATCH('Employee Transcript'!$C$4&amp;"|"&amp;BT32,'Competency Event Log'!$U$4:$U$803,0)),""))</f>
        <v/>
      </c>
      <c r="CA32" t="str">
        <f>IF(N(BV32)&gt;0,COUNTIF($BV$4:BV32,"&gt;0"),"")</f>
        <v/>
      </c>
      <c r="CB32" t="str">
        <f>IF(AND('Competency Event Log'!$B32='Employee Transcript'!$C$4,'Competency Event Log'!$I32&lt;&gt;"Yes"),'Competency Event Log'!$K32,"")</f>
        <v/>
      </c>
      <c r="CC32" t="str">
        <f t="shared" si="9"/>
        <v/>
      </c>
      <c r="CD32" t="str">
        <f>IF(Certifications!$A32='Employee Transcript'!$C$4,32,"")</f>
        <v/>
      </c>
      <c r="CE32" t="str">
        <f>IF(CD32="","",COUNTIF($CD$4:CD32,"&gt;0"))</f>
        <v/>
      </c>
      <c r="CF32" t="str">
        <f>IF(AND('Training Plan'!$A33='Employee Transcript'!$C$4,'Training Plan'!$F33&lt;&gt;"Complete"),33,"")</f>
        <v/>
      </c>
      <c r="CG32" t="str">
        <f>IF(CF32="","",COUNTIF($CF$4:CF32,"&gt;0"))</f>
        <v/>
      </c>
    </row>
    <row r="33" spans="1:85">
      <c r="A33" s="2" t="s">
        <v>1036</v>
      </c>
      <c r="B33" s="1" t="s">
        <v>134</v>
      </c>
      <c r="C33" s="1" t="s">
        <v>308</v>
      </c>
      <c r="D33" s="1">
        <v>3</v>
      </c>
      <c r="E33" s="1" t="s">
        <v>930</v>
      </c>
      <c r="F33" s="3">
        <v>45100</v>
      </c>
      <c r="G33" s="1" t="s">
        <v>16</v>
      </c>
      <c r="H33" s="4" t="s">
        <v>933</v>
      </c>
      <c r="I33" s="1" t="s">
        <v>624</v>
      </c>
      <c r="J33" s="1" t="s">
        <v>620</v>
      </c>
      <c r="K33" s="1" t="s">
        <v>305</v>
      </c>
      <c r="L33" s="1" t="s">
        <v>27</v>
      </c>
      <c r="M33" s="1">
        <v>4</v>
      </c>
      <c r="N33" s="1" t="s">
        <v>27</v>
      </c>
      <c r="P33" s="1" t="s">
        <v>620</v>
      </c>
      <c r="Q33" s="1" t="s">
        <v>305</v>
      </c>
      <c r="R33" s="1">
        <v>5</v>
      </c>
      <c r="S33" s="1">
        <f>COUNTIF('Skills Matrix'!$AJ$6:$AJ$205,3)</f>
        <v>1</v>
      </c>
      <c r="T33" s="1">
        <f t="shared" si="0"/>
        <v>4</v>
      </c>
      <c r="U33" s="1">
        <f>IF(AND(T33&gt;0,OR('HR Quick View'!$F$24="All Departments",Q33='HR Quick View'!$F$24)),COUNTIFS($T$4:$T$108,"&gt;"&amp;T33,$Q$4:$Q$108,IF('HR Quick View'!$F$24="All Departments","*",'HR Quick View'!$F$24))+COUNTIFS($T$4:T33,T33,$Q$4:Q33,IF('HR Quick View'!$F$24="All Departments","*",'HR Quick View'!$F$24)),"")</f>
        <v>13</v>
      </c>
      <c r="W33" s="1" t="s">
        <v>620</v>
      </c>
      <c r="X33" s="1" t="s">
        <v>305</v>
      </c>
      <c r="Y33" s="1" t="s">
        <v>27</v>
      </c>
      <c r="Z33" s="1" t="str">
        <f>IF('HR Quick View'!$C$9="","",IF(COUNTIFS('Competency Event Log'!$B$4:$B$803,'HR Quick View'!$C$9,'Competency Event Log'!$C$4:$C$803,W33,'Competency Event Log'!$T$4:$T$803,"Current")=0,"",SUMIFS('Competency Event Log'!$D$4:$D$803,'Competency Event Log'!$B$4:$B$803,'HR Quick View'!$C$9,'Competency Event Log'!$C$4:$C$803,W33,'Competency Event Log'!$T$4:$T$803,"Current")))</f>
        <v/>
      </c>
      <c r="AA33" s="1" t="str">
        <f>IF($Z33="","",IF('HR Quick View'!$B$10="Qualified only",IF($Z33=3,COUNTIF($Z$4:$Z33,3),""),IF('HR Quick View'!$B$10="Developing only",IF(OR($Z33=1,$Z33=2),COUNTIF($Z$4:$Z$108,"&gt;"&amp;$Z33)+COUNTIF($Z$4:$Z33,$Z33)-COUNTIF($Z$4:$Z$108,3),""),IF('HR Quick View'!$B$10="All scored",COUNTIF($Z$4:$Z$108,"&gt;"&amp;$Z33)+COUNTIF($Z$4:$Z33,$Z33),""))))</f>
        <v/>
      </c>
      <c r="AB33" s="1" t="str">
        <f>""</f>
        <v/>
      </c>
      <c r="AC33" s="1">
        <f t="shared" si="1"/>
        <v>5</v>
      </c>
      <c r="AD33" s="1">
        <f t="shared" si="2"/>
        <v>1</v>
      </c>
      <c r="AE33" s="1">
        <f t="shared" si="3"/>
        <v>4</v>
      </c>
      <c r="AF33" s="1" t="str">
        <f>IFERROR(IF(Lists!$B33="","",Lists!$B33),"")</f>
        <v>Bailey Hughes</v>
      </c>
      <c r="AG33" s="1" t="str">
        <f>IFERROR(IF(Lists!$B33="","",Lists!$C33),"")</f>
        <v>Quality Assurance</v>
      </c>
      <c r="AH33" s="1">
        <f>IFERROR(IF(Lists!$B33="","",Lists!$D33),"")</f>
        <v>3</v>
      </c>
      <c r="AI33" s="1" t="str">
        <f>IF(AF33="","",IFERROR(INDEX('Skills Matrix'!$G$6:$DE$205,MATCH(AF33,'Skills Matrix'!$B$6:$B$205,0),MATCH('HR Quick View'!$J$9,'Skills Matrix'!$G$5:$DE$5,0)),""))</f>
        <v/>
      </c>
      <c r="AJ33" s="1" t="str">
        <f t="shared" si="4"/>
        <v/>
      </c>
      <c r="AK33" s="1" t="str">
        <f>IFERROR(IF(Lists!$B33="","",Lists!$E33),"")</f>
        <v>Cameron Wells</v>
      </c>
      <c r="AL33" s="1" t="str">
        <f>IF(AND(OR('HR Quick View'!$L$10="All Shifts",AH33='HR Quick View'!$L$10),OR(AND('HR Quick View'!$I$10="Qualified only",AI33=3),AND('HR Quick View'!$I$10="All trained",AI33&gt;0))),IF('HR Quick View'!$L$10="All Shifts",COUNTIF($AI$4:$AI$203,"&gt;"&amp;AI33)+COUNTIF($AI$4:AI33,AI33),COUNTIFS($AI$4:$AI$203,"&gt;"&amp;AI33,$AH$4:$AH$203,'HR Quick View'!$L$10)+COUNTIFS($AI$4:AI33,AI33,$AH$4:AH33,'HR Quick View'!$L$10)),"")</f>
        <v/>
      </c>
      <c r="AP33" s="17" t="str">
        <f>IFERROR(IF(Lists!$J33="","",Lists!$J33),"")</f>
        <v>Backup &amp; Recovery</v>
      </c>
      <c r="AQ33" s="17" t="str">
        <f>IFERROR(IF(Lists!$J33="","",Lists!$K33),"")</f>
        <v>Platform Operations</v>
      </c>
      <c r="AR33" s="17" t="str">
        <f>IFERROR(IF(Lists!$J33="","",Lists!$L33),"")</f>
        <v>Yes</v>
      </c>
      <c r="AS33" s="17">
        <f>IFERROR(IF(Lists!$J33="","",Lists!$M33),0)</f>
        <v>4</v>
      </c>
      <c r="AT33" s="17">
        <f>IF(AP33="","",COUNTIF('Skills Matrix'!$AJ$6:$AJ$205,3))</f>
        <v>1</v>
      </c>
      <c r="AU33" s="17">
        <f>IF(AP33="","",COUNTIF('Skills Matrix'!$AJ$6:$AJ$205,2))</f>
        <v>1</v>
      </c>
      <c r="AV33" s="17">
        <f t="shared" si="5"/>
        <v>3</v>
      </c>
      <c r="AW33" s="17">
        <f>IF(OR(AP33="",AS33&lt;=0,AV33&lt;=0,AND('Skill Management'!$D$4&lt;&gt;"All Departments",AQ33&lt;&gt;'Skill Management'!$D$4)),"",IF(AT33=0,100000,0)+IF(AR33="Yes",10000,0)+AV33*100+AU33)</f>
        <v>10301</v>
      </c>
      <c r="AX33" s="17">
        <f>IF(AW33="","",COUNTIF($AW$4:$AW$106,"&gt;"&amp;AW33)+COUNTIF($AW$4:AW33,AW33))</f>
        <v>36</v>
      </c>
      <c r="AY33" s="17" t="str">
        <f>IFERROR(IF(Lists!$J33="","",Lists!$N33),"")</f>
        <v>Yes</v>
      </c>
      <c r="BA33" s="17" t="str">
        <f>IFERROR(IF('Training Plan'!$A34="","",'Training Plan'!$A34),"")</f>
        <v/>
      </c>
      <c r="BB33" s="17" t="str">
        <f>IFERROR(IF('Training Plan'!$A34="","",'Training Plan'!$B34),"")</f>
        <v/>
      </c>
      <c r="BC33" s="17" t="str">
        <f>IFERROR(IF('Training Plan'!$A34="","",'Training Plan'!$C34),"")</f>
        <v/>
      </c>
      <c r="BD33" s="17" t="str">
        <f>IFERROR(IF('Training Plan'!$A34="","",'Training Plan'!$D34),"")</f>
        <v/>
      </c>
      <c r="BE33" s="17" t="str">
        <f>IFERROR(IF('Training Plan'!$A34="","",'Training Plan'!$E34),"")</f>
        <v/>
      </c>
      <c r="BF33" s="17" t="str">
        <f>IFERROR(IF('Training Plan'!$A34="","",'Training Plan'!$F34),"")</f>
        <v/>
      </c>
      <c r="BG33" s="17" t="str">
        <f>IFERROR(IF('Training Plan'!$A34="","",'Training Plan'!$G34),"")</f>
        <v/>
      </c>
      <c r="BH33" s="17" t="str">
        <f>IFERROR(IF('Training Plan'!$A34="","",'Training Plan'!$H34),"")</f>
        <v/>
      </c>
      <c r="BI33" s="17" t="str">
        <f>IF(OR(BA33="",BF33="Complete",AND('Skill Management'!$D$4&lt;&gt;"All Departments",BB33&lt;&gt;'Skill Management'!$D$4)),"",IF(BF33="Blocked",100000,IF(BF33="In Progress",200000,300000))+IF(BE33="",99999,BE33))</f>
        <v/>
      </c>
      <c r="BJ33" s="17" t="str">
        <f>IF(BI33="","",COUNTIFS($BI$4:$BI$203,"&gt;0",$BI$4:$BI$203,"&lt;"&amp;BI33)+COUNTIF($BI$4:BI33,BI33))</f>
        <v/>
      </c>
      <c r="BT33" t="str">
        <f t="shared" si="6"/>
        <v>Backup &amp; Recovery</v>
      </c>
      <c r="BU33" t="str">
        <f t="shared" si="7"/>
        <v>Platform Operations</v>
      </c>
      <c r="BV33" t="str">
        <f>IF(BT33="","",IFERROR(INDEX('Skills Matrix'!$G$6:$DE$205,MATCH('Employee Transcript'!$C$4,'Skills Matrix'!$B$6:$B$205,0),MATCH(BT33,'Skills Matrix'!$G$5:$DE$5,0)),""))</f>
        <v/>
      </c>
      <c r="BW33" t="str">
        <f>IF(BT33="","",IFERROR(INDEX('Competency Event Log'!$E$4:$E$803,MATCH('Employee Transcript'!$C$4&amp;"|"&amp;BT33,'Competency Event Log'!$U$4:$U$803,0)),""))</f>
        <v/>
      </c>
      <c r="BX33" t="str">
        <f>IF(BT33="","",IF(BU33='Employee Transcript'!$B$7,"Home Department","Cross-Trained"))</f>
        <v>Cross-Trained</v>
      </c>
      <c r="BY33" t="str">
        <f t="shared" si="8"/>
        <v>Yes</v>
      </c>
      <c r="BZ33" t="str">
        <f>IF(BT33="","",IFERROR(INDEX('Competency Event Log'!$L$4:$L$803,MATCH('Employee Transcript'!$C$4&amp;"|"&amp;BT33,'Competency Event Log'!$U$4:$U$803,0)),""))</f>
        <v/>
      </c>
      <c r="CA33" t="str">
        <f>IF(N(BV33)&gt;0,COUNTIF($BV$4:BV33,"&gt;0"),"")</f>
        <v/>
      </c>
      <c r="CB33" t="str">
        <f>IF(AND('Competency Event Log'!$B33='Employee Transcript'!$C$4,'Competency Event Log'!$I33&lt;&gt;"Yes"),'Competency Event Log'!$K33,"")</f>
        <v/>
      </c>
      <c r="CC33" t="str">
        <f t="shared" si="9"/>
        <v/>
      </c>
      <c r="CD33" t="str">
        <f>IF(Certifications!$A33='Employee Transcript'!$C$4,33,"")</f>
        <v/>
      </c>
      <c r="CE33" t="str">
        <f>IF(CD33="","",COUNTIF($CD$4:CD33,"&gt;0"))</f>
        <v/>
      </c>
      <c r="CF33" t="str">
        <f>IF(AND('Training Plan'!$A34='Employee Transcript'!$C$4,'Training Plan'!$F34&lt;&gt;"Complete"),34,"")</f>
        <v/>
      </c>
      <c r="CG33" t="str">
        <f>IF(CF33="","",COUNTIF($CF$4:CF33,"&gt;0"))</f>
        <v/>
      </c>
    </row>
    <row r="34" spans="1:85">
      <c r="A34" s="2" t="s">
        <v>1049</v>
      </c>
      <c r="B34" s="1" t="s">
        <v>137</v>
      </c>
      <c r="C34" s="1" t="s">
        <v>309</v>
      </c>
      <c r="D34" s="1">
        <v>1</v>
      </c>
      <c r="E34" s="1" t="s">
        <v>1047</v>
      </c>
      <c r="F34" s="3">
        <v>45621</v>
      </c>
      <c r="G34" s="1" t="s">
        <v>16</v>
      </c>
      <c r="H34" s="4" t="s">
        <v>1050</v>
      </c>
      <c r="I34" s="1" t="s">
        <v>703</v>
      </c>
      <c r="J34" s="1" t="s">
        <v>701</v>
      </c>
      <c r="K34" s="1" t="s">
        <v>306</v>
      </c>
      <c r="L34" s="1" t="s">
        <v>27</v>
      </c>
      <c r="M34" s="1">
        <v>4</v>
      </c>
      <c r="N34" s="1" t="s">
        <v>27</v>
      </c>
      <c r="P34" s="1" t="s">
        <v>701</v>
      </c>
      <c r="Q34" s="1" t="s">
        <v>306</v>
      </c>
      <c r="R34" s="1">
        <v>3</v>
      </c>
      <c r="S34" s="1">
        <f>COUNTIF('Skills Matrix'!$AK$6:$AK$205,3)</f>
        <v>3</v>
      </c>
      <c r="T34" s="1">
        <f t="shared" si="0"/>
        <v>0</v>
      </c>
      <c r="U34" s="1" t="str">
        <f>IF(AND(T34&gt;0,OR('HR Quick View'!$F$24="All Departments",Q34='HR Quick View'!$F$24)),COUNTIFS($T$4:$T$108,"&gt;"&amp;T34,$Q$4:$Q$108,IF('HR Quick View'!$F$24="All Departments","*",'HR Quick View'!$F$24))+COUNTIFS($T$4:T34,T34,$Q$4:Q34,IF('HR Quick View'!$F$24="All Departments","*",'HR Quick View'!$F$24)),"")</f>
        <v/>
      </c>
      <c r="W34" s="1" t="s">
        <v>701</v>
      </c>
      <c r="X34" s="1" t="s">
        <v>306</v>
      </c>
      <c r="Y34" s="1" t="s">
        <v>27</v>
      </c>
      <c r="Z34" s="1" t="str">
        <f>IF('HR Quick View'!$C$9="","",IF(COUNTIFS('Competency Event Log'!$B$4:$B$803,'HR Quick View'!$C$9,'Competency Event Log'!$C$4:$C$803,W34,'Competency Event Log'!$T$4:$T$803,"Current")=0,"",SUMIFS('Competency Event Log'!$D$4:$D$803,'Competency Event Log'!$B$4:$B$803,'HR Quick View'!$C$9,'Competency Event Log'!$C$4:$C$803,W34,'Competency Event Log'!$T$4:$T$803,"Current")))</f>
        <v/>
      </c>
      <c r="AA34" s="1" t="str">
        <f>IF($Z34="","",IF('HR Quick View'!$B$10="Qualified only",IF($Z34=3,COUNTIF($Z$4:$Z34,3),""),IF('HR Quick View'!$B$10="Developing only",IF(OR($Z34=1,$Z34=2),COUNTIF($Z$4:$Z$108,"&gt;"&amp;$Z34)+COUNTIF($Z$4:$Z34,$Z34)-COUNTIF($Z$4:$Z$108,3),""),IF('HR Quick View'!$B$10="All scored",COUNTIF($Z$4:$Z$108,"&gt;"&amp;$Z34)+COUNTIF($Z$4:$Z34,$Z34),""))))</f>
        <v/>
      </c>
      <c r="AB34" s="1" t="str">
        <f>""</f>
        <v/>
      </c>
      <c r="AC34" s="1">
        <f t="shared" si="1"/>
        <v>3</v>
      </c>
      <c r="AD34" s="1">
        <f t="shared" si="2"/>
        <v>3</v>
      </c>
      <c r="AE34" s="1">
        <f t="shared" si="3"/>
        <v>0</v>
      </c>
      <c r="AF34" s="1" t="str">
        <f>IFERROR(IF(Lists!$B34="","",Lists!$B34),"")</f>
        <v>Corey Jenkins</v>
      </c>
      <c r="AG34" s="1" t="str">
        <f>IFERROR(IF(Lists!$B34="","",Lists!$C34),"")</f>
        <v>Cloud &amp; Reliability</v>
      </c>
      <c r="AH34" s="1">
        <f>IFERROR(IF(Lists!$B34="","",Lists!$D34),"")</f>
        <v>1</v>
      </c>
      <c r="AI34" s="1" t="str">
        <f>IF(AF34="","",IFERROR(INDEX('Skills Matrix'!$G$6:$DE$205,MATCH(AF34,'Skills Matrix'!$B$6:$B$205,0),MATCH('HR Quick View'!$J$9,'Skills Matrix'!$G$5:$DE$5,0)),""))</f>
        <v/>
      </c>
      <c r="AJ34" s="1" t="str">
        <f t="shared" si="4"/>
        <v/>
      </c>
      <c r="AK34" s="1" t="str">
        <f>IFERROR(IF(Lists!$B34="","",Lists!$E34),"")</f>
        <v>Avery Brooks</v>
      </c>
      <c r="AL34" s="1" t="str">
        <f>IF(AND(OR('HR Quick View'!$L$10="All Shifts",AH34='HR Quick View'!$L$10),OR(AND('HR Quick View'!$I$10="Qualified only",AI34=3),AND('HR Quick View'!$I$10="All trained",AI34&gt;0))),IF('HR Quick View'!$L$10="All Shifts",COUNTIF($AI$4:$AI$203,"&gt;"&amp;AI34)+COUNTIF($AI$4:AI34,AI34),COUNTIFS($AI$4:$AI$203,"&gt;"&amp;AI34,$AH$4:$AH$203,'HR Quick View'!$L$10)+COUNTIFS($AI$4:AI34,AI34,$AH$4:AH34,'HR Quick View'!$L$10)),"")</f>
        <v/>
      </c>
      <c r="AP34" s="17" t="str">
        <f>IFERROR(IF(Lists!$J34="","",Lists!$J34),"")</f>
        <v>Git Workflow</v>
      </c>
      <c r="AQ34" s="17" t="str">
        <f>IFERROR(IF(Lists!$J34="","",Lists!$K34),"")</f>
        <v>Software Engineering</v>
      </c>
      <c r="AR34" s="17" t="str">
        <f>IFERROR(IF(Lists!$J34="","",Lists!$L34),"")</f>
        <v>Yes</v>
      </c>
      <c r="AS34" s="17">
        <f>IFERROR(IF(Lists!$J34="","",Lists!$M34),0)</f>
        <v>4</v>
      </c>
      <c r="AT34" s="17">
        <f>IF(AP34="","",COUNTIF('Skills Matrix'!$AK$6:$AK$205,3))</f>
        <v>3</v>
      </c>
      <c r="AU34" s="17">
        <f>IF(AP34="","",COUNTIF('Skills Matrix'!$AK$6:$AK$205,2))</f>
        <v>1</v>
      </c>
      <c r="AV34" s="17">
        <f t="shared" si="5"/>
        <v>1</v>
      </c>
      <c r="AW34" s="17">
        <f>IF(OR(AP34="",AS34&lt;=0,AV34&lt;=0,AND('Skill Management'!$D$4&lt;&gt;"All Departments",AQ34&lt;&gt;'Skill Management'!$D$4)),"",IF(AT34=0,100000,0)+IF(AR34="Yes",10000,0)+AV34*100+AU34)</f>
        <v>10101</v>
      </c>
      <c r="AX34" s="17">
        <f>IF(AW34="","",COUNTIF($AW$4:$AW$106,"&gt;"&amp;AW34)+COUNTIF($AW$4:AW34,AW34))</f>
        <v>61</v>
      </c>
      <c r="AY34" s="17" t="str">
        <f>IFERROR(IF(Lists!$J34="","",Lists!$N34),"")</f>
        <v>Yes</v>
      </c>
      <c r="BA34" s="17" t="str">
        <f>IFERROR(IF('Training Plan'!$A35="","",'Training Plan'!$A35),"")</f>
        <v/>
      </c>
      <c r="BB34" s="17" t="str">
        <f>IFERROR(IF('Training Plan'!$A35="","",'Training Plan'!$B35),"")</f>
        <v/>
      </c>
      <c r="BC34" s="17" t="str">
        <f>IFERROR(IF('Training Plan'!$A35="","",'Training Plan'!$C35),"")</f>
        <v/>
      </c>
      <c r="BD34" s="17" t="str">
        <f>IFERROR(IF('Training Plan'!$A35="","",'Training Plan'!$D35),"")</f>
        <v/>
      </c>
      <c r="BE34" s="17" t="str">
        <f>IFERROR(IF('Training Plan'!$A35="","",'Training Plan'!$E35),"")</f>
        <v/>
      </c>
      <c r="BF34" s="17" t="str">
        <f>IFERROR(IF('Training Plan'!$A35="","",'Training Plan'!$F35),"")</f>
        <v/>
      </c>
      <c r="BG34" s="17" t="str">
        <f>IFERROR(IF('Training Plan'!$A35="","",'Training Plan'!$G35),"")</f>
        <v/>
      </c>
      <c r="BH34" s="17" t="str">
        <f>IFERROR(IF('Training Plan'!$A35="","",'Training Plan'!$H35),"")</f>
        <v/>
      </c>
      <c r="BI34" s="17" t="str">
        <f>IF(OR(BA34="",BF34="Complete",AND('Skill Management'!$D$4&lt;&gt;"All Departments",BB34&lt;&gt;'Skill Management'!$D$4)),"",IF(BF34="Blocked",100000,IF(BF34="In Progress",200000,300000))+IF(BE34="",99999,BE34))</f>
        <v/>
      </c>
      <c r="BJ34" s="17" t="str">
        <f>IF(BI34="","",COUNTIFS($BI$4:$BI$203,"&gt;0",$BI$4:$BI$203,"&lt;"&amp;BI34)+COUNTIF($BI$4:BI34,BI34))</f>
        <v/>
      </c>
      <c r="BT34" t="str">
        <f t="shared" si="6"/>
        <v>Git Workflow</v>
      </c>
      <c r="BU34" t="str">
        <f t="shared" si="7"/>
        <v>Software Engineering</v>
      </c>
      <c r="BV34" t="str">
        <f>IF(BT34="","",IFERROR(INDEX('Skills Matrix'!$G$6:$DE$205,MATCH('Employee Transcript'!$C$4,'Skills Matrix'!$B$6:$B$205,0),MATCH(BT34,'Skills Matrix'!$G$5:$DE$5,0)),""))</f>
        <v/>
      </c>
      <c r="BW34" t="str">
        <f>IF(BT34="","",IFERROR(INDEX('Competency Event Log'!$E$4:$E$803,MATCH('Employee Transcript'!$C$4&amp;"|"&amp;BT34,'Competency Event Log'!$U$4:$U$803,0)),""))</f>
        <v/>
      </c>
      <c r="BX34" t="str">
        <f>IF(BT34="","",IF(BU34='Employee Transcript'!$B$7,"Home Department","Cross-Trained"))</f>
        <v>Cross-Trained</v>
      </c>
      <c r="BY34" t="str">
        <f t="shared" si="8"/>
        <v>Yes</v>
      </c>
      <c r="BZ34" t="str">
        <f>IF(BT34="","",IFERROR(INDEX('Competency Event Log'!$L$4:$L$803,MATCH('Employee Transcript'!$C$4&amp;"|"&amp;BT34,'Competency Event Log'!$U$4:$U$803,0)),""))</f>
        <v/>
      </c>
      <c r="CA34" t="str">
        <f>IF(N(BV34)&gt;0,COUNTIF($BV$4:BV34,"&gt;0"),"")</f>
        <v/>
      </c>
      <c r="CB34" t="str">
        <f>IF(AND('Competency Event Log'!$B34='Employee Transcript'!$C$4,'Competency Event Log'!$I34&lt;&gt;"Yes"),'Competency Event Log'!$K34,"")</f>
        <v/>
      </c>
      <c r="CC34" t="str">
        <f t="shared" si="9"/>
        <v/>
      </c>
      <c r="CD34" t="str">
        <f>IF(Certifications!$A34='Employee Transcript'!$C$4,34,"")</f>
        <v/>
      </c>
      <c r="CE34" t="str">
        <f>IF(CD34="","",COUNTIF($CD$4:CD34,"&gt;0"))</f>
        <v/>
      </c>
      <c r="CF34" t="str">
        <f>IF(AND('Training Plan'!$A35='Employee Transcript'!$C$4,'Training Plan'!$F35&lt;&gt;"Complete"),35,"")</f>
        <v/>
      </c>
      <c r="CG34" t="str">
        <f>IF(CF34="","",COUNTIF($CF$4:CF34,"&gt;0"))</f>
        <v/>
      </c>
    </row>
    <row r="35" spans="1:85">
      <c r="A35" s="2" t="s">
        <v>1075</v>
      </c>
      <c r="B35" s="1" t="s">
        <v>142</v>
      </c>
      <c r="C35" s="1" t="s">
        <v>309</v>
      </c>
      <c r="D35" s="1">
        <v>2</v>
      </c>
      <c r="E35" s="1" t="s">
        <v>1047</v>
      </c>
      <c r="F35" s="3">
        <v>42923</v>
      </c>
      <c r="G35" s="1" t="s">
        <v>16</v>
      </c>
      <c r="H35" s="4" t="s">
        <v>1050</v>
      </c>
      <c r="I35" s="1" t="s">
        <v>824</v>
      </c>
      <c r="J35" s="1" t="s">
        <v>822</v>
      </c>
      <c r="K35" s="1" t="s">
        <v>307</v>
      </c>
      <c r="L35" s="1" t="s">
        <v>27</v>
      </c>
      <c r="M35" s="1">
        <v>4</v>
      </c>
      <c r="N35" s="1" t="s">
        <v>27</v>
      </c>
      <c r="P35" s="1" t="s">
        <v>822</v>
      </c>
      <c r="Q35" s="1" t="s">
        <v>307</v>
      </c>
      <c r="R35" s="1">
        <v>4</v>
      </c>
      <c r="S35" s="1">
        <f>COUNTIF('Skills Matrix'!$AL$6:$AL$205,3)</f>
        <v>3</v>
      </c>
      <c r="T35" s="1">
        <f t="shared" si="0"/>
        <v>1</v>
      </c>
      <c r="U35" s="1">
        <f>IF(AND(T35&gt;0,OR('HR Quick View'!$F$24="All Departments",Q35='HR Quick View'!$F$24)),COUNTIFS($T$4:$T$108,"&gt;"&amp;T35,$Q$4:$Q$108,IF('HR Quick View'!$F$24="All Departments","*",'HR Quick View'!$F$24))+COUNTIFS($T$4:T35,T35,$Q$4:Q35,IF('HR Quick View'!$F$24="All Departments","*",'HR Quick View'!$F$24)),"")</f>
        <v>46</v>
      </c>
      <c r="W35" s="1" t="s">
        <v>822</v>
      </c>
      <c r="X35" s="1" t="s">
        <v>307</v>
      </c>
      <c r="Y35" s="1" t="s">
        <v>27</v>
      </c>
      <c r="Z35" s="1" t="str">
        <f>IF('HR Quick View'!$C$9="","",IF(COUNTIFS('Competency Event Log'!$B$4:$B$803,'HR Quick View'!$C$9,'Competency Event Log'!$C$4:$C$803,W35,'Competency Event Log'!$T$4:$T$803,"Current")=0,"",SUMIFS('Competency Event Log'!$D$4:$D$803,'Competency Event Log'!$B$4:$B$803,'HR Quick View'!$C$9,'Competency Event Log'!$C$4:$C$803,W35,'Competency Event Log'!$T$4:$T$803,"Current")))</f>
        <v/>
      </c>
      <c r="AA35" s="1" t="str">
        <f>IF($Z35="","",IF('HR Quick View'!$B$10="Qualified only",IF($Z35=3,COUNTIF($Z$4:$Z35,3),""),IF('HR Quick View'!$B$10="Developing only",IF(OR($Z35=1,$Z35=2),COUNTIF($Z$4:$Z$108,"&gt;"&amp;$Z35)+COUNTIF($Z$4:$Z35,$Z35)-COUNTIF($Z$4:$Z$108,3),""),IF('HR Quick View'!$B$10="All scored",COUNTIF($Z$4:$Z$108,"&gt;"&amp;$Z35)+COUNTIF($Z$4:$Z35,$Z35),""))))</f>
        <v/>
      </c>
      <c r="AB35" s="1" t="str">
        <f>""</f>
        <v/>
      </c>
      <c r="AC35" s="1">
        <f t="shared" si="1"/>
        <v>4</v>
      </c>
      <c r="AD35" s="1">
        <f t="shared" si="2"/>
        <v>3</v>
      </c>
      <c r="AE35" s="1">
        <f t="shared" si="3"/>
        <v>1</v>
      </c>
      <c r="AF35" s="1" t="str">
        <f>IFERROR(IF(Lists!$B35="","",Lists!$B35),"")</f>
        <v>Micah Foster</v>
      </c>
      <c r="AG35" s="1" t="str">
        <f>IFERROR(IF(Lists!$B35="","",Lists!$C35),"")</f>
        <v>Cloud &amp; Reliability</v>
      </c>
      <c r="AH35" s="1">
        <f>IFERROR(IF(Lists!$B35="","",Lists!$D35),"")</f>
        <v>2</v>
      </c>
      <c r="AI35" s="1" t="str">
        <f>IF(AF35="","",IFERROR(INDEX('Skills Matrix'!$G$6:$DE$205,MATCH(AF35,'Skills Matrix'!$B$6:$B$205,0),MATCH('HR Quick View'!$J$9,'Skills Matrix'!$G$5:$DE$5,0)),""))</f>
        <v/>
      </c>
      <c r="AJ35" s="1" t="str">
        <f t="shared" si="4"/>
        <v/>
      </c>
      <c r="AK35" s="1" t="str">
        <f>IFERROR(IF(Lists!$B35="","",Lists!$E35),"")</f>
        <v>Avery Brooks</v>
      </c>
      <c r="AL35" s="1" t="str">
        <f>IF(AND(OR('HR Quick View'!$L$10="All Shifts",AH35='HR Quick View'!$L$10),OR(AND('HR Quick View'!$I$10="Qualified only",AI35=3),AND('HR Quick View'!$I$10="All trained",AI35&gt;0))),IF('HR Quick View'!$L$10="All Shifts",COUNTIF($AI$4:$AI$203,"&gt;"&amp;AI35)+COUNTIF($AI$4:AI35,AI35),COUNTIFS($AI$4:$AI$203,"&gt;"&amp;AI35,$AH$4:$AH$203,'HR Quick View'!$L$10)+COUNTIFS($AI$4:AI35,AI35,$AH$4:AH35,'HR Quick View'!$L$10)),"")</f>
        <v/>
      </c>
      <c r="AP35" s="17" t="str">
        <f>IFERROR(IF(Lists!$J35="","",Lists!$J35),"")</f>
        <v>Endpoint Provisioning</v>
      </c>
      <c r="AQ35" s="17" t="str">
        <f>IFERROR(IF(Lists!$J35="","",Lists!$K35),"")</f>
        <v>IT Operations</v>
      </c>
      <c r="AR35" s="17" t="str">
        <f>IFERROR(IF(Lists!$J35="","",Lists!$L35),"")</f>
        <v>Yes</v>
      </c>
      <c r="AS35" s="17">
        <f>IFERROR(IF(Lists!$J35="","",Lists!$M35),0)</f>
        <v>4</v>
      </c>
      <c r="AT35" s="17">
        <f>IF(AP35="","",COUNTIF('Skills Matrix'!$AL$6:$AL$205,3))</f>
        <v>3</v>
      </c>
      <c r="AU35" s="17">
        <f>IF(AP35="","",COUNTIF('Skills Matrix'!$AL$6:$AL$205,2))</f>
        <v>2</v>
      </c>
      <c r="AV35" s="17">
        <f t="shared" si="5"/>
        <v>1</v>
      </c>
      <c r="AW35" s="17">
        <f>IF(OR(AP35="",AS35&lt;=0,AV35&lt;=0,AND('Skill Management'!$D$4&lt;&gt;"All Departments",AQ35&lt;&gt;'Skill Management'!$D$4)),"",IF(AT35=0,100000,0)+IF(AR35="Yes",10000,0)+AV35*100+AU35)</f>
        <v>10102</v>
      </c>
      <c r="AX35" s="17">
        <f>IF(AW35="","",COUNTIF($AW$4:$AW$106,"&gt;"&amp;AW35)+COUNTIF($AW$4:AW35,AW35))</f>
        <v>58</v>
      </c>
      <c r="AY35" s="17" t="str">
        <f>IFERROR(IF(Lists!$J35="","",Lists!$N35),"")</f>
        <v>Yes</v>
      </c>
      <c r="BA35" s="17" t="str">
        <f>IFERROR(IF('Training Plan'!$A36="","",'Training Plan'!$A36),"")</f>
        <v/>
      </c>
      <c r="BB35" s="17" t="str">
        <f>IFERROR(IF('Training Plan'!$A36="","",'Training Plan'!$B36),"")</f>
        <v/>
      </c>
      <c r="BC35" s="17" t="str">
        <f>IFERROR(IF('Training Plan'!$A36="","",'Training Plan'!$C36),"")</f>
        <v/>
      </c>
      <c r="BD35" s="17" t="str">
        <f>IFERROR(IF('Training Plan'!$A36="","",'Training Plan'!$D36),"")</f>
        <v/>
      </c>
      <c r="BE35" s="17" t="str">
        <f>IFERROR(IF('Training Plan'!$A36="","",'Training Plan'!$E36),"")</f>
        <v/>
      </c>
      <c r="BF35" s="17" t="str">
        <f>IFERROR(IF('Training Plan'!$A36="","",'Training Plan'!$F36),"")</f>
        <v/>
      </c>
      <c r="BG35" s="17" t="str">
        <f>IFERROR(IF('Training Plan'!$A36="","",'Training Plan'!$G36),"")</f>
        <v/>
      </c>
      <c r="BH35" s="17" t="str">
        <f>IFERROR(IF('Training Plan'!$A36="","",'Training Plan'!$H36),"")</f>
        <v/>
      </c>
      <c r="BI35" s="17" t="str">
        <f>IF(OR(BA35="",BF35="Complete",AND('Skill Management'!$D$4&lt;&gt;"All Departments",BB35&lt;&gt;'Skill Management'!$D$4)),"",IF(BF35="Blocked",100000,IF(BF35="In Progress",200000,300000))+IF(BE35="",99999,BE35))</f>
        <v/>
      </c>
      <c r="BJ35" s="17" t="str">
        <f>IF(BI35="","",COUNTIFS($BI$4:$BI$203,"&gt;0",$BI$4:$BI$203,"&lt;"&amp;BI35)+COUNTIF($BI$4:BI35,BI35))</f>
        <v/>
      </c>
      <c r="BT35" t="str">
        <f t="shared" si="6"/>
        <v>Endpoint Provisioning</v>
      </c>
      <c r="BU35" t="str">
        <f t="shared" si="7"/>
        <v>IT Operations</v>
      </c>
      <c r="BV35" t="str">
        <f>IF(BT35="","",IFERROR(INDEX('Skills Matrix'!$G$6:$DE$205,MATCH('Employee Transcript'!$C$4,'Skills Matrix'!$B$6:$B$205,0),MATCH(BT35,'Skills Matrix'!$G$5:$DE$5,0)),""))</f>
        <v/>
      </c>
      <c r="BW35" t="str">
        <f>IF(BT35="","",IFERROR(INDEX('Competency Event Log'!$E$4:$E$803,MATCH('Employee Transcript'!$C$4&amp;"|"&amp;BT35,'Competency Event Log'!$U$4:$U$803,0)),""))</f>
        <v/>
      </c>
      <c r="BX35" t="str">
        <f>IF(BT35="","",IF(BU35='Employee Transcript'!$B$7,"Home Department","Cross-Trained"))</f>
        <v>Cross-Trained</v>
      </c>
      <c r="BY35" t="str">
        <f t="shared" si="8"/>
        <v>Yes</v>
      </c>
      <c r="BZ35" t="str">
        <f>IF(BT35="","",IFERROR(INDEX('Competency Event Log'!$L$4:$L$803,MATCH('Employee Transcript'!$C$4&amp;"|"&amp;BT35,'Competency Event Log'!$U$4:$U$803,0)),""))</f>
        <v/>
      </c>
      <c r="CA35" t="str">
        <f>IF(N(BV35)&gt;0,COUNTIF($BV$4:BV35,"&gt;0"),"")</f>
        <v/>
      </c>
      <c r="CB35" t="str">
        <f>IF(AND('Competency Event Log'!$B35='Employee Transcript'!$C$4,'Competency Event Log'!$I35&lt;&gt;"Yes"),'Competency Event Log'!$K35,"")</f>
        <v/>
      </c>
      <c r="CC35" t="str">
        <f t="shared" si="9"/>
        <v/>
      </c>
      <c r="CD35" t="str">
        <f>IF(Certifications!$A35='Employee Transcript'!$C$4,35,"")</f>
        <v/>
      </c>
      <c r="CE35" t="str">
        <f>IF(CD35="","",COUNTIF($CD$4:CD35,"&gt;0"))</f>
        <v/>
      </c>
      <c r="CF35" t="str">
        <f>IF(AND('Training Plan'!$A36='Employee Transcript'!$C$4,'Training Plan'!$F36&lt;&gt;"Complete"),36,"")</f>
        <v/>
      </c>
      <c r="CG35" t="str">
        <f>IF(CF35="","",COUNTIF($CF$4:CF35,"&gt;0"))</f>
        <v/>
      </c>
    </row>
    <row r="36" spans="1:85">
      <c r="A36" s="2" t="s">
        <v>1101</v>
      </c>
      <c r="B36" s="1" t="s">
        <v>145</v>
      </c>
      <c r="C36" s="1" t="s">
        <v>309</v>
      </c>
      <c r="D36" s="1">
        <v>3</v>
      </c>
      <c r="E36" s="1" t="s">
        <v>1047</v>
      </c>
      <c r="F36" s="3">
        <v>45902</v>
      </c>
      <c r="G36" s="1" t="s">
        <v>16</v>
      </c>
      <c r="H36" s="4" t="s">
        <v>1050</v>
      </c>
      <c r="I36" s="1" t="s">
        <v>708</v>
      </c>
      <c r="J36" s="1" t="s">
        <v>706</v>
      </c>
      <c r="K36" s="1" t="s">
        <v>306</v>
      </c>
      <c r="L36" s="1" t="s">
        <v>27</v>
      </c>
      <c r="M36" s="1">
        <v>4</v>
      </c>
      <c r="N36" s="1" t="s">
        <v>27</v>
      </c>
      <c r="P36" s="1" t="s">
        <v>706</v>
      </c>
      <c r="Q36" s="1" t="s">
        <v>306</v>
      </c>
      <c r="R36" s="1">
        <v>6</v>
      </c>
      <c r="S36" s="1">
        <f>COUNTIF('Skills Matrix'!$AM$6:$AM$205,3)</f>
        <v>2</v>
      </c>
      <c r="T36" s="1">
        <f t="shared" ref="T36:T67" si="10">MAX(0,R36-S36)</f>
        <v>4</v>
      </c>
      <c r="U36" s="1">
        <f>IF(AND(T36&gt;0,OR('HR Quick View'!$F$24="All Departments",Q36='HR Quick View'!$F$24)),COUNTIFS($T$4:$T$108,"&gt;"&amp;T36,$Q$4:$Q$108,IF('HR Quick View'!$F$24="All Departments","*",'HR Quick View'!$F$24))+COUNTIFS($T$4:T36,T36,$Q$4:Q36,IF('HR Quick View'!$F$24="All Departments","*",'HR Quick View'!$F$24)),"")</f>
        <v>14</v>
      </c>
      <c r="W36" s="1" t="s">
        <v>706</v>
      </c>
      <c r="X36" s="1" t="s">
        <v>306</v>
      </c>
      <c r="Y36" s="1" t="s">
        <v>27</v>
      </c>
      <c r="Z36" s="1" t="str">
        <f>IF('HR Quick View'!$C$9="","",IF(COUNTIFS('Competency Event Log'!$B$4:$B$803,'HR Quick View'!$C$9,'Competency Event Log'!$C$4:$C$803,W36,'Competency Event Log'!$T$4:$T$803,"Current")=0,"",SUMIFS('Competency Event Log'!$D$4:$D$803,'Competency Event Log'!$B$4:$B$803,'HR Quick View'!$C$9,'Competency Event Log'!$C$4:$C$803,W36,'Competency Event Log'!$T$4:$T$803,"Current")))</f>
        <v/>
      </c>
      <c r="AA36" s="1" t="str">
        <f>IF($Z36="","",IF('HR Quick View'!$B$10="Qualified only",IF($Z36=3,COUNTIF($Z$4:$Z36,3),""),IF('HR Quick View'!$B$10="Developing only",IF(OR($Z36=1,$Z36=2),COUNTIF($Z$4:$Z$108,"&gt;"&amp;$Z36)+COUNTIF($Z$4:$Z36,$Z36)-COUNTIF($Z$4:$Z$108,3),""),IF('HR Quick View'!$B$10="All scored",COUNTIF($Z$4:$Z$108,"&gt;"&amp;$Z36)+COUNTIF($Z$4:$Z36,$Z36),""))))</f>
        <v/>
      </c>
      <c r="AB36" s="1" t="str">
        <f>""</f>
        <v/>
      </c>
      <c r="AC36" s="1">
        <f t="shared" ref="AC36:AC67" si="11">R36</f>
        <v>6</v>
      </c>
      <c r="AD36" s="1">
        <f t="shared" ref="AD36:AD67" si="12">S36</f>
        <v>2</v>
      </c>
      <c r="AE36" s="1">
        <f t="shared" ref="AE36:AE67" si="13">T36</f>
        <v>4</v>
      </c>
      <c r="AF36" s="1" t="str">
        <f>IFERROR(IF(Lists!$B36="","",Lists!$B36),"")</f>
        <v>Elliot Wright</v>
      </c>
      <c r="AG36" s="1" t="str">
        <f>IFERROR(IF(Lists!$B36="","",Lists!$C36),"")</f>
        <v>Cloud &amp; Reliability</v>
      </c>
      <c r="AH36" s="1">
        <f>IFERROR(IF(Lists!$B36="","",Lists!$D36),"")</f>
        <v>3</v>
      </c>
      <c r="AI36" s="1" t="str">
        <f>IF(AF36="","",IFERROR(INDEX('Skills Matrix'!$G$6:$DE$205,MATCH(AF36,'Skills Matrix'!$B$6:$B$205,0),MATCH('HR Quick View'!$J$9,'Skills Matrix'!$G$5:$DE$5,0)),""))</f>
        <v/>
      </c>
      <c r="AJ36" s="1" t="str">
        <f t="shared" ref="AJ36:AJ67" si="14">IF(AI36=3,"Qualified",IF(AI36=2,"Developing",IF(AI36=1,"Needs Training","")))</f>
        <v/>
      </c>
      <c r="AK36" s="1" t="str">
        <f>IFERROR(IF(Lists!$B36="","",Lists!$E36),"")</f>
        <v>Avery Brooks</v>
      </c>
      <c r="AL36" s="1" t="str">
        <f>IF(AND(OR('HR Quick View'!$L$10="All Shifts",AH36='HR Quick View'!$L$10),OR(AND('HR Quick View'!$I$10="Qualified only",AI36=3),AND('HR Quick View'!$I$10="All trained",AI36&gt;0))),IF('HR Quick View'!$L$10="All Shifts",COUNTIF($AI$4:$AI$203,"&gt;"&amp;AI36)+COUNTIF($AI$4:AI36,AI36),COUNTIFS($AI$4:$AI$203,"&gt;"&amp;AI36,$AH$4:$AH$203,'HR Quick View'!$L$10)+COUNTIFS($AI$4:AI36,AI36,$AH$4:AH36,'HR Quick View'!$L$10)),"")</f>
        <v/>
      </c>
      <c r="AP36" s="17" t="str">
        <f>IFERROR(IF(Lists!$J36="","",Lists!$J36),"")</f>
        <v>Pull Request Review</v>
      </c>
      <c r="AQ36" s="17" t="str">
        <f>IFERROR(IF(Lists!$J36="","",Lists!$K36),"")</f>
        <v>Software Engineering</v>
      </c>
      <c r="AR36" s="17" t="str">
        <f>IFERROR(IF(Lists!$J36="","",Lists!$L36),"")</f>
        <v>Yes</v>
      </c>
      <c r="AS36" s="17">
        <f>IFERROR(IF(Lists!$J36="","",Lists!$M36),0)</f>
        <v>4</v>
      </c>
      <c r="AT36" s="17">
        <f>IF(AP36="","",COUNTIF('Skills Matrix'!$AM$6:$AM$205,3))</f>
        <v>2</v>
      </c>
      <c r="AU36" s="17">
        <f>IF(AP36="","",COUNTIF('Skills Matrix'!$AM$6:$AM$205,2))</f>
        <v>2</v>
      </c>
      <c r="AV36" s="17">
        <f t="shared" ref="AV36:AV67" si="15">IF(OR(AP36="",AS36&lt;=0),"",MAX(0,AS36-AT36))</f>
        <v>2</v>
      </c>
      <c r="AW36" s="17">
        <f>IF(OR(AP36="",AS36&lt;=0,AV36&lt;=0,AND('Skill Management'!$D$4&lt;&gt;"All Departments",AQ36&lt;&gt;'Skill Management'!$D$4)),"",IF(AT36=0,100000,0)+IF(AR36="Yes",10000,0)+AV36*100+AU36)</f>
        <v>10202</v>
      </c>
      <c r="AX36" s="17">
        <f>IF(AW36="","",COUNTIF($AW$4:$AW$106,"&gt;"&amp;AW36)+COUNTIF($AW$4:AW36,AW36))</f>
        <v>49</v>
      </c>
      <c r="AY36" s="17" t="str">
        <f>IFERROR(IF(Lists!$J36="","",Lists!$N36),"")</f>
        <v>Yes</v>
      </c>
      <c r="BA36" s="17" t="str">
        <f>IFERROR(IF('Training Plan'!$A37="","",'Training Plan'!$A37),"")</f>
        <v/>
      </c>
      <c r="BB36" s="17" t="str">
        <f>IFERROR(IF('Training Plan'!$A37="","",'Training Plan'!$B37),"")</f>
        <v/>
      </c>
      <c r="BC36" s="17" t="str">
        <f>IFERROR(IF('Training Plan'!$A37="","",'Training Plan'!$C37),"")</f>
        <v/>
      </c>
      <c r="BD36" s="17" t="str">
        <f>IFERROR(IF('Training Plan'!$A37="","",'Training Plan'!$D37),"")</f>
        <v/>
      </c>
      <c r="BE36" s="17" t="str">
        <f>IFERROR(IF('Training Plan'!$A37="","",'Training Plan'!$E37),"")</f>
        <v/>
      </c>
      <c r="BF36" s="17" t="str">
        <f>IFERROR(IF('Training Plan'!$A37="","",'Training Plan'!$F37),"")</f>
        <v/>
      </c>
      <c r="BG36" s="17" t="str">
        <f>IFERROR(IF('Training Plan'!$A37="","",'Training Plan'!$G37),"")</f>
        <v/>
      </c>
      <c r="BH36" s="17" t="str">
        <f>IFERROR(IF('Training Plan'!$A37="","",'Training Plan'!$H37),"")</f>
        <v/>
      </c>
      <c r="BI36" s="17" t="str">
        <f>IF(OR(BA36="",BF36="Complete",AND('Skill Management'!$D$4&lt;&gt;"All Departments",BB36&lt;&gt;'Skill Management'!$D$4)),"",IF(BF36="Blocked",100000,IF(BF36="In Progress",200000,300000))+IF(BE36="",99999,BE36))</f>
        <v/>
      </c>
      <c r="BJ36" s="17" t="str">
        <f>IF(BI36="","",COUNTIFS($BI$4:$BI$203,"&gt;0",$BI$4:$BI$203,"&lt;"&amp;BI36)+COUNTIF($BI$4:BI36,BI36))</f>
        <v/>
      </c>
      <c r="BT36" t="str">
        <f t="shared" ref="BT36:BT67" si="16">IF($J36="","",$J36)</f>
        <v>Pull Request Review</v>
      </c>
      <c r="BU36" t="str">
        <f t="shared" ref="BU36:BU67" si="17">IF(BT36="","",$K36)</f>
        <v>Software Engineering</v>
      </c>
      <c r="BV36" t="str">
        <f>IF(BT36="","",IFERROR(INDEX('Skills Matrix'!$G$6:$DE$205,MATCH('Employee Transcript'!$C$4,'Skills Matrix'!$B$6:$B$205,0),MATCH(BT36,'Skills Matrix'!$G$5:$DE$5,0)),""))</f>
        <v/>
      </c>
      <c r="BW36" t="str">
        <f>IF(BT36="","",IFERROR(INDEX('Competency Event Log'!$E$4:$E$803,MATCH('Employee Transcript'!$C$4&amp;"|"&amp;BT36,'Competency Event Log'!$U$4:$U$803,0)),""))</f>
        <v/>
      </c>
      <c r="BX36" t="str">
        <f>IF(BT36="","",IF(BU36='Employee Transcript'!$B$7,"Home Department","Cross-Trained"))</f>
        <v>Cross-Trained</v>
      </c>
      <c r="BY36" t="str">
        <f t="shared" ref="BY36:BY67" si="18">IF(BT36="","",$L36)</f>
        <v>Yes</v>
      </c>
      <c r="BZ36" t="str">
        <f>IF(BT36="","",IFERROR(INDEX('Competency Event Log'!$L$4:$L$803,MATCH('Employee Transcript'!$C$4&amp;"|"&amp;BT36,'Competency Event Log'!$U$4:$U$803,0)),""))</f>
        <v/>
      </c>
      <c r="CA36" t="str">
        <f>IF(N(BV36)&gt;0,COUNTIF($BV$4:BV36,"&gt;0"),"")</f>
        <v/>
      </c>
      <c r="CB36" t="str">
        <f>IF(AND('Competency Event Log'!$B36='Employee Transcript'!$C$4,'Competency Event Log'!$I36&lt;&gt;"Yes"),'Competency Event Log'!$K36,"")</f>
        <v/>
      </c>
      <c r="CC36" t="str">
        <f t="shared" si="9"/>
        <v/>
      </c>
      <c r="CD36" t="str">
        <f>IF(Certifications!$A36='Employee Transcript'!$C$4,36,"")</f>
        <v/>
      </c>
      <c r="CE36" t="str">
        <f>IF(CD36="","",COUNTIF($CD$4:CD36,"&gt;0"))</f>
        <v/>
      </c>
      <c r="CF36" t="str">
        <f>IF(AND('Training Plan'!$A37='Employee Transcript'!$C$4,'Training Plan'!$F37&lt;&gt;"Complete"),37,"")</f>
        <v/>
      </c>
      <c r="CG36" t="str">
        <f>IF(CF36="","",COUNTIF($CF$4:CF36,"&gt;0"))</f>
        <v/>
      </c>
    </row>
    <row r="37" spans="1:85">
      <c r="A37" s="2" t="s">
        <v>1127</v>
      </c>
      <c r="B37" s="1" t="s">
        <v>148</v>
      </c>
      <c r="C37" s="1" t="s">
        <v>309</v>
      </c>
      <c r="D37" s="1">
        <v>1</v>
      </c>
      <c r="E37" s="1" t="s">
        <v>1047</v>
      </c>
      <c r="F37" s="3">
        <v>43062</v>
      </c>
      <c r="G37" s="1" t="s">
        <v>16</v>
      </c>
      <c r="H37" s="4" t="s">
        <v>1050</v>
      </c>
      <c r="I37" s="1" t="s">
        <v>713</v>
      </c>
      <c r="J37" s="1" t="s">
        <v>711</v>
      </c>
      <c r="K37" s="1" t="s">
        <v>306</v>
      </c>
      <c r="L37" s="1" t="s">
        <v>27</v>
      </c>
      <c r="M37" s="1">
        <v>4</v>
      </c>
      <c r="N37" s="1" t="s">
        <v>27</v>
      </c>
      <c r="P37" s="1" t="s">
        <v>711</v>
      </c>
      <c r="Q37" s="1" t="s">
        <v>306</v>
      </c>
      <c r="R37" s="1">
        <v>3</v>
      </c>
      <c r="S37" s="1">
        <f>COUNTIF('Skills Matrix'!$AN$6:$AN$205,3)</f>
        <v>6</v>
      </c>
      <c r="T37" s="1">
        <f t="shared" si="10"/>
        <v>0</v>
      </c>
      <c r="U37" s="1" t="str">
        <f>IF(AND(T37&gt;0,OR('HR Quick View'!$F$24="All Departments",Q37='HR Quick View'!$F$24)),COUNTIFS($T$4:$T$108,"&gt;"&amp;T37,$Q$4:$Q$108,IF('HR Quick View'!$F$24="All Departments","*",'HR Quick View'!$F$24))+COUNTIFS($T$4:T37,T37,$Q$4:Q37,IF('HR Quick View'!$F$24="All Departments","*",'HR Quick View'!$F$24)),"")</f>
        <v/>
      </c>
      <c r="W37" s="1" t="s">
        <v>711</v>
      </c>
      <c r="X37" s="1" t="s">
        <v>306</v>
      </c>
      <c r="Y37" s="1" t="s">
        <v>27</v>
      </c>
      <c r="Z37" s="1" t="str">
        <f>IF('HR Quick View'!$C$9="","",IF(COUNTIFS('Competency Event Log'!$B$4:$B$803,'HR Quick View'!$C$9,'Competency Event Log'!$C$4:$C$803,W37,'Competency Event Log'!$T$4:$T$803,"Current")=0,"",SUMIFS('Competency Event Log'!$D$4:$D$803,'Competency Event Log'!$B$4:$B$803,'HR Quick View'!$C$9,'Competency Event Log'!$C$4:$C$803,W37,'Competency Event Log'!$T$4:$T$803,"Current")))</f>
        <v/>
      </c>
      <c r="AA37" s="1" t="str">
        <f>IF($Z37="","",IF('HR Quick View'!$B$10="Qualified only",IF($Z37=3,COUNTIF($Z$4:$Z37,3),""),IF('HR Quick View'!$B$10="Developing only",IF(OR($Z37=1,$Z37=2),COUNTIF($Z$4:$Z$108,"&gt;"&amp;$Z37)+COUNTIF($Z$4:$Z37,$Z37)-COUNTIF($Z$4:$Z$108,3),""),IF('HR Quick View'!$B$10="All scored",COUNTIF($Z$4:$Z$108,"&gt;"&amp;$Z37)+COUNTIF($Z$4:$Z37,$Z37),""))))</f>
        <v/>
      </c>
      <c r="AB37" s="1" t="str">
        <f>""</f>
        <v/>
      </c>
      <c r="AC37" s="1">
        <f t="shared" si="11"/>
        <v>3</v>
      </c>
      <c r="AD37" s="1">
        <f t="shared" si="12"/>
        <v>6</v>
      </c>
      <c r="AE37" s="1">
        <f t="shared" si="13"/>
        <v>0</v>
      </c>
      <c r="AF37" s="1" t="str">
        <f>IFERROR(IF(Lists!$B37="","",Lists!$B37),"")</f>
        <v>Sage Cook</v>
      </c>
      <c r="AG37" s="1" t="str">
        <f>IFERROR(IF(Lists!$B37="","",Lists!$C37),"")</f>
        <v>Cloud &amp; Reliability</v>
      </c>
      <c r="AH37" s="1">
        <f>IFERROR(IF(Lists!$B37="","",Lists!$D37),"")</f>
        <v>1</v>
      </c>
      <c r="AI37" s="1" t="str">
        <f>IF(AF37="","",IFERROR(INDEX('Skills Matrix'!$G$6:$DE$205,MATCH(AF37,'Skills Matrix'!$B$6:$B$205,0),MATCH('HR Quick View'!$J$9,'Skills Matrix'!$G$5:$DE$5,0)),""))</f>
        <v/>
      </c>
      <c r="AJ37" s="1" t="str">
        <f t="shared" si="14"/>
        <v/>
      </c>
      <c r="AK37" s="1" t="str">
        <f>IFERROR(IF(Lists!$B37="","",Lists!$E37),"")</f>
        <v>Avery Brooks</v>
      </c>
      <c r="AL37" s="1" t="str">
        <f>IF(AND(OR('HR Quick View'!$L$10="All Shifts",AH37='HR Quick View'!$L$10),OR(AND('HR Quick View'!$I$10="Qualified only",AI37=3),AND('HR Quick View'!$I$10="All trained",AI37&gt;0))),IF('HR Quick View'!$L$10="All Shifts",COUNTIF($AI$4:$AI$203,"&gt;"&amp;AI37)+COUNTIF($AI$4:AI37,AI37),COUNTIFS($AI$4:$AI$203,"&gt;"&amp;AI37,$AH$4:$AH$203,'HR Quick View'!$L$10)+COUNTIFS($AI$4:AI37,AI37,$AH$4:AH37,'HR Quick View'!$L$10)),"")</f>
        <v/>
      </c>
      <c r="AP37" s="17" t="str">
        <f>IFERROR(IF(Lists!$J37="","",Lists!$J37),"")</f>
        <v>Unit Testing</v>
      </c>
      <c r="AQ37" s="17" t="str">
        <f>IFERROR(IF(Lists!$J37="","",Lists!$K37),"")</f>
        <v>Software Engineering</v>
      </c>
      <c r="AR37" s="17" t="str">
        <f>IFERROR(IF(Lists!$J37="","",Lists!$L37),"")</f>
        <v>Yes</v>
      </c>
      <c r="AS37" s="17">
        <f>IFERROR(IF(Lists!$J37="","",Lists!$M37),0)</f>
        <v>4</v>
      </c>
      <c r="AT37" s="17">
        <f>IF(AP37="","",COUNTIF('Skills Matrix'!$AN$6:$AN$205,3))</f>
        <v>6</v>
      </c>
      <c r="AU37" s="17">
        <f>IF(AP37="","",COUNTIF('Skills Matrix'!$AN$6:$AN$205,2))</f>
        <v>0</v>
      </c>
      <c r="AV37" s="17">
        <f t="shared" si="15"/>
        <v>0</v>
      </c>
      <c r="AW37" s="17" t="str">
        <f>IF(OR(AP37="",AS37&lt;=0,AV37&lt;=0,AND('Skill Management'!$D$4&lt;&gt;"All Departments",AQ37&lt;&gt;'Skill Management'!$D$4)),"",IF(AT37=0,100000,0)+IF(AR37="Yes",10000,0)+AV37*100+AU37)</f>
        <v/>
      </c>
      <c r="AX37" s="17" t="str">
        <f>IF(AW37="","",COUNTIF($AW$4:$AW$106,"&gt;"&amp;AW37)+COUNTIF($AW$4:AW37,AW37))</f>
        <v/>
      </c>
      <c r="AY37" s="17" t="str">
        <f>IFERROR(IF(Lists!$J37="","",Lists!$N37),"")</f>
        <v>Yes</v>
      </c>
      <c r="BA37" s="17" t="str">
        <f>IFERROR(IF('Training Plan'!$A38="","",'Training Plan'!$A38),"")</f>
        <v/>
      </c>
      <c r="BB37" s="17" t="str">
        <f>IFERROR(IF('Training Plan'!$A38="","",'Training Plan'!$B38),"")</f>
        <v/>
      </c>
      <c r="BC37" s="17" t="str">
        <f>IFERROR(IF('Training Plan'!$A38="","",'Training Plan'!$C38),"")</f>
        <v/>
      </c>
      <c r="BD37" s="17" t="str">
        <f>IFERROR(IF('Training Plan'!$A38="","",'Training Plan'!$D38),"")</f>
        <v/>
      </c>
      <c r="BE37" s="17" t="str">
        <f>IFERROR(IF('Training Plan'!$A38="","",'Training Plan'!$E38),"")</f>
        <v/>
      </c>
      <c r="BF37" s="17" t="str">
        <f>IFERROR(IF('Training Plan'!$A38="","",'Training Plan'!$F38),"")</f>
        <v/>
      </c>
      <c r="BG37" s="17" t="str">
        <f>IFERROR(IF('Training Plan'!$A38="","",'Training Plan'!$G38),"")</f>
        <v/>
      </c>
      <c r="BH37" s="17" t="str">
        <f>IFERROR(IF('Training Plan'!$A38="","",'Training Plan'!$H38),"")</f>
        <v/>
      </c>
      <c r="BI37" s="17" t="str">
        <f>IF(OR(BA37="",BF37="Complete",AND('Skill Management'!$D$4&lt;&gt;"All Departments",BB37&lt;&gt;'Skill Management'!$D$4)),"",IF(BF37="Blocked",100000,IF(BF37="In Progress",200000,300000))+IF(BE37="",99999,BE37))</f>
        <v/>
      </c>
      <c r="BJ37" s="17" t="str">
        <f>IF(BI37="","",COUNTIFS($BI$4:$BI$203,"&gt;0",$BI$4:$BI$203,"&lt;"&amp;BI37)+COUNTIF($BI$4:BI37,BI37))</f>
        <v/>
      </c>
      <c r="BT37" t="str">
        <f t="shared" si="16"/>
        <v>Unit Testing</v>
      </c>
      <c r="BU37" t="str">
        <f t="shared" si="17"/>
        <v>Software Engineering</v>
      </c>
      <c r="BV37" t="str">
        <f>IF(BT37="","",IFERROR(INDEX('Skills Matrix'!$G$6:$DE$205,MATCH('Employee Transcript'!$C$4,'Skills Matrix'!$B$6:$B$205,0),MATCH(BT37,'Skills Matrix'!$G$5:$DE$5,0)),""))</f>
        <v/>
      </c>
      <c r="BW37" t="str">
        <f>IF(BT37="","",IFERROR(INDEX('Competency Event Log'!$E$4:$E$803,MATCH('Employee Transcript'!$C$4&amp;"|"&amp;BT37,'Competency Event Log'!$U$4:$U$803,0)),""))</f>
        <v/>
      </c>
      <c r="BX37" t="str">
        <f>IF(BT37="","",IF(BU37='Employee Transcript'!$B$7,"Home Department","Cross-Trained"))</f>
        <v>Cross-Trained</v>
      </c>
      <c r="BY37" t="str">
        <f t="shared" si="18"/>
        <v>Yes</v>
      </c>
      <c r="BZ37" t="str">
        <f>IF(BT37="","",IFERROR(INDEX('Competency Event Log'!$L$4:$L$803,MATCH('Employee Transcript'!$C$4&amp;"|"&amp;BT37,'Competency Event Log'!$U$4:$U$803,0)),""))</f>
        <v/>
      </c>
      <c r="CA37" t="str">
        <f>IF(N(BV37)&gt;0,COUNTIF($BV$4:BV37,"&gt;0"),"")</f>
        <v/>
      </c>
      <c r="CB37" t="str">
        <f>IF(AND('Competency Event Log'!$B37='Employee Transcript'!$C$4,'Competency Event Log'!$I37&lt;&gt;"Yes"),'Competency Event Log'!$K37,"")</f>
        <v/>
      </c>
      <c r="CC37" t="str">
        <f t="shared" si="9"/>
        <v/>
      </c>
      <c r="CD37" t="str">
        <f>IF(Certifications!$A37='Employee Transcript'!$C$4,37,"")</f>
        <v/>
      </c>
      <c r="CE37" t="str">
        <f>IF(CD37="","",COUNTIF($CD$4:CD37,"&gt;0"))</f>
        <v/>
      </c>
      <c r="CF37" t="str">
        <f>IF(AND('Training Plan'!$A38='Employee Transcript'!$C$4,'Training Plan'!$F38&lt;&gt;"Complete"),38,"")</f>
        <v/>
      </c>
      <c r="CG37" t="str">
        <f>IF(CF37="","",COUNTIF($CF$4:CF37,"&gt;0"))</f>
        <v/>
      </c>
    </row>
    <row r="38" spans="1:85">
      <c r="A38" s="2" t="s">
        <v>1148</v>
      </c>
      <c r="B38" s="1" t="s">
        <v>151</v>
      </c>
      <c r="C38" s="1" t="s">
        <v>309</v>
      </c>
      <c r="D38" s="1">
        <v>2</v>
      </c>
      <c r="E38" s="1" t="s">
        <v>1047</v>
      </c>
      <c r="F38" s="3">
        <v>43149</v>
      </c>
      <c r="G38" s="1" t="s">
        <v>1264</v>
      </c>
      <c r="H38" s="4" t="s">
        <v>1050</v>
      </c>
      <c r="I38" s="1" t="s">
        <v>698</v>
      </c>
      <c r="J38" s="1" t="s">
        <v>696</v>
      </c>
      <c r="K38" s="1" t="s">
        <v>306</v>
      </c>
      <c r="L38" s="1" t="s">
        <v>27</v>
      </c>
      <c r="M38" s="1">
        <v>4</v>
      </c>
      <c r="N38" s="1" t="s">
        <v>27</v>
      </c>
      <c r="P38" s="1" t="s">
        <v>696</v>
      </c>
      <c r="Q38" s="1" t="s">
        <v>306</v>
      </c>
      <c r="R38" s="1">
        <v>3</v>
      </c>
      <c r="S38" s="1">
        <f>COUNTIF('Skills Matrix'!$AO$6:$AO$205,3)</f>
        <v>5</v>
      </c>
      <c r="T38" s="1">
        <f t="shared" si="10"/>
        <v>0</v>
      </c>
      <c r="U38" s="1" t="str">
        <f>IF(AND(T38&gt;0,OR('HR Quick View'!$F$24="All Departments",Q38='HR Quick View'!$F$24)),COUNTIFS($T$4:$T$108,"&gt;"&amp;T38,$Q$4:$Q$108,IF('HR Quick View'!$F$24="All Departments","*",'HR Quick View'!$F$24))+COUNTIFS($T$4:T38,T38,$Q$4:Q38,IF('HR Quick View'!$F$24="All Departments","*",'HR Quick View'!$F$24)),"")</f>
        <v/>
      </c>
      <c r="W38" s="1" t="s">
        <v>696</v>
      </c>
      <c r="X38" s="1" t="s">
        <v>306</v>
      </c>
      <c r="Y38" s="1" t="s">
        <v>27</v>
      </c>
      <c r="Z38" s="1" t="str">
        <f>IF('HR Quick View'!$C$9="","",IF(COUNTIFS('Competency Event Log'!$B$4:$B$803,'HR Quick View'!$C$9,'Competency Event Log'!$C$4:$C$803,W38,'Competency Event Log'!$T$4:$T$803,"Current")=0,"",SUMIFS('Competency Event Log'!$D$4:$D$803,'Competency Event Log'!$B$4:$B$803,'HR Quick View'!$C$9,'Competency Event Log'!$C$4:$C$803,W38,'Competency Event Log'!$T$4:$T$803,"Current")))</f>
        <v/>
      </c>
      <c r="AA38" s="1" t="str">
        <f>IF($Z38="","",IF('HR Quick View'!$B$10="Qualified only",IF($Z38=3,COUNTIF($Z$4:$Z38,3),""),IF('HR Quick View'!$B$10="Developing only",IF(OR($Z38=1,$Z38=2),COUNTIF($Z$4:$Z$108,"&gt;"&amp;$Z38)+COUNTIF($Z$4:$Z38,$Z38)-COUNTIF($Z$4:$Z$108,3),""),IF('HR Quick View'!$B$10="All scored",COUNTIF($Z$4:$Z$108,"&gt;"&amp;$Z38)+COUNTIF($Z$4:$Z38,$Z38),""))))</f>
        <v/>
      </c>
      <c r="AB38" s="1" t="str">
        <f>""</f>
        <v/>
      </c>
      <c r="AC38" s="1">
        <f t="shared" si="11"/>
        <v>3</v>
      </c>
      <c r="AD38" s="1">
        <f t="shared" si="12"/>
        <v>5</v>
      </c>
      <c r="AE38" s="1">
        <f t="shared" si="13"/>
        <v>0</v>
      </c>
      <c r="AF38" s="1" t="str">
        <f>IFERROR(IF(Lists!$B38="","",Lists!$B38),"")</f>
        <v>Toby Patterson</v>
      </c>
      <c r="AG38" s="1" t="str">
        <f>IFERROR(IF(Lists!$B38="","",Lists!$C38),"")</f>
        <v>Cloud &amp; Reliability</v>
      </c>
      <c r="AH38" s="1">
        <f>IFERROR(IF(Lists!$B38="","",Lists!$D38),"")</f>
        <v>2</v>
      </c>
      <c r="AI38" s="1" t="str">
        <f>IF(AF38="","",IFERROR(INDEX('Skills Matrix'!$G$6:$DE$205,MATCH(AF38,'Skills Matrix'!$B$6:$B$205,0),MATCH('HR Quick View'!$J$9,'Skills Matrix'!$G$5:$DE$5,0)),""))</f>
        <v/>
      </c>
      <c r="AJ38" s="1" t="str">
        <f t="shared" si="14"/>
        <v/>
      </c>
      <c r="AK38" s="1" t="str">
        <f>IFERROR(IF(Lists!$B38="","",Lists!$E38),"")</f>
        <v>Avery Brooks</v>
      </c>
      <c r="AL38" s="1" t="str">
        <f>IF(AND(OR('HR Quick View'!$L$10="All Shifts",AH38='HR Quick View'!$L$10),OR(AND('HR Quick View'!$I$10="Qualified only",AI38=3),AND('HR Quick View'!$I$10="All trained",AI38&gt;0))),IF('HR Quick View'!$L$10="All Shifts",COUNTIF($AI$4:$AI$203,"&gt;"&amp;AI38)+COUNTIF($AI$4:AI38,AI38),COUNTIFS($AI$4:$AI$203,"&gt;"&amp;AI38,$AH$4:$AH$203,'HR Quick View'!$L$10)+COUNTIFS($AI$4:AI38,AI38,$AH$4:AH38,'HR Quick View'!$L$10)),"")</f>
        <v/>
      </c>
      <c r="AP38" s="17" t="str">
        <f>IFERROR(IF(Lists!$J38="","",Lists!$J38),"")</f>
        <v>Integration Testing</v>
      </c>
      <c r="AQ38" s="17" t="str">
        <f>IFERROR(IF(Lists!$J38="","",Lists!$K38),"")</f>
        <v>Software Engineering</v>
      </c>
      <c r="AR38" s="17" t="str">
        <f>IFERROR(IF(Lists!$J38="","",Lists!$L38),"")</f>
        <v>Yes</v>
      </c>
      <c r="AS38" s="17">
        <f>IFERROR(IF(Lists!$J38="","",Lists!$M38),0)</f>
        <v>4</v>
      </c>
      <c r="AT38" s="17">
        <f>IF(AP38="","",COUNTIF('Skills Matrix'!$AO$6:$AO$205,3))</f>
        <v>5</v>
      </c>
      <c r="AU38" s="17">
        <f>IF(AP38="","",COUNTIF('Skills Matrix'!$AO$6:$AO$205,2))</f>
        <v>1</v>
      </c>
      <c r="AV38" s="17">
        <f t="shared" si="15"/>
        <v>0</v>
      </c>
      <c r="AW38" s="17" t="str">
        <f>IF(OR(AP38="",AS38&lt;=0,AV38&lt;=0,AND('Skill Management'!$D$4&lt;&gt;"All Departments",AQ38&lt;&gt;'Skill Management'!$D$4)),"",IF(AT38=0,100000,0)+IF(AR38="Yes",10000,0)+AV38*100+AU38)</f>
        <v/>
      </c>
      <c r="AX38" s="17" t="str">
        <f>IF(AW38="","",COUNTIF($AW$4:$AW$106,"&gt;"&amp;AW38)+COUNTIF($AW$4:AW38,AW38))</f>
        <v/>
      </c>
      <c r="AY38" s="17" t="str">
        <f>IFERROR(IF(Lists!$J38="","",Lists!$N38),"")</f>
        <v>Yes</v>
      </c>
      <c r="BA38" s="17" t="str">
        <f>IFERROR(IF('Training Plan'!$A39="","",'Training Plan'!$A39),"")</f>
        <v/>
      </c>
      <c r="BB38" s="17" t="str">
        <f>IFERROR(IF('Training Plan'!$A39="","",'Training Plan'!$B39),"")</f>
        <v/>
      </c>
      <c r="BC38" s="17" t="str">
        <f>IFERROR(IF('Training Plan'!$A39="","",'Training Plan'!$C39),"")</f>
        <v/>
      </c>
      <c r="BD38" s="17" t="str">
        <f>IFERROR(IF('Training Plan'!$A39="","",'Training Plan'!$D39),"")</f>
        <v/>
      </c>
      <c r="BE38" s="17" t="str">
        <f>IFERROR(IF('Training Plan'!$A39="","",'Training Plan'!$E39),"")</f>
        <v/>
      </c>
      <c r="BF38" s="17" t="str">
        <f>IFERROR(IF('Training Plan'!$A39="","",'Training Plan'!$F39),"")</f>
        <v/>
      </c>
      <c r="BG38" s="17" t="str">
        <f>IFERROR(IF('Training Plan'!$A39="","",'Training Plan'!$G39),"")</f>
        <v/>
      </c>
      <c r="BH38" s="17" t="str">
        <f>IFERROR(IF('Training Plan'!$A39="","",'Training Plan'!$H39),"")</f>
        <v/>
      </c>
      <c r="BI38" s="17" t="str">
        <f>IF(OR(BA38="",BF38="Complete",AND('Skill Management'!$D$4&lt;&gt;"All Departments",BB38&lt;&gt;'Skill Management'!$D$4)),"",IF(BF38="Blocked",100000,IF(BF38="In Progress",200000,300000))+IF(BE38="",99999,BE38))</f>
        <v/>
      </c>
      <c r="BJ38" s="17" t="str">
        <f>IF(BI38="","",COUNTIFS($BI$4:$BI$203,"&gt;0",$BI$4:$BI$203,"&lt;"&amp;BI38)+COUNTIF($BI$4:BI38,BI38))</f>
        <v/>
      </c>
      <c r="BT38" t="str">
        <f t="shared" si="16"/>
        <v>Integration Testing</v>
      </c>
      <c r="BU38" t="str">
        <f t="shared" si="17"/>
        <v>Software Engineering</v>
      </c>
      <c r="BV38" t="str">
        <f>IF(BT38="","",IFERROR(INDEX('Skills Matrix'!$G$6:$DE$205,MATCH('Employee Transcript'!$C$4,'Skills Matrix'!$B$6:$B$205,0),MATCH(BT38,'Skills Matrix'!$G$5:$DE$5,0)),""))</f>
        <v/>
      </c>
      <c r="BW38" t="str">
        <f>IF(BT38="","",IFERROR(INDEX('Competency Event Log'!$E$4:$E$803,MATCH('Employee Transcript'!$C$4&amp;"|"&amp;BT38,'Competency Event Log'!$U$4:$U$803,0)),""))</f>
        <v/>
      </c>
      <c r="BX38" t="str">
        <f>IF(BT38="","",IF(BU38='Employee Transcript'!$B$7,"Home Department","Cross-Trained"))</f>
        <v>Cross-Trained</v>
      </c>
      <c r="BY38" t="str">
        <f t="shared" si="18"/>
        <v>Yes</v>
      </c>
      <c r="BZ38" t="str">
        <f>IF(BT38="","",IFERROR(INDEX('Competency Event Log'!$L$4:$L$803,MATCH('Employee Transcript'!$C$4&amp;"|"&amp;BT38,'Competency Event Log'!$U$4:$U$803,0)),""))</f>
        <v/>
      </c>
      <c r="CA38" t="str">
        <f>IF(N(BV38)&gt;0,COUNTIF($BV$4:BV38,"&gt;0"),"")</f>
        <v/>
      </c>
      <c r="CB38" t="str">
        <f>IF(AND('Competency Event Log'!$B38='Employee Transcript'!$C$4,'Competency Event Log'!$I38&lt;&gt;"Yes"),'Competency Event Log'!$K38,"")</f>
        <v/>
      </c>
      <c r="CC38" t="str">
        <f t="shared" si="9"/>
        <v/>
      </c>
      <c r="CD38" t="str">
        <f>IF(Certifications!$A38='Employee Transcript'!$C$4,38,"")</f>
        <v/>
      </c>
      <c r="CE38" t="str">
        <f>IF(CD38="","",COUNTIF($CD$4:CD38,"&gt;0"))</f>
        <v/>
      </c>
      <c r="CF38" t="str">
        <f>IF(AND('Training Plan'!$A39='Employee Transcript'!$C$4,'Training Plan'!$F39&lt;&gt;"Complete"),39,"")</f>
        <v/>
      </c>
      <c r="CG38" t="str">
        <f>IF(CF38="","",COUNTIF($CF$4:CF38,"&gt;0"))</f>
        <v/>
      </c>
    </row>
    <row r="39" spans="1:85">
      <c r="A39" s="2" t="s">
        <v>1164</v>
      </c>
      <c r="B39" s="1" t="s">
        <v>154</v>
      </c>
      <c r="C39" s="1" t="s">
        <v>309</v>
      </c>
      <c r="D39" s="1">
        <v>3</v>
      </c>
      <c r="E39" s="1" t="s">
        <v>1047</v>
      </c>
      <c r="F39" s="3">
        <v>43874</v>
      </c>
      <c r="G39" s="1" t="s">
        <v>16</v>
      </c>
      <c r="H39" s="4" t="s">
        <v>1050</v>
      </c>
      <c r="I39" s="1" t="s">
        <v>599</v>
      </c>
      <c r="J39" s="1" t="s">
        <v>597</v>
      </c>
      <c r="K39" s="1" t="s">
        <v>306</v>
      </c>
      <c r="L39" s="1" t="s">
        <v>27</v>
      </c>
      <c r="M39" s="1">
        <v>4</v>
      </c>
      <c r="N39" s="1" t="s">
        <v>27</v>
      </c>
      <c r="P39" s="1" t="s">
        <v>597</v>
      </c>
      <c r="Q39" s="1" t="s">
        <v>306</v>
      </c>
      <c r="R39" s="1">
        <v>3</v>
      </c>
      <c r="S39" s="1">
        <f>COUNTIF('Skills Matrix'!$AP$6:$AP$205,3)</f>
        <v>3</v>
      </c>
      <c r="T39" s="1">
        <f t="shared" si="10"/>
        <v>0</v>
      </c>
      <c r="U39" s="1" t="str">
        <f>IF(AND(T39&gt;0,OR('HR Quick View'!$F$24="All Departments",Q39='HR Quick View'!$F$24)),COUNTIFS($T$4:$T$108,"&gt;"&amp;T39,$Q$4:$Q$108,IF('HR Quick View'!$F$24="All Departments","*",'HR Quick View'!$F$24))+COUNTIFS($T$4:T39,T39,$Q$4:Q39,IF('HR Quick View'!$F$24="All Departments","*",'HR Quick View'!$F$24)),"")</f>
        <v/>
      </c>
      <c r="W39" s="1" t="s">
        <v>597</v>
      </c>
      <c r="X39" s="1" t="s">
        <v>306</v>
      </c>
      <c r="Y39" s="1" t="s">
        <v>27</v>
      </c>
      <c r="Z39" s="1" t="str">
        <f>IF('HR Quick View'!$C$9="","",IF(COUNTIFS('Competency Event Log'!$B$4:$B$803,'HR Quick View'!$C$9,'Competency Event Log'!$C$4:$C$803,W39,'Competency Event Log'!$T$4:$T$803,"Current")=0,"",SUMIFS('Competency Event Log'!$D$4:$D$803,'Competency Event Log'!$B$4:$B$803,'HR Quick View'!$C$9,'Competency Event Log'!$C$4:$C$803,W39,'Competency Event Log'!$T$4:$T$803,"Current")))</f>
        <v/>
      </c>
      <c r="AA39" s="1" t="str">
        <f>IF($Z39="","",IF('HR Quick View'!$B$10="Qualified only",IF($Z39=3,COUNTIF($Z$4:$Z39,3),""),IF('HR Quick View'!$B$10="Developing only",IF(OR($Z39=1,$Z39=2),COUNTIF($Z$4:$Z$108,"&gt;"&amp;$Z39)+COUNTIF($Z$4:$Z39,$Z39)-COUNTIF($Z$4:$Z$108,3),""),IF('HR Quick View'!$B$10="All scored",COUNTIF($Z$4:$Z$108,"&gt;"&amp;$Z39)+COUNTIF($Z$4:$Z39,$Z39),""))))</f>
        <v/>
      </c>
      <c r="AB39" s="1" t="str">
        <f>""</f>
        <v/>
      </c>
      <c r="AC39" s="1">
        <f t="shared" si="11"/>
        <v>3</v>
      </c>
      <c r="AD39" s="1">
        <f t="shared" si="12"/>
        <v>3</v>
      </c>
      <c r="AE39" s="1">
        <f t="shared" si="13"/>
        <v>0</v>
      </c>
      <c r="AF39" s="1" t="str">
        <f>IFERROR(IF(Lists!$B39="","",Lists!$B39),"")</f>
        <v>Lane Coleman</v>
      </c>
      <c r="AG39" s="1" t="str">
        <f>IFERROR(IF(Lists!$B39="","",Lists!$C39),"")</f>
        <v>Cloud &amp; Reliability</v>
      </c>
      <c r="AH39" s="1">
        <f>IFERROR(IF(Lists!$B39="","",Lists!$D39),"")</f>
        <v>3</v>
      </c>
      <c r="AI39" s="1" t="str">
        <f>IF(AF39="","",IFERROR(INDEX('Skills Matrix'!$G$6:$DE$205,MATCH(AF39,'Skills Matrix'!$B$6:$B$205,0),MATCH('HR Quick View'!$J$9,'Skills Matrix'!$G$5:$DE$5,0)),""))</f>
        <v/>
      </c>
      <c r="AJ39" s="1" t="str">
        <f t="shared" si="14"/>
        <v/>
      </c>
      <c r="AK39" s="1" t="str">
        <f>IFERROR(IF(Lists!$B39="","",Lists!$E39),"")</f>
        <v>Avery Brooks</v>
      </c>
      <c r="AL39" s="1" t="str">
        <f>IF(AND(OR('HR Quick View'!$L$10="All Shifts",AH39='HR Quick View'!$L$10),OR(AND('HR Quick View'!$I$10="Qualified only",AI39=3),AND('HR Quick View'!$I$10="All trained",AI39&gt;0))),IF('HR Quick View'!$L$10="All Shifts",COUNTIF($AI$4:$AI$203,"&gt;"&amp;AI39)+COUNTIF($AI$4:AI39,AI39),COUNTIFS($AI$4:$AI$203,"&gt;"&amp;AI39,$AH$4:$AH$203,'HR Quick View'!$L$10)+COUNTIFS($AI$4:AI39,AI39,$AH$4:AH39,'HR Quick View'!$L$10)),"")</f>
        <v/>
      </c>
      <c r="AP39" s="17" t="str">
        <f>IFERROR(IF(Lists!$J39="","",Lists!$J39),"")</f>
        <v>Feature Flag Management</v>
      </c>
      <c r="AQ39" s="17" t="str">
        <f>IFERROR(IF(Lists!$J39="","",Lists!$K39),"")</f>
        <v>Software Engineering</v>
      </c>
      <c r="AR39" s="17" t="str">
        <f>IFERROR(IF(Lists!$J39="","",Lists!$L39),"")</f>
        <v>Yes</v>
      </c>
      <c r="AS39" s="17">
        <f>IFERROR(IF(Lists!$J39="","",Lists!$M39),0)</f>
        <v>4</v>
      </c>
      <c r="AT39" s="17">
        <f>IF(AP39="","",COUNTIF('Skills Matrix'!$AP$6:$AP$205,3))</f>
        <v>3</v>
      </c>
      <c r="AU39" s="17">
        <f>IF(AP39="","",COUNTIF('Skills Matrix'!$AP$6:$AP$205,2))</f>
        <v>3</v>
      </c>
      <c r="AV39" s="17">
        <f t="shared" si="15"/>
        <v>1</v>
      </c>
      <c r="AW39" s="17">
        <f>IF(OR(AP39="",AS39&lt;=0,AV39&lt;=0,AND('Skill Management'!$D$4&lt;&gt;"All Departments",AQ39&lt;&gt;'Skill Management'!$D$4)),"",IF(AT39=0,100000,0)+IF(AR39="Yes",10000,0)+AV39*100+AU39)</f>
        <v>10103</v>
      </c>
      <c r="AX39" s="17">
        <f>IF(AW39="","",COUNTIF($AW$4:$AW$106,"&gt;"&amp;AW39)+COUNTIF($AW$4:AW39,AW39))</f>
        <v>57</v>
      </c>
      <c r="AY39" s="17" t="str">
        <f>IFERROR(IF(Lists!$J39="","",Lists!$N39),"")</f>
        <v>Yes</v>
      </c>
      <c r="BA39" s="17" t="str">
        <f>IFERROR(IF('Training Plan'!$A40="","",'Training Plan'!$A40),"")</f>
        <v/>
      </c>
      <c r="BB39" s="17" t="str">
        <f>IFERROR(IF('Training Plan'!$A40="","",'Training Plan'!$B40),"")</f>
        <v/>
      </c>
      <c r="BC39" s="17" t="str">
        <f>IFERROR(IF('Training Plan'!$A40="","",'Training Plan'!$C40),"")</f>
        <v/>
      </c>
      <c r="BD39" s="17" t="str">
        <f>IFERROR(IF('Training Plan'!$A40="","",'Training Plan'!$D40),"")</f>
        <v/>
      </c>
      <c r="BE39" s="17" t="str">
        <f>IFERROR(IF('Training Plan'!$A40="","",'Training Plan'!$E40),"")</f>
        <v/>
      </c>
      <c r="BF39" s="17" t="str">
        <f>IFERROR(IF('Training Plan'!$A40="","",'Training Plan'!$F40),"")</f>
        <v/>
      </c>
      <c r="BG39" s="17" t="str">
        <f>IFERROR(IF('Training Plan'!$A40="","",'Training Plan'!$G40),"")</f>
        <v/>
      </c>
      <c r="BH39" s="17" t="str">
        <f>IFERROR(IF('Training Plan'!$A40="","",'Training Plan'!$H40),"")</f>
        <v/>
      </c>
      <c r="BI39" s="17" t="str">
        <f>IF(OR(BA39="",BF39="Complete",AND('Skill Management'!$D$4&lt;&gt;"All Departments",BB39&lt;&gt;'Skill Management'!$D$4)),"",IF(BF39="Blocked",100000,IF(BF39="In Progress",200000,300000))+IF(BE39="",99999,BE39))</f>
        <v/>
      </c>
      <c r="BJ39" s="17" t="str">
        <f>IF(BI39="","",COUNTIFS($BI$4:$BI$203,"&gt;0",$BI$4:$BI$203,"&lt;"&amp;BI39)+COUNTIF($BI$4:BI39,BI39))</f>
        <v/>
      </c>
      <c r="BT39" t="str">
        <f t="shared" si="16"/>
        <v>Feature Flag Management</v>
      </c>
      <c r="BU39" t="str">
        <f t="shared" si="17"/>
        <v>Software Engineering</v>
      </c>
      <c r="BV39" t="str">
        <f>IF(BT39="","",IFERROR(INDEX('Skills Matrix'!$G$6:$DE$205,MATCH('Employee Transcript'!$C$4,'Skills Matrix'!$B$6:$B$205,0),MATCH(BT39,'Skills Matrix'!$G$5:$DE$5,0)),""))</f>
        <v/>
      </c>
      <c r="BW39" t="str">
        <f>IF(BT39="","",IFERROR(INDEX('Competency Event Log'!$E$4:$E$803,MATCH('Employee Transcript'!$C$4&amp;"|"&amp;BT39,'Competency Event Log'!$U$4:$U$803,0)),""))</f>
        <v/>
      </c>
      <c r="BX39" t="str">
        <f>IF(BT39="","",IF(BU39='Employee Transcript'!$B$7,"Home Department","Cross-Trained"))</f>
        <v>Cross-Trained</v>
      </c>
      <c r="BY39" t="str">
        <f t="shared" si="18"/>
        <v>Yes</v>
      </c>
      <c r="BZ39" t="str">
        <f>IF(BT39="","",IFERROR(INDEX('Competency Event Log'!$L$4:$L$803,MATCH('Employee Transcript'!$C$4&amp;"|"&amp;BT39,'Competency Event Log'!$U$4:$U$803,0)),""))</f>
        <v/>
      </c>
      <c r="CA39" t="str">
        <f>IF(N(BV39)&gt;0,COUNTIF($BV$4:BV39,"&gt;0"),"")</f>
        <v/>
      </c>
      <c r="CB39" t="str">
        <f>IF(AND('Competency Event Log'!$B39='Employee Transcript'!$C$4,'Competency Event Log'!$I39&lt;&gt;"Yes"),'Competency Event Log'!$K39,"")</f>
        <v/>
      </c>
      <c r="CC39" t="str">
        <f t="shared" si="9"/>
        <v/>
      </c>
      <c r="CD39" t="str">
        <f>IF(Certifications!$A39='Employee Transcript'!$C$4,39,"")</f>
        <v/>
      </c>
      <c r="CE39" t="str">
        <f>IF(CD39="","",COUNTIF($CD$4:CD39,"&gt;0"))</f>
        <v/>
      </c>
      <c r="CF39" t="str">
        <f>IF(AND('Training Plan'!$A40='Employee Transcript'!$C$4,'Training Plan'!$F40&lt;&gt;"Complete"),40,"")</f>
        <v/>
      </c>
      <c r="CG39" t="str">
        <f>IF(CF39="","",COUNTIF($CF$4:CF39,"&gt;0"))</f>
        <v/>
      </c>
    </row>
    <row r="40" spans="1:85">
      <c r="A40" s="2"/>
      <c r="B40" s="1"/>
      <c r="C40" s="1"/>
      <c r="D40" s="1"/>
      <c r="E40" s="1"/>
      <c r="F40" s="3"/>
      <c r="G40" s="1"/>
      <c r="H40" s="4"/>
      <c r="I40" s="1" t="s">
        <v>687</v>
      </c>
      <c r="J40" s="1" t="s">
        <v>682</v>
      </c>
      <c r="K40" s="1" t="s">
        <v>306</v>
      </c>
      <c r="L40" s="1" t="s">
        <v>27</v>
      </c>
      <c r="M40" s="1">
        <v>4</v>
      </c>
      <c r="N40" s="1" t="s">
        <v>27</v>
      </c>
      <c r="P40" s="1" t="s">
        <v>682</v>
      </c>
      <c r="Q40" s="1" t="s">
        <v>306</v>
      </c>
      <c r="R40" s="1">
        <v>3</v>
      </c>
      <c r="S40" s="1">
        <f>COUNTIF('Skills Matrix'!$AQ$6:$AQ$205,3)</f>
        <v>3</v>
      </c>
      <c r="T40" s="1">
        <f t="shared" si="10"/>
        <v>0</v>
      </c>
      <c r="U40" s="1" t="str">
        <f>IF(AND(T40&gt;0,OR('HR Quick View'!$F$24="All Departments",Q40='HR Quick View'!$F$24)),COUNTIFS($T$4:$T$108,"&gt;"&amp;T40,$Q$4:$Q$108,IF('HR Quick View'!$F$24="All Departments","*",'HR Quick View'!$F$24))+COUNTIFS($T$4:T40,T40,$Q$4:Q40,IF('HR Quick View'!$F$24="All Departments","*",'HR Quick View'!$F$24)),"")</f>
        <v/>
      </c>
      <c r="W40" s="1" t="s">
        <v>682</v>
      </c>
      <c r="X40" s="1" t="s">
        <v>306</v>
      </c>
      <c r="Y40" s="1" t="s">
        <v>27</v>
      </c>
      <c r="Z40" s="1" t="str">
        <f>IF('HR Quick View'!$C$9="","",IF(COUNTIFS('Competency Event Log'!$B$4:$B$803,'HR Quick View'!$C$9,'Competency Event Log'!$C$4:$C$803,W40,'Competency Event Log'!$T$4:$T$803,"Current")=0,"",SUMIFS('Competency Event Log'!$D$4:$D$803,'Competency Event Log'!$B$4:$B$803,'HR Quick View'!$C$9,'Competency Event Log'!$C$4:$C$803,W40,'Competency Event Log'!$T$4:$T$803,"Current")))</f>
        <v/>
      </c>
      <c r="AA40" s="1" t="str">
        <f>IF($Z40="","",IF('HR Quick View'!$B$10="Qualified only",IF($Z40=3,COUNTIF($Z$4:$Z40,3),""),IF('HR Quick View'!$B$10="Developing only",IF(OR($Z40=1,$Z40=2),COUNTIF($Z$4:$Z$108,"&gt;"&amp;$Z40)+COUNTIF($Z$4:$Z40,$Z40)-COUNTIF($Z$4:$Z$108,3),""),IF('HR Quick View'!$B$10="All scored",COUNTIF($Z$4:$Z$108,"&gt;"&amp;$Z40)+COUNTIF($Z$4:$Z40,$Z40),""))))</f>
        <v/>
      </c>
      <c r="AB40" s="1" t="str">
        <f>""</f>
        <v/>
      </c>
      <c r="AC40" s="1">
        <f t="shared" si="11"/>
        <v>3</v>
      </c>
      <c r="AD40" s="1">
        <f t="shared" si="12"/>
        <v>3</v>
      </c>
      <c r="AE40" s="1">
        <f t="shared" si="13"/>
        <v>0</v>
      </c>
      <c r="AF40" s="1" t="str">
        <f>IFERROR(IF(Lists!$B40="","",Lists!$B40),"")</f>
        <v/>
      </c>
      <c r="AG40" s="1" t="str">
        <f>IFERROR(IF(Lists!$B40="","",Lists!$C40),"")</f>
        <v/>
      </c>
      <c r="AH40" s="1" t="str">
        <f>IFERROR(IF(Lists!$B40="","",Lists!$D40),"")</f>
        <v/>
      </c>
      <c r="AI40" s="1" t="str">
        <f>IF(AF40="","",IFERROR(INDEX('Skills Matrix'!$G$6:$DE$205,MATCH(AF40,'Skills Matrix'!$B$6:$B$205,0),MATCH('HR Quick View'!$J$9,'Skills Matrix'!$G$5:$DE$5,0)),""))</f>
        <v/>
      </c>
      <c r="AJ40" s="1" t="str">
        <f t="shared" si="14"/>
        <v/>
      </c>
      <c r="AK40" s="1" t="str">
        <f>IFERROR(IF(Lists!$B40="","",Lists!$E40),"")</f>
        <v/>
      </c>
      <c r="AL40" s="1" t="str">
        <f>IF(AND(OR('HR Quick View'!$L$10="All Shifts",AH40='HR Quick View'!$L$10),OR(AND('HR Quick View'!$I$10="Qualified only",AI40=3),AND('HR Quick View'!$I$10="All trained",AI40&gt;0))),IF('HR Quick View'!$L$10="All Shifts",COUNTIF($AI$4:$AI$203,"&gt;"&amp;AI40)+COUNTIF($AI$4:AI40,AI40),COUNTIFS($AI$4:$AI$203,"&gt;"&amp;AI40,$AH$4:$AH$203,'HR Quick View'!$L$10)+COUNTIFS($AI$4:AI40,AI40,$AH$4:AH40,'HR Quick View'!$L$10)),"")</f>
        <v/>
      </c>
      <c r="AP40" s="17" t="str">
        <f>IFERROR(IF(Lists!$J40="","",Lists!$J40),"")</f>
        <v>Deployment Procedures</v>
      </c>
      <c r="AQ40" s="17" t="str">
        <f>IFERROR(IF(Lists!$J40="","",Lists!$K40),"")</f>
        <v>Software Engineering</v>
      </c>
      <c r="AR40" s="17" t="str">
        <f>IFERROR(IF(Lists!$J40="","",Lists!$L40),"")</f>
        <v>Yes</v>
      </c>
      <c r="AS40" s="17">
        <f>IFERROR(IF(Lists!$J40="","",Lists!$M40),0)</f>
        <v>4</v>
      </c>
      <c r="AT40" s="17">
        <f>IF(AP40="","",COUNTIF('Skills Matrix'!$AQ$6:$AQ$205,3))</f>
        <v>3</v>
      </c>
      <c r="AU40" s="17">
        <f>IF(AP40="","",COUNTIF('Skills Matrix'!$AQ$6:$AQ$205,2))</f>
        <v>2</v>
      </c>
      <c r="AV40" s="17">
        <f t="shared" si="15"/>
        <v>1</v>
      </c>
      <c r="AW40" s="17">
        <f>IF(OR(AP40="",AS40&lt;=0,AV40&lt;=0,AND('Skill Management'!$D$4&lt;&gt;"All Departments",AQ40&lt;&gt;'Skill Management'!$D$4)),"",IF(AT40=0,100000,0)+IF(AR40="Yes",10000,0)+AV40*100+AU40)</f>
        <v>10102</v>
      </c>
      <c r="AX40" s="17">
        <f>IF(AW40="","",COUNTIF($AW$4:$AW$106,"&gt;"&amp;AW40)+COUNTIF($AW$4:AW40,AW40))</f>
        <v>59</v>
      </c>
      <c r="AY40" s="17" t="str">
        <f>IFERROR(IF(Lists!$J40="","",Lists!$N40),"")</f>
        <v>Yes</v>
      </c>
      <c r="BA40" s="17" t="str">
        <f>IFERROR(IF('Training Plan'!$A41="","",'Training Plan'!$A41),"")</f>
        <v/>
      </c>
      <c r="BB40" s="17" t="str">
        <f>IFERROR(IF('Training Plan'!$A41="","",'Training Plan'!$B41),"")</f>
        <v/>
      </c>
      <c r="BC40" s="17" t="str">
        <f>IFERROR(IF('Training Plan'!$A41="","",'Training Plan'!$C41),"")</f>
        <v/>
      </c>
      <c r="BD40" s="17" t="str">
        <f>IFERROR(IF('Training Plan'!$A41="","",'Training Plan'!$D41),"")</f>
        <v/>
      </c>
      <c r="BE40" s="17" t="str">
        <f>IFERROR(IF('Training Plan'!$A41="","",'Training Plan'!$E41),"")</f>
        <v/>
      </c>
      <c r="BF40" s="17" t="str">
        <f>IFERROR(IF('Training Plan'!$A41="","",'Training Plan'!$F41),"")</f>
        <v/>
      </c>
      <c r="BG40" s="17" t="str">
        <f>IFERROR(IF('Training Plan'!$A41="","",'Training Plan'!$G41),"")</f>
        <v/>
      </c>
      <c r="BH40" s="17" t="str">
        <f>IFERROR(IF('Training Plan'!$A41="","",'Training Plan'!$H41),"")</f>
        <v/>
      </c>
      <c r="BI40" s="17" t="str">
        <f>IF(OR(BA40="",BF40="Complete",AND('Skill Management'!$D$4&lt;&gt;"All Departments",BB40&lt;&gt;'Skill Management'!$D$4)),"",IF(BF40="Blocked",100000,IF(BF40="In Progress",200000,300000))+IF(BE40="",99999,BE40))</f>
        <v/>
      </c>
      <c r="BJ40" s="17" t="str">
        <f>IF(BI40="","",COUNTIFS($BI$4:$BI$203,"&gt;0",$BI$4:$BI$203,"&lt;"&amp;BI40)+COUNTIF($BI$4:BI40,BI40))</f>
        <v/>
      </c>
      <c r="BT40" t="str">
        <f t="shared" si="16"/>
        <v>Deployment Procedures</v>
      </c>
      <c r="BU40" t="str">
        <f t="shared" si="17"/>
        <v>Software Engineering</v>
      </c>
      <c r="BV40" t="str">
        <f>IF(BT40="","",IFERROR(INDEX('Skills Matrix'!$G$6:$DE$205,MATCH('Employee Transcript'!$C$4,'Skills Matrix'!$B$6:$B$205,0),MATCH(BT40,'Skills Matrix'!$G$5:$DE$5,0)),""))</f>
        <v/>
      </c>
      <c r="BW40" t="str">
        <f>IF(BT40="","",IFERROR(INDEX('Competency Event Log'!$E$4:$E$803,MATCH('Employee Transcript'!$C$4&amp;"|"&amp;BT40,'Competency Event Log'!$U$4:$U$803,0)),""))</f>
        <v/>
      </c>
      <c r="BX40" t="str">
        <f>IF(BT40="","",IF(BU40='Employee Transcript'!$B$7,"Home Department","Cross-Trained"))</f>
        <v>Cross-Trained</v>
      </c>
      <c r="BY40" t="str">
        <f t="shared" si="18"/>
        <v>Yes</v>
      </c>
      <c r="BZ40" t="str">
        <f>IF(BT40="","",IFERROR(INDEX('Competency Event Log'!$L$4:$L$803,MATCH('Employee Transcript'!$C$4&amp;"|"&amp;BT40,'Competency Event Log'!$U$4:$U$803,0)),""))</f>
        <v/>
      </c>
      <c r="CA40" t="str">
        <f>IF(N(BV40)&gt;0,COUNTIF($BV$4:BV40,"&gt;0"),"")</f>
        <v/>
      </c>
      <c r="CB40" t="str">
        <f>IF(AND('Competency Event Log'!$B40='Employee Transcript'!$C$4,'Competency Event Log'!$I40&lt;&gt;"Yes"),'Competency Event Log'!$K40,"")</f>
        <v/>
      </c>
      <c r="CC40" t="str">
        <f t="shared" si="9"/>
        <v/>
      </c>
      <c r="CD40" t="str">
        <f>IF(Certifications!$A40='Employee Transcript'!$C$4,40,"")</f>
        <v/>
      </c>
      <c r="CE40" t="str">
        <f>IF(CD40="","",COUNTIF($CD$4:CD40,"&gt;0"))</f>
        <v/>
      </c>
      <c r="CF40" t="str">
        <f>IF(AND('Training Plan'!$A41='Employee Transcript'!$C$4,'Training Plan'!$F41&lt;&gt;"Complete"),41,"")</f>
        <v/>
      </c>
      <c r="CG40" t="str">
        <f>IF(CF40="","",COUNTIF($CF$4:CF40,"&gt;0"))</f>
        <v/>
      </c>
    </row>
    <row r="41" spans="1:85">
      <c r="A41" s="2"/>
      <c r="B41" s="1"/>
      <c r="C41" s="1"/>
      <c r="D41" s="1"/>
      <c r="E41" s="1"/>
      <c r="F41" s="3"/>
      <c r="G41" s="1"/>
      <c r="H41" s="4"/>
      <c r="I41" s="1" t="s">
        <v>727</v>
      </c>
      <c r="J41" s="1" t="s">
        <v>725</v>
      </c>
      <c r="K41" s="1" t="s">
        <v>306</v>
      </c>
      <c r="L41" s="1" t="s">
        <v>27</v>
      </c>
      <c r="M41" s="1">
        <v>4</v>
      </c>
      <c r="N41" s="1" t="s">
        <v>27</v>
      </c>
      <c r="P41" s="1" t="s">
        <v>725</v>
      </c>
      <c r="Q41" s="1" t="s">
        <v>306</v>
      </c>
      <c r="R41" s="1">
        <v>3</v>
      </c>
      <c r="S41" s="1">
        <f>COUNTIF('Skills Matrix'!$AR$6:$AR$205,3)</f>
        <v>1</v>
      </c>
      <c r="T41" s="1">
        <f t="shared" si="10"/>
        <v>2</v>
      </c>
      <c r="U41" s="1">
        <f>IF(AND(T41&gt;0,OR('HR Quick View'!$F$24="All Departments",Q41='HR Quick View'!$F$24)),COUNTIFS($T$4:$T$108,"&gt;"&amp;T41,$Q$4:$Q$108,IF('HR Quick View'!$F$24="All Departments","*",'HR Quick View'!$F$24))+COUNTIFS($T$4:T41,T41,$Q$4:Q41,IF('HR Quick View'!$F$24="All Departments","*",'HR Quick View'!$F$24)),"")</f>
        <v>38</v>
      </c>
      <c r="W41" s="1" t="s">
        <v>725</v>
      </c>
      <c r="X41" s="1" t="s">
        <v>306</v>
      </c>
      <c r="Y41" s="1" t="s">
        <v>27</v>
      </c>
      <c r="Z41" s="1" t="str">
        <f>IF('HR Quick View'!$C$9="","",IF(COUNTIFS('Competency Event Log'!$B$4:$B$803,'HR Quick View'!$C$9,'Competency Event Log'!$C$4:$C$803,W41,'Competency Event Log'!$T$4:$T$803,"Current")=0,"",SUMIFS('Competency Event Log'!$D$4:$D$803,'Competency Event Log'!$B$4:$B$803,'HR Quick View'!$C$9,'Competency Event Log'!$C$4:$C$803,W41,'Competency Event Log'!$T$4:$T$803,"Current")))</f>
        <v/>
      </c>
      <c r="AA41" s="1" t="str">
        <f>IF($Z41="","",IF('HR Quick View'!$B$10="Qualified only",IF($Z41=3,COUNTIF($Z$4:$Z41,3),""),IF('HR Quick View'!$B$10="Developing only",IF(OR($Z41=1,$Z41=2),COUNTIF($Z$4:$Z$108,"&gt;"&amp;$Z41)+COUNTIF($Z$4:$Z41,$Z41)-COUNTIF($Z$4:$Z$108,3),""),IF('HR Quick View'!$B$10="All scored",COUNTIF($Z$4:$Z$108,"&gt;"&amp;$Z41)+COUNTIF($Z$4:$Z41,$Z41),""))))</f>
        <v/>
      </c>
      <c r="AB41" s="1" t="str">
        <f>""</f>
        <v/>
      </c>
      <c r="AC41" s="1">
        <f t="shared" si="11"/>
        <v>3</v>
      </c>
      <c r="AD41" s="1">
        <f t="shared" si="12"/>
        <v>1</v>
      </c>
      <c r="AE41" s="1">
        <f t="shared" si="13"/>
        <v>2</v>
      </c>
      <c r="AF41" s="1" t="str">
        <f>IFERROR(IF(Lists!$B41="","",Lists!$B41),"")</f>
        <v/>
      </c>
      <c r="AG41" s="1" t="str">
        <f>IFERROR(IF(Lists!$B41="","",Lists!$C41),"")</f>
        <v/>
      </c>
      <c r="AH41" s="1" t="str">
        <f>IFERROR(IF(Lists!$B41="","",Lists!$D41),"")</f>
        <v/>
      </c>
      <c r="AI41" s="1" t="str">
        <f>IF(AF41="","",IFERROR(INDEX('Skills Matrix'!$G$6:$DE$205,MATCH(AF41,'Skills Matrix'!$B$6:$B$205,0),MATCH('HR Quick View'!$J$9,'Skills Matrix'!$G$5:$DE$5,0)),""))</f>
        <v/>
      </c>
      <c r="AJ41" s="1" t="str">
        <f t="shared" si="14"/>
        <v/>
      </c>
      <c r="AK41" s="1" t="str">
        <f>IFERROR(IF(Lists!$B41="","",Lists!$E41),"")</f>
        <v/>
      </c>
      <c r="AL41" s="1" t="str">
        <f>IF(AND(OR('HR Quick View'!$L$10="All Shifts",AH41='HR Quick View'!$L$10),OR(AND('HR Quick View'!$I$10="Qualified only",AI41=3),AND('HR Quick View'!$I$10="All trained",AI41&gt;0))),IF('HR Quick View'!$L$10="All Shifts",COUNTIF($AI$4:$AI$203,"&gt;"&amp;AI41)+COUNTIF($AI$4:AI41,AI41),COUNTIFS($AI$4:$AI$203,"&gt;"&amp;AI41,$AH$4:$AH$203,'HR Quick View'!$L$10)+COUNTIFS($AI$4:AI41,AI41,$AH$4:AH41,'HR Quick View'!$L$10)),"")</f>
        <v/>
      </c>
      <c r="AP41" s="17" t="str">
        <f>IFERROR(IF(Lists!$J41="","",Lists!$J41),"")</f>
        <v>Release Branching</v>
      </c>
      <c r="AQ41" s="17" t="str">
        <f>IFERROR(IF(Lists!$J41="","",Lists!$K41),"")</f>
        <v>Software Engineering</v>
      </c>
      <c r="AR41" s="17" t="str">
        <f>IFERROR(IF(Lists!$J41="","",Lists!$L41),"")</f>
        <v>Yes</v>
      </c>
      <c r="AS41" s="17">
        <f>IFERROR(IF(Lists!$J41="","",Lists!$M41),0)</f>
        <v>4</v>
      </c>
      <c r="AT41" s="17">
        <f>IF(AP41="","",COUNTIF('Skills Matrix'!$AR$6:$AR$205,3))</f>
        <v>1</v>
      </c>
      <c r="AU41" s="17">
        <f>IF(AP41="","",COUNTIF('Skills Matrix'!$AR$6:$AR$205,2))</f>
        <v>1</v>
      </c>
      <c r="AV41" s="17">
        <f t="shared" si="15"/>
        <v>3</v>
      </c>
      <c r="AW41" s="17">
        <f>IF(OR(AP41="",AS41&lt;=0,AV41&lt;=0,AND('Skill Management'!$D$4&lt;&gt;"All Departments",AQ41&lt;&gt;'Skill Management'!$D$4)),"",IF(AT41=0,100000,0)+IF(AR41="Yes",10000,0)+AV41*100+AU41)</f>
        <v>10301</v>
      </c>
      <c r="AX41" s="17">
        <f>IF(AW41="","",COUNTIF($AW$4:$AW$106,"&gt;"&amp;AW41)+COUNTIF($AW$4:AW41,AW41))</f>
        <v>37</v>
      </c>
      <c r="AY41" s="17" t="str">
        <f>IFERROR(IF(Lists!$J41="","",Lists!$N41),"")</f>
        <v>Yes</v>
      </c>
      <c r="BA41" s="17" t="str">
        <f>IFERROR(IF('Training Plan'!$A42="","",'Training Plan'!$A42),"")</f>
        <v/>
      </c>
      <c r="BB41" s="17" t="str">
        <f>IFERROR(IF('Training Plan'!$A42="","",'Training Plan'!$B42),"")</f>
        <v/>
      </c>
      <c r="BC41" s="17" t="str">
        <f>IFERROR(IF('Training Plan'!$A42="","",'Training Plan'!$C42),"")</f>
        <v/>
      </c>
      <c r="BD41" s="17" t="str">
        <f>IFERROR(IF('Training Plan'!$A42="","",'Training Plan'!$D42),"")</f>
        <v/>
      </c>
      <c r="BE41" s="17" t="str">
        <f>IFERROR(IF('Training Plan'!$A42="","",'Training Plan'!$E42),"")</f>
        <v/>
      </c>
      <c r="BF41" s="17" t="str">
        <f>IFERROR(IF('Training Plan'!$A42="","",'Training Plan'!$F42),"")</f>
        <v/>
      </c>
      <c r="BG41" s="17" t="str">
        <f>IFERROR(IF('Training Plan'!$A42="","",'Training Plan'!$G42),"")</f>
        <v/>
      </c>
      <c r="BH41" s="17" t="str">
        <f>IFERROR(IF('Training Plan'!$A42="","",'Training Plan'!$H42),"")</f>
        <v/>
      </c>
      <c r="BI41" s="17" t="str">
        <f>IF(OR(BA41="",BF41="Complete",AND('Skill Management'!$D$4&lt;&gt;"All Departments",BB41&lt;&gt;'Skill Management'!$D$4)),"",IF(BF41="Blocked",100000,IF(BF41="In Progress",200000,300000))+IF(BE41="",99999,BE41))</f>
        <v/>
      </c>
      <c r="BJ41" s="17" t="str">
        <f>IF(BI41="","",COUNTIFS($BI$4:$BI$203,"&gt;0",$BI$4:$BI$203,"&lt;"&amp;BI41)+COUNTIF($BI$4:BI41,BI41))</f>
        <v/>
      </c>
      <c r="BT41" t="str">
        <f t="shared" si="16"/>
        <v>Release Branching</v>
      </c>
      <c r="BU41" t="str">
        <f t="shared" si="17"/>
        <v>Software Engineering</v>
      </c>
      <c r="BV41" t="str">
        <f>IF(BT41="","",IFERROR(INDEX('Skills Matrix'!$G$6:$DE$205,MATCH('Employee Transcript'!$C$4,'Skills Matrix'!$B$6:$B$205,0),MATCH(BT41,'Skills Matrix'!$G$5:$DE$5,0)),""))</f>
        <v/>
      </c>
      <c r="BW41" t="str">
        <f>IF(BT41="","",IFERROR(INDEX('Competency Event Log'!$E$4:$E$803,MATCH('Employee Transcript'!$C$4&amp;"|"&amp;BT41,'Competency Event Log'!$U$4:$U$803,0)),""))</f>
        <v/>
      </c>
      <c r="BX41" t="str">
        <f>IF(BT41="","",IF(BU41='Employee Transcript'!$B$7,"Home Department","Cross-Trained"))</f>
        <v>Cross-Trained</v>
      </c>
      <c r="BY41" t="str">
        <f t="shared" si="18"/>
        <v>Yes</v>
      </c>
      <c r="BZ41" t="str">
        <f>IF(BT41="","",IFERROR(INDEX('Competency Event Log'!$L$4:$L$803,MATCH('Employee Transcript'!$C$4&amp;"|"&amp;BT41,'Competency Event Log'!$U$4:$U$803,0)),""))</f>
        <v/>
      </c>
      <c r="CA41" t="str">
        <f>IF(N(BV41)&gt;0,COUNTIF($BV$4:BV41,"&gt;0"),"")</f>
        <v/>
      </c>
      <c r="CB41" t="str">
        <f>IF(AND('Competency Event Log'!$B41='Employee Transcript'!$C$4,'Competency Event Log'!$I41&lt;&gt;"Yes"),'Competency Event Log'!$K41,"")</f>
        <v/>
      </c>
      <c r="CC41" t="str">
        <f t="shared" si="9"/>
        <v/>
      </c>
      <c r="CD41" t="str">
        <f>IF(Certifications!$A41='Employee Transcript'!$C$4,41,"")</f>
        <v/>
      </c>
      <c r="CE41" t="str">
        <f>IF(CD41="","",COUNTIF($CD$4:CD41,"&gt;0"))</f>
        <v/>
      </c>
      <c r="CF41" t="str">
        <f>IF(AND('Training Plan'!$A42='Employee Transcript'!$C$4,'Training Plan'!$F42&lt;&gt;"Complete"),42,"")</f>
        <v/>
      </c>
      <c r="CG41" t="str">
        <f>IF(CF41="","",COUNTIF($CF$4:CF41,"&gt;0"))</f>
        <v/>
      </c>
    </row>
    <row r="42" spans="1:85">
      <c r="A42" s="2"/>
      <c r="B42" s="1"/>
      <c r="C42" s="1"/>
      <c r="D42" s="1"/>
      <c r="E42" s="1"/>
      <c r="F42" s="3"/>
      <c r="G42" s="1"/>
      <c r="H42" s="4"/>
      <c r="I42" s="1" t="s">
        <v>694</v>
      </c>
      <c r="J42" s="1" t="s">
        <v>692</v>
      </c>
      <c r="K42" s="1" t="s">
        <v>306</v>
      </c>
      <c r="L42" s="1" t="s">
        <v>27</v>
      </c>
      <c r="M42" s="1">
        <v>4</v>
      </c>
      <c r="N42" s="1" t="s">
        <v>27</v>
      </c>
      <c r="P42" s="1" t="s">
        <v>692</v>
      </c>
      <c r="Q42" s="1" t="s">
        <v>306</v>
      </c>
      <c r="R42" s="1">
        <v>2</v>
      </c>
      <c r="S42" s="1">
        <f>COUNTIF('Skills Matrix'!$AS$6:$AS$205,3)</f>
        <v>6</v>
      </c>
      <c r="T42" s="1">
        <f t="shared" si="10"/>
        <v>0</v>
      </c>
      <c r="U42" s="1" t="str">
        <f>IF(AND(T42&gt;0,OR('HR Quick View'!$F$24="All Departments",Q42='HR Quick View'!$F$24)),COUNTIFS($T$4:$T$108,"&gt;"&amp;T42,$Q$4:$Q$108,IF('HR Quick View'!$F$24="All Departments","*",'HR Quick View'!$F$24))+COUNTIFS($T$4:T42,T42,$Q$4:Q42,IF('HR Quick View'!$F$24="All Departments","*",'HR Quick View'!$F$24)),"")</f>
        <v/>
      </c>
      <c r="W42" s="1" t="s">
        <v>692</v>
      </c>
      <c r="X42" s="1" t="s">
        <v>306</v>
      </c>
      <c r="Y42" s="1" t="s">
        <v>27</v>
      </c>
      <c r="Z42" s="1" t="str">
        <f>IF('HR Quick View'!$C$9="","",IF(COUNTIFS('Competency Event Log'!$B$4:$B$803,'HR Quick View'!$C$9,'Competency Event Log'!$C$4:$C$803,W42,'Competency Event Log'!$T$4:$T$803,"Current")=0,"",SUMIFS('Competency Event Log'!$D$4:$D$803,'Competency Event Log'!$B$4:$B$803,'HR Quick View'!$C$9,'Competency Event Log'!$C$4:$C$803,W42,'Competency Event Log'!$T$4:$T$803,"Current")))</f>
        <v/>
      </c>
      <c r="AA42" s="1" t="str">
        <f>IF($Z42="","",IF('HR Quick View'!$B$10="Qualified only",IF($Z42=3,COUNTIF($Z$4:$Z42,3),""),IF('HR Quick View'!$B$10="Developing only",IF(OR($Z42=1,$Z42=2),COUNTIF($Z$4:$Z$108,"&gt;"&amp;$Z42)+COUNTIF($Z$4:$Z42,$Z42)-COUNTIF($Z$4:$Z$108,3),""),IF('HR Quick View'!$B$10="All scored",COUNTIF($Z$4:$Z$108,"&gt;"&amp;$Z42)+COUNTIF($Z$4:$Z42,$Z42),""))))</f>
        <v/>
      </c>
      <c r="AB42" s="1" t="str">
        <f>""</f>
        <v/>
      </c>
      <c r="AC42" s="1">
        <f t="shared" si="11"/>
        <v>2</v>
      </c>
      <c r="AD42" s="1">
        <f t="shared" si="12"/>
        <v>6</v>
      </c>
      <c r="AE42" s="1">
        <f t="shared" si="13"/>
        <v>0</v>
      </c>
      <c r="AF42" s="1" t="str">
        <f>IFERROR(IF(Lists!$B42="","",Lists!$B42),"")</f>
        <v/>
      </c>
      <c r="AG42" s="1" t="str">
        <f>IFERROR(IF(Lists!$B42="","",Lists!$C42),"")</f>
        <v/>
      </c>
      <c r="AH42" s="1" t="str">
        <f>IFERROR(IF(Lists!$B42="","",Lists!$D42),"")</f>
        <v/>
      </c>
      <c r="AI42" s="1" t="str">
        <f>IF(AF42="","",IFERROR(INDEX('Skills Matrix'!$G$6:$DE$205,MATCH(AF42,'Skills Matrix'!$B$6:$B$205,0),MATCH('HR Quick View'!$J$9,'Skills Matrix'!$G$5:$DE$5,0)),""))</f>
        <v/>
      </c>
      <c r="AJ42" s="1" t="str">
        <f t="shared" si="14"/>
        <v/>
      </c>
      <c r="AK42" s="1" t="str">
        <f>IFERROR(IF(Lists!$B42="","",Lists!$E42),"")</f>
        <v/>
      </c>
      <c r="AL42" s="1" t="str">
        <f>IF(AND(OR('HR Quick View'!$L$10="All Shifts",AH42='HR Quick View'!$L$10),OR(AND('HR Quick View'!$I$10="Qualified only",AI42=3),AND('HR Quick View'!$I$10="All trained",AI42&gt;0))),IF('HR Quick View'!$L$10="All Shifts",COUNTIF($AI$4:$AI$203,"&gt;"&amp;AI42)+COUNTIF($AI$4:AI42,AI42),COUNTIFS($AI$4:$AI$203,"&gt;"&amp;AI42,$AH$4:$AH$203,'HR Quick View'!$L$10)+COUNTIFS($AI$4:AI42,AI42,$AH$4:AH42,'HR Quick View'!$L$10)),"")</f>
        <v/>
      </c>
      <c r="AP42" s="17" t="str">
        <f>IFERROR(IF(Lists!$J42="","",Lists!$J42),"")</f>
        <v>Secure Coding Basics</v>
      </c>
      <c r="AQ42" s="17" t="str">
        <f>IFERROR(IF(Lists!$J42="","",Lists!$K42),"")</f>
        <v>Software Engineering</v>
      </c>
      <c r="AR42" s="17" t="str">
        <f>IFERROR(IF(Lists!$J42="","",Lists!$L42),"")</f>
        <v>Yes</v>
      </c>
      <c r="AS42" s="17">
        <f>IFERROR(IF(Lists!$J42="","",Lists!$M42),0)</f>
        <v>4</v>
      </c>
      <c r="AT42" s="17">
        <f>IF(AP42="","",COUNTIF('Skills Matrix'!$AS$6:$AS$205,3))</f>
        <v>6</v>
      </c>
      <c r="AU42" s="17">
        <f>IF(AP42="","",COUNTIF('Skills Matrix'!$AS$6:$AS$205,2))</f>
        <v>1</v>
      </c>
      <c r="AV42" s="17">
        <f t="shared" si="15"/>
        <v>0</v>
      </c>
      <c r="AW42" s="17" t="str">
        <f>IF(OR(AP42="",AS42&lt;=0,AV42&lt;=0,AND('Skill Management'!$D$4&lt;&gt;"All Departments",AQ42&lt;&gt;'Skill Management'!$D$4)),"",IF(AT42=0,100000,0)+IF(AR42="Yes",10000,0)+AV42*100+AU42)</f>
        <v/>
      </c>
      <c r="AX42" s="17" t="str">
        <f>IF(AW42="","",COUNTIF($AW$4:$AW$106,"&gt;"&amp;AW42)+COUNTIF($AW$4:AW42,AW42))</f>
        <v/>
      </c>
      <c r="AY42" s="17" t="str">
        <f>IFERROR(IF(Lists!$J42="","",Lists!$N42),"")</f>
        <v>Yes</v>
      </c>
      <c r="BA42" s="17" t="str">
        <f>IFERROR(IF('Training Plan'!$A43="","",'Training Plan'!$A43),"")</f>
        <v/>
      </c>
      <c r="BB42" s="17" t="str">
        <f>IFERROR(IF('Training Plan'!$A43="","",'Training Plan'!$B43),"")</f>
        <v/>
      </c>
      <c r="BC42" s="17" t="str">
        <f>IFERROR(IF('Training Plan'!$A43="","",'Training Plan'!$C43),"")</f>
        <v/>
      </c>
      <c r="BD42" s="17" t="str">
        <f>IFERROR(IF('Training Plan'!$A43="","",'Training Plan'!$D43),"")</f>
        <v/>
      </c>
      <c r="BE42" s="17" t="str">
        <f>IFERROR(IF('Training Plan'!$A43="","",'Training Plan'!$E43),"")</f>
        <v/>
      </c>
      <c r="BF42" s="17" t="str">
        <f>IFERROR(IF('Training Plan'!$A43="","",'Training Plan'!$F43),"")</f>
        <v/>
      </c>
      <c r="BG42" s="17" t="str">
        <f>IFERROR(IF('Training Plan'!$A43="","",'Training Plan'!$G43),"")</f>
        <v/>
      </c>
      <c r="BH42" s="17" t="str">
        <f>IFERROR(IF('Training Plan'!$A43="","",'Training Plan'!$H43),"")</f>
        <v/>
      </c>
      <c r="BI42" s="17" t="str">
        <f>IF(OR(BA42="",BF42="Complete",AND('Skill Management'!$D$4&lt;&gt;"All Departments",BB42&lt;&gt;'Skill Management'!$D$4)),"",IF(BF42="Blocked",100000,IF(BF42="In Progress",200000,300000))+IF(BE42="",99999,BE42))</f>
        <v/>
      </c>
      <c r="BJ42" s="17" t="str">
        <f>IF(BI42="","",COUNTIFS($BI$4:$BI$203,"&gt;0",$BI$4:$BI$203,"&lt;"&amp;BI42)+COUNTIF($BI$4:BI42,BI42))</f>
        <v/>
      </c>
      <c r="BT42" t="str">
        <f t="shared" si="16"/>
        <v>Secure Coding Basics</v>
      </c>
      <c r="BU42" t="str">
        <f t="shared" si="17"/>
        <v>Software Engineering</v>
      </c>
      <c r="BV42" t="str">
        <f>IF(BT42="","",IFERROR(INDEX('Skills Matrix'!$G$6:$DE$205,MATCH('Employee Transcript'!$C$4,'Skills Matrix'!$B$6:$B$205,0),MATCH(BT42,'Skills Matrix'!$G$5:$DE$5,0)),""))</f>
        <v/>
      </c>
      <c r="BW42" t="str">
        <f>IF(BT42="","",IFERROR(INDEX('Competency Event Log'!$E$4:$E$803,MATCH('Employee Transcript'!$C$4&amp;"|"&amp;BT42,'Competency Event Log'!$U$4:$U$803,0)),""))</f>
        <v/>
      </c>
      <c r="BX42" t="str">
        <f>IF(BT42="","",IF(BU42='Employee Transcript'!$B$7,"Home Department","Cross-Trained"))</f>
        <v>Cross-Trained</v>
      </c>
      <c r="BY42" t="str">
        <f t="shared" si="18"/>
        <v>Yes</v>
      </c>
      <c r="BZ42" t="str">
        <f>IF(BT42="","",IFERROR(INDEX('Competency Event Log'!$L$4:$L$803,MATCH('Employee Transcript'!$C$4&amp;"|"&amp;BT42,'Competency Event Log'!$U$4:$U$803,0)),""))</f>
        <v/>
      </c>
      <c r="CA42" t="str">
        <f>IF(N(BV42)&gt;0,COUNTIF($BV$4:BV42,"&gt;0"),"")</f>
        <v/>
      </c>
      <c r="CB42" t="str">
        <f>IF(AND('Competency Event Log'!$B42='Employee Transcript'!$C$4,'Competency Event Log'!$I42&lt;&gt;"Yes"),'Competency Event Log'!$K42,"")</f>
        <v/>
      </c>
      <c r="CC42" t="str">
        <f t="shared" si="9"/>
        <v/>
      </c>
      <c r="CD42" t="str">
        <f>IF(Certifications!$A42='Employee Transcript'!$C$4,42,"")</f>
        <v/>
      </c>
      <c r="CE42" t="str">
        <f>IF(CD42="","",COUNTIF($CD$4:CD42,"&gt;0"))</f>
        <v/>
      </c>
      <c r="CF42" t="str">
        <f>IF(AND('Training Plan'!$A43='Employee Transcript'!$C$4,'Training Plan'!$F43&lt;&gt;"Complete"),43,"")</f>
        <v/>
      </c>
      <c r="CG42" t="str">
        <f>IF(CF42="","",COUNTIF($CF$4:CF42,"&gt;0"))</f>
        <v/>
      </c>
    </row>
    <row r="43" spans="1:85">
      <c r="A43" s="2"/>
      <c r="B43" s="1"/>
      <c r="C43" s="1"/>
      <c r="D43" s="1"/>
      <c r="E43" s="1"/>
      <c r="F43" s="3"/>
      <c r="G43" s="1"/>
      <c r="H43" s="4"/>
      <c r="I43" s="1" t="s">
        <v>835</v>
      </c>
      <c r="J43" s="1" t="s">
        <v>833</v>
      </c>
      <c r="K43" s="1" t="s">
        <v>307</v>
      </c>
      <c r="L43" s="1" t="s">
        <v>27</v>
      </c>
      <c r="M43" s="1">
        <v>4</v>
      </c>
      <c r="N43" s="1" t="s">
        <v>27</v>
      </c>
      <c r="P43" s="1" t="s">
        <v>833</v>
      </c>
      <c r="Q43" s="1" t="s">
        <v>307</v>
      </c>
      <c r="R43" s="1">
        <v>4</v>
      </c>
      <c r="S43" s="1">
        <f>COUNTIF('Skills Matrix'!$AT$6:$AT$205,3)</f>
        <v>1</v>
      </c>
      <c r="T43" s="1">
        <f t="shared" si="10"/>
        <v>3</v>
      </c>
      <c r="U43" s="1">
        <f>IF(AND(T43&gt;0,OR('HR Quick View'!$F$24="All Departments",Q43='HR Quick View'!$F$24)),COUNTIFS($T$4:$T$108,"&gt;"&amp;T43,$Q$4:$Q$108,IF('HR Quick View'!$F$24="All Departments","*",'HR Quick View'!$F$24))+COUNTIFS($T$4:T43,T43,$Q$4:Q43,IF('HR Quick View'!$F$24="All Departments","*",'HR Quick View'!$F$24)),"")</f>
        <v>24</v>
      </c>
      <c r="W43" s="1" t="s">
        <v>833</v>
      </c>
      <c r="X43" s="1" t="s">
        <v>307</v>
      </c>
      <c r="Y43" s="1" t="s">
        <v>27</v>
      </c>
      <c r="Z43" s="1" t="str">
        <f>IF('HR Quick View'!$C$9="","",IF(COUNTIFS('Competency Event Log'!$B$4:$B$803,'HR Quick View'!$C$9,'Competency Event Log'!$C$4:$C$803,W43,'Competency Event Log'!$T$4:$T$803,"Current")=0,"",SUMIFS('Competency Event Log'!$D$4:$D$803,'Competency Event Log'!$B$4:$B$803,'HR Quick View'!$C$9,'Competency Event Log'!$C$4:$C$803,W43,'Competency Event Log'!$T$4:$T$803,"Current")))</f>
        <v/>
      </c>
      <c r="AA43" s="1" t="str">
        <f>IF($Z43="","",IF('HR Quick View'!$B$10="Qualified only",IF($Z43=3,COUNTIF($Z$4:$Z43,3),""),IF('HR Quick View'!$B$10="Developing only",IF(OR($Z43=1,$Z43=2),COUNTIF($Z$4:$Z$108,"&gt;"&amp;$Z43)+COUNTIF($Z$4:$Z43,$Z43)-COUNTIF($Z$4:$Z$108,3),""),IF('HR Quick View'!$B$10="All scored",COUNTIF($Z$4:$Z$108,"&gt;"&amp;$Z43)+COUNTIF($Z$4:$Z43,$Z43),""))))</f>
        <v/>
      </c>
      <c r="AB43" s="1" t="str">
        <f>""</f>
        <v/>
      </c>
      <c r="AC43" s="1">
        <f t="shared" si="11"/>
        <v>4</v>
      </c>
      <c r="AD43" s="1">
        <f t="shared" si="12"/>
        <v>1</v>
      </c>
      <c r="AE43" s="1">
        <f t="shared" si="13"/>
        <v>3</v>
      </c>
      <c r="AF43" s="1" t="str">
        <f>IFERROR(IF(Lists!$B43="","",Lists!$B43),"")</f>
        <v/>
      </c>
      <c r="AG43" s="1" t="str">
        <f>IFERROR(IF(Lists!$B43="","",Lists!$C43),"")</f>
        <v/>
      </c>
      <c r="AH43" s="1" t="str">
        <f>IFERROR(IF(Lists!$B43="","",Lists!$D43),"")</f>
        <v/>
      </c>
      <c r="AI43" s="1" t="str">
        <f>IF(AF43="","",IFERROR(INDEX('Skills Matrix'!$G$6:$DE$205,MATCH(AF43,'Skills Matrix'!$B$6:$B$205,0),MATCH('HR Quick View'!$J$9,'Skills Matrix'!$G$5:$DE$5,0)),""))</f>
        <v/>
      </c>
      <c r="AJ43" s="1" t="str">
        <f t="shared" si="14"/>
        <v/>
      </c>
      <c r="AK43" s="1" t="str">
        <f>IFERROR(IF(Lists!$B43="","",Lists!$E43),"")</f>
        <v/>
      </c>
      <c r="AL43" s="1" t="str">
        <f>IF(AND(OR('HR Quick View'!$L$10="All Shifts",AH43='HR Quick View'!$L$10),OR(AND('HR Quick View'!$I$10="Qualified only",AI43=3),AND('HR Quick View'!$I$10="All trained",AI43&gt;0))),IF('HR Quick View'!$L$10="All Shifts",COUNTIF($AI$4:$AI$203,"&gt;"&amp;AI43)+COUNTIF($AI$4:AI43,AI43),COUNTIFS($AI$4:$AI$203,"&gt;"&amp;AI43,$AH$4:$AH$203,'HR Quick View'!$L$10)+COUNTIFS($AI$4:AI43,AI43,$AH$4:AH43,'HR Quick View'!$L$10)),"")</f>
        <v/>
      </c>
      <c r="AP43" s="17" t="str">
        <f>IFERROR(IF(Lists!$J43="","",Lists!$J43),"")</f>
        <v>Identity &amp; Access Specialist</v>
      </c>
      <c r="AQ43" s="17" t="str">
        <f>IFERROR(IF(Lists!$J43="","",Lists!$K43),"")</f>
        <v>IT Operations</v>
      </c>
      <c r="AR43" s="17" t="str">
        <f>IFERROR(IF(Lists!$J43="","",Lists!$L43),"")</f>
        <v>Yes</v>
      </c>
      <c r="AS43" s="17">
        <f>IFERROR(IF(Lists!$J43="","",Lists!$M43),0)</f>
        <v>4</v>
      </c>
      <c r="AT43" s="17">
        <f>IF(AP43="","",COUNTIF('Skills Matrix'!$AT$6:$AT$205,3))</f>
        <v>1</v>
      </c>
      <c r="AU43" s="17">
        <f>IF(AP43="","",COUNTIF('Skills Matrix'!$AT$6:$AT$205,2))</f>
        <v>2</v>
      </c>
      <c r="AV43" s="17">
        <f t="shared" si="15"/>
        <v>3</v>
      </c>
      <c r="AW43" s="17">
        <f>IF(OR(AP43="",AS43&lt;=0,AV43&lt;=0,AND('Skill Management'!$D$4&lt;&gt;"All Departments",AQ43&lt;&gt;'Skill Management'!$D$4)),"",IF(AT43=0,100000,0)+IF(AR43="Yes",10000,0)+AV43*100+AU43)</f>
        <v>10302</v>
      </c>
      <c r="AX43" s="17">
        <f>IF(AW43="","",COUNTIF($AW$4:$AW$106,"&gt;"&amp;AW43)+COUNTIF($AW$4:AW43,AW43))</f>
        <v>31</v>
      </c>
      <c r="AY43" s="17" t="str">
        <f>IFERROR(IF(Lists!$J43="","",Lists!$N43),"")</f>
        <v>Yes</v>
      </c>
      <c r="BA43" s="17" t="str">
        <f>IFERROR(IF('Training Plan'!$A44="","",'Training Plan'!$A44),"")</f>
        <v/>
      </c>
      <c r="BB43" s="17" t="str">
        <f>IFERROR(IF('Training Plan'!$A44="","",'Training Plan'!$B44),"")</f>
        <v/>
      </c>
      <c r="BC43" s="17" t="str">
        <f>IFERROR(IF('Training Plan'!$A44="","",'Training Plan'!$C44),"")</f>
        <v/>
      </c>
      <c r="BD43" s="17" t="str">
        <f>IFERROR(IF('Training Plan'!$A44="","",'Training Plan'!$D44),"")</f>
        <v/>
      </c>
      <c r="BE43" s="17" t="str">
        <f>IFERROR(IF('Training Plan'!$A44="","",'Training Plan'!$E44),"")</f>
        <v/>
      </c>
      <c r="BF43" s="17" t="str">
        <f>IFERROR(IF('Training Plan'!$A44="","",'Training Plan'!$F44),"")</f>
        <v/>
      </c>
      <c r="BG43" s="17" t="str">
        <f>IFERROR(IF('Training Plan'!$A44="","",'Training Plan'!$G44),"")</f>
        <v/>
      </c>
      <c r="BH43" s="17" t="str">
        <f>IFERROR(IF('Training Plan'!$A44="","",'Training Plan'!$H44),"")</f>
        <v/>
      </c>
      <c r="BI43" s="17" t="str">
        <f>IF(OR(BA43="",BF43="Complete",AND('Skill Management'!$D$4&lt;&gt;"All Departments",BB43&lt;&gt;'Skill Management'!$D$4)),"",IF(BF43="Blocked",100000,IF(BF43="In Progress",200000,300000))+IF(BE43="",99999,BE43))</f>
        <v/>
      </c>
      <c r="BJ43" s="17" t="str">
        <f>IF(BI43="","",COUNTIFS($BI$4:$BI$203,"&gt;0",$BI$4:$BI$203,"&lt;"&amp;BI43)+COUNTIF($BI$4:BI43,BI43))</f>
        <v/>
      </c>
      <c r="BT43" t="str">
        <f t="shared" si="16"/>
        <v>Identity &amp; Access Specialist</v>
      </c>
      <c r="BU43" t="str">
        <f t="shared" si="17"/>
        <v>IT Operations</v>
      </c>
      <c r="BV43" t="str">
        <f>IF(BT43="","",IFERROR(INDEX('Skills Matrix'!$G$6:$DE$205,MATCH('Employee Transcript'!$C$4,'Skills Matrix'!$B$6:$B$205,0),MATCH(BT43,'Skills Matrix'!$G$5:$DE$5,0)),""))</f>
        <v/>
      </c>
      <c r="BW43" t="str">
        <f>IF(BT43="","",IFERROR(INDEX('Competency Event Log'!$E$4:$E$803,MATCH('Employee Transcript'!$C$4&amp;"|"&amp;BT43,'Competency Event Log'!$U$4:$U$803,0)),""))</f>
        <v/>
      </c>
      <c r="BX43" t="str">
        <f>IF(BT43="","",IF(BU43='Employee Transcript'!$B$7,"Home Department","Cross-Trained"))</f>
        <v>Cross-Trained</v>
      </c>
      <c r="BY43" t="str">
        <f t="shared" si="18"/>
        <v>Yes</v>
      </c>
      <c r="BZ43" t="str">
        <f>IF(BT43="","",IFERROR(INDEX('Competency Event Log'!$L$4:$L$803,MATCH('Employee Transcript'!$C$4&amp;"|"&amp;BT43,'Competency Event Log'!$U$4:$U$803,0)),""))</f>
        <v/>
      </c>
      <c r="CA43" t="str">
        <f>IF(N(BV43)&gt;0,COUNTIF($BV$4:BV43,"&gt;0"),"")</f>
        <v/>
      </c>
      <c r="CB43" t="str">
        <f>IF(AND('Competency Event Log'!$B43='Employee Transcript'!$C$4,'Competency Event Log'!$I43&lt;&gt;"Yes"),'Competency Event Log'!$K43,"")</f>
        <v/>
      </c>
      <c r="CC43" t="str">
        <f t="shared" si="9"/>
        <v/>
      </c>
      <c r="CD43" t="str">
        <f>IF(Certifications!$A43='Employee Transcript'!$C$4,43,"")</f>
        <v/>
      </c>
      <c r="CE43" t="str">
        <f>IF(CD43="","",COUNTIF($CD$4:CD43,"&gt;0"))</f>
        <v/>
      </c>
      <c r="CF43" t="str">
        <f>IF(AND('Training Plan'!$A44='Employee Transcript'!$C$4,'Training Plan'!$F44&lt;&gt;"Complete"),44,"")</f>
        <v/>
      </c>
      <c r="CG43" t="str">
        <f>IF(CF43="","",COUNTIF($CF$4:CF43,"&gt;0"))</f>
        <v/>
      </c>
    </row>
    <row r="44" spans="1:85">
      <c r="A44" s="2"/>
      <c r="B44" s="1"/>
      <c r="C44" s="1"/>
      <c r="D44" s="1"/>
      <c r="E44" s="1"/>
      <c r="F44" s="3"/>
      <c r="G44" s="1"/>
      <c r="H44" s="4"/>
      <c r="I44" s="1" t="s">
        <v>839</v>
      </c>
      <c r="J44" s="1" t="s">
        <v>837</v>
      </c>
      <c r="K44" s="1" t="s">
        <v>307</v>
      </c>
      <c r="L44" s="1" t="s">
        <v>27</v>
      </c>
      <c r="M44" s="1">
        <v>4</v>
      </c>
      <c r="N44" s="1" t="s">
        <v>27</v>
      </c>
      <c r="P44" s="1" t="s">
        <v>837</v>
      </c>
      <c r="Q44" s="1" t="s">
        <v>307</v>
      </c>
      <c r="R44" s="1">
        <v>3</v>
      </c>
      <c r="S44" s="1">
        <f>COUNTIF('Skills Matrix'!$AU$6:$AU$205,3)</f>
        <v>5</v>
      </c>
      <c r="T44" s="1">
        <f t="shared" si="10"/>
        <v>0</v>
      </c>
      <c r="U44" s="1" t="str">
        <f>IF(AND(T44&gt;0,OR('HR Quick View'!$F$24="All Departments",Q44='HR Quick View'!$F$24)),COUNTIFS($T$4:$T$108,"&gt;"&amp;T44,$Q$4:$Q$108,IF('HR Quick View'!$F$24="All Departments","*",'HR Quick View'!$F$24))+COUNTIFS($T$4:T44,T44,$Q$4:Q44,IF('HR Quick View'!$F$24="All Departments","*",'HR Quick View'!$F$24)),"")</f>
        <v/>
      </c>
      <c r="W44" s="1" t="s">
        <v>837</v>
      </c>
      <c r="X44" s="1" t="s">
        <v>307</v>
      </c>
      <c r="Y44" s="1" t="s">
        <v>27</v>
      </c>
      <c r="Z44" s="1" t="str">
        <f>IF('HR Quick View'!$C$9="","",IF(COUNTIFS('Competency Event Log'!$B$4:$B$803,'HR Quick View'!$C$9,'Competency Event Log'!$C$4:$C$803,W44,'Competency Event Log'!$T$4:$T$803,"Current")=0,"",SUMIFS('Competency Event Log'!$D$4:$D$803,'Competency Event Log'!$B$4:$B$803,'HR Quick View'!$C$9,'Competency Event Log'!$C$4:$C$803,W44,'Competency Event Log'!$T$4:$T$803,"Current")))</f>
        <v/>
      </c>
      <c r="AA44" s="1" t="str">
        <f>IF($Z44="","",IF('HR Quick View'!$B$10="Qualified only",IF($Z44=3,COUNTIF($Z$4:$Z44,3),""),IF('HR Quick View'!$B$10="Developing only",IF(OR($Z44=1,$Z44=2),COUNTIF($Z$4:$Z$108,"&gt;"&amp;$Z44)+COUNTIF($Z$4:$Z44,$Z44)-COUNTIF($Z$4:$Z$108,3),""),IF('HR Quick View'!$B$10="All scored",COUNTIF($Z$4:$Z$108,"&gt;"&amp;$Z44)+COUNTIF($Z$4:$Z44,$Z44),""))))</f>
        <v/>
      </c>
      <c r="AB44" s="1" t="str">
        <f>""</f>
        <v/>
      </c>
      <c r="AC44" s="1">
        <f t="shared" si="11"/>
        <v>3</v>
      </c>
      <c r="AD44" s="1">
        <f t="shared" si="12"/>
        <v>5</v>
      </c>
      <c r="AE44" s="1">
        <f t="shared" si="13"/>
        <v>0</v>
      </c>
      <c r="AF44" s="1" t="str">
        <f>IFERROR(IF(Lists!$B44="","",Lists!$B44),"")</f>
        <v/>
      </c>
      <c r="AG44" s="1" t="str">
        <f>IFERROR(IF(Lists!$B44="","",Lists!$C44),"")</f>
        <v/>
      </c>
      <c r="AH44" s="1" t="str">
        <f>IFERROR(IF(Lists!$B44="","",Lists!$D44),"")</f>
        <v/>
      </c>
      <c r="AI44" s="1" t="str">
        <f>IF(AF44="","",IFERROR(INDEX('Skills Matrix'!$G$6:$DE$205,MATCH(AF44,'Skills Matrix'!$B$6:$B$205,0),MATCH('HR Quick View'!$J$9,'Skills Matrix'!$G$5:$DE$5,0)),""))</f>
        <v/>
      </c>
      <c r="AJ44" s="1" t="str">
        <f t="shared" si="14"/>
        <v/>
      </c>
      <c r="AK44" s="1" t="str">
        <f>IFERROR(IF(Lists!$B44="","",Lists!$E44),"")</f>
        <v/>
      </c>
      <c r="AL44" s="1" t="str">
        <f>IF(AND(OR('HR Quick View'!$L$10="All Shifts",AH44='HR Quick View'!$L$10),OR(AND('HR Quick View'!$I$10="Qualified only",AI44=3),AND('HR Quick View'!$I$10="All trained",AI44&gt;0))),IF('HR Quick View'!$L$10="All Shifts",COUNTIF($AI$4:$AI$203,"&gt;"&amp;AI44)+COUNTIF($AI$4:AI44,AI44),COUNTIFS($AI$4:$AI$203,"&gt;"&amp;AI44,$AH$4:$AH$203,'HR Quick View'!$L$10)+COUNTIFS($AI$4:AI44,AI44,$AH$4:AH44,'HR Quick View'!$L$10)),"")</f>
        <v/>
      </c>
      <c r="AP44" s="17" t="str">
        <f>IFERROR(IF(Lists!$J44="","",Lists!$J44),"")</f>
        <v>IT Service Analyst</v>
      </c>
      <c r="AQ44" s="17" t="str">
        <f>IFERROR(IF(Lists!$J44="","",Lists!$K44),"")</f>
        <v>IT Operations</v>
      </c>
      <c r="AR44" s="17" t="str">
        <f>IFERROR(IF(Lists!$J44="","",Lists!$L44),"")</f>
        <v>Yes</v>
      </c>
      <c r="AS44" s="17">
        <f>IFERROR(IF(Lists!$J44="","",Lists!$M44),0)</f>
        <v>4</v>
      </c>
      <c r="AT44" s="17">
        <f>IF(AP44="","",COUNTIF('Skills Matrix'!$AU$6:$AU$205,3))</f>
        <v>5</v>
      </c>
      <c r="AU44" s="17">
        <f>IF(AP44="","",COUNTIF('Skills Matrix'!$AU$6:$AU$205,2))</f>
        <v>1</v>
      </c>
      <c r="AV44" s="17">
        <f t="shared" si="15"/>
        <v>0</v>
      </c>
      <c r="AW44" s="17" t="str">
        <f>IF(OR(AP44="",AS44&lt;=0,AV44&lt;=0,AND('Skill Management'!$D$4&lt;&gt;"All Departments",AQ44&lt;&gt;'Skill Management'!$D$4)),"",IF(AT44=0,100000,0)+IF(AR44="Yes",10000,0)+AV44*100+AU44)</f>
        <v/>
      </c>
      <c r="AX44" s="17" t="str">
        <f>IF(AW44="","",COUNTIF($AW$4:$AW$106,"&gt;"&amp;AW44)+COUNTIF($AW$4:AW44,AW44))</f>
        <v/>
      </c>
      <c r="AY44" s="17" t="str">
        <f>IFERROR(IF(Lists!$J44="","",Lists!$N44),"")</f>
        <v>Yes</v>
      </c>
      <c r="BA44" s="17" t="str">
        <f>IFERROR(IF('Training Plan'!$A45="","",'Training Plan'!$A45),"")</f>
        <v/>
      </c>
      <c r="BB44" s="17" t="str">
        <f>IFERROR(IF('Training Plan'!$A45="","",'Training Plan'!$B45),"")</f>
        <v/>
      </c>
      <c r="BC44" s="17" t="str">
        <f>IFERROR(IF('Training Plan'!$A45="","",'Training Plan'!$C45),"")</f>
        <v/>
      </c>
      <c r="BD44" s="17" t="str">
        <f>IFERROR(IF('Training Plan'!$A45="","",'Training Plan'!$D45),"")</f>
        <v/>
      </c>
      <c r="BE44" s="17" t="str">
        <f>IFERROR(IF('Training Plan'!$A45="","",'Training Plan'!$E45),"")</f>
        <v/>
      </c>
      <c r="BF44" s="17" t="str">
        <f>IFERROR(IF('Training Plan'!$A45="","",'Training Plan'!$F45),"")</f>
        <v/>
      </c>
      <c r="BG44" s="17" t="str">
        <f>IFERROR(IF('Training Plan'!$A45="","",'Training Plan'!$G45),"")</f>
        <v/>
      </c>
      <c r="BH44" s="17" t="str">
        <f>IFERROR(IF('Training Plan'!$A45="","",'Training Plan'!$H45),"")</f>
        <v/>
      </c>
      <c r="BI44" s="17" t="str">
        <f>IF(OR(BA44="",BF44="Complete",AND('Skill Management'!$D$4&lt;&gt;"All Departments",BB44&lt;&gt;'Skill Management'!$D$4)),"",IF(BF44="Blocked",100000,IF(BF44="In Progress",200000,300000))+IF(BE44="",99999,BE44))</f>
        <v/>
      </c>
      <c r="BJ44" s="17" t="str">
        <f>IF(BI44="","",COUNTIFS($BI$4:$BI$203,"&gt;0",$BI$4:$BI$203,"&lt;"&amp;BI44)+COUNTIF($BI$4:BI44,BI44))</f>
        <v/>
      </c>
      <c r="BT44" t="str">
        <f t="shared" si="16"/>
        <v>IT Service Analyst</v>
      </c>
      <c r="BU44" t="str">
        <f t="shared" si="17"/>
        <v>IT Operations</v>
      </c>
      <c r="BV44" t="str">
        <f>IF(BT44="","",IFERROR(INDEX('Skills Matrix'!$G$6:$DE$205,MATCH('Employee Transcript'!$C$4,'Skills Matrix'!$B$6:$B$205,0),MATCH(BT44,'Skills Matrix'!$G$5:$DE$5,0)),""))</f>
        <v/>
      </c>
      <c r="BW44" t="str">
        <f>IF(BT44="","",IFERROR(INDEX('Competency Event Log'!$E$4:$E$803,MATCH('Employee Transcript'!$C$4&amp;"|"&amp;BT44,'Competency Event Log'!$U$4:$U$803,0)),""))</f>
        <v/>
      </c>
      <c r="BX44" t="str">
        <f>IF(BT44="","",IF(BU44='Employee Transcript'!$B$7,"Home Department","Cross-Trained"))</f>
        <v>Cross-Trained</v>
      </c>
      <c r="BY44" t="str">
        <f t="shared" si="18"/>
        <v>Yes</v>
      </c>
      <c r="BZ44" t="str">
        <f>IF(BT44="","",IFERROR(INDEX('Competency Event Log'!$L$4:$L$803,MATCH('Employee Transcript'!$C$4&amp;"|"&amp;BT44,'Competency Event Log'!$U$4:$U$803,0)),""))</f>
        <v/>
      </c>
      <c r="CA44" t="str">
        <f>IF(N(BV44)&gt;0,COUNTIF($BV$4:BV44,"&gt;0"),"")</f>
        <v/>
      </c>
      <c r="CB44" t="str">
        <f>IF(AND('Competency Event Log'!$B44='Employee Transcript'!$C$4,'Competency Event Log'!$I44&lt;&gt;"Yes"),'Competency Event Log'!$K44,"")</f>
        <v/>
      </c>
      <c r="CC44" t="str">
        <f t="shared" si="9"/>
        <v/>
      </c>
      <c r="CD44" t="str">
        <f>IF(Certifications!$A44='Employee Transcript'!$C$4,44,"")</f>
        <v/>
      </c>
      <c r="CE44" t="str">
        <f>IF(CD44="","",COUNTIF($CD$4:CD44,"&gt;0"))</f>
        <v/>
      </c>
      <c r="CF44" t="str">
        <f>IF(AND('Training Plan'!$A45='Employee Transcript'!$C$4,'Training Plan'!$F45&lt;&gt;"Complete"),45,"")</f>
        <v/>
      </c>
      <c r="CG44" t="str">
        <f>IF(CF44="","",COUNTIF($CF$4:CF44,"&gt;0"))</f>
        <v/>
      </c>
    </row>
    <row r="45" spans="1:85">
      <c r="A45" s="2"/>
      <c r="B45" s="1"/>
      <c r="C45" s="1"/>
      <c r="D45" s="1"/>
      <c r="E45" s="1"/>
      <c r="F45" s="3"/>
      <c r="G45" s="1"/>
      <c r="H45" s="4"/>
      <c r="I45" s="1" t="s">
        <v>829</v>
      </c>
      <c r="J45" s="1" t="s">
        <v>827</v>
      </c>
      <c r="K45" s="1" t="s">
        <v>307</v>
      </c>
      <c r="L45" s="1" t="s">
        <v>27</v>
      </c>
      <c r="M45" s="1">
        <v>4</v>
      </c>
      <c r="N45" s="1" t="s">
        <v>27</v>
      </c>
      <c r="P45" s="1" t="s">
        <v>827</v>
      </c>
      <c r="Q45" s="1" t="s">
        <v>307</v>
      </c>
      <c r="R45" s="1">
        <v>4</v>
      </c>
      <c r="S45" s="1">
        <f>COUNTIF('Skills Matrix'!$AV$6:$AV$205,3)</f>
        <v>1</v>
      </c>
      <c r="T45" s="1">
        <f t="shared" si="10"/>
        <v>3</v>
      </c>
      <c r="U45" s="1">
        <f>IF(AND(T45&gt;0,OR('HR Quick View'!$F$24="All Departments",Q45='HR Quick View'!$F$24)),COUNTIFS($T$4:$T$108,"&gt;"&amp;T45,$Q$4:$Q$108,IF('HR Quick View'!$F$24="All Departments","*",'HR Quick View'!$F$24))+COUNTIFS($T$4:T45,T45,$Q$4:Q45,IF('HR Quick View'!$F$24="All Departments","*",'HR Quick View'!$F$24)),"")</f>
        <v>25</v>
      </c>
      <c r="W45" s="1" t="s">
        <v>827</v>
      </c>
      <c r="X45" s="1" t="s">
        <v>307</v>
      </c>
      <c r="Y45" s="1" t="s">
        <v>27</v>
      </c>
      <c r="Z45" s="1" t="str">
        <f>IF('HR Quick View'!$C$9="","",IF(COUNTIFS('Competency Event Log'!$B$4:$B$803,'HR Quick View'!$C$9,'Competency Event Log'!$C$4:$C$803,W45,'Competency Event Log'!$T$4:$T$803,"Current")=0,"",SUMIFS('Competency Event Log'!$D$4:$D$803,'Competency Event Log'!$B$4:$B$803,'HR Quick View'!$C$9,'Competency Event Log'!$C$4:$C$803,W45,'Competency Event Log'!$T$4:$T$803,"Current")))</f>
        <v/>
      </c>
      <c r="AA45" s="1" t="str">
        <f>IF($Z45="","",IF('HR Quick View'!$B$10="Qualified only",IF($Z45=3,COUNTIF($Z$4:$Z45,3),""),IF('HR Quick View'!$B$10="Developing only",IF(OR($Z45=1,$Z45=2),COUNTIF($Z$4:$Z$108,"&gt;"&amp;$Z45)+COUNTIF($Z$4:$Z45,$Z45)-COUNTIF($Z$4:$Z$108,3),""),IF('HR Quick View'!$B$10="All scored",COUNTIF($Z$4:$Z$108,"&gt;"&amp;$Z45)+COUNTIF($Z$4:$Z45,$Z45),""))))</f>
        <v/>
      </c>
      <c r="AB45" s="1" t="str">
        <f>""</f>
        <v/>
      </c>
      <c r="AC45" s="1">
        <f t="shared" si="11"/>
        <v>4</v>
      </c>
      <c r="AD45" s="1">
        <f t="shared" si="12"/>
        <v>1</v>
      </c>
      <c r="AE45" s="1">
        <f t="shared" si="13"/>
        <v>3</v>
      </c>
      <c r="AF45" s="1" t="str">
        <f>IFERROR(IF(Lists!$B45="","",Lists!$B45),"")</f>
        <v/>
      </c>
      <c r="AG45" s="1" t="str">
        <f>IFERROR(IF(Lists!$B45="","",Lists!$C45),"")</f>
        <v/>
      </c>
      <c r="AH45" s="1" t="str">
        <f>IFERROR(IF(Lists!$B45="","",Lists!$D45),"")</f>
        <v/>
      </c>
      <c r="AI45" s="1" t="str">
        <f>IF(AF45="","",IFERROR(INDEX('Skills Matrix'!$G$6:$DE$205,MATCH(AF45,'Skills Matrix'!$B$6:$B$205,0),MATCH('HR Quick View'!$J$9,'Skills Matrix'!$G$5:$DE$5,0)),""))</f>
        <v/>
      </c>
      <c r="AJ45" s="1" t="str">
        <f t="shared" si="14"/>
        <v/>
      </c>
      <c r="AK45" s="1" t="str">
        <f>IFERROR(IF(Lists!$B45="","",Lists!$E45),"")</f>
        <v/>
      </c>
      <c r="AL45" s="1" t="str">
        <f>IF(AND(OR('HR Quick View'!$L$10="All Shifts",AH45='HR Quick View'!$L$10),OR(AND('HR Quick View'!$I$10="Qualified only",AI45=3),AND('HR Quick View'!$I$10="All trained",AI45&gt;0))),IF('HR Quick View'!$L$10="All Shifts",COUNTIF($AI$4:$AI$203,"&gt;"&amp;AI45)+COUNTIF($AI$4:AI45,AI45),COUNTIFS($AI$4:$AI$203,"&gt;"&amp;AI45,$AH$4:$AH$203,'HR Quick View'!$L$10)+COUNTIFS($AI$4:AI45,AI45,$AH$4:AH45,'HR Quick View'!$L$10)),"")</f>
        <v/>
      </c>
      <c r="AP45" s="17" t="str">
        <f>IFERROR(IF(Lists!$J45="","",Lists!$J45),"")</f>
        <v>VPN Administration</v>
      </c>
      <c r="AQ45" s="17" t="str">
        <f>IFERROR(IF(Lists!$J45="","",Lists!$K45),"")</f>
        <v>IT Operations</v>
      </c>
      <c r="AR45" s="17" t="str">
        <f>IFERROR(IF(Lists!$J45="","",Lists!$L45),"")</f>
        <v>Yes</v>
      </c>
      <c r="AS45" s="17">
        <f>IFERROR(IF(Lists!$J45="","",Lists!$M45),0)</f>
        <v>4</v>
      </c>
      <c r="AT45" s="17">
        <f>IF(AP45="","",COUNTIF('Skills Matrix'!$AV$6:$AV$205,3))</f>
        <v>1</v>
      </c>
      <c r="AU45" s="17">
        <f>IF(AP45="","",COUNTIF('Skills Matrix'!$AV$6:$AV$205,2))</f>
        <v>1</v>
      </c>
      <c r="AV45" s="17">
        <f t="shared" si="15"/>
        <v>3</v>
      </c>
      <c r="AW45" s="17">
        <f>IF(OR(AP45="",AS45&lt;=0,AV45&lt;=0,AND('Skill Management'!$D$4&lt;&gt;"All Departments",AQ45&lt;&gt;'Skill Management'!$D$4)),"",IF(AT45=0,100000,0)+IF(AR45="Yes",10000,0)+AV45*100+AU45)</f>
        <v>10301</v>
      </c>
      <c r="AX45" s="17">
        <f>IF(AW45="","",COUNTIF($AW$4:$AW$106,"&gt;"&amp;AW45)+COUNTIF($AW$4:AW45,AW45))</f>
        <v>38</v>
      </c>
      <c r="AY45" s="17" t="str">
        <f>IFERROR(IF(Lists!$J45="","",Lists!$N45),"")</f>
        <v>Yes</v>
      </c>
      <c r="BA45" s="17" t="str">
        <f>IFERROR(IF('Training Plan'!$A46="","",'Training Plan'!$A46),"")</f>
        <v/>
      </c>
      <c r="BB45" s="17" t="str">
        <f>IFERROR(IF('Training Plan'!$A46="","",'Training Plan'!$B46),"")</f>
        <v/>
      </c>
      <c r="BC45" s="17" t="str">
        <f>IFERROR(IF('Training Plan'!$A46="","",'Training Plan'!$C46),"")</f>
        <v/>
      </c>
      <c r="BD45" s="17" t="str">
        <f>IFERROR(IF('Training Plan'!$A46="","",'Training Plan'!$D46),"")</f>
        <v/>
      </c>
      <c r="BE45" s="17" t="str">
        <f>IFERROR(IF('Training Plan'!$A46="","",'Training Plan'!$E46),"")</f>
        <v/>
      </c>
      <c r="BF45" s="17" t="str">
        <f>IFERROR(IF('Training Plan'!$A46="","",'Training Plan'!$F46),"")</f>
        <v/>
      </c>
      <c r="BG45" s="17" t="str">
        <f>IFERROR(IF('Training Plan'!$A46="","",'Training Plan'!$G46),"")</f>
        <v/>
      </c>
      <c r="BH45" s="17" t="str">
        <f>IFERROR(IF('Training Plan'!$A46="","",'Training Plan'!$H46),"")</f>
        <v/>
      </c>
      <c r="BI45" s="17" t="str">
        <f>IF(OR(BA45="",BF45="Complete",AND('Skill Management'!$D$4&lt;&gt;"All Departments",BB45&lt;&gt;'Skill Management'!$D$4)),"",IF(BF45="Blocked",100000,IF(BF45="In Progress",200000,300000))+IF(BE45="",99999,BE45))</f>
        <v/>
      </c>
      <c r="BJ45" s="17" t="str">
        <f>IF(BI45="","",COUNTIFS($BI$4:$BI$203,"&gt;0",$BI$4:$BI$203,"&lt;"&amp;BI45)+COUNTIF($BI$4:BI45,BI45))</f>
        <v/>
      </c>
      <c r="BT45" t="str">
        <f t="shared" si="16"/>
        <v>VPN Administration</v>
      </c>
      <c r="BU45" t="str">
        <f t="shared" si="17"/>
        <v>IT Operations</v>
      </c>
      <c r="BV45" t="str">
        <f>IF(BT45="","",IFERROR(INDEX('Skills Matrix'!$G$6:$DE$205,MATCH('Employee Transcript'!$C$4,'Skills Matrix'!$B$6:$B$205,0),MATCH(BT45,'Skills Matrix'!$G$5:$DE$5,0)),""))</f>
        <v/>
      </c>
      <c r="BW45" t="str">
        <f>IF(BT45="","",IFERROR(INDEX('Competency Event Log'!$E$4:$E$803,MATCH('Employee Transcript'!$C$4&amp;"|"&amp;BT45,'Competency Event Log'!$U$4:$U$803,0)),""))</f>
        <v/>
      </c>
      <c r="BX45" t="str">
        <f>IF(BT45="","",IF(BU45='Employee Transcript'!$B$7,"Home Department","Cross-Trained"))</f>
        <v>Cross-Trained</v>
      </c>
      <c r="BY45" t="str">
        <f t="shared" si="18"/>
        <v>Yes</v>
      </c>
      <c r="BZ45" t="str">
        <f>IF(BT45="","",IFERROR(INDEX('Competency Event Log'!$L$4:$L$803,MATCH('Employee Transcript'!$C$4&amp;"|"&amp;BT45,'Competency Event Log'!$U$4:$U$803,0)),""))</f>
        <v/>
      </c>
      <c r="CA45" t="str">
        <f>IF(N(BV45)&gt;0,COUNTIF($BV$4:BV45,"&gt;0"),"")</f>
        <v/>
      </c>
      <c r="CB45" t="str">
        <f>IF(AND('Competency Event Log'!$B45='Employee Transcript'!$C$4,'Competency Event Log'!$I45&lt;&gt;"Yes"),'Competency Event Log'!$K45,"")</f>
        <v/>
      </c>
      <c r="CC45" t="str">
        <f t="shared" si="9"/>
        <v/>
      </c>
      <c r="CD45" t="str">
        <f>IF(Certifications!$A45='Employee Transcript'!$C$4,45,"")</f>
        <v/>
      </c>
      <c r="CE45" t="str">
        <f>IF(CD45="","",COUNTIF($CD$4:CD45,"&gt;0"))</f>
        <v/>
      </c>
      <c r="CF45" t="str">
        <f>IF(AND('Training Plan'!$A46='Employee Transcript'!$C$4,'Training Plan'!$F46&lt;&gt;"Complete"),46,"")</f>
        <v/>
      </c>
      <c r="CG45" t="str">
        <f>IF(CF45="","",COUNTIF($CF$4:CF45,"&gt;0"))</f>
        <v/>
      </c>
    </row>
    <row r="46" spans="1:85">
      <c r="A46" s="2"/>
      <c r="B46" s="1"/>
      <c r="C46" s="1"/>
      <c r="D46" s="1"/>
      <c r="E46" s="1"/>
      <c r="F46" s="3"/>
      <c r="G46" s="1"/>
      <c r="H46" s="4"/>
      <c r="I46" s="1" t="s">
        <v>832</v>
      </c>
      <c r="J46" s="1" t="s">
        <v>830</v>
      </c>
      <c r="K46" s="1" t="s">
        <v>307</v>
      </c>
      <c r="L46" s="1" t="s">
        <v>27</v>
      </c>
      <c r="M46" s="1">
        <v>4</v>
      </c>
      <c r="N46" s="1" t="s">
        <v>27</v>
      </c>
      <c r="P46" s="1" t="s">
        <v>830</v>
      </c>
      <c r="Q46" s="1" t="s">
        <v>307</v>
      </c>
      <c r="R46" s="1">
        <v>3</v>
      </c>
      <c r="S46" s="1">
        <f>COUNTIF('Skills Matrix'!$AW$6:$AW$205,3)</f>
        <v>6</v>
      </c>
      <c r="T46" s="1">
        <f t="shared" si="10"/>
        <v>0</v>
      </c>
      <c r="U46" s="1" t="str">
        <f>IF(AND(T46&gt;0,OR('HR Quick View'!$F$24="All Departments",Q46='HR Quick View'!$F$24)),COUNTIFS($T$4:$T$108,"&gt;"&amp;T46,$Q$4:$Q$108,IF('HR Quick View'!$F$24="All Departments","*",'HR Quick View'!$F$24))+COUNTIFS($T$4:T46,T46,$Q$4:Q46,IF('HR Quick View'!$F$24="All Departments","*",'HR Quick View'!$F$24)),"")</f>
        <v/>
      </c>
      <c r="W46" s="1" t="s">
        <v>830</v>
      </c>
      <c r="X46" s="1" t="s">
        <v>307</v>
      </c>
      <c r="Y46" s="1" t="s">
        <v>27</v>
      </c>
      <c r="Z46" s="1" t="str">
        <f>IF('HR Quick View'!$C$9="","",IF(COUNTIFS('Competency Event Log'!$B$4:$B$803,'HR Quick View'!$C$9,'Competency Event Log'!$C$4:$C$803,W46,'Competency Event Log'!$T$4:$T$803,"Current")=0,"",SUMIFS('Competency Event Log'!$D$4:$D$803,'Competency Event Log'!$B$4:$B$803,'HR Quick View'!$C$9,'Competency Event Log'!$C$4:$C$803,W46,'Competency Event Log'!$T$4:$T$803,"Current")))</f>
        <v/>
      </c>
      <c r="AA46" s="1" t="str">
        <f>IF($Z46="","",IF('HR Quick View'!$B$10="Qualified only",IF($Z46=3,COUNTIF($Z$4:$Z46,3),""),IF('HR Quick View'!$B$10="Developing only",IF(OR($Z46=1,$Z46=2),COUNTIF($Z$4:$Z$108,"&gt;"&amp;$Z46)+COUNTIF($Z$4:$Z46,$Z46)-COUNTIF($Z$4:$Z$108,3),""),IF('HR Quick View'!$B$10="All scored",COUNTIF($Z$4:$Z$108,"&gt;"&amp;$Z46)+COUNTIF($Z$4:$Z46,$Z46),""))))</f>
        <v/>
      </c>
      <c r="AB46" s="1" t="str">
        <f>""</f>
        <v/>
      </c>
      <c r="AC46" s="1">
        <f t="shared" si="11"/>
        <v>3</v>
      </c>
      <c r="AD46" s="1">
        <f t="shared" si="12"/>
        <v>6</v>
      </c>
      <c r="AE46" s="1">
        <f t="shared" si="13"/>
        <v>0</v>
      </c>
      <c r="AF46" s="1" t="str">
        <f>IFERROR(IF(Lists!$B46="","",Lists!$B46),"")</f>
        <v/>
      </c>
      <c r="AG46" s="1" t="str">
        <f>IFERROR(IF(Lists!$B46="","",Lists!$C46),"")</f>
        <v/>
      </c>
      <c r="AH46" s="1" t="str">
        <f>IFERROR(IF(Lists!$B46="","",Lists!$D46),"")</f>
        <v/>
      </c>
      <c r="AI46" s="1" t="str">
        <f>IF(AF46="","",IFERROR(INDEX('Skills Matrix'!$G$6:$DE$205,MATCH(AF46,'Skills Matrix'!$B$6:$B$205,0),MATCH('HR Quick View'!$J$9,'Skills Matrix'!$G$5:$DE$5,0)),""))</f>
        <v/>
      </c>
      <c r="AJ46" s="1" t="str">
        <f t="shared" si="14"/>
        <v/>
      </c>
      <c r="AK46" s="1" t="str">
        <f>IFERROR(IF(Lists!$B46="","",Lists!$E46),"")</f>
        <v/>
      </c>
      <c r="AL46" s="1" t="str">
        <f>IF(AND(OR('HR Quick View'!$L$10="All Shifts",AH46='HR Quick View'!$L$10),OR(AND('HR Quick View'!$I$10="Qualified only",AI46=3),AND('HR Quick View'!$I$10="All trained",AI46&gt;0))),IF('HR Quick View'!$L$10="All Shifts",COUNTIF($AI$4:$AI$203,"&gt;"&amp;AI46)+COUNTIF($AI$4:AI46,AI46),COUNTIFS($AI$4:$AI$203,"&gt;"&amp;AI46,$AH$4:$AH$203,'HR Quick View'!$L$10)+COUNTIFS($AI$4:AI46,AI46,$AH$4:AH46,'HR Quick View'!$L$10)),"")</f>
        <v/>
      </c>
      <c r="AP46" s="17" t="str">
        <f>IFERROR(IF(Lists!$J46="","",Lists!$J46),"")</f>
        <v>Device Provisioning Specialist</v>
      </c>
      <c r="AQ46" s="17" t="str">
        <f>IFERROR(IF(Lists!$J46="","",Lists!$K46),"")</f>
        <v>IT Operations</v>
      </c>
      <c r="AR46" s="17" t="str">
        <f>IFERROR(IF(Lists!$J46="","",Lists!$L46),"")</f>
        <v>Yes</v>
      </c>
      <c r="AS46" s="17">
        <f>IFERROR(IF(Lists!$J46="","",Lists!$M46),0)</f>
        <v>4</v>
      </c>
      <c r="AT46" s="17">
        <f>IF(AP46="","",COUNTIF('Skills Matrix'!$AW$6:$AW$205,3))</f>
        <v>6</v>
      </c>
      <c r="AU46" s="17">
        <f>IF(AP46="","",COUNTIF('Skills Matrix'!$AW$6:$AW$205,2))</f>
        <v>0</v>
      </c>
      <c r="AV46" s="17">
        <f t="shared" si="15"/>
        <v>0</v>
      </c>
      <c r="AW46" s="17" t="str">
        <f>IF(OR(AP46="",AS46&lt;=0,AV46&lt;=0,AND('Skill Management'!$D$4&lt;&gt;"All Departments",AQ46&lt;&gt;'Skill Management'!$D$4)),"",IF(AT46=0,100000,0)+IF(AR46="Yes",10000,0)+AV46*100+AU46)</f>
        <v/>
      </c>
      <c r="AX46" s="17" t="str">
        <f>IF(AW46="","",COUNTIF($AW$4:$AW$106,"&gt;"&amp;AW46)+COUNTIF($AW$4:AW46,AW46))</f>
        <v/>
      </c>
      <c r="AY46" s="17" t="str">
        <f>IFERROR(IF(Lists!$J46="","",Lists!$N46),"")</f>
        <v>Yes</v>
      </c>
      <c r="BA46" s="17" t="str">
        <f>IFERROR(IF('Training Plan'!$A47="","",'Training Plan'!$A47),"")</f>
        <v/>
      </c>
      <c r="BB46" s="17" t="str">
        <f>IFERROR(IF('Training Plan'!$A47="","",'Training Plan'!$B47),"")</f>
        <v/>
      </c>
      <c r="BC46" s="17" t="str">
        <f>IFERROR(IF('Training Plan'!$A47="","",'Training Plan'!$C47),"")</f>
        <v/>
      </c>
      <c r="BD46" s="17" t="str">
        <f>IFERROR(IF('Training Plan'!$A47="","",'Training Plan'!$D47),"")</f>
        <v/>
      </c>
      <c r="BE46" s="17" t="str">
        <f>IFERROR(IF('Training Plan'!$A47="","",'Training Plan'!$E47),"")</f>
        <v/>
      </c>
      <c r="BF46" s="17" t="str">
        <f>IFERROR(IF('Training Plan'!$A47="","",'Training Plan'!$F47),"")</f>
        <v/>
      </c>
      <c r="BG46" s="17" t="str">
        <f>IFERROR(IF('Training Plan'!$A47="","",'Training Plan'!$G47),"")</f>
        <v/>
      </c>
      <c r="BH46" s="17" t="str">
        <f>IFERROR(IF('Training Plan'!$A47="","",'Training Plan'!$H47),"")</f>
        <v/>
      </c>
      <c r="BI46" s="17" t="str">
        <f>IF(OR(BA46="",BF46="Complete",AND('Skill Management'!$D$4&lt;&gt;"All Departments",BB46&lt;&gt;'Skill Management'!$D$4)),"",IF(BF46="Blocked",100000,IF(BF46="In Progress",200000,300000))+IF(BE46="",99999,BE46))</f>
        <v/>
      </c>
      <c r="BJ46" s="17" t="str">
        <f>IF(BI46="","",COUNTIFS($BI$4:$BI$203,"&gt;0",$BI$4:$BI$203,"&lt;"&amp;BI46)+COUNTIF($BI$4:BI46,BI46))</f>
        <v/>
      </c>
      <c r="BT46" t="str">
        <f t="shared" si="16"/>
        <v>Device Provisioning Specialist</v>
      </c>
      <c r="BU46" t="str">
        <f t="shared" si="17"/>
        <v>IT Operations</v>
      </c>
      <c r="BV46" t="str">
        <f>IF(BT46="","",IFERROR(INDEX('Skills Matrix'!$G$6:$DE$205,MATCH('Employee Transcript'!$C$4,'Skills Matrix'!$B$6:$B$205,0),MATCH(BT46,'Skills Matrix'!$G$5:$DE$5,0)),""))</f>
        <v/>
      </c>
      <c r="BW46" t="str">
        <f>IF(BT46="","",IFERROR(INDEX('Competency Event Log'!$E$4:$E$803,MATCH('Employee Transcript'!$C$4&amp;"|"&amp;BT46,'Competency Event Log'!$U$4:$U$803,0)),""))</f>
        <v/>
      </c>
      <c r="BX46" t="str">
        <f>IF(BT46="","",IF(BU46='Employee Transcript'!$B$7,"Home Department","Cross-Trained"))</f>
        <v>Cross-Trained</v>
      </c>
      <c r="BY46" t="str">
        <f t="shared" si="18"/>
        <v>Yes</v>
      </c>
      <c r="BZ46" t="str">
        <f>IF(BT46="","",IFERROR(INDEX('Competency Event Log'!$L$4:$L$803,MATCH('Employee Transcript'!$C$4&amp;"|"&amp;BT46,'Competency Event Log'!$U$4:$U$803,0)),""))</f>
        <v/>
      </c>
      <c r="CA46" t="str">
        <f>IF(N(BV46)&gt;0,COUNTIF($BV$4:BV46,"&gt;0"),"")</f>
        <v/>
      </c>
      <c r="CB46" t="str">
        <f>IF(AND('Competency Event Log'!$B46='Employee Transcript'!$C$4,'Competency Event Log'!$I46&lt;&gt;"Yes"),'Competency Event Log'!$K46,"")</f>
        <v/>
      </c>
      <c r="CC46" t="str">
        <f t="shared" si="9"/>
        <v/>
      </c>
      <c r="CD46" t="str">
        <f>IF(Certifications!$A46='Employee Transcript'!$C$4,46,"")</f>
        <v/>
      </c>
      <c r="CE46" t="str">
        <f>IF(CD46="","",COUNTIF($CD$4:CD46,"&gt;0"))</f>
        <v/>
      </c>
      <c r="CF46" t="str">
        <f>IF(AND('Training Plan'!$A47='Employee Transcript'!$C$4,'Training Plan'!$F47&lt;&gt;"Complete"),47,"")</f>
        <v/>
      </c>
      <c r="CG46" t="str">
        <f>IF(CF46="","",COUNTIF($CF$4:CF46,"&gt;0"))</f>
        <v/>
      </c>
    </row>
    <row r="47" spans="1:85">
      <c r="A47" s="2"/>
      <c r="B47" s="1"/>
      <c r="C47" s="1"/>
      <c r="D47" s="1"/>
      <c r="E47" s="1"/>
      <c r="F47" s="3"/>
      <c r="G47" s="1"/>
      <c r="H47" s="4"/>
      <c r="I47" s="1" t="s">
        <v>854</v>
      </c>
      <c r="J47" s="1" t="s">
        <v>852</v>
      </c>
      <c r="K47" s="1" t="s">
        <v>307</v>
      </c>
      <c r="L47" s="1" t="s">
        <v>27</v>
      </c>
      <c r="M47" s="1">
        <v>4</v>
      </c>
      <c r="N47" s="1" t="s">
        <v>27</v>
      </c>
      <c r="P47" s="1" t="s">
        <v>852</v>
      </c>
      <c r="Q47" s="1" t="s">
        <v>307</v>
      </c>
      <c r="R47" s="1">
        <v>3</v>
      </c>
      <c r="S47" s="1">
        <f>COUNTIF('Skills Matrix'!$AX$6:$AX$205,3)</f>
        <v>2</v>
      </c>
      <c r="T47" s="1">
        <f t="shared" si="10"/>
        <v>1</v>
      </c>
      <c r="U47" s="1">
        <f>IF(AND(T47&gt;0,OR('HR Quick View'!$F$24="All Departments",Q47='HR Quick View'!$F$24)),COUNTIFS($T$4:$T$108,"&gt;"&amp;T47,$Q$4:$Q$108,IF('HR Quick View'!$F$24="All Departments","*",'HR Quick View'!$F$24))+COUNTIFS($T$4:T47,T47,$Q$4:Q47,IF('HR Quick View'!$F$24="All Departments","*",'HR Quick View'!$F$24)),"")</f>
        <v>47</v>
      </c>
      <c r="W47" s="1" t="s">
        <v>852</v>
      </c>
      <c r="X47" s="1" t="s">
        <v>307</v>
      </c>
      <c r="Y47" s="1" t="s">
        <v>27</v>
      </c>
      <c r="Z47" s="1" t="str">
        <f>IF('HR Quick View'!$C$9="","",IF(COUNTIFS('Competency Event Log'!$B$4:$B$803,'HR Quick View'!$C$9,'Competency Event Log'!$C$4:$C$803,W47,'Competency Event Log'!$T$4:$T$803,"Current")=0,"",SUMIFS('Competency Event Log'!$D$4:$D$803,'Competency Event Log'!$B$4:$B$803,'HR Quick View'!$C$9,'Competency Event Log'!$C$4:$C$803,W47,'Competency Event Log'!$T$4:$T$803,"Current")))</f>
        <v/>
      </c>
      <c r="AA47" s="1" t="str">
        <f>IF($Z47="","",IF('HR Quick View'!$B$10="Qualified only",IF($Z47=3,COUNTIF($Z$4:$Z47,3),""),IF('HR Quick View'!$B$10="Developing only",IF(OR($Z47=1,$Z47=2),COUNTIF($Z$4:$Z$108,"&gt;"&amp;$Z47)+COUNTIF($Z$4:$Z47,$Z47)-COUNTIF($Z$4:$Z$108,3),""),IF('HR Quick View'!$B$10="All scored",COUNTIF($Z$4:$Z$108,"&gt;"&amp;$Z47)+COUNTIF($Z$4:$Z47,$Z47),""))))</f>
        <v/>
      </c>
      <c r="AB47" s="1" t="str">
        <f>""</f>
        <v/>
      </c>
      <c r="AC47" s="1">
        <f t="shared" si="11"/>
        <v>3</v>
      </c>
      <c r="AD47" s="1">
        <f t="shared" si="12"/>
        <v>2</v>
      </c>
      <c r="AE47" s="1">
        <f t="shared" si="13"/>
        <v>1</v>
      </c>
      <c r="AF47" s="1" t="str">
        <f>IFERROR(IF(Lists!$B47="","",Lists!$B47),"")</f>
        <v/>
      </c>
      <c r="AG47" s="1" t="str">
        <f>IFERROR(IF(Lists!$B47="","",Lists!$C47),"")</f>
        <v/>
      </c>
      <c r="AH47" s="1" t="str">
        <f>IFERROR(IF(Lists!$B47="","",Lists!$D47),"")</f>
        <v/>
      </c>
      <c r="AI47" s="1" t="str">
        <f>IF(AF47="","",IFERROR(INDEX('Skills Matrix'!$G$6:$DE$205,MATCH(AF47,'Skills Matrix'!$B$6:$B$205,0),MATCH('HR Quick View'!$J$9,'Skills Matrix'!$G$5:$DE$5,0)),""))</f>
        <v/>
      </c>
      <c r="AJ47" s="1" t="str">
        <f t="shared" si="14"/>
        <v/>
      </c>
      <c r="AK47" s="1" t="str">
        <f>IFERROR(IF(Lists!$B47="","",Lists!$E47),"")</f>
        <v/>
      </c>
      <c r="AL47" s="1" t="str">
        <f>IF(AND(OR('HR Quick View'!$L$10="All Shifts",AH47='HR Quick View'!$L$10),OR(AND('HR Quick View'!$I$10="Qualified only",AI47=3),AND('HR Quick View'!$I$10="All trained",AI47&gt;0))),IF('HR Quick View'!$L$10="All Shifts",COUNTIF($AI$4:$AI$203,"&gt;"&amp;AI47)+COUNTIF($AI$4:AI47,AI47),COUNTIFS($AI$4:$AI$203,"&gt;"&amp;AI47,$AH$4:$AH$203,'HR Quick View'!$L$10)+COUNTIFS($AI$4:AI47,AI47,$AH$4:AH47,'HR Quick View'!$L$10)),"")</f>
        <v/>
      </c>
      <c r="AP47" s="17" t="str">
        <f>IFERROR(IF(Lists!$J47="","",Lists!$J47),"")</f>
        <v>Asset Lifecycle Management</v>
      </c>
      <c r="AQ47" s="17" t="str">
        <f>IFERROR(IF(Lists!$J47="","",Lists!$K47),"")</f>
        <v>IT Operations</v>
      </c>
      <c r="AR47" s="17" t="str">
        <f>IFERROR(IF(Lists!$J47="","",Lists!$L47),"")</f>
        <v>Yes</v>
      </c>
      <c r="AS47" s="17">
        <f>IFERROR(IF(Lists!$J47="","",Lists!$M47),0)</f>
        <v>4</v>
      </c>
      <c r="AT47" s="17">
        <f>IF(AP47="","",COUNTIF('Skills Matrix'!$AX$6:$AX$205,3))</f>
        <v>2</v>
      </c>
      <c r="AU47" s="17">
        <f>IF(AP47="","",COUNTIF('Skills Matrix'!$AX$6:$AX$205,2))</f>
        <v>1</v>
      </c>
      <c r="AV47" s="17">
        <f t="shared" si="15"/>
        <v>2</v>
      </c>
      <c r="AW47" s="17">
        <f>IF(OR(AP47="",AS47&lt;=0,AV47&lt;=0,AND('Skill Management'!$D$4&lt;&gt;"All Departments",AQ47&lt;&gt;'Skill Management'!$D$4)),"",IF(AT47=0,100000,0)+IF(AR47="Yes",10000,0)+AV47*100+AU47)</f>
        <v>10201</v>
      </c>
      <c r="AX47" s="17">
        <f>IF(AW47="","",COUNTIF($AW$4:$AW$106,"&gt;"&amp;AW47)+COUNTIF($AW$4:AW47,AW47))</f>
        <v>51</v>
      </c>
      <c r="AY47" s="17" t="str">
        <f>IFERROR(IF(Lists!$J47="","",Lists!$N47),"")</f>
        <v>Yes</v>
      </c>
      <c r="BA47" s="17" t="str">
        <f>IFERROR(IF('Training Plan'!$A48="","",'Training Plan'!$A48),"")</f>
        <v/>
      </c>
      <c r="BB47" s="17" t="str">
        <f>IFERROR(IF('Training Plan'!$A48="","",'Training Plan'!$B48),"")</f>
        <v/>
      </c>
      <c r="BC47" s="17" t="str">
        <f>IFERROR(IF('Training Plan'!$A48="","",'Training Plan'!$C48),"")</f>
        <v/>
      </c>
      <c r="BD47" s="17" t="str">
        <f>IFERROR(IF('Training Plan'!$A48="","",'Training Plan'!$D48),"")</f>
        <v/>
      </c>
      <c r="BE47" s="17" t="str">
        <f>IFERROR(IF('Training Plan'!$A48="","",'Training Plan'!$E48),"")</f>
        <v/>
      </c>
      <c r="BF47" s="17" t="str">
        <f>IFERROR(IF('Training Plan'!$A48="","",'Training Plan'!$F48),"")</f>
        <v/>
      </c>
      <c r="BG47" s="17" t="str">
        <f>IFERROR(IF('Training Plan'!$A48="","",'Training Plan'!$G48),"")</f>
        <v/>
      </c>
      <c r="BH47" s="17" t="str">
        <f>IFERROR(IF('Training Plan'!$A48="","",'Training Plan'!$H48),"")</f>
        <v/>
      </c>
      <c r="BI47" s="17" t="str">
        <f>IF(OR(BA47="",BF47="Complete",AND('Skill Management'!$D$4&lt;&gt;"All Departments",BB47&lt;&gt;'Skill Management'!$D$4)),"",IF(BF47="Blocked",100000,IF(BF47="In Progress",200000,300000))+IF(BE47="",99999,BE47))</f>
        <v/>
      </c>
      <c r="BJ47" s="17" t="str">
        <f>IF(BI47="","",COUNTIFS($BI$4:$BI$203,"&gt;0",$BI$4:$BI$203,"&lt;"&amp;BI47)+COUNTIF($BI$4:BI47,BI47))</f>
        <v/>
      </c>
      <c r="BT47" t="str">
        <f t="shared" si="16"/>
        <v>Asset Lifecycle Management</v>
      </c>
      <c r="BU47" t="str">
        <f t="shared" si="17"/>
        <v>IT Operations</v>
      </c>
      <c r="BV47" t="str">
        <f>IF(BT47="","",IFERROR(INDEX('Skills Matrix'!$G$6:$DE$205,MATCH('Employee Transcript'!$C$4,'Skills Matrix'!$B$6:$B$205,0),MATCH(BT47,'Skills Matrix'!$G$5:$DE$5,0)),""))</f>
        <v/>
      </c>
      <c r="BW47" t="str">
        <f>IF(BT47="","",IFERROR(INDEX('Competency Event Log'!$E$4:$E$803,MATCH('Employee Transcript'!$C$4&amp;"|"&amp;BT47,'Competency Event Log'!$U$4:$U$803,0)),""))</f>
        <v/>
      </c>
      <c r="BX47" t="str">
        <f>IF(BT47="","",IF(BU47='Employee Transcript'!$B$7,"Home Department","Cross-Trained"))</f>
        <v>Cross-Trained</v>
      </c>
      <c r="BY47" t="str">
        <f t="shared" si="18"/>
        <v>Yes</v>
      </c>
      <c r="BZ47" t="str">
        <f>IF(BT47="","",IFERROR(INDEX('Competency Event Log'!$L$4:$L$803,MATCH('Employee Transcript'!$C$4&amp;"|"&amp;BT47,'Competency Event Log'!$U$4:$U$803,0)),""))</f>
        <v/>
      </c>
      <c r="CA47" t="str">
        <f>IF(N(BV47)&gt;0,COUNTIF($BV$4:BV47,"&gt;0"),"")</f>
        <v/>
      </c>
      <c r="CB47" t="str">
        <f>IF(AND('Competency Event Log'!$B47='Employee Transcript'!$C$4,'Competency Event Log'!$I47&lt;&gt;"Yes"),'Competency Event Log'!$K47,"")</f>
        <v/>
      </c>
      <c r="CC47" t="str">
        <f t="shared" si="9"/>
        <v/>
      </c>
      <c r="CD47" t="str">
        <f>IF(Certifications!$A47='Employee Transcript'!$C$4,47,"")</f>
        <v/>
      </c>
      <c r="CE47" t="str">
        <f>IF(CD47="","",COUNTIF($CD$4:CD47,"&gt;0"))</f>
        <v/>
      </c>
      <c r="CF47" t="str">
        <f>IF(AND('Training Plan'!$A48='Employee Transcript'!$C$4,'Training Plan'!$F48&lt;&gt;"Complete"),48,"")</f>
        <v/>
      </c>
      <c r="CG47" t="str">
        <f>IF(CF47="","",COUNTIF($CF$4:CF47,"&gt;0"))</f>
        <v/>
      </c>
    </row>
    <row r="48" spans="1:85">
      <c r="A48" s="2"/>
      <c r="B48" s="1"/>
      <c r="C48" s="1"/>
      <c r="D48" s="1"/>
      <c r="E48" s="1"/>
      <c r="F48" s="3"/>
      <c r="G48" s="1"/>
      <c r="H48" s="4"/>
      <c r="I48" s="1" t="s">
        <v>824</v>
      </c>
      <c r="J48" s="1" t="s">
        <v>840</v>
      </c>
      <c r="K48" s="1" t="s">
        <v>307</v>
      </c>
      <c r="L48" s="1" t="s">
        <v>411</v>
      </c>
      <c r="M48" s="1">
        <v>2</v>
      </c>
      <c r="N48" s="1" t="s">
        <v>27</v>
      </c>
      <c r="P48" s="1" t="s">
        <v>840</v>
      </c>
      <c r="Q48" s="1" t="s">
        <v>307</v>
      </c>
      <c r="R48" s="1">
        <v>0</v>
      </c>
      <c r="S48" s="1">
        <f>COUNTIF('Skills Matrix'!$AY$6:$AY$205,3)</f>
        <v>1</v>
      </c>
      <c r="T48" s="1">
        <f t="shared" si="10"/>
        <v>0</v>
      </c>
      <c r="U48" s="1" t="str">
        <f>IF(AND(T48&gt;0,OR('HR Quick View'!$F$24="All Departments",Q48='HR Quick View'!$F$24)),COUNTIFS($T$4:$T$108,"&gt;"&amp;T48,$Q$4:$Q$108,IF('HR Quick View'!$F$24="All Departments","*",'HR Quick View'!$F$24))+COUNTIFS($T$4:T48,T48,$Q$4:Q48,IF('HR Quick View'!$F$24="All Departments","*",'HR Quick View'!$F$24)),"")</f>
        <v/>
      </c>
      <c r="W48" s="1" t="s">
        <v>840</v>
      </c>
      <c r="X48" s="1" t="s">
        <v>307</v>
      </c>
      <c r="Y48" s="1" t="s">
        <v>411</v>
      </c>
      <c r="Z48" s="1" t="str">
        <f>IF('HR Quick View'!$C$9="","",IF(COUNTIFS('Competency Event Log'!$B$4:$B$803,'HR Quick View'!$C$9,'Competency Event Log'!$C$4:$C$803,W48,'Competency Event Log'!$T$4:$T$803,"Current")=0,"",SUMIFS('Competency Event Log'!$D$4:$D$803,'Competency Event Log'!$B$4:$B$803,'HR Quick View'!$C$9,'Competency Event Log'!$C$4:$C$803,W48,'Competency Event Log'!$T$4:$T$803,"Current")))</f>
        <v/>
      </c>
      <c r="AA48" s="1" t="str">
        <f>IF($Z48="","",IF('HR Quick View'!$B$10="Qualified only",IF($Z48=3,COUNTIF($Z$4:$Z48,3),""),IF('HR Quick View'!$B$10="Developing only",IF(OR($Z48=1,$Z48=2),COUNTIF($Z$4:$Z$108,"&gt;"&amp;$Z48)+COUNTIF($Z$4:$Z48,$Z48)-COUNTIF($Z$4:$Z$108,3),""),IF('HR Quick View'!$B$10="All scored",COUNTIF($Z$4:$Z$108,"&gt;"&amp;$Z48)+COUNTIF($Z$4:$Z48,$Z48),""))))</f>
        <v/>
      </c>
      <c r="AB48" s="1" t="str">
        <f>""</f>
        <v/>
      </c>
      <c r="AC48" s="1">
        <f t="shared" si="11"/>
        <v>0</v>
      </c>
      <c r="AD48" s="1">
        <f t="shared" si="12"/>
        <v>1</v>
      </c>
      <c r="AE48" s="1">
        <f t="shared" si="13"/>
        <v>0</v>
      </c>
      <c r="AF48" s="1" t="str">
        <f>IFERROR(IF(Lists!$B48="","",Lists!$B48),"")</f>
        <v/>
      </c>
      <c r="AG48" s="1" t="str">
        <f>IFERROR(IF(Lists!$B48="","",Lists!$C48),"")</f>
        <v/>
      </c>
      <c r="AH48" s="1" t="str">
        <f>IFERROR(IF(Lists!$B48="","",Lists!$D48),"")</f>
        <v/>
      </c>
      <c r="AI48" s="1" t="str">
        <f>IF(AF48="","",IFERROR(INDEX('Skills Matrix'!$G$6:$DE$205,MATCH(AF48,'Skills Matrix'!$B$6:$B$205,0),MATCH('HR Quick View'!$J$9,'Skills Matrix'!$G$5:$DE$5,0)),""))</f>
        <v/>
      </c>
      <c r="AJ48" s="1" t="str">
        <f t="shared" si="14"/>
        <v/>
      </c>
      <c r="AK48" s="1" t="str">
        <f>IFERROR(IF(Lists!$B48="","",Lists!$E48),"")</f>
        <v/>
      </c>
      <c r="AL48" s="1" t="str">
        <f>IF(AND(OR('HR Quick View'!$L$10="All Shifts",AH48='HR Quick View'!$L$10),OR(AND('HR Quick View'!$I$10="Qualified only",AI48=3),AND('HR Quick View'!$I$10="All trained",AI48&gt;0))),IF('HR Quick View'!$L$10="All Shifts",COUNTIF($AI$4:$AI$203,"&gt;"&amp;AI48)+COUNTIF($AI$4:AI48,AI48),COUNTIFS($AI$4:$AI$203,"&gt;"&amp;AI48,$AH$4:$AH$203,'HR Quick View'!$L$10)+COUNTIFS($AI$4:AI48,AI48,$AH$4:AH48,'HR Quick View'!$L$10)),"")</f>
        <v/>
      </c>
      <c r="AP48" s="17" t="str">
        <f>IFERROR(IF(Lists!$J48="","",Lists!$J48),"")</f>
        <v>Mobile Device Management</v>
      </c>
      <c r="AQ48" s="17" t="str">
        <f>IFERROR(IF(Lists!$J48="","",Lists!$K48),"")</f>
        <v>IT Operations</v>
      </c>
      <c r="AR48" s="17" t="str">
        <f>IFERROR(IF(Lists!$J48="","",Lists!$L48),"")</f>
        <v>No</v>
      </c>
      <c r="AS48" s="17">
        <f>IFERROR(IF(Lists!$J48="","",Lists!$M48),0)</f>
        <v>2</v>
      </c>
      <c r="AT48" s="17">
        <f>IF(AP48="","",COUNTIF('Skills Matrix'!$AY$6:$AY$205,3))</f>
        <v>1</v>
      </c>
      <c r="AU48" s="17">
        <f>IF(AP48="","",COUNTIF('Skills Matrix'!$AY$6:$AY$205,2))</f>
        <v>2</v>
      </c>
      <c r="AV48" s="17">
        <f t="shared" si="15"/>
        <v>1</v>
      </c>
      <c r="AW48" s="17">
        <f>IF(OR(AP48="",AS48&lt;=0,AV48&lt;=0,AND('Skill Management'!$D$4&lt;&gt;"All Departments",AQ48&lt;&gt;'Skill Management'!$D$4)),"",IF(AT48=0,100000,0)+IF(AR48="Yes",10000,0)+AV48*100+AU48)</f>
        <v>102</v>
      </c>
      <c r="AX48" s="17">
        <f>IF(AW48="","",COUNTIF($AW$4:$AW$106,"&gt;"&amp;AW48)+COUNTIF($AW$4:AW48,AW48))</f>
        <v>81</v>
      </c>
      <c r="AY48" s="17" t="str">
        <f>IFERROR(IF(Lists!$J48="","",Lists!$N48),"")</f>
        <v>Yes</v>
      </c>
      <c r="BA48" s="17" t="str">
        <f>IFERROR(IF('Training Plan'!$A49="","",'Training Plan'!$A49),"")</f>
        <v/>
      </c>
      <c r="BB48" s="17" t="str">
        <f>IFERROR(IF('Training Plan'!$A49="","",'Training Plan'!$B49),"")</f>
        <v/>
      </c>
      <c r="BC48" s="17" t="str">
        <f>IFERROR(IF('Training Plan'!$A49="","",'Training Plan'!$C49),"")</f>
        <v/>
      </c>
      <c r="BD48" s="17" t="str">
        <f>IFERROR(IF('Training Plan'!$A49="","",'Training Plan'!$D49),"")</f>
        <v/>
      </c>
      <c r="BE48" s="17" t="str">
        <f>IFERROR(IF('Training Plan'!$A49="","",'Training Plan'!$E49),"")</f>
        <v/>
      </c>
      <c r="BF48" s="17" t="str">
        <f>IFERROR(IF('Training Plan'!$A49="","",'Training Plan'!$F49),"")</f>
        <v/>
      </c>
      <c r="BG48" s="17" t="str">
        <f>IFERROR(IF('Training Plan'!$A49="","",'Training Plan'!$G49),"")</f>
        <v/>
      </c>
      <c r="BH48" s="17" t="str">
        <f>IFERROR(IF('Training Plan'!$A49="","",'Training Plan'!$H49),"")</f>
        <v/>
      </c>
      <c r="BI48" s="17" t="str">
        <f>IF(OR(BA48="",BF48="Complete",AND('Skill Management'!$D$4&lt;&gt;"All Departments",BB48&lt;&gt;'Skill Management'!$D$4)),"",IF(BF48="Blocked",100000,IF(BF48="In Progress",200000,300000))+IF(BE48="",99999,BE48))</f>
        <v/>
      </c>
      <c r="BJ48" s="17" t="str">
        <f>IF(BI48="","",COUNTIFS($BI$4:$BI$203,"&gt;0",$BI$4:$BI$203,"&lt;"&amp;BI48)+COUNTIF($BI$4:BI48,BI48))</f>
        <v/>
      </c>
      <c r="BT48" t="str">
        <f t="shared" si="16"/>
        <v>Mobile Device Management</v>
      </c>
      <c r="BU48" t="str">
        <f t="shared" si="17"/>
        <v>IT Operations</v>
      </c>
      <c r="BV48" t="str">
        <f>IF(BT48="","",IFERROR(INDEX('Skills Matrix'!$G$6:$DE$205,MATCH('Employee Transcript'!$C$4,'Skills Matrix'!$B$6:$B$205,0),MATCH(BT48,'Skills Matrix'!$G$5:$DE$5,0)),""))</f>
        <v/>
      </c>
      <c r="BW48" t="str">
        <f>IF(BT48="","",IFERROR(INDEX('Competency Event Log'!$E$4:$E$803,MATCH('Employee Transcript'!$C$4&amp;"|"&amp;BT48,'Competency Event Log'!$U$4:$U$803,0)),""))</f>
        <v/>
      </c>
      <c r="BX48" t="str">
        <f>IF(BT48="","",IF(BU48='Employee Transcript'!$B$7,"Home Department","Cross-Trained"))</f>
        <v>Cross-Trained</v>
      </c>
      <c r="BY48" t="str">
        <f t="shared" si="18"/>
        <v>No</v>
      </c>
      <c r="BZ48" t="str">
        <f>IF(BT48="","",IFERROR(INDEX('Competency Event Log'!$L$4:$L$803,MATCH('Employee Transcript'!$C$4&amp;"|"&amp;BT48,'Competency Event Log'!$U$4:$U$803,0)),""))</f>
        <v/>
      </c>
      <c r="CA48" t="str">
        <f>IF(N(BV48)&gt;0,COUNTIF($BV$4:BV48,"&gt;0"),"")</f>
        <v/>
      </c>
      <c r="CB48" t="str">
        <f>IF(AND('Competency Event Log'!$B48='Employee Transcript'!$C$4,'Competency Event Log'!$I48&lt;&gt;"Yes"),'Competency Event Log'!$K48,"")</f>
        <v/>
      </c>
      <c r="CC48" t="str">
        <f t="shared" si="9"/>
        <v/>
      </c>
      <c r="CD48" t="str">
        <f>IF(Certifications!$A48='Employee Transcript'!$C$4,48,"")</f>
        <v/>
      </c>
      <c r="CE48" t="str">
        <f>IF(CD48="","",COUNTIF($CD$4:CD48,"&gt;0"))</f>
        <v/>
      </c>
      <c r="CF48" t="str">
        <f>IF(AND('Training Plan'!$A49='Employee Transcript'!$C$4,'Training Plan'!$F49&lt;&gt;"Complete"),49,"")</f>
        <v/>
      </c>
      <c r="CG48" t="str">
        <f>IF(CF48="","",COUNTIF($CF$4:CF48,"&gt;0"))</f>
        <v/>
      </c>
    </row>
    <row r="49" spans="1:85">
      <c r="A49" s="2"/>
      <c r="B49" s="1"/>
      <c r="C49" s="1"/>
      <c r="D49" s="1"/>
      <c r="E49" s="1"/>
      <c r="F49" s="3"/>
      <c r="G49" s="1"/>
      <c r="H49" s="4"/>
      <c r="I49" s="1" t="s">
        <v>873</v>
      </c>
      <c r="J49" s="1" t="s">
        <v>871</v>
      </c>
      <c r="K49" s="1" t="s">
        <v>307</v>
      </c>
      <c r="L49" s="1" t="s">
        <v>27</v>
      </c>
      <c r="M49" s="1">
        <v>4</v>
      </c>
      <c r="N49" s="1" t="s">
        <v>27</v>
      </c>
      <c r="P49" s="1" t="s">
        <v>871</v>
      </c>
      <c r="Q49" s="1" t="s">
        <v>307</v>
      </c>
      <c r="R49" s="1">
        <v>3</v>
      </c>
      <c r="S49" s="1">
        <f>COUNTIF('Skills Matrix'!$AZ$6:$AZ$205,3)</f>
        <v>0</v>
      </c>
      <c r="T49" s="1">
        <f t="shared" si="10"/>
        <v>3</v>
      </c>
      <c r="U49" s="1">
        <f>IF(AND(T49&gt;0,OR('HR Quick View'!$F$24="All Departments",Q49='HR Quick View'!$F$24)),COUNTIFS($T$4:$T$108,"&gt;"&amp;T49,$Q$4:$Q$108,IF('HR Quick View'!$F$24="All Departments","*",'HR Quick View'!$F$24))+COUNTIFS($T$4:T49,T49,$Q$4:Q49,IF('HR Quick View'!$F$24="All Departments","*",'HR Quick View'!$F$24)),"")</f>
        <v>26</v>
      </c>
      <c r="W49" s="1" t="s">
        <v>871</v>
      </c>
      <c r="X49" s="1" t="s">
        <v>307</v>
      </c>
      <c r="Y49" s="1" t="s">
        <v>27</v>
      </c>
      <c r="Z49" s="1" t="str">
        <f>IF('HR Quick View'!$C$9="","",IF(COUNTIFS('Competency Event Log'!$B$4:$B$803,'HR Quick View'!$C$9,'Competency Event Log'!$C$4:$C$803,W49,'Competency Event Log'!$T$4:$T$803,"Current")=0,"",SUMIFS('Competency Event Log'!$D$4:$D$803,'Competency Event Log'!$B$4:$B$803,'HR Quick View'!$C$9,'Competency Event Log'!$C$4:$C$803,W49,'Competency Event Log'!$T$4:$T$803,"Current")))</f>
        <v/>
      </c>
      <c r="AA49" s="1" t="str">
        <f>IF($Z49="","",IF('HR Quick View'!$B$10="Qualified only",IF($Z49=3,COUNTIF($Z$4:$Z49,3),""),IF('HR Quick View'!$B$10="Developing only",IF(OR($Z49=1,$Z49=2),COUNTIF($Z$4:$Z$108,"&gt;"&amp;$Z49)+COUNTIF($Z$4:$Z49,$Z49)-COUNTIF($Z$4:$Z$108,3),""),IF('HR Quick View'!$B$10="All scored",COUNTIF($Z$4:$Z$108,"&gt;"&amp;$Z49)+COUNTIF($Z$4:$Z49,$Z49),""))))</f>
        <v/>
      </c>
      <c r="AB49" s="1" t="str">
        <f>""</f>
        <v/>
      </c>
      <c r="AC49" s="1">
        <f t="shared" si="11"/>
        <v>3</v>
      </c>
      <c r="AD49" s="1">
        <f t="shared" si="12"/>
        <v>0</v>
      </c>
      <c r="AE49" s="1">
        <f t="shared" si="13"/>
        <v>3</v>
      </c>
      <c r="AF49" s="1" t="str">
        <f>IFERROR(IF(Lists!$B49="","",Lists!$B49),"")</f>
        <v/>
      </c>
      <c r="AG49" s="1" t="str">
        <f>IFERROR(IF(Lists!$B49="","",Lists!$C49),"")</f>
        <v/>
      </c>
      <c r="AH49" s="1" t="str">
        <f>IFERROR(IF(Lists!$B49="","",Lists!$D49),"")</f>
        <v/>
      </c>
      <c r="AI49" s="1" t="str">
        <f>IF(AF49="","",IFERROR(INDEX('Skills Matrix'!$G$6:$DE$205,MATCH(AF49,'Skills Matrix'!$B$6:$B$205,0),MATCH('HR Quick View'!$J$9,'Skills Matrix'!$G$5:$DE$5,0)),""))</f>
        <v/>
      </c>
      <c r="AJ49" s="1" t="str">
        <f t="shared" si="14"/>
        <v/>
      </c>
      <c r="AK49" s="1" t="str">
        <f>IFERROR(IF(Lists!$B49="","",Lists!$E49),"")</f>
        <v/>
      </c>
      <c r="AL49" s="1" t="str">
        <f>IF(AND(OR('HR Quick View'!$L$10="All Shifts",AH49='HR Quick View'!$L$10),OR(AND('HR Quick View'!$I$10="Qualified only",AI49=3),AND('HR Quick View'!$I$10="All trained",AI49&gt;0))),IF('HR Quick View'!$L$10="All Shifts",COUNTIF($AI$4:$AI$203,"&gt;"&amp;AI49)+COUNTIF($AI$4:AI49,AI49),COUNTIFS($AI$4:$AI$203,"&gt;"&amp;AI49,$AH$4:$AH$203,'HR Quick View'!$L$10)+COUNTIFS($AI$4:AI49,AI49,$AH$4:AH49,'HR Quick View'!$L$10)),"")</f>
        <v/>
      </c>
      <c r="AP49" s="17" t="str">
        <f>IFERROR(IF(Lists!$J49="","",Lists!$J49),"")</f>
        <v>Remote Access Support</v>
      </c>
      <c r="AQ49" s="17" t="str">
        <f>IFERROR(IF(Lists!$J49="","",Lists!$K49),"")</f>
        <v>IT Operations</v>
      </c>
      <c r="AR49" s="17" t="str">
        <f>IFERROR(IF(Lists!$J49="","",Lists!$L49),"")</f>
        <v>Yes</v>
      </c>
      <c r="AS49" s="17">
        <f>IFERROR(IF(Lists!$J49="","",Lists!$M49),0)</f>
        <v>4</v>
      </c>
      <c r="AT49" s="17">
        <f>IF(AP49="","",COUNTIF('Skills Matrix'!$AZ$6:$AZ$205,3))</f>
        <v>0</v>
      </c>
      <c r="AU49" s="17">
        <f>IF(AP49="","",COUNTIF('Skills Matrix'!$AZ$6:$AZ$205,2))</f>
        <v>0</v>
      </c>
      <c r="AV49" s="17">
        <f t="shared" si="15"/>
        <v>4</v>
      </c>
      <c r="AW49" s="17">
        <f>IF(OR(AP49="",AS49&lt;=0,AV49&lt;=0,AND('Skill Management'!$D$4&lt;&gt;"All Departments",AQ49&lt;&gt;'Skill Management'!$D$4)),"",IF(AT49=0,100000,0)+IF(AR49="Yes",10000,0)+AV49*100+AU49)</f>
        <v>110400</v>
      </c>
      <c r="AX49" s="17">
        <f>IF(AW49="","",COUNTIF($AW$4:$AW$106,"&gt;"&amp;AW49)+COUNTIF($AW$4:AW49,AW49))</f>
        <v>5</v>
      </c>
      <c r="AY49" s="17" t="str">
        <f>IFERROR(IF(Lists!$J49="","",Lists!$N49),"")</f>
        <v>Yes</v>
      </c>
      <c r="BA49" s="17" t="str">
        <f>IFERROR(IF('Training Plan'!$A50="","",'Training Plan'!$A50),"")</f>
        <v/>
      </c>
      <c r="BB49" s="17" t="str">
        <f>IFERROR(IF('Training Plan'!$A50="","",'Training Plan'!$B50),"")</f>
        <v/>
      </c>
      <c r="BC49" s="17" t="str">
        <f>IFERROR(IF('Training Plan'!$A50="","",'Training Plan'!$C50),"")</f>
        <v/>
      </c>
      <c r="BD49" s="17" t="str">
        <f>IFERROR(IF('Training Plan'!$A50="","",'Training Plan'!$D50),"")</f>
        <v/>
      </c>
      <c r="BE49" s="17" t="str">
        <f>IFERROR(IF('Training Plan'!$A50="","",'Training Plan'!$E50),"")</f>
        <v/>
      </c>
      <c r="BF49" s="17" t="str">
        <f>IFERROR(IF('Training Plan'!$A50="","",'Training Plan'!$F50),"")</f>
        <v/>
      </c>
      <c r="BG49" s="17" t="str">
        <f>IFERROR(IF('Training Plan'!$A50="","",'Training Plan'!$G50),"")</f>
        <v/>
      </c>
      <c r="BH49" s="17" t="str">
        <f>IFERROR(IF('Training Plan'!$A50="","",'Training Plan'!$H50),"")</f>
        <v/>
      </c>
      <c r="BI49" s="17" t="str">
        <f>IF(OR(BA49="",BF49="Complete",AND('Skill Management'!$D$4&lt;&gt;"All Departments",BB49&lt;&gt;'Skill Management'!$D$4)),"",IF(BF49="Blocked",100000,IF(BF49="In Progress",200000,300000))+IF(BE49="",99999,BE49))</f>
        <v/>
      </c>
      <c r="BJ49" s="17" t="str">
        <f>IF(BI49="","",COUNTIFS($BI$4:$BI$203,"&gt;0",$BI$4:$BI$203,"&lt;"&amp;BI49)+COUNTIF($BI$4:BI49,BI49))</f>
        <v/>
      </c>
      <c r="BT49" t="str">
        <f t="shared" si="16"/>
        <v>Remote Access Support</v>
      </c>
      <c r="BU49" t="str">
        <f t="shared" si="17"/>
        <v>IT Operations</v>
      </c>
      <c r="BV49" t="str">
        <f>IF(BT49="","",IFERROR(INDEX('Skills Matrix'!$G$6:$DE$205,MATCH('Employee Transcript'!$C$4,'Skills Matrix'!$B$6:$B$205,0),MATCH(BT49,'Skills Matrix'!$G$5:$DE$5,0)),""))</f>
        <v/>
      </c>
      <c r="BW49" t="str">
        <f>IF(BT49="","",IFERROR(INDEX('Competency Event Log'!$E$4:$E$803,MATCH('Employee Transcript'!$C$4&amp;"|"&amp;BT49,'Competency Event Log'!$U$4:$U$803,0)),""))</f>
        <v/>
      </c>
      <c r="BX49" t="str">
        <f>IF(BT49="","",IF(BU49='Employee Transcript'!$B$7,"Home Department","Cross-Trained"))</f>
        <v>Cross-Trained</v>
      </c>
      <c r="BY49" t="str">
        <f t="shared" si="18"/>
        <v>Yes</v>
      </c>
      <c r="BZ49" t="str">
        <f>IF(BT49="","",IFERROR(INDEX('Competency Event Log'!$L$4:$L$803,MATCH('Employee Transcript'!$C$4&amp;"|"&amp;BT49,'Competency Event Log'!$U$4:$U$803,0)),""))</f>
        <v/>
      </c>
      <c r="CA49" t="str">
        <f>IF(N(BV49)&gt;0,COUNTIF($BV$4:BV49,"&gt;0"),"")</f>
        <v/>
      </c>
      <c r="CB49" t="str">
        <f>IF(AND('Competency Event Log'!$B49='Employee Transcript'!$C$4,'Competency Event Log'!$I49&lt;&gt;"Yes"),'Competency Event Log'!$K49,"")</f>
        <v/>
      </c>
      <c r="CC49" t="str">
        <f t="shared" si="9"/>
        <v/>
      </c>
      <c r="CD49" t="str">
        <f>IF(Certifications!$A49='Employee Transcript'!$C$4,49,"")</f>
        <v/>
      </c>
      <c r="CE49" t="str">
        <f>IF(CD49="","",COUNTIF($CD$4:CD49,"&gt;0"))</f>
        <v/>
      </c>
      <c r="CF49" t="str">
        <f>IF(AND('Training Plan'!$A50='Employee Transcript'!$C$4,'Training Plan'!$F50&lt;&gt;"Complete"),50,"")</f>
        <v/>
      </c>
      <c r="CG49" t="str">
        <f>IF(CF49="","",COUNTIF($CF$4:CF49,"&gt;0"))</f>
        <v/>
      </c>
    </row>
    <row r="50" spans="1:85">
      <c r="A50" s="2"/>
      <c r="B50" s="1"/>
      <c r="C50" s="1"/>
      <c r="D50" s="1"/>
      <c r="E50" s="1"/>
      <c r="F50" s="3"/>
      <c r="G50" s="1"/>
      <c r="H50" s="4"/>
      <c r="I50" s="1" t="s">
        <v>821</v>
      </c>
      <c r="J50" s="1" t="s">
        <v>819</v>
      </c>
      <c r="K50" s="1" t="s">
        <v>307</v>
      </c>
      <c r="L50" s="1" t="s">
        <v>27</v>
      </c>
      <c r="M50" s="1">
        <v>4</v>
      </c>
      <c r="N50" s="1" t="s">
        <v>27</v>
      </c>
      <c r="P50" s="1" t="s">
        <v>819</v>
      </c>
      <c r="Q50" s="1" t="s">
        <v>307</v>
      </c>
      <c r="R50" s="1">
        <v>3</v>
      </c>
      <c r="S50" s="1">
        <f>COUNTIF('Skills Matrix'!$BA$6:$BA$205,3)</f>
        <v>3</v>
      </c>
      <c r="T50" s="1">
        <f t="shared" si="10"/>
        <v>0</v>
      </c>
      <c r="U50" s="1" t="str">
        <f>IF(AND(T50&gt;0,OR('HR Quick View'!$F$24="All Departments",Q50='HR Quick View'!$F$24)),COUNTIFS($T$4:$T$108,"&gt;"&amp;T50,$Q$4:$Q$108,IF('HR Quick View'!$F$24="All Departments","*",'HR Quick View'!$F$24))+COUNTIFS($T$4:T50,T50,$Q$4:Q50,IF('HR Quick View'!$F$24="All Departments","*",'HR Quick View'!$F$24)),"")</f>
        <v/>
      </c>
      <c r="W50" s="1" t="s">
        <v>819</v>
      </c>
      <c r="X50" s="1" t="s">
        <v>307</v>
      </c>
      <c r="Y50" s="1" t="s">
        <v>27</v>
      </c>
      <c r="Z50" s="1" t="str">
        <f>IF('HR Quick View'!$C$9="","",IF(COUNTIFS('Competency Event Log'!$B$4:$B$803,'HR Quick View'!$C$9,'Competency Event Log'!$C$4:$C$803,W50,'Competency Event Log'!$T$4:$T$803,"Current")=0,"",SUMIFS('Competency Event Log'!$D$4:$D$803,'Competency Event Log'!$B$4:$B$803,'HR Quick View'!$C$9,'Competency Event Log'!$C$4:$C$803,W50,'Competency Event Log'!$T$4:$T$803,"Current")))</f>
        <v/>
      </c>
      <c r="AA50" s="1" t="str">
        <f>IF($Z50="","",IF('HR Quick View'!$B$10="Qualified only",IF($Z50=3,COUNTIF($Z$4:$Z50,3),""),IF('HR Quick View'!$B$10="Developing only",IF(OR($Z50=1,$Z50=2),COUNTIF($Z$4:$Z$108,"&gt;"&amp;$Z50)+COUNTIF($Z$4:$Z50,$Z50)-COUNTIF($Z$4:$Z$108,3),""),IF('HR Quick View'!$B$10="All scored",COUNTIF($Z$4:$Z$108,"&gt;"&amp;$Z50)+COUNTIF($Z$4:$Z50,$Z50),""))))</f>
        <v/>
      </c>
      <c r="AB50" s="1" t="str">
        <f>""</f>
        <v/>
      </c>
      <c r="AC50" s="1">
        <f t="shared" si="11"/>
        <v>3</v>
      </c>
      <c r="AD50" s="1">
        <f t="shared" si="12"/>
        <v>3</v>
      </c>
      <c r="AE50" s="1">
        <f t="shared" si="13"/>
        <v>0</v>
      </c>
      <c r="AF50" s="1" t="str">
        <f>IFERROR(IF(Lists!$B50="","",Lists!$B50),"")</f>
        <v/>
      </c>
      <c r="AG50" s="1" t="str">
        <f>IFERROR(IF(Lists!$B50="","",Lists!$C50),"")</f>
        <v/>
      </c>
      <c r="AH50" s="1" t="str">
        <f>IFERROR(IF(Lists!$B50="","",Lists!$D50),"")</f>
        <v/>
      </c>
      <c r="AI50" s="1" t="str">
        <f>IF(AF50="","",IFERROR(INDEX('Skills Matrix'!$G$6:$DE$205,MATCH(AF50,'Skills Matrix'!$B$6:$B$205,0),MATCH('HR Quick View'!$J$9,'Skills Matrix'!$G$5:$DE$5,0)),""))</f>
        <v/>
      </c>
      <c r="AJ50" s="1" t="str">
        <f t="shared" si="14"/>
        <v/>
      </c>
      <c r="AK50" s="1" t="str">
        <f>IFERROR(IF(Lists!$B50="","",Lists!$E50),"")</f>
        <v/>
      </c>
      <c r="AL50" s="1" t="str">
        <f>IF(AND(OR('HR Quick View'!$L$10="All Shifts",AH50='HR Quick View'!$L$10),OR(AND('HR Quick View'!$I$10="Qualified only",AI50=3),AND('HR Quick View'!$I$10="All trained",AI50&gt;0))),IF('HR Quick View'!$L$10="All Shifts",COUNTIF($AI$4:$AI$203,"&gt;"&amp;AI50)+COUNTIF($AI$4:AI50,AI50),COUNTIFS($AI$4:$AI$203,"&gt;"&amp;AI50,$AH$4:$AH$203,'HR Quick View'!$L$10)+COUNTIFS($AI$4:AI50,AI50,$AH$4:AH50,'HR Quick View'!$L$10)),"")</f>
        <v/>
      </c>
      <c r="AP50" s="17" t="str">
        <f>IFERROR(IF(Lists!$J50="","",Lists!$J50),"")</f>
        <v>Network Support Analyst</v>
      </c>
      <c r="AQ50" s="17" t="str">
        <f>IFERROR(IF(Lists!$J50="","",Lists!$K50),"")</f>
        <v>IT Operations</v>
      </c>
      <c r="AR50" s="17" t="str">
        <f>IFERROR(IF(Lists!$J50="","",Lists!$L50),"")</f>
        <v>Yes</v>
      </c>
      <c r="AS50" s="17">
        <f>IFERROR(IF(Lists!$J50="","",Lists!$M50),0)</f>
        <v>4</v>
      </c>
      <c r="AT50" s="17">
        <f>IF(AP50="","",COUNTIF('Skills Matrix'!$BA$6:$BA$205,3))</f>
        <v>3</v>
      </c>
      <c r="AU50" s="17">
        <f>IF(AP50="","",COUNTIF('Skills Matrix'!$BA$6:$BA$205,2))</f>
        <v>1</v>
      </c>
      <c r="AV50" s="17">
        <f t="shared" si="15"/>
        <v>1</v>
      </c>
      <c r="AW50" s="17">
        <f>IF(OR(AP50="",AS50&lt;=0,AV50&lt;=0,AND('Skill Management'!$D$4&lt;&gt;"All Departments",AQ50&lt;&gt;'Skill Management'!$D$4)),"",IF(AT50=0,100000,0)+IF(AR50="Yes",10000,0)+AV50*100+AU50)</f>
        <v>10101</v>
      </c>
      <c r="AX50" s="17">
        <f>IF(AW50="","",COUNTIF($AW$4:$AW$106,"&gt;"&amp;AW50)+COUNTIF($AW$4:AW50,AW50))</f>
        <v>62</v>
      </c>
      <c r="AY50" s="17" t="str">
        <f>IFERROR(IF(Lists!$J50="","",Lists!$N50),"")</f>
        <v>Yes</v>
      </c>
      <c r="BA50" s="17" t="str">
        <f>IFERROR(IF('Training Plan'!$A51="","",'Training Plan'!$A51),"")</f>
        <v/>
      </c>
      <c r="BB50" s="17" t="str">
        <f>IFERROR(IF('Training Plan'!$A51="","",'Training Plan'!$B51),"")</f>
        <v/>
      </c>
      <c r="BC50" s="17" t="str">
        <f>IFERROR(IF('Training Plan'!$A51="","",'Training Plan'!$C51),"")</f>
        <v/>
      </c>
      <c r="BD50" s="17" t="str">
        <f>IFERROR(IF('Training Plan'!$A51="","",'Training Plan'!$D51),"")</f>
        <v/>
      </c>
      <c r="BE50" s="17" t="str">
        <f>IFERROR(IF('Training Plan'!$A51="","",'Training Plan'!$E51),"")</f>
        <v/>
      </c>
      <c r="BF50" s="17" t="str">
        <f>IFERROR(IF('Training Plan'!$A51="","",'Training Plan'!$F51),"")</f>
        <v/>
      </c>
      <c r="BG50" s="17" t="str">
        <f>IFERROR(IF('Training Plan'!$A51="","",'Training Plan'!$G51),"")</f>
        <v/>
      </c>
      <c r="BH50" s="17" t="str">
        <f>IFERROR(IF('Training Plan'!$A51="","",'Training Plan'!$H51),"")</f>
        <v/>
      </c>
      <c r="BI50" s="17" t="str">
        <f>IF(OR(BA50="",BF50="Complete",AND('Skill Management'!$D$4&lt;&gt;"All Departments",BB50&lt;&gt;'Skill Management'!$D$4)),"",IF(BF50="Blocked",100000,IF(BF50="In Progress",200000,300000))+IF(BE50="",99999,BE50))</f>
        <v/>
      </c>
      <c r="BJ50" s="17" t="str">
        <f>IF(BI50="","",COUNTIFS($BI$4:$BI$203,"&gt;0",$BI$4:$BI$203,"&lt;"&amp;BI50)+COUNTIF($BI$4:BI50,BI50))</f>
        <v/>
      </c>
      <c r="BT50" t="str">
        <f t="shared" si="16"/>
        <v>Network Support Analyst</v>
      </c>
      <c r="BU50" t="str">
        <f t="shared" si="17"/>
        <v>IT Operations</v>
      </c>
      <c r="BV50" t="str">
        <f>IF(BT50="","",IFERROR(INDEX('Skills Matrix'!$G$6:$DE$205,MATCH('Employee Transcript'!$C$4,'Skills Matrix'!$B$6:$B$205,0),MATCH(BT50,'Skills Matrix'!$G$5:$DE$5,0)),""))</f>
        <v/>
      </c>
      <c r="BW50" t="str">
        <f>IF(BT50="","",IFERROR(INDEX('Competency Event Log'!$E$4:$E$803,MATCH('Employee Transcript'!$C$4&amp;"|"&amp;BT50,'Competency Event Log'!$U$4:$U$803,0)),""))</f>
        <v/>
      </c>
      <c r="BX50" t="str">
        <f>IF(BT50="","",IF(BU50='Employee Transcript'!$B$7,"Home Department","Cross-Trained"))</f>
        <v>Cross-Trained</v>
      </c>
      <c r="BY50" t="str">
        <f t="shared" si="18"/>
        <v>Yes</v>
      </c>
      <c r="BZ50" t="str">
        <f>IF(BT50="","",IFERROR(INDEX('Competency Event Log'!$L$4:$L$803,MATCH('Employee Transcript'!$C$4&amp;"|"&amp;BT50,'Competency Event Log'!$U$4:$U$803,0)),""))</f>
        <v/>
      </c>
      <c r="CA50" t="str">
        <f>IF(N(BV50)&gt;0,COUNTIF($BV$4:BV50,"&gt;0"),"")</f>
        <v/>
      </c>
      <c r="CB50" t="str">
        <f>IF(AND('Competency Event Log'!$B50='Employee Transcript'!$C$4,'Competency Event Log'!$I50&lt;&gt;"Yes"),'Competency Event Log'!$K50,"")</f>
        <v/>
      </c>
      <c r="CC50" t="str">
        <f t="shared" si="9"/>
        <v/>
      </c>
      <c r="CD50" t="str">
        <f>IF(Certifications!$A50='Employee Transcript'!$C$4,50,"")</f>
        <v/>
      </c>
      <c r="CE50" t="str">
        <f>IF(CD50="","",COUNTIF($CD$4:CD50,"&gt;0"))</f>
        <v/>
      </c>
      <c r="CF50" t="str">
        <f>IF(AND('Training Plan'!$A51='Employee Transcript'!$C$4,'Training Plan'!$F51&lt;&gt;"Complete"),51,"")</f>
        <v/>
      </c>
      <c r="CG50" t="str">
        <f>IF(CF50="","",COUNTIF($CF$4:CF50,"&gt;0"))</f>
        <v/>
      </c>
    </row>
    <row r="51" spans="1:85">
      <c r="A51" s="2"/>
      <c r="B51" s="1"/>
      <c r="C51" s="1"/>
      <c r="D51" s="1"/>
      <c r="E51" s="1"/>
      <c r="F51" s="3"/>
      <c r="G51" s="1"/>
      <c r="H51" s="4"/>
      <c r="I51" s="1" t="s">
        <v>986</v>
      </c>
      <c r="J51" s="1" t="s">
        <v>984</v>
      </c>
      <c r="K51" s="1" t="s">
        <v>308</v>
      </c>
      <c r="L51" s="1" t="s">
        <v>27</v>
      </c>
      <c r="M51" s="1">
        <v>4</v>
      </c>
      <c r="N51" s="1" t="s">
        <v>27</v>
      </c>
      <c r="P51" s="1" t="s">
        <v>984</v>
      </c>
      <c r="Q51" s="1" t="s">
        <v>308</v>
      </c>
      <c r="R51" s="1">
        <v>6</v>
      </c>
      <c r="S51" s="1">
        <f>COUNTIF('Skills Matrix'!$BB$6:$BB$205,3)</f>
        <v>2</v>
      </c>
      <c r="T51" s="1">
        <f t="shared" si="10"/>
        <v>4</v>
      </c>
      <c r="U51" s="1">
        <f>IF(AND(T51&gt;0,OR('HR Quick View'!$F$24="All Departments",Q51='HR Quick View'!$F$24)),COUNTIFS($T$4:$T$108,"&gt;"&amp;T51,$Q$4:$Q$108,IF('HR Quick View'!$F$24="All Departments","*",'HR Quick View'!$F$24))+COUNTIFS($T$4:T51,T51,$Q$4:Q51,IF('HR Quick View'!$F$24="All Departments","*",'HR Quick View'!$F$24)),"")</f>
        <v>15</v>
      </c>
      <c r="W51" s="1" t="s">
        <v>984</v>
      </c>
      <c r="X51" s="1" t="s">
        <v>308</v>
      </c>
      <c r="Y51" s="1" t="s">
        <v>27</v>
      </c>
      <c r="Z51" s="1" t="str">
        <f>IF('HR Quick View'!$C$9="","",IF(COUNTIFS('Competency Event Log'!$B$4:$B$803,'HR Quick View'!$C$9,'Competency Event Log'!$C$4:$C$803,W51,'Competency Event Log'!$T$4:$T$803,"Current")=0,"",SUMIFS('Competency Event Log'!$D$4:$D$803,'Competency Event Log'!$B$4:$B$803,'HR Quick View'!$C$9,'Competency Event Log'!$C$4:$C$803,W51,'Competency Event Log'!$T$4:$T$803,"Current")))</f>
        <v/>
      </c>
      <c r="AA51" s="1" t="str">
        <f>IF($Z51="","",IF('HR Quick View'!$B$10="Qualified only",IF($Z51=3,COUNTIF($Z$4:$Z51,3),""),IF('HR Quick View'!$B$10="Developing only",IF(OR($Z51=1,$Z51=2),COUNTIF($Z$4:$Z$108,"&gt;"&amp;$Z51)+COUNTIF($Z$4:$Z51,$Z51)-COUNTIF($Z$4:$Z$108,3),""),IF('HR Quick View'!$B$10="All scored",COUNTIF($Z$4:$Z$108,"&gt;"&amp;$Z51)+COUNTIF($Z$4:$Z51,$Z51),""))))</f>
        <v/>
      </c>
      <c r="AB51" s="1" t="str">
        <f>""</f>
        <v/>
      </c>
      <c r="AC51" s="1">
        <f t="shared" si="11"/>
        <v>6</v>
      </c>
      <c r="AD51" s="1">
        <f t="shared" si="12"/>
        <v>2</v>
      </c>
      <c r="AE51" s="1">
        <f t="shared" si="13"/>
        <v>4</v>
      </c>
      <c r="AF51" s="1" t="str">
        <f>IFERROR(IF(Lists!$B51="","",Lists!$B51),"")</f>
        <v/>
      </c>
      <c r="AG51" s="1" t="str">
        <f>IFERROR(IF(Lists!$B51="","",Lists!$C51),"")</f>
        <v/>
      </c>
      <c r="AH51" s="1" t="str">
        <f>IFERROR(IF(Lists!$B51="","",Lists!$D51),"")</f>
        <v/>
      </c>
      <c r="AI51" s="1" t="str">
        <f>IF(AF51="","",IFERROR(INDEX('Skills Matrix'!$G$6:$DE$205,MATCH(AF51,'Skills Matrix'!$B$6:$B$205,0),MATCH('HR Quick View'!$J$9,'Skills Matrix'!$G$5:$DE$5,0)),""))</f>
        <v/>
      </c>
      <c r="AJ51" s="1" t="str">
        <f t="shared" si="14"/>
        <v/>
      </c>
      <c r="AK51" s="1" t="str">
        <f>IFERROR(IF(Lists!$B51="","",Lists!$E51),"")</f>
        <v/>
      </c>
      <c r="AL51" s="1" t="str">
        <f>IF(AND(OR('HR Quick View'!$L$10="All Shifts",AH51='HR Quick View'!$L$10),OR(AND('HR Quick View'!$I$10="Qualified only",AI51=3),AND('HR Quick View'!$I$10="All trained",AI51&gt;0))),IF('HR Quick View'!$L$10="All Shifts",COUNTIF($AI$4:$AI$203,"&gt;"&amp;AI51)+COUNTIF($AI$4:AI51,AI51),COUNTIFS($AI$4:$AI$203,"&gt;"&amp;AI51,$AH$4:$AH$203,'HR Quick View'!$L$10)+COUNTIFS($AI$4:AI51,AI51,$AH$4:AH51,'HR Quick View'!$L$10)),"")</f>
        <v/>
      </c>
      <c r="AP51" s="17" t="str">
        <f>IFERROR(IF(Lists!$J51="","",Lists!$J51),"")</f>
        <v>Test Case Design</v>
      </c>
      <c r="AQ51" s="17" t="str">
        <f>IFERROR(IF(Lists!$J51="","",Lists!$K51),"")</f>
        <v>Quality Assurance</v>
      </c>
      <c r="AR51" s="17" t="str">
        <f>IFERROR(IF(Lists!$J51="","",Lists!$L51),"")</f>
        <v>Yes</v>
      </c>
      <c r="AS51" s="17">
        <f>IFERROR(IF(Lists!$J51="","",Lists!$M51),0)</f>
        <v>4</v>
      </c>
      <c r="AT51" s="17">
        <f>IF(AP51="","",COUNTIF('Skills Matrix'!$BB$6:$BB$205,3))</f>
        <v>2</v>
      </c>
      <c r="AU51" s="17">
        <f>IF(AP51="","",COUNTIF('Skills Matrix'!$BB$6:$BB$205,2))</f>
        <v>2</v>
      </c>
      <c r="AV51" s="17">
        <f t="shared" si="15"/>
        <v>2</v>
      </c>
      <c r="AW51" s="17">
        <f>IF(OR(AP51="",AS51&lt;=0,AV51&lt;=0,AND('Skill Management'!$D$4&lt;&gt;"All Departments",AQ51&lt;&gt;'Skill Management'!$D$4)),"",IF(AT51=0,100000,0)+IF(AR51="Yes",10000,0)+AV51*100+AU51)</f>
        <v>10202</v>
      </c>
      <c r="AX51" s="17">
        <f>IF(AW51="","",COUNTIF($AW$4:$AW$106,"&gt;"&amp;AW51)+COUNTIF($AW$4:AW51,AW51))</f>
        <v>50</v>
      </c>
      <c r="AY51" s="17" t="str">
        <f>IFERROR(IF(Lists!$J51="","",Lists!$N51),"")</f>
        <v>Yes</v>
      </c>
      <c r="BA51" s="17" t="str">
        <f>IFERROR(IF('Training Plan'!$A52="","",'Training Plan'!$A52),"")</f>
        <v/>
      </c>
      <c r="BB51" s="17" t="str">
        <f>IFERROR(IF('Training Plan'!$A52="","",'Training Plan'!$B52),"")</f>
        <v/>
      </c>
      <c r="BC51" s="17" t="str">
        <f>IFERROR(IF('Training Plan'!$A52="","",'Training Plan'!$C52),"")</f>
        <v/>
      </c>
      <c r="BD51" s="17" t="str">
        <f>IFERROR(IF('Training Plan'!$A52="","",'Training Plan'!$D52),"")</f>
        <v/>
      </c>
      <c r="BE51" s="17" t="str">
        <f>IFERROR(IF('Training Plan'!$A52="","",'Training Plan'!$E52),"")</f>
        <v/>
      </c>
      <c r="BF51" s="17" t="str">
        <f>IFERROR(IF('Training Plan'!$A52="","",'Training Plan'!$F52),"")</f>
        <v/>
      </c>
      <c r="BG51" s="17" t="str">
        <f>IFERROR(IF('Training Plan'!$A52="","",'Training Plan'!$G52),"")</f>
        <v/>
      </c>
      <c r="BH51" s="17" t="str">
        <f>IFERROR(IF('Training Plan'!$A52="","",'Training Plan'!$H52),"")</f>
        <v/>
      </c>
      <c r="BI51" s="17" t="str">
        <f>IF(OR(BA51="",BF51="Complete",AND('Skill Management'!$D$4&lt;&gt;"All Departments",BB51&lt;&gt;'Skill Management'!$D$4)),"",IF(BF51="Blocked",100000,IF(BF51="In Progress",200000,300000))+IF(BE51="",99999,BE51))</f>
        <v/>
      </c>
      <c r="BJ51" s="17" t="str">
        <f>IF(BI51="","",COUNTIFS($BI$4:$BI$203,"&gt;0",$BI$4:$BI$203,"&lt;"&amp;BI51)+COUNTIF($BI$4:BI51,BI51))</f>
        <v/>
      </c>
      <c r="BT51" t="str">
        <f t="shared" si="16"/>
        <v>Test Case Design</v>
      </c>
      <c r="BU51" t="str">
        <f t="shared" si="17"/>
        <v>Quality Assurance</v>
      </c>
      <c r="BV51" t="str">
        <f>IF(BT51="","",IFERROR(INDEX('Skills Matrix'!$G$6:$DE$205,MATCH('Employee Transcript'!$C$4,'Skills Matrix'!$B$6:$B$205,0),MATCH(BT51,'Skills Matrix'!$G$5:$DE$5,0)),""))</f>
        <v/>
      </c>
      <c r="BW51" t="str">
        <f>IF(BT51="","",IFERROR(INDEX('Competency Event Log'!$E$4:$E$803,MATCH('Employee Transcript'!$C$4&amp;"|"&amp;BT51,'Competency Event Log'!$U$4:$U$803,0)),""))</f>
        <v/>
      </c>
      <c r="BX51" t="str">
        <f>IF(BT51="","",IF(BU51='Employee Transcript'!$B$7,"Home Department","Cross-Trained"))</f>
        <v>Cross-Trained</v>
      </c>
      <c r="BY51" t="str">
        <f t="shared" si="18"/>
        <v>Yes</v>
      </c>
      <c r="BZ51" t="str">
        <f>IF(BT51="","",IFERROR(INDEX('Competency Event Log'!$L$4:$L$803,MATCH('Employee Transcript'!$C$4&amp;"|"&amp;BT51,'Competency Event Log'!$U$4:$U$803,0)),""))</f>
        <v/>
      </c>
      <c r="CA51" t="str">
        <f>IF(N(BV51)&gt;0,COUNTIF($BV$4:BV51,"&gt;0"),"")</f>
        <v/>
      </c>
      <c r="CB51" t="str">
        <f>IF(AND('Competency Event Log'!$B51='Employee Transcript'!$C$4,'Competency Event Log'!$I51&lt;&gt;"Yes"),'Competency Event Log'!$K51,"")</f>
        <v/>
      </c>
      <c r="CC51" t="str">
        <f t="shared" si="9"/>
        <v/>
      </c>
      <c r="CD51" t="str">
        <f>IF(Certifications!$A51='Employee Transcript'!$C$4,51,"")</f>
        <v/>
      </c>
      <c r="CE51" t="str">
        <f>IF(CD51="","",COUNTIF($CD$4:CD51,"&gt;0"))</f>
        <v/>
      </c>
      <c r="CF51" t="str">
        <f>IF(AND('Training Plan'!$A52='Employee Transcript'!$C$4,'Training Plan'!$F52&lt;&gt;"Complete"),52,"")</f>
        <v/>
      </c>
      <c r="CG51" t="str">
        <f>IF(CF51="","",COUNTIF($CF$4:CF51,"&gt;0"))</f>
        <v/>
      </c>
    </row>
    <row r="52" spans="1:85">
      <c r="A52" s="2"/>
      <c r="B52" s="1"/>
      <c r="C52" s="1"/>
      <c r="D52" s="1"/>
      <c r="E52" s="1"/>
      <c r="F52" s="3"/>
      <c r="G52" s="1"/>
      <c r="H52" s="4"/>
      <c r="I52" s="1" t="s">
        <v>934</v>
      </c>
      <c r="J52" s="1" t="s">
        <v>929</v>
      </c>
      <c r="K52" s="1" t="s">
        <v>308</v>
      </c>
      <c r="L52" s="1" t="s">
        <v>27</v>
      </c>
      <c r="M52" s="1">
        <v>4</v>
      </c>
      <c r="N52" s="1" t="s">
        <v>27</v>
      </c>
      <c r="P52" s="1" t="s">
        <v>929</v>
      </c>
      <c r="Q52" s="1" t="s">
        <v>308</v>
      </c>
      <c r="R52" s="1">
        <v>6</v>
      </c>
      <c r="S52" s="1">
        <f>COUNTIF('Skills Matrix'!$BC$6:$BC$205,3)</f>
        <v>5</v>
      </c>
      <c r="T52" s="1">
        <f t="shared" si="10"/>
        <v>1</v>
      </c>
      <c r="U52" s="1">
        <f>IF(AND(T52&gt;0,OR('HR Quick View'!$F$24="All Departments",Q52='HR Quick View'!$F$24)),COUNTIFS($T$4:$T$108,"&gt;"&amp;T52,$Q$4:$Q$108,IF('HR Quick View'!$F$24="All Departments","*",'HR Quick View'!$F$24))+COUNTIFS($T$4:T52,T52,$Q$4:Q52,IF('HR Quick View'!$F$24="All Departments","*",'HR Quick View'!$F$24)),"")</f>
        <v>48</v>
      </c>
      <c r="W52" s="1" t="s">
        <v>929</v>
      </c>
      <c r="X52" s="1" t="s">
        <v>308</v>
      </c>
      <c r="Y52" s="1" t="s">
        <v>27</v>
      </c>
      <c r="Z52" s="1" t="str">
        <f>IF('HR Quick View'!$C$9="","",IF(COUNTIFS('Competency Event Log'!$B$4:$B$803,'HR Quick View'!$C$9,'Competency Event Log'!$C$4:$C$803,W52,'Competency Event Log'!$T$4:$T$803,"Current")=0,"",SUMIFS('Competency Event Log'!$D$4:$D$803,'Competency Event Log'!$B$4:$B$803,'HR Quick View'!$C$9,'Competency Event Log'!$C$4:$C$803,W52,'Competency Event Log'!$T$4:$T$803,"Current")))</f>
        <v/>
      </c>
      <c r="AA52" s="1" t="str">
        <f>IF($Z52="","",IF('HR Quick View'!$B$10="Qualified only",IF($Z52=3,COUNTIF($Z$4:$Z52,3),""),IF('HR Quick View'!$B$10="Developing only",IF(OR($Z52=1,$Z52=2),COUNTIF($Z$4:$Z$108,"&gt;"&amp;$Z52)+COUNTIF($Z$4:$Z52,$Z52)-COUNTIF($Z$4:$Z$108,3),""),IF('HR Quick View'!$B$10="All scored",COUNTIF($Z$4:$Z$108,"&gt;"&amp;$Z52)+COUNTIF($Z$4:$Z52,$Z52),""))))</f>
        <v/>
      </c>
      <c r="AB52" s="1" t="str">
        <f>""</f>
        <v/>
      </c>
      <c r="AC52" s="1">
        <f t="shared" si="11"/>
        <v>6</v>
      </c>
      <c r="AD52" s="1">
        <f t="shared" si="12"/>
        <v>5</v>
      </c>
      <c r="AE52" s="1">
        <f t="shared" si="13"/>
        <v>1</v>
      </c>
      <c r="AF52" s="1" t="str">
        <f>IFERROR(IF(Lists!$B52="","",Lists!$B52),"")</f>
        <v/>
      </c>
      <c r="AG52" s="1" t="str">
        <f>IFERROR(IF(Lists!$B52="","",Lists!$C52),"")</f>
        <v/>
      </c>
      <c r="AH52" s="1" t="str">
        <f>IFERROR(IF(Lists!$B52="","",Lists!$D52),"")</f>
        <v/>
      </c>
      <c r="AI52" s="1" t="str">
        <f>IF(AF52="","",IFERROR(INDEX('Skills Matrix'!$G$6:$DE$205,MATCH(AF52,'Skills Matrix'!$B$6:$B$205,0),MATCH('HR Quick View'!$J$9,'Skills Matrix'!$G$5:$DE$5,0)),""))</f>
        <v/>
      </c>
      <c r="AJ52" s="1" t="str">
        <f t="shared" si="14"/>
        <v/>
      </c>
      <c r="AK52" s="1" t="str">
        <f>IFERROR(IF(Lists!$B52="","",Lists!$E52),"")</f>
        <v/>
      </c>
      <c r="AL52" s="1" t="str">
        <f>IF(AND(OR('HR Quick View'!$L$10="All Shifts",AH52='HR Quick View'!$L$10),OR(AND('HR Quick View'!$I$10="Qualified only",AI52=3),AND('HR Quick View'!$I$10="All trained",AI52&gt;0))),IF('HR Quick View'!$L$10="All Shifts",COUNTIF($AI$4:$AI$203,"&gt;"&amp;AI52)+COUNTIF($AI$4:AI52,AI52),COUNTIFS($AI$4:$AI$203,"&gt;"&amp;AI52,$AH$4:$AH$203,'HR Quick View'!$L$10)+COUNTIFS($AI$4:AI52,AI52,$AH$4:AH52,'HR Quick View'!$L$10)),"")</f>
        <v/>
      </c>
      <c r="AP52" s="17" t="str">
        <f>IFERROR(IF(Lists!$J52="","",Lists!$J52),"")</f>
        <v>Regression Testing</v>
      </c>
      <c r="AQ52" s="17" t="str">
        <f>IFERROR(IF(Lists!$J52="","",Lists!$K52),"")</f>
        <v>Quality Assurance</v>
      </c>
      <c r="AR52" s="17" t="str">
        <f>IFERROR(IF(Lists!$J52="","",Lists!$L52),"")</f>
        <v>Yes</v>
      </c>
      <c r="AS52" s="17">
        <f>IFERROR(IF(Lists!$J52="","",Lists!$M52),0)</f>
        <v>4</v>
      </c>
      <c r="AT52" s="17">
        <f>IF(AP52="","",COUNTIF('Skills Matrix'!$BC$6:$BC$205,3))</f>
        <v>5</v>
      </c>
      <c r="AU52" s="17">
        <f>IF(AP52="","",COUNTIF('Skills Matrix'!$BC$6:$BC$205,2))</f>
        <v>1</v>
      </c>
      <c r="AV52" s="17">
        <f t="shared" si="15"/>
        <v>0</v>
      </c>
      <c r="AW52" s="17" t="str">
        <f>IF(OR(AP52="",AS52&lt;=0,AV52&lt;=0,AND('Skill Management'!$D$4&lt;&gt;"All Departments",AQ52&lt;&gt;'Skill Management'!$D$4)),"",IF(AT52=0,100000,0)+IF(AR52="Yes",10000,0)+AV52*100+AU52)</f>
        <v/>
      </c>
      <c r="AX52" s="17" t="str">
        <f>IF(AW52="","",COUNTIF($AW$4:$AW$106,"&gt;"&amp;AW52)+COUNTIF($AW$4:AW52,AW52))</f>
        <v/>
      </c>
      <c r="AY52" s="17" t="str">
        <f>IFERROR(IF(Lists!$J52="","",Lists!$N52),"")</f>
        <v>Yes</v>
      </c>
      <c r="BA52" s="17" t="str">
        <f>IFERROR(IF('Training Plan'!$A53="","",'Training Plan'!$A53),"")</f>
        <v/>
      </c>
      <c r="BB52" s="17" t="str">
        <f>IFERROR(IF('Training Plan'!$A53="","",'Training Plan'!$B53),"")</f>
        <v/>
      </c>
      <c r="BC52" s="17" t="str">
        <f>IFERROR(IF('Training Plan'!$A53="","",'Training Plan'!$C53),"")</f>
        <v/>
      </c>
      <c r="BD52" s="17" t="str">
        <f>IFERROR(IF('Training Plan'!$A53="","",'Training Plan'!$D53),"")</f>
        <v/>
      </c>
      <c r="BE52" s="17" t="str">
        <f>IFERROR(IF('Training Plan'!$A53="","",'Training Plan'!$E53),"")</f>
        <v/>
      </c>
      <c r="BF52" s="17" t="str">
        <f>IFERROR(IF('Training Plan'!$A53="","",'Training Plan'!$F53),"")</f>
        <v/>
      </c>
      <c r="BG52" s="17" t="str">
        <f>IFERROR(IF('Training Plan'!$A53="","",'Training Plan'!$G53),"")</f>
        <v/>
      </c>
      <c r="BH52" s="17" t="str">
        <f>IFERROR(IF('Training Plan'!$A53="","",'Training Plan'!$H53),"")</f>
        <v/>
      </c>
      <c r="BI52" s="17" t="str">
        <f>IF(OR(BA52="",BF52="Complete",AND('Skill Management'!$D$4&lt;&gt;"All Departments",BB52&lt;&gt;'Skill Management'!$D$4)),"",IF(BF52="Blocked",100000,IF(BF52="In Progress",200000,300000))+IF(BE52="",99999,BE52))</f>
        <v/>
      </c>
      <c r="BJ52" s="17" t="str">
        <f>IF(BI52="","",COUNTIFS($BI$4:$BI$203,"&gt;0",$BI$4:$BI$203,"&lt;"&amp;BI52)+COUNTIF($BI$4:BI52,BI52))</f>
        <v/>
      </c>
      <c r="BT52" t="str">
        <f t="shared" si="16"/>
        <v>Regression Testing</v>
      </c>
      <c r="BU52" t="str">
        <f t="shared" si="17"/>
        <v>Quality Assurance</v>
      </c>
      <c r="BV52" t="str">
        <f>IF(BT52="","",IFERROR(INDEX('Skills Matrix'!$G$6:$DE$205,MATCH('Employee Transcript'!$C$4,'Skills Matrix'!$B$6:$B$205,0),MATCH(BT52,'Skills Matrix'!$G$5:$DE$5,0)),""))</f>
        <v/>
      </c>
      <c r="BW52" t="str">
        <f>IF(BT52="","",IFERROR(INDEX('Competency Event Log'!$E$4:$E$803,MATCH('Employee Transcript'!$C$4&amp;"|"&amp;BT52,'Competency Event Log'!$U$4:$U$803,0)),""))</f>
        <v/>
      </c>
      <c r="BX52" t="str">
        <f>IF(BT52="","",IF(BU52='Employee Transcript'!$B$7,"Home Department","Cross-Trained"))</f>
        <v>Cross-Trained</v>
      </c>
      <c r="BY52" t="str">
        <f t="shared" si="18"/>
        <v>Yes</v>
      </c>
      <c r="BZ52" t="str">
        <f>IF(BT52="","",IFERROR(INDEX('Competency Event Log'!$L$4:$L$803,MATCH('Employee Transcript'!$C$4&amp;"|"&amp;BT52,'Competency Event Log'!$U$4:$U$803,0)),""))</f>
        <v/>
      </c>
      <c r="CA52" t="str">
        <f>IF(N(BV52)&gt;0,COUNTIF($BV$4:BV52,"&gt;0"),"")</f>
        <v/>
      </c>
      <c r="CB52" t="str">
        <f>IF(AND('Competency Event Log'!$B52='Employee Transcript'!$C$4,'Competency Event Log'!$I52&lt;&gt;"Yes"),'Competency Event Log'!$K52,"")</f>
        <v/>
      </c>
      <c r="CC52" t="str">
        <f t="shared" si="9"/>
        <v/>
      </c>
      <c r="CD52" t="str">
        <f>IF(Certifications!$A52='Employee Transcript'!$C$4,52,"")</f>
        <v/>
      </c>
      <c r="CE52" t="str">
        <f>IF(CD52="","",COUNTIF($CD$4:CD52,"&gt;0"))</f>
        <v/>
      </c>
      <c r="CF52" t="str">
        <f>IF(AND('Training Plan'!$A53='Employee Transcript'!$C$4,'Training Plan'!$F53&lt;&gt;"Complete"),53,"")</f>
        <v/>
      </c>
      <c r="CG52" t="str">
        <f>IF(CF52="","",COUNTIF($CF$4:CF52,"&gt;0"))</f>
        <v/>
      </c>
    </row>
    <row r="53" spans="1:85">
      <c r="A53" s="2"/>
      <c r="B53" s="1"/>
      <c r="C53" s="1"/>
      <c r="D53" s="1"/>
      <c r="E53" s="1"/>
      <c r="F53" s="3"/>
      <c r="G53" s="1"/>
      <c r="H53" s="4"/>
      <c r="I53" s="1" t="s">
        <v>951</v>
      </c>
      <c r="J53" s="1" t="s">
        <v>949</v>
      </c>
      <c r="K53" s="1" t="s">
        <v>308</v>
      </c>
      <c r="L53" s="1" t="s">
        <v>27</v>
      </c>
      <c r="M53" s="1">
        <v>4</v>
      </c>
      <c r="N53" s="1" t="s">
        <v>27</v>
      </c>
      <c r="P53" s="1" t="s">
        <v>949</v>
      </c>
      <c r="Q53" s="1" t="s">
        <v>308</v>
      </c>
      <c r="R53" s="1">
        <v>6</v>
      </c>
      <c r="S53" s="1">
        <f>COUNTIF('Skills Matrix'!$BD$6:$BD$205,3)</f>
        <v>4</v>
      </c>
      <c r="T53" s="1">
        <f t="shared" si="10"/>
        <v>2</v>
      </c>
      <c r="U53" s="1">
        <f>IF(AND(T53&gt;0,OR('HR Quick View'!$F$24="All Departments",Q53='HR Quick View'!$F$24)),COUNTIFS($T$4:$T$108,"&gt;"&amp;T53,$Q$4:$Q$108,IF('HR Quick View'!$F$24="All Departments","*",'HR Quick View'!$F$24))+COUNTIFS($T$4:T53,T53,$Q$4:Q53,IF('HR Quick View'!$F$24="All Departments","*",'HR Quick View'!$F$24)),"")</f>
        <v>39</v>
      </c>
      <c r="W53" s="1" t="s">
        <v>949</v>
      </c>
      <c r="X53" s="1" t="s">
        <v>308</v>
      </c>
      <c r="Y53" s="1" t="s">
        <v>27</v>
      </c>
      <c r="Z53" s="1" t="str">
        <f>IF('HR Quick View'!$C$9="","",IF(COUNTIFS('Competency Event Log'!$B$4:$B$803,'HR Quick View'!$C$9,'Competency Event Log'!$C$4:$C$803,W53,'Competency Event Log'!$T$4:$T$803,"Current")=0,"",SUMIFS('Competency Event Log'!$D$4:$D$803,'Competency Event Log'!$B$4:$B$803,'HR Quick View'!$C$9,'Competency Event Log'!$C$4:$C$803,W53,'Competency Event Log'!$T$4:$T$803,"Current")))</f>
        <v/>
      </c>
      <c r="AA53" s="1" t="str">
        <f>IF($Z53="","",IF('HR Quick View'!$B$10="Qualified only",IF($Z53=3,COUNTIF($Z$4:$Z53,3),""),IF('HR Quick View'!$B$10="Developing only",IF(OR($Z53=1,$Z53=2),COUNTIF($Z$4:$Z$108,"&gt;"&amp;$Z53)+COUNTIF($Z$4:$Z53,$Z53)-COUNTIF($Z$4:$Z$108,3),""),IF('HR Quick View'!$B$10="All scored",COUNTIF($Z$4:$Z$108,"&gt;"&amp;$Z53)+COUNTIF($Z$4:$Z53,$Z53),""))))</f>
        <v/>
      </c>
      <c r="AB53" s="1" t="str">
        <f>""</f>
        <v/>
      </c>
      <c r="AC53" s="1">
        <f t="shared" si="11"/>
        <v>6</v>
      </c>
      <c r="AD53" s="1">
        <f t="shared" si="12"/>
        <v>4</v>
      </c>
      <c r="AE53" s="1">
        <f t="shared" si="13"/>
        <v>2</v>
      </c>
      <c r="AF53" s="1" t="str">
        <f>IFERROR(IF(Lists!$B53="","",Lists!$B53),"")</f>
        <v/>
      </c>
      <c r="AG53" s="1" t="str">
        <f>IFERROR(IF(Lists!$B53="","",Lists!$C53),"")</f>
        <v/>
      </c>
      <c r="AH53" s="1" t="str">
        <f>IFERROR(IF(Lists!$B53="","",Lists!$D53),"")</f>
        <v/>
      </c>
      <c r="AI53" s="1" t="str">
        <f>IF(AF53="","",IFERROR(INDEX('Skills Matrix'!$G$6:$DE$205,MATCH(AF53,'Skills Matrix'!$B$6:$B$205,0),MATCH('HR Quick View'!$J$9,'Skills Matrix'!$G$5:$DE$5,0)),""))</f>
        <v/>
      </c>
      <c r="AJ53" s="1" t="str">
        <f t="shared" si="14"/>
        <v/>
      </c>
      <c r="AK53" s="1" t="str">
        <f>IFERROR(IF(Lists!$B53="","",Lists!$E53),"")</f>
        <v/>
      </c>
      <c r="AL53" s="1" t="str">
        <f>IF(AND(OR('HR Quick View'!$L$10="All Shifts",AH53='HR Quick View'!$L$10),OR(AND('HR Quick View'!$I$10="Qualified only",AI53=3),AND('HR Quick View'!$I$10="All trained",AI53&gt;0))),IF('HR Quick View'!$L$10="All Shifts",COUNTIF($AI$4:$AI$203,"&gt;"&amp;AI53)+COUNTIF($AI$4:AI53,AI53),COUNTIFS($AI$4:$AI$203,"&gt;"&amp;AI53,$AH$4:$AH$203,'HR Quick View'!$L$10)+COUNTIFS($AI$4:AI53,AI53,$AH$4:AH53,'HR Quick View'!$L$10)),"")</f>
        <v/>
      </c>
      <c r="AP53" s="17" t="str">
        <f>IFERROR(IF(Lists!$J53="","",Lists!$J53),"")</f>
        <v>Exploratory Testing</v>
      </c>
      <c r="AQ53" s="17" t="str">
        <f>IFERROR(IF(Lists!$J53="","",Lists!$K53),"")</f>
        <v>Quality Assurance</v>
      </c>
      <c r="AR53" s="17" t="str">
        <f>IFERROR(IF(Lists!$J53="","",Lists!$L53),"")</f>
        <v>Yes</v>
      </c>
      <c r="AS53" s="17">
        <f>IFERROR(IF(Lists!$J53="","",Lists!$M53),0)</f>
        <v>4</v>
      </c>
      <c r="AT53" s="17">
        <f>IF(AP53="","",COUNTIF('Skills Matrix'!$BD$6:$BD$205,3))</f>
        <v>4</v>
      </c>
      <c r="AU53" s="17">
        <f>IF(AP53="","",COUNTIF('Skills Matrix'!$BD$6:$BD$205,2))</f>
        <v>1</v>
      </c>
      <c r="AV53" s="17">
        <f t="shared" si="15"/>
        <v>0</v>
      </c>
      <c r="AW53" s="17" t="str">
        <f>IF(OR(AP53="",AS53&lt;=0,AV53&lt;=0,AND('Skill Management'!$D$4&lt;&gt;"All Departments",AQ53&lt;&gt;'Skill Management'!$D$4)),"",IF(AT53=0,100000,0)+IF(AR53="Yes",10000,0)+AV53*100+AU53)</f>
        <v/>
      </c>
      <c r="AX53" s="17" t="str">
        <f>IF(AW53="","",COUNTIF($AW$4:$AW$106,"&gt;"&amp;AW53)+COUNTIF($AW$4:AW53,AW53))</f>
        <v/>
      </c>
      <c r="AY53" s="17" t="str">
        <f>IFERROR(IF(Lists!$J53="","",Lists!$N53),"")</f>
        <v>Yes</v>
      </c>
      <c r="BA53" s="17" t="str">
        <f>IFERROR(IF('Training Plan'!$A54="","",'Training Plan'!$A54),"")</f>
        <v/>
      </c>
      <c r="BB53" s="17" t="str">
        <f>IFERROR(IF('Training Plan'!$A54="","",'Training Plan'!$B54),"")</f>
        <v/>
      </c>
      <c r="BC53" s="17" t="str">
        <f>IFERROR(IF('Training Plan'!$A54="","",'Training Plan'!$C54),"")</f>
        <v/>
      </c>
      <c r="BD53" s="17" t="str">
        <f>IFERROR(IF('Training Plan'!$A54="","",'Training Plan'!$D54),"")</f>
        <v/>
      </c>
      <c r="BE53" s="17" t="str">
        <f>IFERROR(IF('Training Plan'!$A54="","",'Training Plan'!$E54),"")</f>
        <v/>
      </c>
      <c r="BF53" s="17" t="str">
        <f>IFERROR(IF('Training Plan'!$A54="","",'Training Plan'!$F54),"")</f>
        <v/>
      </c>
      <c r="BG53" s="17" t="str">
        <f>IFERROR(IF('Training Plan'!$A54="","",'Training Plan'!$G54),"")</f>
        <v/>
      </c>
      <c r="BH53" s="17" t="str">
        <f>IFERROR(IF('Training Plan'!$A54="","",'Training Plan'!$H54),"")</f>
        <v/>
      </c>
      <c r="BI53" s="17" t="str">
        <f>IF(OR(BA53="",BF53="Complete",AND('Skill Management'!$D$4&lt;&gt;"All Departments",BB53&lt;&gt;'Skill Management'!$D$4)),"",IF(BF53="Blocked",100000,IF(BF53="In Progress",200000,300000))+IF(BE53="",99999,BE53))</f>
        <v/>
      </c>
      <c r="BJ53" s="17" t="str">
        <f>IF(BI53="","",COUNTIFS($BI$4:$BI$203,"&gt;0",$BI$4:$BI$203,"&lt;"&amp;BI53)+COUNTIF($BI$4:BI53,BI53))</f>
        <v/>
      </c>
      <c r="BT53" t="str">
        <f t="shared" si="16"/>
        <v>Exploratory Testing</v>
      </c>
      <c r="BU53" t="str">
        <f t="shared" si="17"/>
        <v>Quality Assurance</v>
      </c>
      <c r="BV53" t="str">
        <f>IF(BT53="","",IFERROR(INDEX('Skills Matrix'!$G$6:$DE$205,MATCH('Employee Transcript'!$C$4,'Skills Matrix'!$B$6:$B$205,0),MATCH(BT53,'Skills Matrix'!$G$5:$DE$5,0)),""))</f>
        <v/>
      </c>
      <c r="BW53" t="str">
        <f>IF(BT53="","",IFERROR(INDEX('Competency Event Log'!$E$4:$E$803,MATCH('Employee Transcript'!$C$4&amp;"|"&amp;BT53,'Competency Event Log'!$U$4:$U$803,0)),""))</f>
        <v/>
      </c>
      <c r="BX53" t="str">
        <f>IF(BT53="","",IF(BU53='Employee Transcript'!$B$7,"Home Department","Cross-Trained"))</f>
        <v>Cross-Trained</v>
      </c>
      <c r="BY53" t="str">
        <f t="shared" si="18"/>
        <v>Yes</v>
      </c>
      <c r="BZ53" t="str">
        <f>IF(BT53="","",IFERROR(INDEX('Competency Event Log'!$L$4:$L$803,MATCH('Employee Transcript'!$C$4&amp;"|"&amp;BT53,'Competency Event Log'!$U$4:$U$803,0)),""))</f>
        <v/>
      </c>
      <c r="CA53" t="str">
        <f>IF(N(BV53)&gt;0,COUNTIF($BV$4:BV53,"&gt;0"),"")</f>
        <v/>
      </c>
      <c r="CB53" t="str">
        <f>IF(AND('Competency Event Log'!$B53='Employee Transcript'!$C$4,'Competency Event Log'!$I53&lt;&gt;"Yes"),'Competency Event Log'!$K53,"")</f>
        <v/>
      </c>
      <c r="CC53" t="str">
        <f t="shared" si="9"/>
        <v/>
      </c>
      <c r="CD53" t="str">
        <f>IF(Certifications!$A53='Employee Transcript'!$C$4,53,"")</f>
        <v/>
      </c>
      <c r="CE53" t="str">
        <f>IF(CD53="","",COUNTIF($CD$4:CD53,"&gt;0"))</f>
        <v/>
      </c>
      <c r="CF53" t="str">
        <f>IF(AND('Training Plan'!$A54='Employee Transcript'!$C$4,'Training Plan'!$F54&lt;&gt;"Complete"),54,"")</f>
        <v/>
      </c>
      <c r="CG53" t="str">
        <f>IF(CF53="","",COUNTIF($CF$4:CF53,"&gt;0"))</f>
        <v/>
      </c>
    </row>
    <row r="54" spans="1:85">
      <c r="A54" s="2"/>
      <c r="B54" s="1"/>
      <c r="C54" s="1"/>
      <c r="D54" s="1"/>
      <c r="E54" s="1"/>
      <c r="F54" s="3"/>
      <c r="G54" s="1"/>
      <c r="H54" s="4"/>
      <c r="I54" s="1" t="s">
        <v>939</v>
      </c>
      <c r="J54" s="1" t="s">
        <v>937</v>
      </c>
      <c r="K54" s="1" t="s">
        <v>308</v>
      </c>
      <c r="L54" s="1" t="s">
        <v>27</v>
      </c>
      <c r="M54" s="1">
        <v>4</v>
      </c>
      <c r="N54" s="1" t="s">
        <v>27</v>
      </c>
      <c r="P54" s="1" t="s">
        <v>937</v>
      </c>
      <c r="Q54" s="1" t="s">
        <v>308</v>
      </c>
      <c r="R54" s="1">
        <v>8</v>
      </c>
      <c r="S54" s="1">
        <f>COUNTIF('Skills Matrix'!$BE$6:$BE$205,3)</f>
        <v>3</v>
      </c>
      <c r="T54" s="1">
        <f t="shared" si="10"/>
        <v>5</v>
      </c>
      <c r="U54" s="1">
        <f>IF(AND(T54&gt;0,OR('HR Quick View'!$F$24="All Departments",Q54='HR Quick View'!$F$24)),COUNTIFS($T$4:$T$108,"&gt;"&amp;T54,$Q$4:$Q$108,IF('HR Quick View'!$F$24="All Departments","*",'HR Quick View'!$F$24))+COUNTIFS($T$4:T54,T54,$Q$4:Q54,IF('HR Quick View'!$F$24="All Departments","*",'HR Quick View'!$F$24)),"")</f>
        <v>11</v>
      </c>
      <c r="W54" s="1" t="s">
        <v>937</v>
      </c>
      <c r="X54" s="1" t="s">
        <v>308</v>
      </c>
      <c r="Y54" s="1" t="s">
        <v>27</v>
      </c>
      <c r="Z54" s="1" t="str">
        <f>IF('HR Quick View'!$C$9="","",IF(COUNTIFS('Competency Event Log'!$B$4:$B$803,'HR Quick View'!$C$9,'Competency Event Log'!$C$4:$C$803,W54,'Competency Event Log'!$T$4:$T$803,"Current")=0,"",SUMIFS('Competency Event Log'!$D$4:$D$803,'Competency Event Log'!$B$4:$B$803,'HR Quick View'!$C$9,'Competency Event Log'!$C$4:$C$803,W54,'Competency Event Log'!$T$4:$T$803,"Current")))</f>
        <v/>
      </c>
      <c r="AA54" s="1" t="str">
        <f>IF($Z54="","",IF('HR Quick View'!$B$10="Qualified only",IF($Z54=3,COUNTIF($Z$4:$Z54,3),""),IF('HR Quick View'!$B$10="Developing only",IF(OR($Z54=1,$Z54=2),COUNTIF($Z$4:$Z$108,"&gt;"&amp;$Z54)+COUNTIF($Z$4:$Z54,$Z54)-COUNTIF($Z$4:$Z$108,3),""),IF('HR Quick View'!$B$10="All scored",COUNTIF($Z$4:$Z$108,"&gt;"&amp;$Z54)+COUNTIF($Z$4:$Z54,$Z54),""))))</f>
        <v/>
      </c>
      <c r="AB54" s="1" t="str">
        <f>""</f>
        <v/>
      </c>
      <c r="AC54" s="1">
        <f t="shared" si="11"/>
        <v>8</v>
      </c>
      <c r="AD54" s="1">
        <f t="shared" si="12"/>
        <v>3</v>
      </c>
      <c r="AE54" s="1">
        <f t="shared" si="13"/>
        <v>5</v>
      </c>
      <c r="AF54" s="1" t="str">
        <f>IFERROR(IF(Lists!$B54="","",Lists!$B54),"")</f>
        <v/>
      </c>
      <c r="AG54" s="1" t="str">
        <f>IFERROR(IF(Lists!$B54="","",Lists!$C54),"")</f>
        <v/>
      </c>
      <c r="AH54" s="1" t="str">
        <f>IFERROR(IF(Lists!$B54="","",Lists!$D54),"")</f>
        <v/>
      </c>
      <c r="AI54" s="1" t="str">
        <f>IF(AF54="","",IFERROR(INDEX('Skills Matrix'!$G$6:$DE$205,MATCH(AF54,'Skills Matrix'!$B$6:$B$205,0),MATCH('HR Quick View'!$J$9,'Skills Matrix'!$G$5:$DE$5,0)),""))</f>
        <v/>
      </c>
      <c r="AJ54" s="1" t="str">
        <f t="shared" si="14"/>
        <v/>
      </c>
      <c r="AK54" s="1" t="str">
        <f>IFERROR(IF(Lists!$B54="","",Lists!$E54),"")</f>
        <v/>
      </c>
      <c r="AL54" s="1" t="str">
        <f>IF(AND(OR('HR Quick View'!$L$10="All Shifts",AH54='HR Quick View'!$L$10),OR(AND('HR Quick View'!$I$10="Qualified only",AI54=3),AND('HR Quick View'!$I$10="All trained",AI54&gt;0))),IF('HR Quick View'!$L$10="All Shifts",COUNTIF($AI$4:$AI$203,"&gt;"&amp;AI54)+COUNTIF($AI$4:AI54,AI54),COUNTIFS($AI$4:$AI$203,"&gt;"&amp;AI54,$AH$4:$AH$203,'HR Quick View'!$L$10)+COUNTIFS($AI$4:AI54,AI54,$AH$4:AH54,'HR Quick View'!$L$10)),"")</f>
        <v/>
      </c>
      <c r="AP54" s="17" t="str">
        <f>IFERROR(IF(Lists!$J54="","",Lists!$J54),"")</f>
        <v>Defect Documentation</v>
      </c>
      <c r="AQ54" s="17" t="str">
        <f>IFERROR(IF(Lists!$J54="","",Lists!$K54),"")</f>
        <v>Quality Assurance</v>
      </c>
      <c r="AR54" s="17" t="str">
        <f>IFERROR(IF(Lists!$J54="","",Lists!$L54),"")</f>
        <v>Yes</v>
      </c>
      <c r="AS54" s="17">
        <f>IFERROR(IF(Lists!$J54="","",Lists!$M54),0)</f>
        <v>4</v>
      </c>
      <c r="AT54" s="17">
        <f>IF(AP54="","",COUNTIF('Skills Matrix'!$BE$6:$BE$205,3))</f>
        <v>3</v>
      </c>
      <c r="AU54" s="17">
        <f>IF(AP54="","",COUNTIF('Skills Matrix'!$BE$6:$BE$205,2))</f>
        <v>1</v>
      </c>
      <c r="AV54" s="17">
        <f t="shared" si="15"/>
        <v>1</v>
      </c>
      <c r="AW54" s="17">
        <f>IF(OR(AP54="",AS54&lt;=0,AV54&lt;=0,AND('Skill Management'!$D$4&lt;&gt;"All Departments",AQ54&lt;&gt;'Skill Management'!$D$4)),"",IF(AT54=0,100000,0)+IF(AR54="Yes",10000,0)+AV54*100+AU54)</f>
        <v>10101</v>
      </c>
      <c r="AX54" s="17">
        <f>IF(AW54="","",COUNTIF($AW$4:$AW$106,"&gt;"&amp;AW54)+COUNTIF($AW$4:AW54,AW54))</f>
        <v>63</v>
      </c>
      <c r="AY54" s="17" t="str">
        <f>IFERROR(IF(Lists!$J54="","",Lists!$N54),"")</f>
        <v>Yes</v>
      </c>
      <c r="BA54" s="17" t="str">
        <f>IFERROR(IF('Training Plan'!$A55="","",'Training Plan'!$A55),"")</f>
        <v/>
      </c>
      <c r="BB54" s="17" t="str">
        <f>IFERROR(IF('Training Plan'!$A55="","",'Training Plan'!$B55),"")</f>
        <v/>
      </c>
      <c r="BC54" s="17" t="str">
        <f>IFERROR(IF('Training Plan'!$A55="","",'Training Plan'!$C55),"")</f>
        <v/>
      </c>
      <c r="BD54" s="17" t="str">
        <f>IFERROR(IF('Training Plan'!$A55="","",'Training Plan'!$D55),"")</f>
        <v/>
      </c>
      <c r="BE54" s="17" t="str">
        <f>IFERROR(IF('Training Plan'!$A55="","",'Training Plan'!$E55),"")</f>
        <v/>
      </c>
      <c r="BF54" s="17" t="str">
        <f>IFERROR(IF('Training Plan'!$A55="","",'Training Plan'!$F55),"")</f>
        <v/>
      </c>
      <c r="BG54" s="17" t="str">
        <f>IFERROR(IF('Training Plan'!$A55="","",'Training Plan'!$G55),"")</f>
        <v/>
      </c>
      <c r="BH54" s="17" t="str">
        <f>IFERROR(IF('Training Plan'!$A55="","",'Training Plan'!$H55),"")</f>
        <v/>
      </c>
      <c r="BI54" s="17" t="str">
        <f>IF(OR(BA54="",BF54="Complete",AND('Skill Management'!$D$4&lt;&gt;"All Departments",BB54&lt;&gt;'Skill Management'!$D$4)),"",IF(BF54="Blocked",100000,IF(BF54="In Progress",200000,300000))+IF(BE54="",99999,BE54))</f>
        <v/>
      </c>
      <c r="BJ54" s="17" t="str">
        <f>IF(BI54="","",COUNTIFS($BI$4:$BI$203,"&gt;0",$BI$4:$BI$203,"&lt;"&amp;BI54)+COUNTIF($BI$4:BI54,BI54))</f>
        <v/>
      </c>
      <c r="BT54" t="str">
        <f t="shared" si="16"/>
        <v>Defect Documentation</v>
      </c>
      <c r="BU54" t="str">
        <f t="shared" si="17"/>
        <v>Quality Assurance</v>
      </c>
      <c r="BV54" t="str">
        <f>IF(BT54="","",IFERROR(INDEX('Skills Matrix'!$G$6:$DE$205,MATCH('Employee Transcript'!$C$4,'Skills Matrix'!$B$6:$B$205,0),MATCH(BT54,'Skills Matrix'!$G$5:$DE$5,0)),""))</f>
        <v/>
      </c>
      <c r="BW54" t="str">
        <f>IF(BT54="","",IFERROR(INDEX('Competency Event Log'!$E$4:$E$803,MATCH('Employee Transcript'!$C$4&amp;"|"&amp;BT54,'Competency Event Log'!$U$4:$U$803,0)),""))</f>
        <v/>
      </c>
      <c r="BX54" t="str">
        <f>IF(BT54="","",IF(BU54='Employee Transcript'!$B$7,"Home Department","Cross-Trained"))</f>
        <v>Cross-Trained</v>
      </c>
      <c r="BY54" t="str">
        <f t="shared" si="18"/>
        <v>Yes</v>
      </c>
      <c r="BZ54" t="str">
        <f>IF(BT54="","",IFERROR(INDEX('Competency Event Log'!$L$4:$L$803,MATCH('Employee Transcript'!$C$4&amp;"|"&amp;BT54,'Competency Event Log'!$U$4:$U$803,0)),""))</f>
        <v/>
      </c>
      <c r="CA54" t="str">
        <f>IF(N(BV54)&gt;0,COUNTIF($BV$4:BV54,"&gt;0"),"")</f>
        <v/>
      </c>
      <c r="CB54" t="str">
        <f>IF(AND('Competency Event Log'!$B54='Employee Transcript'!$C$4,'Competency Event Log'!$I54&lt;&gt;"Yes"),'Competency Event Log'!$K54,"")</f>
        <v/>
      </c>
      <c r="CC54" t="str">
        <f t="shared" si="9"/>
        <v/>
      </c>
      <c r="CD54" t="str">
        <f>IF(Certifications!$A54='Employee Transcript'!$C$4,54,"")</f>
        <v/>
      </c>
      <c r="CE54" t="str">
        <f>IF(CD54="","",COUNTIF($CD$4:CD54,"&gt;0"))</f>
        <v/>
      </c>
      <c r="CF54" t="str">
        <f>IF(AND('Training Plan'!$A55='Employee Transcript'!$C$4,'Training Plan'!$F55&lt;&gt;"Complete"),55,"")</f>
        <v/>
      </c>
      <c r="CG54" t="str">
        <f>IF(CF54="","",COUNTIF($CF$4:CF54,"&gt;0"))</f>
        <v/>
      </c>
    </row>
    <row r="55" spans="1:85">
      <c r="A55" s="2"/>
      <c r="B55" s="1"/>
      <c r="C55" s="1"/>
      <c r="D55" s="1"/>
      <c r="E55" s="1"/>
      <c r="F55" s="3"/>
      <c r="G55" s="1"/>
      <c r="H55" s="4"/>
      <c r="I55" s="1" t="s">
        <v>533</v>
      </c>
      <c r="J55" s="1" t="s">
        <v>531</v>
      </c>
      <c r="K55" s="1" t="s">
        <v>213</v>
      </c>
      <c r="L55" s="1" t="s">
        <v>27</v>
      </c>
      <c r="M55" s="1">
        <v>4</v>
      </c>
      <c r="N55" s="1" t="s">
        <v>27</v>
      </c>
      <c r="P55" s="1" t="s">
        <v>531</v>
      </c>
      <c r="Q55" s="1" t="s">
        <v>213</v>
      </c>
      <c r="R55" s="1">
        <v>115</v>
      </c>
      <c r="S55" s="1">
        <f>COUNTIF('Skills Matrix'!$BF$6:$BF$205,3)</f>
        <v>4</v>
      </c>
      <c r="T55" s="1">
        <f t="shared" si="10"/>
        <v>111</v>
      </c>
      <c r="U55" s="1">
        <f>IF(AND(T55&gt;0,OR('HR Quick View'!$F$24="All Departments",Q55='HR Quick View'!$F$24)),COUNTIFS($T$4:$T$108,"&gt;"&amp;T55,$Q$4:$Q$108,IF('HR Quick View'!$F$24="All Departments","*",'HR Quick View'!$F$24))+COUNTIFS($T$4:T55,T55,$Q$4:Q55,IF('HR Quick View'!$F$24="All Departments","*",'HR Quick View'!$F$24)),"")</f>
        <v>1</v>
      </c>
      <c r="W55" s="1" t="s">
        <v>531</v>
      </c>
      <c r="X55" s="1" t="s">
        <v>213</v>
      </c>
      <c r="Y55" s="1" t="s">
        <v>27</v>
      </c>
      <c r="Z55" s="1" t="str">
        <f>IF('HR Quick View'!$C$9="","",IF(COUNTIFS('Competency Event Log'!$B$4:$B$803,'HR Quick View'!$C$9,'Competency Event Log'!$C$4:$C$803,W55,'Competency Event Log'!$T$4:$T$803,"Current")=0,"",SUMIFS('Competency Event Log'!$D$4:$D$803,'Competency Event Log'!$B$4:$B$803,'HR Quick View'!$C$9,'Competency Event Log'!$C$4:$C$803,W55,'Competency Event Log'!$T$4:$T$803,"Current")))</f>
        <v/>
      </c>
      <c r="AA55" s="1" t="str">
        <f>IF($Z55="","",IF('HR Quick View'!$B$10="Qualified only",IF($Z55=3,COUNTIF($Z$4:$Z55,3),""),IF('HR Quick View'!$B$10="Developing only",IF(OR($Z55=1,$Z55=2),COUNTIF($Z$4:$Z$108,"&gt;"&amp;$Z55)+COUNTIF($Z$4:$Z55,$Z55)-COUNTIF($Z$4:$Z$108,3),""),IF('HR Quick View'!$B$10="All scored",COUNTIF($Z$4:$Z$108,"&gt;"&amp;$Z55)+COUNTIF($Z$4:$Z55,$Z55),""))))</f>
        <v/>
      </c>
      <c r="AB55" s="1" t="str">
        <f>""</f>
        <v/>
      </c>
      <c r="AC55" s="1">
        <f t="shared" si="11"/>
        <v>115</v>
      </c>
      <c r="AD55" s="1">
        <f t="shared" si="12"/>
        <v>4</v>
      </c>
      <c r="AE55" s="1">
        <f t="shared" si="13"/>
        <v>111</v>
      </c>
      <c r="AF55" s="1" t="str">
        <f>IFERROR(IF(Lists!$B55="","",Lists!$B55),"")</f>
        <v/>
      </c>
      <c r="AG55" s="1" t="str">
        <f>IFERROR(IF(Lists!$B55="","",Lists!$C55),"")</f>
        <v/>
      </c>
      <c r="AH55" s="1" t="str">
        <f>IFERROR(IF(Lists!$B55="","",Lists!$D55),"")</f>
        <v/>
      </c>
      <c r="AI55" s="1" t="str">
        <f>IF(AF55="","",IFERROR(INDEX('Skills Matrix'!$G$6:$DE$205,MATCH(AF55,'Skills Matrix'!$B$6:$B$205,0),MATCH('HR Quick View'!$J$9,'Skills Matrix'!$G$5:$DE$5,0)),""))</f>
        <v/>
      </c>
      <c r="AJ55" s="1" t="str">
        <f t="shared" si="14"/>
        <v/>
      </c>
      <c r="AK55" s="1" t="str">
        <f>IFERROR(IF(Lists!$B55="","",Lists!$E55),"")</f>
        <v/>
      </c>
      <c r="AL55" s="1" t="str">
        <f>IF(AND(OR('HR Quick View'!$L$10="All Shifts",AH55='HR Quick View'!$L$10),OR(AND('HR Quick View'!$I$10="Qualified only",AI55=3),AND('HR Quick View'!$I$10="All trained",AI55&gt;0))),IF('HR Quick View'!$L$10="All Shifts",COUNTIF($AI$4:$AI$203,"&gt;"&amp;AI55)+COUNTIF($AI$4:AI55,AI55),COUNTIFS($AI$4:$AI$203,"&gt;"&amp;AI55,$AH$4:$AH$203,'HR Quick View'!$L$10)+COUNTIFS($AI$4:AI55,AI55,$AH$4:AH55,'HR Quick View'!$L$10)),"")</f>
        <v/>
      </c>
      <c r="AP55" s="17" t="str">
        <f>IFERROR(IF(Lists!$J55="","",Lists!$J55),"")</f>
        <v>Security Awareness</v>
      </c>
      <c r="AQ55" s="17" t="str">
        <f>IFERROR(IF(Lists!$J55="","",Lists!$K55),"")</f>
        <v>Compliance &amp; Core Training</v>
      </c>
      <c r="AR55" s="17" t="str">
        <f>IFERROR(IF(Lists!$J55="","",Lists!$L55),"")</f>
        <v>Yes</v>
      </c>
      <c r="AS55" s="17">
        <f>IFERROR(IF(Lists!$J55="","",Lists!$M55),0)</f>
        <v>4</v>
      </c>
      <c r="AT55" s="17">
        <f>IF(AP55="","",COUNTIF('Skills Matrix'!$BF$6:$BF$205,3))</f>
        <v>4</v>
      </c>
      <c r="AU55" s="17">
        <f>IF(AP55="","",COUNTIF('Skills Matrix'!$BF$6:$BF$205,2))</f>
        <v>1</v>
      </c>
      <c r="AV55" s="17">
        <f t="shared" si="15"/>
        <v>0</v>
      </c>
      <c r="AW55" s="17" t="str">
        <f>IF(OR(AP55="",AS55&lt;=0,AV55&lt;=0,AND('Skill Management'!$D$4&lt;&gt;"All Departments",AQ55&lt;&gt;'Skill Management'!$D$4)),"",IF(AT55=0,100000,0)+IF(AR55="Yes",10000,0)+AV55*100+AU55)</f>
        <v/>
      </c>
      <c r="AX55" s="17" t="str">
        <f>IF(AW55="","",COUNTIF($AW$4:$AW$106,"&gt;"&amp;AW55)+COUNTIF($AW$4:AW55,AW55))</f>
        <v/>
      </c>
      <c r="AY55" s="17" t="str">
        <f>IFERROR(IF(Lists!$J55="","",Lists!$N55),"")</f>
        <v>Yes</v>
      </c>
      <c r="BA55" s="17" t="str">
        <f>IFERROR(IF('Training Plan'!$A56="","",'Training Plan'!$A56),"")</f>
        <v/>
      </c>
      <c r="BB55" s="17" t="str">
        <f>IFERROR(IF('Training Plan'!$A56="","",'Training Plan'!$B56),"")</f>
        <v/>
      </c>
      <c r="BC55" s="17" t="str">
        <f>IFERROR(IF('Training Plan'!$A56="","",'Training Plan'!$C56),"")</f>
        <v/>
      </c>
      <c r="BD55" s="17" t="str">
        <f>IFERROR(IF('Training Plan'!$A56="","",'Training Plan'!$D56),"")</f>
        <v/>
      </c>
      <c r="BE55" s="17" t="str">
        <f>IFERROR(IF('Training Plan'!$A56="","",'Training Plan'!$E56),"")</f>
        <v/>
      </c>
      <c r="BF55" s="17" t="str">
        <f>IFERROR(IF('Training Plan'!$A56="","",'Training Plan'!$F56),"")</f>
        <v/>
      </c>
      <c r="BG55" s="17" t="str">
        <f>IFERROR(IF('Training Plan'!$A56="","",'Training Plan'!$G56),"")</f>
        <v/>
      </c>
      <c r="BH55" s="17" t="str">
        <f>IFERROR(IF('Training Plan'!$A56="","",'Training Plan'!$H56),"")</f>
        <v/>
      </c>
      <c r="BI55" s="17" t="str">
        <f>IF(OR(BA55="",BF55="Complete",AND('Skill Management'!$D$4&lt;&gt;"All Departments",BB55&lt;&gt;'Skill Management'!$D$4)),"",IF(BF55="Blocked",100000,IF(BF55="In Progress",200000,300000))+IF(BE55="",99999,BE55))</f>
        <v/>
      </c>
      <c r="BJ55" s="17" t="str">
        <f>IF(BI55="","",COUNTIFS($BI$4:$BI$203,"&gt;0",$BI$4:$BI$203,"&lt;"&amp;BI55)+COUNTIF($BI$4:BI55,BI55))</f>
        <v/>
      </c>
      <c r="BT55" t="str">
        <f t="shared" si="16"/>
        <v>Security Awareness</v>
      </c>
      <c r="BU55" t="str">
        <f t="shared" si="17"/>
        <v>Compliance &amp; Core Training</v>
      </c>
      <c r="BV55" t="str">
        <f>IF(BT55="","",IFERROR(INDEX('Skills Matrix'!$G$6:$DE$205,MATCH('Employee Transcript'!$C$4,'Skills Matrix'!$B$6:$B$205,0),MATCH(BT55,'Skills Matrix'!$G$5:$DE$5,0)),""))</f>
        <v/>
      </c>
      <c r="BW55" t="str">
        <f>IF(BT55="","",IFERROR(INDEX('Competency Event Log'!$E$4:$E$803,MATCH('Employee Transcript'!$C$4&amp;"|"&amp;BT55,'Competency Event Log'!$U$4:$U$803,0)),""))</f>
        <v/>
      </c>
      <c r="BX55" t="str">
        <f>IF(BT55="","",IF(BU55='Employee Transcript'!$B$7,"Home Department","Cross-Trained"))</f>
        <v>Cross-Trained</v>
      </c>
      <c r="BY55" t="str">
        <f t="shared" si="18"/>
        <v>Yes</v>
      </c>
      <c r="BZ55" t="str">
        <f>IF(BT55="","",IFERROR(INDEX('Competency Event Log'!$L$4:$L$803,MATCH('Employee Transcript'!$C$4&amp;"|"&amp;BT55,'Competency Event Log'!$U$4:$U$803,0)),""))</f>
        <v/>
      </c>
      <c r="CA55" t="str">
        <f>IF(N(BV55)&gt;0,COUNTIF($BV$4:BV55,"&gt;0"),"")</f>
        <v/>
      </c>
      <c r="CB55" t="str">
        <f>IF(AND('Competency Event Log'!$B55='Employee Transcript'!$C$4,'Competency Event Log'!$I55&lt;&gt;"Yes"),'Competency Event Log'!$K55,"")</f>
        <v/>
      </c>
      <c r="CC55" t="str">
        <f t="shared" si="9"/>
        <v/>
      </c>
      <c r="CD55" t="str">
        <f>IF(Certifications!$A55='Employee Transcript'!$C$4,55,"")</f>
        <v/>
      </c>
      <c r="CE55" t="str">
        <f>IF(CD55="","",COUNTIF($CD$4:CD55,"&gt;0"))</f>
        <v/>
      </c>
      <c r="CF55" t="str">
        <f>IF(AND('Training Plan'!$A56='Employee Transcript'!$C$4,'Training Plan'!$F56&lt;&gt;"Complete"),56,"")</f>
        <v/>
      </c>
      <c r="CG55" t="str">
        <f>IF(CF55="","",COUNTIF($CF$4:CF55,"&gt;0"))</f>
        <v/>
      </c>
    </row>
    <row r="56" spans="1:85">
      <c r="A56" s="2"/>
      <c r="B56" s="1"/>
      <c r="C56" s="1"/>
      <c r="D56" s="1"/>
      <c r="E56" s="1"/>
      <c r="F56" s="3"/>
      <c r="G56" s="1"/>
      <c r="H56" s="4"/>
      <c r="I56" s="1" t="s">
        <v>943</v>
      </c>
      <c r="J56" s="1" t="s">
        <v>941</v>
      </c>
      <c r="K56" s="1" t="s">
        <v>308</v>
      </c>
      <c r="L56" s="1" t="s">
        <v>27</v>
      </c>
      <c r="M56" s="1">
        <v>4</v>
      </c>
      <c r="N56" s="1" t="s">
        <v>27</v>
      </c>
      <c r="P56" s="1" t="s">
        <v>941</v>
      </c>
      <c r="Q56" s="1" t="s">
        <v>308</v>
      </c>
      <c r="R56" s="1">
        <v>12</v>
      </c>
      <c r="S56" s="1">
        <f>COUNTIF('Skills Matrix'!$BG$6:$BG$205,3)</f>
        <v>0</v>
      </c>
      <c r="T56" s="1">
        <f t="shared" si="10"/>
        <v>12</v>
      </c>
      <c r="U56" s="1">
        <f>IF(AND(T56&gt;0,OR('HR Quick View'!$F$24="All Departments",Q56='HR Quick View'!$F$24)),COUNTIFS($T$4:$T$108,"&gt;"&amp;T56,$Q$4:$Q$108,IF('HR Quick View'!$F$24="All Departments","*",'HR Quick View'!$F$24))+COUNTIFS($T$4:T56,T56,$Q$4:Q56,IF('HR Quick View'!$F$24="All Departments","*",'HR Quick View'!$F$24)),"")</f>
        <v>2</v>
      </c>
      <c r="W56" s="1" t="s">
        <v>941</v>
      </c>
      <c r="X56" s="1" t="s">
        <v>308</v>
      </c>
      <c r="Y56" s="1" t="s">
        <v>27</v>
      </c>
      <c r="Z56" s="1" t="str">
        <f>IF('HR Quick View'!$C$9="","",IF(COUNTIFS('Competency Event Log'!$B$4:$B$803,'HR Quick View'!$C$9,'Competency Event Log'!$C$4:$C$803,W56,'Competency Event Log'!$T$4:$T$803,"Current")=0,"",SUMIFS('Competency Event Log'!$D$4:$D$803,'Competency Event Log'!$B$4:$B$803,'HR Quick View'!$C$9,'Competency Event Log'!$C$4:$C$803,W56,'Competency Event Log'!$T$4:$T$803,"Current")))</f>
        <v/>
      </c>
      <c r="AA56" s="1" t="str">
        <f>IF($Z56="","",IF('HR Quick View'!$B$10="Qualified only",IF($Z56=3,COUNTIF($Z$4:$Z56,3),""),IF('HR Quick View'!$B$10="Developing only",IF(OR($Z56=1,$Z56=2),COUNTIF($Z$4:$Z$108,"&gt;"&amp;$Z56)+COUNTIF($Z$4:$Z56,$Z56)-COUNTIF($Z$4:$Z$108,3),""),IF('HR Quick View'!$B$10="All scored",COUNTIF($Z$4:$Z$108,"&gt;"&amp;$Z56)+COUNTIF($Z$4:$Z56,$Z56),""))))</f>
        <v/>
      </c>
      <c r="AB56" s="1" t="str">
        <f>""</f>
        <v/>
      </c>
      <c r="AC56" s="1">
        <f t="shared" si="11"/>
        <v>12</v>
      </c>
      <c r="AD56" s="1">
        <f t="shared" si="12"/>
        <v>0</v>
      </c>
      <c r="AE56" s="1">
        <f t="shared" si="13"/>
        <v>12</v>
      </c>
      <c r="AF56" s="1" t="str">
        <f>IFERROR(IF(Lists!$B56="","",Lists!$B56),"")</f>
        <v/>
      </c>
      <c r="AG56" s="1" t="str">
        <f>IFERROR(IF(Lists!$B56="","",Lists!$C56),"")</f>
        <v/>
      </c>
      <c r="AH56" s="1" t="str">
        <f>IFERROR(IF(Lists!$B56="","",Lists!$D56),"")</f>
        <v/>
      </c>
      <c r="AI56" s="1" t="str">
        <f>IF(AF56="","",IFERROR(INDEX('Skills Matrix'!$G$6:$DE$205,MATCH(AF56,'Skills Matrix'!$B$6:$B$205,0),MATCH('HR Quick View'!$J$9,'Skills Matrix'!$G$5:$DE$5,0)),""))</f>
        <v/>
      </c>
      <c r="AJ56" s="1" t="str">
        <f t="shared" si="14"/>
        <v/>
      </c>
      <c r="AK56" s="1" t="str">
        <f>IFERROR(IF(Lists!$B56="","",Lists!$E56),"")</f>
        <v/>
      </c>
      <c r="AL56" s="1" t="str">
        <f>IF(AND(OR('HR Quick View'!$L$10="All Shifts",AH56='HR Quick View'!$L$10),OR(AND('HR Quick View'!$I$10="Qualified only",AI56=3),AND('HR Quick View'!$I$10="All trained",AI56&gt;0))),IF('HR Quick View'!$L$10="All Shifts",COUNTIF($AI$4:$AI$203,"&gt;"&amp;AI56)+COUNTIF($AI$4:AI56,AI56),COUNTIFS($AI$4:$AI$203,"&gt;"&amp;AI56,$AH$4:$AH$203,'HR Quick View'!$L$10)+COUNTIFS($AI$4:AI56,AI56,$AH$4:AH56,'HR Quick View'!$L$10)),"")</f>
        <v/>
      </c>
      <c r="AP56" s="17" t="str">
        <f>IFERROR(IF(Lists!$J56="","",Lists!$J56),"")</f>
        <v>Browser Compatibility Testing</v>
      </c>
      <c r="AQ56" s="17" t="str">
        <f>IFERROR(IF(Lists!$J56="","",Lists!$K56),"")</f>
        <v>Quality Assurance</v>
      </c>
      <c r="AR56" s="17" t="str">
        <f>IFERROR(IF(Lists!$J56="","",Lists!$L56),"")</f>
        <v>Yes</v>
      </c>
      <c r="AS56" s="17">
        <f>IFERROR(IF(Lists!$J56="","",Lists!$M56),0)</f>
        <v>4</v>
      </c>
      <c r="AT56" s="17">
        <f>IF(AP56="","",COUNTIF('Skills Matrix'!$BG$6:$BG$205,3))</f>
        <v>0</v>
      </c>
      <c r="AU56" s="17">
        <f>IF(AP56="","",COUNTIF('Skills Matrix'!$BG$6:$BG$205,2))</f>
        <v>0</v>
      </c>
      <c r="AV56" s="17">
        <f t="shared" si="15"/>
        <v>4</v>
      </c>
      <c r="AW56" s="17">
        <f>IF(OR(AP56="",AS56&lt;=0,AV56&lt;=0,AND('Skill Management'!$D$4&lt;&gt;"All Departments",AQ56&lt;&gt;'Skill Management'!$D$4)),"",IF(AT56=0,100000,0)+IF(AR56="Yes",10000,0)+AV56*100+AU56)</f>
        <v>110400</v>
      </c>
      <c r="AX56" s="17">
        <f>IF(AW56="","",COUNTIF($AW$4:$AW$106,"&gt;"&amp;AW56)+COUNTIF($AW$4:AW56,AW56))</f>
        <v>6</v>
      </c>
      <c r="AY56" s="17" t="str">
        <f>IFERROR(IF(Lists!$J56="","",Lists!$N56),"")</f>
        <v>Yes</v>
      </c>
      <c r="BA56" s="17" t="str">
        <f>IFERROR(IF('Training Plan'!$A57="","",'Training Plan'!$A57),"")</f>
        <v/>
      </c>
      <c r="BB56" s="17" t="str">
        <f>IFERROR(IF('Training Plan'!$A57="","",'Training Plan'!$B57),"")</f>
        <v/>
      </c>
      <c r="BC56" s="17" t="str">
        <f>IFERROR(IF('Training Plan'!$A57="","",'Training Plan'!$C57),"")</f>
        <v/>
      </c>
      <c r="BD56" s="17" t="str">
        <f>IFERROR(IF('Training Plan'!$A57="","",'Training Plan'!$D57),"")</f>
        <v/>
      </c>
      <c r="BE56" s="17" t="str">
        <f>IFERROR(IF('Training Plan'!$A57="","",'Training Plan'!$E57),"")</f>
        <v/>
      </c>
      <c r="BF56" s="17" t="str">
        <f>IFERROR(IF('Training Plan'!$A57="","",'Training Plan'!$F57),"")</f>
        <v/>
      </c>
      <c r="BG56" s="17" t="str">
        <f>IFERROR(IF('Training Plan'!$A57="","",'Training Plan'!$G57),"")</f>
        <v/>
      </c>
      <c r="BH56" s="17" t="str">
        <f>IFERROR(IF('Training Plan'!$A57="","",'Training Plan'!$H57),"")</f>
        <v/>
      </c>
      <c r="BI56" s="17" t="str">
        <f>IF(OR(BA56="",BF56="Complete",AND('Skill Management'!$D$4&lt;&gt;"All Departments",BB56&lt;&gt;'Skill Management'!$D$4)),"",IF(BF56="Blocked",100000,IF(BF56="In Progress",200000,300000))+IF(BE56="",99999,BE56))</f>
        <v/>
      </c>
      <c r="BJ56" s="17" t="str">
        <f>IF(BI56="","",COUNTIFS($BI$4:$BI$203,"&gt;0",$BI$4:$BI$203,"&lt;"&amp;BI56)+COUNTIF($BI$4:BI56,BI56))</f>
        <v/>
      </c>
      <c r="BT56" t="str">
        <f t="shared" si="16"/>
        <v>Browser Compatibility Testing</v>
      </c>
      <c r="BU56" t="str">
        <f t="shared" si="17"/>
        <v>Quality Assurance</v>
      </c>
      <c r="BV56" t="str">
        <f>IF(BT56="","",IFERROR(INDEX('Skills Matrix'!$G$6:$DE$205,MATCH('Employee Transcript'!$C$4,'Skills Matrix'!$B$6:$B$205,0),MATCH(BT56,'Skills Matrix'!$G$5:$DE$5,0)),""))</f>
        <v/>
      </c>
      <c r="BW56" t="str">
        <f>IF(BT56="","",IFERROR(INDEX('Competency Event Log'!$E$4:$E$803,MATCH('Employee Transcript'!$C$4&amp;"|"&amp;BT56,'Competency Event Log'!$U$4:$U$803,0)),""))</f>
        <v/>
      </c>
      <c r="BX56" t="str">
        <f>IF(BT56="","",IF(BU56='Employee Transcript'!$B$7,"Home Department","Cross-Trained"))</f>
        <v>Cross-Trained</v>
      </c>
      <c r="BY56" t="str">
        <f t="shared" si="18"/>
        <v>Yes</v>
      </c>
      <c r="BZ56" t="str">
        <f>IF(BT56="","",IFERROR(INDEX('Competency Event Log'!$L$4:$L$803,MATCH('Employee Transcript'!$C$4&amp;"|"&amp;BT56,'Competency Event Log'!$U$4:$U$803,0)),""))</f>
        <v/>
      </c>
      <c r="CA56" t="str">
        <f>IF(N(BV56)&gt;0,COUNTIF($BV$4:BV56,"&gt;0"),"")</f>
        <v/>
      </c>
      <c r="CB56" t="str">
        <f>IF(AND('Competency Event Log'!$B56='Employee Transcript'!$C$4,'Competency Event Log'!$I56&lt;&gt;"Yes"),'Competency Event Log'!$K56,"")</f>
        <v/>
      </c>
      <c r="CC56" t="str">
        <f t="shared" si="9"/>
        <v/>
      </c>
      <c r="CD56" t="str">
        <f>IF(Certifications!$A56='Employee Transcript'!$C$4,56,"")</f>
        <v/>
      </c>
      <c r="CE56" t="str">
        <f>IF(CD56="","",COUNTIF($CD$4:CD56,"&gt;0"))</f>
        <v/>
      </c>
      <c r="CF56" t="str">
        <f>IF(AND('Training Plan'!$A57='Employee Transcript'!$C$4,'Training Plan'!$F57&lt;&gt;"Complete"),57,"")</f>
        <v/>
      </c>
      <c r="CG56" t="str">
        <f>IF(CF56="","",COUNTIF($CF$4:CF56,"&gt;0"))</f>
        <v/>
      </c>
    </row>
    <row r="57" spans="1:85">
      <c r="A57" s="2"/>
      <c r="B57" s="1"/>
      <c r="C57" s="1"/>
      <c r="D57" s="1"/>
      <c r="E57" s="1"/>
      <c r="F57" s="3"/>
      <c r="G57" s="1"/>
      <c r="H57" s="4"/>
      <c r="I57" s="1" t="s">
        <v>946</v>
      </c>
      <c r="J57" s="1" t="s">
        <v>944</v>
      </c>
      <c r="K57" s="1" t="s">
        <v>308</v>
      </c>
      <c r="L57" s="1" t="s">
        <v>27</v>
      </c>
      <c r="M57" s="1">
        <v>4</v>
      </c>
      <c r="N57" s="1" t="s">
        <v>27</v>
      </c>
      <c r="P57" s="1" t="s">
        <v>944</v>
      </c>
      <c r="Q57" s="1" t="s">
        <v>308</v>
      </c>
      <c r="R57" s="1">
        <v>6</v>
      </c>
      <c r="S57" s="1">
        <f>COUNTIF('Skills Matrix'!$BH$6:$BH$205,3)</f>
        <v>2</v>
      </c>
      <c r="T57" s="1">
        <f t="shared" si="10"/>
        <v>4</v>
      </c>
      <c r="U57" s="1">
        <f>IF(AND(T57&gt;0,OR('HR Quick View'!$F$24="All Departments",Q57='HR Quick View'!$F$24)),COUNTIFS($T$4:$T$108,"&gt;"&amp;T57,$Q$4:$Q$108,IF('HR Quick View'!$F$24="All Departments","*",'HR Quick View'!$F$24))+COUNTIFS($T$4:T57,T57,$Q$4:Q57,IF('HR Quick View'!$F$24="All Departments","*",'HR Quick View'!$F$24)),"")</f>
        <v>16</v>
      </c>
      <c r="W57" s="1" t="s">
        <v>944</v>
      </c>
      <c r="X57" s="1" t="s">
        <v>308</v>
      </c>
      <c r="Y57" s="1" t="s">
        <v>27</v>
      </c>
      <c r="Z57" s="1" t="str">
        <f>IF('HR Quick View'!$C$9="","",IF(COUNTIFS('Competency Event Log'!$B$4:$B$803,'HR Quick View'!$C$9,'Competency Event Log'!$C$4:$C$803,W57,'Competency Event Log'!$T$4:$T$803,"Current")=0,"",SUMIFS('Competency Event Log'!$D$4:$D$803,'Competency Event Log'!$B$4:$B$803,'HR Quick View'!$C$9,'Competency Event Log'!$C$4:$C$803,W57,'Competency Event Log'!$T$4:$T$803,"Current")))</f>
        <v/>
      </c>
      <c r="AA57" s="1" t="str">
        <f>IF($Z57="","",IF('HR Quick View'!$B$10="Qualified only",IF($Z57=3,COUNTIF($Z$4:$Z57,3),""),IF('HR Quick View'!$B$10="Developing only",IF(OR($Z57=1,$Z57=2),COUNTIF($Z$4:$Z$108,"&gt;"&amp;$Z57)+COUNTIF($Z$4:$Z57,$Z57)-COUNTIF($Z$4:$Z$108,3),""),IF('HR Quick View'!$B$10="All scored",COUNTIF($Z$4:$Z$108,"&gt;"&amp;$Z57)+COUNTIF($Z$4:$Z57,$Z57),""))))</f>
        <v/>
      </c>
      <c r="AB57" s="1" t="str">
        <f>""</f>
        <v/>
      </c>
      <c r="AC57" s="1">
        <f t="shared" si="11"/>
        <v>6</v>
      </c>
      <c r="AD57" s="1">
        <f t="shared" si="12"/>
        <v>2</v>
      </c>
      <c r="AE57" s="1">
        <f t="shared" si="13"/>
        <v>4</v>
      </c>
      <c r="AF57" s="1" t="str">
        <f>IFERROR(IF(Lists!$B57="","",Lists!$B57),"")</f>
        <v/>
      </c>
      <c r="AG57" s="1" t="str">
        <f>IFERROR(IF(Lists!$B57="","",Lists!$C57),"")</f>
        <v/>
      </c>
      <c r="AH57" s="1" t="str">
        <f>IFERROR(IF(Lists!$B57="","",Lists!$D57),"")</f>
        <v/>
      </c>
      <c r="AI57" s="1" t="str">
        <f>IF(AF57="","",IFERROR(INDEX('Skills Matrix'!$G$6:$DE$205,MATCH(AF57,'Skills Matrix'!$B$6:$B$205,0),MATCH('HR Quick View'!$J$9,'Skills Matrix'!$G$5:$DE$5,0)),""))</f>
        <v/>
      </c>
      <c r="AJ57" s="1" t="str">
        <f t="shared" si="14"/>
        <v/>
      </c>
      <c r="AK57" s="1" t="str">
        <f>IFERROR(IF(Lists!$B57="","",Lists!$E57),"")</f>
        <v/>
      </c>
      <c r="AL57" s="1" t="str">
        <f>IF(AND(OR('HR Quick View'!$L$10="All Shifts",AH57='HR Quick View'!$L$10),OR(AND('HR Quick View'!$I$10="Qualified only",AI57=3),AND('HR Quick View'!$I$10="All trained",AI57&gt;0))),IF('HR Quick View'!$L$10="All Shifts",COUNTIF($AI$4:$AI$203,"&gt;"&amp;AI57)+COUNTIF($AI$4:AI57,AI57),COUNTIFS($AI$4:$AI$203,"&gt;"&amp;AI57,$AH$4:$AH$203,'HR Quick View'!$L$10)+COUNTIFS($AI$4:AI57,AI57,$AH$4:AH57,'HR Quick View'!$L$10)),"")</f>
        <v/>
      </c>
      <c r="AP57" s="17" t="str">
        <f>IFERROR(IF(Lists!$J57="","",Lists!$J57),"")</f>
        <v>Automation Test Execution</v>
      </c>
      <c r="AQ57" s="17" t="str">
        <f>IFERROR(IF(Lists!$J57="","",Lists!$K57),"")</f>
        <v>Quality Assurance</v>
      </c>
      <c r="AR57" s="17" t="str">
        <f>IFERROR(IF(Lists!$J57="","",Lists!$L57),"")</f>
        <v>Yes</v>
      </c>
      <c r="AS57" s="17">
        <f>IFERROR(IF(Lists!$J57="","",Lists!$M57),0)</f>
        <v>4</v>
      </c>
      <c r="AT57" s="17">
        <f>IF(AP57="","",COUNTIF('Skills Matrix'!$BH$6:$BH$205,3))</f>
        <v>2</v>
      </c>
      <c r="AU57" s="17">
        <f>IF(AP57="","",COUNTIF('Skills Matrix'!$BH$6:$BH$205,2))</f>
        <v>1</v>
      </c>
      <c r="AV57" s="17">
        <f t="shared" si="15"/>
        <v>2</v>
      </c>
      <c r="AW57" s="17">
        <f>IF(OR(AP57="",AS57&lt;=0,AV57&lt;=0,AND('Skill Management'!$D$4&lt;&gt;"All Departments",AQ57&lt;&gt;'Skill Management'!$D$4)),"",IF(AT57=0,100000,0)+IF(AR57="Yes",10000,0)+AV57*100+AU57)</f>
        <v>10201</v>
      </c>
      <c r="AX57" s="17">
        <f>IF(AW57="","",COUNTIF($AW$4:$AW$106,"&gt;"&amp;AW57)+COUNTIF($AW$4:AW57,AW57))</f>
        <v>52</v>
      </c>
      <c r="AY57" s="17" t="str">
        <f>IFERROR(IF(Lists!$J57="","",Lists!$N57),"")</f>
        <v>Yes</v>
      </c>
      <c r="BA57" s="17" t="str">
        <f>IFERROR(IF('Training Plan'!$A58="","",'Training Plan'!$A58),"")</f>
        <v/>
      </c>
      <c r="BB57" s="17" t="str">
        <f>IFERROR(IF('Training Plan'!$A58="","",'Training Plan'!$B58),"")</f>
        <v/>
      </c>
      <c r="BC57" s="17" t="str">
        <f>IFERROR(IF('Training Plan'!$A58="","",'Training Plan'!$C58),"")</f>
        <v/>
      </c>
      <c r="BD57" s="17" t="str">
        <f>IFERROR(IF('Training Plan'!$A58="","",'Training Plan'!$D58),"")</f>
        <v/>
      </c>
      <c r="BE57" s="17" t="str">
        <f>IFERROR(IF('Training Plan'!$A58="","",'Training Plan'!$E58),"")</f>
        <v/>
      </c>
      <c r="BF57" s="17" t="str">
        <f>IFERROR(IF('Training Plan'!$A58="","",'Training Plan'!$F58),"")</f>
        <v/>
      </c>
      <c r="BG57" s="17" t="str">
        <f>IFERROR(IF('Training Plan'!$A58="","",'Training Plan'!$G58),"")</f>
        <v/>
      </c>
      <c r="BH57" s="17" t="str">
        <f>IFERROR(IF('Training Plan'!$A58="","",'Training Plan'!$H58),"")</f>
        <v/>
      </c>
      <c r="BI57" s="17" t="str">
        <f>IF(OR(BA57="",BF57="Complete",AND('Skill Management'!$D$4&lt;&gt;"All Departments",BB57&lt;&gt;'Skill Management'!$D$4)),"",IF(BF57="Blocked",100000,IF(BF57="In Progress",200000,300000))+IF(BE57="",99999,BE57))</f>
        <v/>
      </c>
      <c r="BJ57" s="17" t="str">
        <f>IF(BI57="","",COUNTIFS($BI$4:$BI$203,"&gt;0",$BI$4:$BI$203,"&lt;"&amp;BI57)+COUNTIF($BI$4:BI57,BI57))</f>
        <v/>
      </c>
      <c r="BT57" t="str">
        <f t="shared" si="16"/>
        <v>Automation Test Execution</v>
      </c>
      <c r="BU57" t="str">
        <f t="shared" si="17"/>
        <v>Quality Assurance</v>
      </c>
      <c r="BV57" t="str">
        <f>IF(BT57="","",IFERROR(INDEX('Skills Matrix'!$G$6:$DE$205,MATCH('Employee Transcript'!$C$4,'Skills Matrix'!$B$6:$B$205,0),MATCH(BT57,'Skills Matrix'!$G$5:$DE$5,0)),""))</f>
        <v/>
      </c>
      <c r="BW57" t="str">
        <f>IF(BT57="","",IFERROR(INDEX('Competency Event Log'!$E$4:$E$803,MATCH('Employee Transcript'!$C$4&amp;"|"&amp;BT57,'Competency Event Log'!$U$4:$U$803,0)),""))</f>
        <v/>
      </c>
      <c r="BX57" t="str">
        <f>IF(BT57="","",IF(BU57='Employee Transcript'!$B$7,"Home Department","Cross-Trained"))</f>
        <v>Cross-Trained</v>
      </c>
      <c r="BY57" t="str">
        <f t="shared" si="18"/>
        <v>Yes</v>
      </c>
      <c r="BZ57" t="str">
        <f>IF(BT57="","",IFERROR(INDEX('Competency Event Log'!$L$4:$L$803,MATCH('Employee Transcript'!$C$4&amp;"|"&amp;BT57,'Competency Event Log'!$U$4:$U$803,0)),""))</f>
        <v/>
      </c>
      <c r="CA57" t="str">
        <f>IF(N(BV57)&gt;0,COUNTIF($BV$4:BV57,"&gt;0"),"")</f>
        <v/>
      </c>
      <c r="CB57" t="str">
        <f>IF(AND('Competency Event Log'!$B57='Employee Transcript'!$C$4,'Competency Event Log'!$I57&lt;&gt;"Yes"),'Competency Event Log'!$K57,"")</f>
        <v/>
      </c>
      <c r="CC57" t="str">
        <f t="shared" si="9"/>
        <v/>
      </c>
      <c r="CD57" t="str">
        <f>IF(Certifications!$A57='Employee Transcript'!$C$4,57,"")</f>
        <v/>
      </c>
      <c r="CE57" t="str">
        <f>IF(CD57="","",COUNTIF($CD$4:CD57,"&gt;0"))</f>
        <v/>
      </c>
      <c r="CF57" t="str">
        <f>IF(AND('Training Plan'!$A58='Employee Transcript'!$C$4,'Training Plan'!$F58&lt;&gt;"Complete"),58,"")</f>
        <v/>
      </c>
      <c r="CG57" t="str">
        <f>IF(CF57="","",COUNTIF($CF$4:CF57,"&gt;0"))</f>
        <v/>
      </c>
    </row>
    <row r="58" spans="1:85">
      <c r="A58" s="2"/>
      <c r="B58" s="1"/>
      <c r="C58" s="1"/>
      <c r="D58" s="1"/>
      <c r="E58" s="1"/>
      <c r="F58" s="3"/>
      <c r="G58" s="1"/>
      <c r="H58" s="4"/>
      <c r="I58" s="1" t="s">
        <v>1054</v>
      </c>
      <c r="J58" s="1" t="s">
        <v>1052</v>
      </c>
      <c r="K58" s="1" t="s">
        <v>309</v>
      </c>
      <c r="L58" s="1" t="s">
        <v>27</v>
      </c>
      <c r="M58" s="1">
        <v>4</v>
      </c>
      <c r="N58" s="1" t="s">
        <v>27</v>
      </c>
      <c r="P58" s="1" t="s">
        <v>1052</v>
      </c>
      <c r="Q58" s="1" t="s">
        <v>309</v>
      </c>
      <c r="R58" s="1">
        <v>4</v>
      </c>
      <c r="S58" s="1">
        <f>COUNTIF('Skills Matrix'!$BI$6:$BI$205,3)</f>
        <v>1</v>
      </c>
      <c r="T58" s="1">
        <f t="shared" si="10"/>
        <v>3</v>
      </c>
      <c r="U58" s="1">
        <f>IF(AND(T58&gt;0,OR('HR Quick View'!$F$24="All Departments",Q58='HR Quick View'!$F$24)),COUNTIFS($T$4:$T$108,"&gt;"&amp;T58,$Q$4:$Q$108,IF('HR Quick View'!$F$24="All Departments","*",'HR Quick View'!$F$24))+COUNTIFS($T$4:T58,T58,$Q$4:Q58,IF('HR Quick View'!$F$24="All Departments","*",'HR Quick View'!$F$24)),"")</f>
        <v>27</v>
      </c>
      <c r="W58" s="1" t="s">
        <v>1052</v>
      </c>
      <c r="X58" s="1" t="s">
        <v>309</v>
      </c>
      <c r="Y58" s="1" t="s">
        <v>27</v>
      </c>
      <c r="Z58" s="1" t="str">
        <f>IF('HR Quick View'!$C$9="","",IF(COUNTIFS('Competency Event Log'!$B$4:$B$803,'HR Quick View'!$C$9,'Competency Event Log'!$C$4:$C$803,W58,'Competency Event Log'!$T$4:$T$803,"Current")=0,"",SUMIFS('Competency Event Log'!$D$4:$D$803,'Competency Event Log'!$B$4:$B$803,'HR Quick View'!$C$9,'Competency Event Log'!$C$4:$C$803,W58,'Competency Event Log'!$T$4:$T$803,"Current")))</f>
        <v/>
      </c>
      <c r="AA58" s="1" t="str">
        <f>IF($Z58="","",IF('HR Quick View'!$B$10="Qualified only",IF($Z58=3,COUNTIF($Z$4:$Z58,3),""),IF('HR Quick View'!$B$10="Developing only",IF(OR($Z58=1,$Z58=2),COUNTIF($Z$4:$Z$108,"&gt;"&amp;$Z58)+COUNTIF($Z$4:$Z58,$Z58)-COUNTIF($Z$4:$Z$108,3),""),IF('HR Quick View'!$B$10="All scored",COUNTIF($Z$4:$Z$108,"&gt;"&amp;$Z58)+COUNTIF($Z$4:$Z58,$Z58),""))))</f>
        <v/>
      </c>
      <c r="AB58" s="1" t="str">
        <f>""</f>
        <v/>
      </c>
      <c r="AC58" s="1">
        <f t="shared" si="11"/>
        <v>4</v>
      </c>
      <c r="AD58" s="1">
        <f t="shared" si="12"/>
        <v>1</v>
      </c>
      <c r="AE58" s="1">
        <f t="shared" si="13"/>
        <v>3</v>
      </c>
      <c r="AF58" s="1" t="str">
        <f>IFERROR(IF(Lists!$B58="","",Lists!$B58),"")</f>
        <v/>
      </c>
      <c r="AG58" s="1" t="str">
        <f>IFERROR(IF(Lists!$B58="","",Lists!$C58),"")</f>
        <v/>
      </c>
      <c r="AH58" s="1" t="str">
        <f>IFERROR(IF(Lists!$B58="","",Lists!$D58),"")</f>
        <v/>
      </c>
      <c r="AI58" s="1" t="str">
        <f>IF(AF58="","",IFERROR(INDEX('Skills Matrix'!$G$6:$DE$205,MATCH(AF58,'Skills Matrix'!$B$6:$B$205,0),MATCH('HR Quick View'!$J$9,'Skills Matrix'!$G$5:$DE$5,0)),""))</f>
        <v/>
      </c>
      <c r="AJ58" s="1" t="str">
        <f t="shared" si="14"/>
        <v/>
      </c>
      <c r="AK58" s="1" t="str">
        <f>IFERROR(IF(Lists!$B58="","",Lists!$E58),"")</f>
        <v/>
      </c>
      <c r="AL58" s="1" t="str">
        <f>IF(AND(OR('HR Quick View'!$L$10="All Shifts",AH58='HR Quick View'!$L$10),OR(AND('HR Quick View'!$I$10="Qualified only",AI58=3),AND('HR Quick View'!$I$10="All trained",AI58&gt;0))),IF('HR Quick View'!$L$10="All Shifts",COUNTIF($AI$4:$AI$203,"&gt;"&amp;AI58)+COUNTIF($AI$4:AI58,AI58),COUNTIFS($AI$4:$AI$203,"&gt;"&amp;AI58,$AH$4:$AH$203,'HR Quick View'!$L$10)+COUNTIFS($AI$4:AI58,AI58,$AH$4:AH58,'HR Quick View'!$L$10)),"")</f>
        <v/>
      </c>
      <c r="AP58" s="17" t="str">
        <f>IFERROR(IF(Lists!$J58="","",Lists!$J58),"")</f>
        <v>Incident Response</v>
      </c>
      <c r="AQ58" s="17" t="str">
        <f>IFERROR(IF(Lists!$J58="","",Lists!$K58),"")</f>
        <v>Cloud &amp; Reliability</v>
      </c>
      <c r="AR58" s="17" t="str">
        <f>IFERROR(IF(Lists!$J58="","",Lists!$L58),"")</f>
        <v>Yes</v>
      </c>
      <c r="AS58" s="17">
        <f>IFERROR(IF(Lists!$J58="","",Lists!$M58),0)</f>
        <v>4</v>
      </c>
      <c r="AT58" s="17">
        <f>IF(AP58="","",COUNTIF('Skills Matrix'!$BI$6:$BI$205,3))</f>
        <v>1</v>
      </c>
      <c r="AU58" s="17">
        <f>IF(AP58="","",COUNTIF('Skills Matrix'!$BI$6:$BI$205,2))</f>
        <v>2</v>
      </c>
      <c r="AV58" s="17">
        <f t="shared" si="15"/>
        <v>3</v>
      </c>
      <c r="AW58" s="17">
        <f>IF(OR(AP58="",AS58&lt;=0,AV58&lt;=0,AND('Skill Management'!$D$4&lt;&gt;"All Departments",AQ58&lt;&gt;'Skill Management'!$D$4)),"",IF(AT58=0,100000,0)+IF(AR58="Yes",10000,0)+AV58*100+AU58)</f>
        <v>10302</v>
      </c>
      <c r="AX58" s="17">
        <f>IF(AW58="","",COUNTIF($AW$4:$AW$106,"&gt;"&amp;AW58)+COUNTIF($AW$4:AW58,AW58))</f>
        <v>32</v>
      </c>
      <c r="AY58" s="17" t="str">
        <f>IFERROR(IF(Lists!$J58="","",Lists!$N58),"")</f>
        <v>Yes</v>
      </c>
      <c r="BA58" s="17" t="str">
        <f>IFERROR(IF('Training Plan'!$A59="","",'Training Plan'!$A59),"")</f>
        <v/>
      </c>
      <c r="BB58" s="17" t="str">
        <f>IFERROR(IF('Training Plan'!$A59="","",'Training Plan'!$B59),"")</f>
        <v/>
      </c>
      <c r="BC58" s="17" t="str">
        <f>IFERROR(IF('Training Plan'!$A59="","",'Training Plan'!$C59),"")</f>
        <v/>
      </c>
      <c r="BD58" s="17" t="str">
        <f>IFERROR(IF('Training Plan'!$A59="","",'Training Plan'!$D59),"")</f>
        <v/>
      </c>
      <c r="BE58" s="17" t="str">
        <f>IFERROR(IF('Training Plan'!$A59="","",'Training Plan'!$E59),"")</f>
        <v/>
      </c>
      <c r="BF58" s="17" t="str">
        <f>IFERROR(IF('Training Plan'!$A59="","",'Training Plan'!$F59),"")</f>
        <v/>
      </c>
      <c r="BG58" s="17" t="str">
        <f>IFERROR(IF('Training Plan'!$A59="","",'Training Plan'!$G59),"")</f>
        <v/>
      </c>
      <c r="BH58" s="17" t="str">
        <f>IFERROR(IF('Training Plan'!$A59="","",'Training Plan'!$H59),"")</f>
        <v/>
      </c>
      <c r="BI58" s="17" t="str">
        <f>IF(OR(BA58="",BF58="Complete",AND('Skill Management'!$D$4&lt;&gt;"All Departments",BB58&lt;&gt;'Skill Management'!$D$4)),"",IF(BF58="Blocked",100000,IF(BF58="In Progress",200000,300000))+IF(BE58="",99999,BE58))</f>
        <v/>
      </c>
      <c r="BJ58" s="17" t="str">
        <f>IF(BI58="","",COUNTIFS($BI$4:$BI$203,"&gt;0",$BI$4:$BI$203,"&lt;"&amp;BI58)+COUNTIF($BI$4:BI58,BI58))</f>
        <v/>
      </c>
      <c r="BT58" t="str">
        <f t="shared" si="16"/>
        <v>Incident Response</v>
      </c>
      <c r="BU58" t="str">
        <f t="shared" si="17"/>
        <v>Cloud &amp; Reliability</v>
      </c>
      <c r="BV58" t="str">
        <f>IF(BT58="","",IFERROR(INDEX('Skills Matrix'!$G$6:$DE$205,MATCH('Employee Transcript'!$C$4,'Skills Matrix'!$B$6:$B$205,0),MATCH(BT58,'Skills Matrix'!$G$5:$DE$5,0)),""))</f>
        <v/>
      </c>
      <c r="BW58" t="str">
        <f>IF(BT58="","",IFERROR(INDEX('Competency Event Log'!$E$4:$E$803,MATCH('Employee Transcript'!$C$4&amp;"|"&amp;BT58,'Competency Event Log'!$U$4:$U$803,0)),""))</f>
        <v/>
      </c>
      <c r="BX58" t="str">
        <f>IF(BT58="","",IF(BU58='Employee Transcript'!$B$7,"Home Department","Cross-Trained"))</f>
        <v>Cross-Trained</v>
      </c>
      <c r="BY58" t="str">
        <f t="shared" si="18"/>
        <v>Yes</v>
      </c>
      <c r="BZ58" t="str">
        <f>IF(BT58="","",IFERROR(INDEX('Competency Event Log'!$L$4:$L$803,MATCH('Employee Transcript'!$C$4&amp;"|"&amp;BT58,'Competency Event Log'!$U$4:$U$803,0)),""))</f>
        <v/>
      </c>
      <c r="CA58" t="str">
        <f>IF(N(BV58)&gt;0,COUNTIF($BV$4:BV58,"&gt;0"),"")</f>
        <v/>
      </c>
      <c r="CB58" t="str">
        <f>IF(AND('Competency Event Log'!$B58='Employee Transcript'!$C$4,'Competency Event Log'!$I58&lt;&gt;"Yes"),'Competency Event Log'!$K58,"")</f>
        <v/>
      </c>
      <c r="CC58" t="str">
        <f t="shared" si="9"/>
        <v/>
      </c>
      <c r="CD58" t="str">
        <f>IF(Certifications!$A58='Employee Transcript'!$C$4,58,"")</f>
        <v/>
      </c>
      <c r="CE58" t="str">
        <f>IF(CD58="","",COUNTIF($CD$4:CD58,"&gt;0"))</f>
        <v/>
      </c>
      <c r="CF58" t="str">
        <f>IF(AND('Training Plan'!$A59='Employee Transcript'!$C$4,'Training Plan'!$F59&lt;&gt;"Complete"),59,"")</f>
        <v/>
      </c>
      <c r="CG58" t="str">
        <f>IF(CF58="","",COUNTIF($CF$4:CF58,"&gt;0"))</f>
        <v/>
      </c>
    </row>
    <row r="59" spans="1:85">
      <c r="A59" s="2"/>
      <c r="B59" s="1"/>
      <c r="C59" s="1"/>
      <c r="D59" s="1"/>
      <c r="E59" s="1"/>
      <c r="F59" s="3"/>
      <c r="G59" s="1"/>
      <c r="H59" s="4"/>
      <c r="I59" s="1" t="s">
        <v>553</v>
      </c>
      <c r="J59" s="1" t="s">
        <v>551</v>
      </c>
      <c r="K59" s="1" t="s">
        <v>309</v>
      </c>
      <c r="L59" s="1" t="s">
        <v>27</v>
      </c>
      <c r="M59" s="1">
        <v>4</v>
      </c>
      <c r="N59" s="1" t="s">
        <v>27</v>
      </c>
      <c r="P59" s="1" t="s">
        <v>551</v>
      </c>
      <c r="Q59" s="1" t="s">
        <v>309</v>
      </c>
      <c r="R59" s="1">
        <v>4</v>
      </c>
      <c r="S59" s="1">
        <f>COUNTIF('Skills Matrix'!$BJ$6:$BJ$205,3)</f>
        <v>3</v>
      </c>
      <c r="T59" s="1">
        <f t="shared" si="10"/>
        <v>1</v>
      </c>
      <c r="U59" s="1">
        <f>IF(AND(T59&gt;0,OR('HR Quick View'!$F$24="All Departments",Q59='HR Quick View'!$F$24)),COUNTIFS($T$4:$T$108,"&gt;"&amp;T59,$Q$4:$Q$108,IF('HR Quick View'!$F$24="All Departments","*",'HR Quick View'!$F$24))+COUNTIFS($T$4:T59,T59,$Q$4:Q59,IF('HR Quick View'!$F$24="All Departments","*",'HR Quick View'!$F$24)),"")</f>
        <v>49</v>
      </c>
      <c r="W59" s="1" t="s">
        <v>551</v>
      </c>
      <c r="X59" s="1" t="s">
        <v>309</v>
      </c>
      <c r="Y59" s="1" t="s">
        <v>27</v>
      </c>
      <c r="Z59" s="1" t="str">
        <f>IF('HR Quick View'!$C$9="","",IF(COUNTIFS('Competency Event Log'!$B$4:$B$803,'HR Quick View'!$C$9,'Competency Event Log'!$C$4:$C$803,W59,'Competency Event Log'!$T$4:$T$803,"Current")=0,"",SUMIFS('Competency Event Log'!$D$4:$D$803,'Competency Event Log'!$B$4:$B$803,'HR Quick View'!$C$9,'Competency Event Log'!$C$4:$C$803,W59,'Competency Event Log'!$T$4:$T$803,"Current")))</f>
        <v/>
      </c>
      <c r="AA59" s="1" t="str">
        <f>IF($Z59="","",IF('HR Quick View'!$B$10="Qualified only",IF($Z59=3,COUNTIF($Z$4:$Z59,3),""),IF('HR Quick View'!$B$10="Developing only",IF(OR($Z59=1,$Z59=2),COUNTIF($Z$4:$Z$108,"&gt;"&amp;$Z59)+COUNTIF($Z$4:$Z59,$Z59)-COUNTIF($Z$4:$Z$108,3),""),IF('HR Quick View'!$B$10="All scored",COUNTIF($Z$4:$Z$108,"&gt;"&amp;$Z59)+COUNTIF($Z$4:$Z59,$Z59),""))))</f>
        <v/>
      </c>
      <c r="AB59" s="1" t="str">
        <f>""</f>
        <v/>
      </c>
      <c r="AC59" s="1">
        <f t="shared" si="11"/>
        <v>4</v>
      </c>
      <c r="AD59" s="1">
        <f t="shared" si="12"/>
        <v>3</v>
      </c>
      <c r="AE59" s="1">
        <f t="shared" si="13"/>
        <v>1</v>
      </c>
      <c r="AF59" s="1" t="str">
        <f>IFERROR(IF(Lists!$B59="","",Lists!$B59),"")</f>
        <v/>
      </c>
      <c r="AG59" s="1" t="str">
        <f>IFERROR(IF(Lists!$B59="","",Lists!$C59),"")</f>
        <v/>
      </c>
      <c r="AH59" s="1" t="str">
        <f>IFERROR(IF(Lists!$B59="","",Lists!$D59),"")</f>
        <v/>
      </c>
      <c r="AI59" s="1" t="str">
        <f>IF(AF59="","",IFERROR(INDEX('Skills Matrix'!$G$6:$DE$205,MATCH(AF59,'Skills Matrix'!$B$6:$B$205,0),MATCH('HR Quick View'!$J$9,'Skills Matrix'!$G$5:$DE$5,0)),""))</f>
        <v/>
      </c>
      <c r="AJ59" s="1" t="str">
        <f t="shared" si="14"/>
        <v/>
      </c>
      <c r="AK59" s="1" t="str">
        <f>IFERROR(IF(Lists!$B59="","",Lists!$E59),"")</f>
        <v/>
      </c>
      <c r="AL59" s="1" t="str">
        <f>IF(AND(OR('HR Quick View'!$L$10="All Shifts",AH59='HR Quick View'!$L$10),OR(AND('HR Quick View'!$I$10="Qualified only",AI59=3),AND('HR Quick View'!$I$10="All trained",AI59&gt;0))),IF('HR Quick View'!$L$10="All Shifts",COUNTIF($AI$4:$AI$203,"&gt;"&amp;AI59)+COUNTIF($AI$4:AI59,AI59),COUNTIFS($AI$4:$AI$203,"&gt;"&amp;AI59,$AH$4:$AH$203,'HR Quick View'!$L$10)+COUNTIFS($AI$4:AI59,AI59,$AH$4:AH59,'HR Quick View'!$L$10)),"")</f>
        <v/>
      </c>
      <c r="AP59" s="17" t="str">
        <f>IFERROR(IF(Lists!$J59="","",Lists!$J59),"")</f>
        <v>On-Call Handoff</v>
      </c>
      <c r="AQ59" s="17" t="str">
        <f>IFERROR(IF(Lists!$J59="","",Lists!$K59),"")</f>
        <v>Cloud &amp; Reliability</v>
      </c>
      <c r="AR59" s="17" t="str">
        <f>IFERROR(IF(Lists!$J59="","",Lists!$L59),"")</f>
        <v>Yes</v>
      </c>
      <c r="AS59" s="17">
        <f>IFERROR(IF(Lists!$J59="","",Lists!$M59),0)</f>
        <v>4</v>
      </c>
      <c r="AT59" s="17">
        <f>IF(AP59="","",COUNTIF('Skills Matrix'!$BJ$6:$BJ$205,3))</f>
        <v>3</v>
      </c>
      <c r="AU59" s="17">
        <f>IF(AP59="","",COUNTIF('Skills Matrix'!$BJ$6:$BJ$205,2))</f>
        <v>0</v>
      </c>
      <c r="AV59" s="17">
        <f t="shared" si="15"/>
        <v>1</v>
      </c>
      <c r="AW59" s="17">
        <f>IF(OR(AP59="",AS59&lt;=0,AV59&lt;=0,AND('Skill Management'!$D$4&lt;&gt;"All Departments",AQ59&lt;&gt;'Skill Management'!$D$4)),"",IF(AT59=0,100000,0)+IF(AR59="Yes",10000,0)+AV59*100+AU59)</f>
        <v>10100</v>
      </c>
      <c r="AX59" s="17">
        <f>IF(AW59="","",COUNTIF($AW$4:$AW$106,"&gt;"&amp;AW59)+COUNTIF($AW$4:AW59,AW59))</f>
        <v>66</v>
      </c>
      <c r="AY59" s="17" t="str">
        <f>IFERROR(IF(Lists!$J59="","",Lists!$N59),"")</f>
        <v>Yes</v>
      </c>
      <c r="BA59" s="17" t="str">
        <f>IFERROR(IF('Training Plan'!$A60="","",'Training Plan'!$A60),"")</f>
        <v/>
      </c>
      <c r="BB59" s="17" t="str">
        <f>IFERROR(IF('Training Plan'!$A60="","",'Training Plan'!$B60),"")</f>
        <v/>
      </c>
      <c r="BC59" s="17" t="str">
        <f>IFERROR(IF('Training Plan'!$A60="","",'Training Plan'!$C60),"")</f>
        <v/>
      </c>
      <c r="BD59" s="17" t="str">
        <f>IFERROR(IF('Training Plan'!$A60="","",'Training Plan'!$D60),"")</f>
        <v/>
      </c>
      <c r="BE59" s="17" t="str">
        <f>IFERROR(IF('Training Plan'!$A60="","",'Training Plan'!$E60),"")</f>
        <v/>
      </c>
      <c r="BF59" s="17" t="str">
        <f>IFERROR(IF('Training Plan'!$A60="","",'Training Plan'!$F60),"")</f>
        <v/>
      </c>
      <c r="BG59" s="17" t="str">
        <f>IFERROR(IF('Training Plan'!$A60="","",'Training Plan'!$G60),"")</f>
        <v/>
      </c>
      <c r="BH59" s="17" t="str">
        <f>IFERROR(IF('Training Plan'!$A60="","",'Training Plan'!$H60),"")</f>
        <v/>
      </c>
      <c r="BI59" s="17" t="str">
        <f>IF(OR(BA59="",BF59="Complete",AND('Skill Management'!$D$4&lt;&gt;"All Departments",BB59&lt;&gt;'Skill Management'!$D$4)),"",IF(BF59="Blocked",100000,IF(BF59="In Progress",200000,300000))+IF(BE59="",99999,BE59))</f>
        <v/>
      </c>
      <c r="BJ59" s="17" t="str">
        <f>IF(BI59="","",COUNTIFS($BI$4:$BI$203,"&gt;0",$BI$4:$BI$203,"&lt;"&amp;BI59)+COUNTIF($BI$4:BI59,BI59))</f>
        <v/>
      </c>
      <c r="BT59" t="str">
        <f t="shared" si="16"/>
        <v>On-Call Handoff</v>
      </c>
      <c r="BU59" t="str">
        <f t="shared" si="17"/>
        <v>Cloud &amp; Reliability</v>
      </c>
      <c r="BV59" t="str">
        <f>IF(BT59="","",IFERROR(INDEX('Skills Matrix'!$G$6:$DE$205,MATCH('Employee Transcript'!$C$4,'Skills Matrix'!$B$6:$B$205,0),MATCH(BT59,'Skills Matrix'!$G$5:$DE$5,0)),""))</f>
        <v/>
      </c>
      <c r="BW59" t="str">
        <f>IF(BT59="","",IFERROR(INDEX('Competency Event Log'!$E$4:$E$803,MATCH('Employee Transcript'!$C$4&amp;"|"&amp;BT59,'Competency Event Log'!$U$4:$U$803,0)),""))</f>
        <v/>
      </c>
      <c r="BX59" t="str">
        <f>IF(BT59="","",IF(BU59='Employee Transcript'!$B$7,"Home Department","Cross-Trained"))</f>
        <v>Cross-Trained</v>
      </c>
      <c r="BY59" t="str">
        <f t="shared" si="18"/>
        <v>Yes</v>
      </c>
      <c r="BZ59" t="str">
        <f>IF(BT59="","",IFERROR(INDEX('Competency Event Log'!$L$4:$L$803,MATCH('Employee Transcript'!$C$4&amp;"|"&amp;BT59,'Competency Event Log'!$U$4:$U$803,0)),""))</f>
        <v/>
      </c>
      <c r="CA59" t="str">
        <f>IF(N(BV59)&gt;0,COUNTIF($BV$4:BV59,"&gt;0"),"")</f>
        <v/>
      </c>
      <c r="CB59" t="str">
        <f>IF(AND('Competency Event Log'!$B59='Employee Transcript'!$C$4,'Competency Event Log'!$I59&lt;&gt;"Yes"),'Competency Event Log'!$K59,"")</f>
        <v/>
      </c>
      <c r="CC59" t="str">
        <f t="shared" si="9"/>
        <v/>
      </c>
      <c r="CD59" t="str">
        <f>IF(Certifications!$A59='Employee Transcript'!$C$4,59,"")</f>
        <v/>
      </c>
      <c r="CE59" t="str">
        <f>IF(CD59="","",COUNTIF($CD$4:CD59,"&gt;0"))</f>
        <v/>
      </c>
      <c r="CF59" t="str">
        <f>IF(AND('Training Plan'!$A60='Employee Transcript'!$C$4,'Training Plan'!$F60&lt;&gt;"Complete"),60,"")</f>
        <v/>
      </c>
      <c r="CG59" t="str">
        <f>IF(CF59="","",COUNTIF($CF$4:CF59,"&gt;0"))</f>
        <v/>
      </c>
    </row>
    <row r="60" spans="1:85">
      <c r="A60" s="2"/>
      <c r="B60" s="1"/>
      <c r="C60" s="1"/>
      <c r="D60" s="1"/>
      <c r="E60" s="1"/>
      <c r="F60" s="3"/>
      <c r="G60" s="1"/>
      <c r="H60" s="4"/>
      <c r="I60" s="1" t="s">
        <v>1067</v>
      </c>
      <c r="J60" s="1" t="s">
        <v>1065</v>
      </c>
      <c r="K60" s="1" t="s">
        <v>309</v>
      </c>
      <c r="L60" s="1" t="s">
        <v>27</v>
      </c>
      <c r="M60" s="1">
        <v>4</v>
      </c>
      <c r="N60" s="1" t="s">
        <v>27</v>
      </c>
      <c r="P60" s="1" t="s">
        <v>1065</v>
      </c>
      <c r="Q60" s="1" t="s">
        <v>309</v>
      </c>
      <c r="R60" s="1">
        <v>4</v>
      </c>
      <c r="S60" s="1">
        <f>COUNTIF('Skills Matrix'!$BK$6:$BK$205,3)</f>
        <v>4</v>
      </c>
      <c r="T60" s="1">
        <f t="shared" si="10"/>
        <v>0</v>
      </c>
      <c r="U60" s="1" t="str">
        <f>IF(AND(T60&gt;0,OR('HR Quick View'!$F$24="All Departments",Q60='HR Quick View'!$F$24)),COUNTIFS($T$4:$T$108,"&gt;"&amp;T60,$Q$4:$Q$108,IF('HR Quick View'!$F$24="All Departments","*",'HR Quick View'!$F$24))+COUNTIFS($T$4:T60,T60,$Q$4:Q60,IF('HR Quick View'!$F$24="All Departments","*",'HR Quick View'!$F$24)),"")</f>
        <v/>
      </c>
      <c r="W60" s="1" t="s">
        <v>1065</v>
      </c>
      <c r="X60" s="1" t="s">
        <v>309</v>
      </c>
      <c r="Y60" s="1" t="s">
        <v>27</v>
      </c>
      <c r="Z60" s="1" t="str">
        <f>IF('HR Quick View'!$C$9="","",IF(COUNTIFS('Competency Event Log'!$B$4:$B$803,'HR Quick View'!$C$9,'Competency Event Log'!$C$4:$C$803,W60,'Competency Event Log'!$T$4:$T$803,"Current")=0,"",SUMIFS('Competency Event Log'!$D$4:$D$803,'Competency Event Log'!$B$4:$B$803,'HR Quick View'!$C$9,'Competency Event Log'!$C$4:$C$803,W60,'Competency Event Log'!$T$4:$T$803,"Current")))</f>
        <v/>
      </c>
      <c r="AA60" s="1" t="str">
        <f>IF($Z60="","",IF('HR Quick View'!$B$10="Qualified only",IF($Z60=3,COUNTIF($Z$4:$Z60,3),""),IF('HR Quick View'!$B$10="Developing only",IF(OR($Z60=1,$Z60=2),COUNTIF($Z$4:$Z$108,"&gt;"&amp;$Z60)+COUNTIF($Z$4:$Z60,$Z60)-COUNTIF($Z$4:$Z$108,3),""),IF('HR Quick View'!$B$10="All scored",COUNTIF($Z$4:$Z$108,"&gt;"&amp;$Z60)+COUNTIF($Z$4:$Z60,$Z60),""))))</f>
        <v/>
      </c>
      <c r="AB60" s="1" t="str">
        <f>""</f>
        <v/>
      </c>
      <c r="AC60" s="1">
        <f t="shared" si="11"/>
        <v>4</v>
      </c>
      <c r="AD60" s="1">
        <f t="shared" si="12"/>
        <v>4</v>
      </c>
      <c r="AE60" s="1">
        <f t="shared" si="13"/>
        <v>0</v>
      </c>
      <c r="AF60" s="1" t="str">
        <f>IFERROR(IF(Lists!$B60="","",Lists!$B60),"")</f>
        <v/>
      </c>
      <c r="AG60" s="1" t="str">
        <f>IFERROR(IF(Lists!$B60="","",Lists!$C60),"")</f>
        <v/>
      </c>
      <c r="AH60" s="1" t="str">
        <f>IFERROR(IF(Lists!$B60="","",Lists!$D60),"")</f>
        <v/>
      </c>
      <c r="AI60" s="1" t="str">
        <f>IF(AF60="","",IFERROR(INDEX('Skills Matrix'!$G$6:$DE$205,MATCH(AF60,'Skills Matrix'!$B$6:$B$205,0),MATCH('HR Quick View'!$J$9,'Skills Matrix'!$G$5:$DE$5,0)),""))</f>
        <v/>
      </c>
      <c r="AJ60" s="1" t="str">
        <f t="shared" si="14"/>
        <v/>
      </c>
      <c r="AK60" s="1" t="str">
        <f>IFERROR(IF(Lists!$B60="","",Lists!$E60),"")</f>
        <v/>
      </c>
      <c r="AL60" s="1" t="str">
        <f>IF(AND(OR('HR Quick View'!$L$10="All Shifts",AH60='HR Quick View'!$L$10),OR(AND('HR Quick View'!$I$10="Qualified only",AI60=3),AND('HR Quick View'!$I$10="All trained",AI60&gt;0))),IF('HR Quick View'!$L$10="All Shifts",COUNTIF($AI$4:$AI$203,"&gt;"&amp;AI60)+COUNTIF($AI$4:AI60,AI60),COUNTIFS($AI$4:$AI$203,"&gt;"&amp;AI60,$AH$4:$AH$203,'HR Quick View'!$L$10)+COUNTIFS($AI$4:AI60,AI60,$AH$4:AH60,'HR Quick View'!$L$10)),"")</f>
        <v/>
      </c>
      <c r="AP60" s="17" t="str">
        <f>IFERROR(IF(Lists!$J60="","",Lists!$J60),"")</f>
        <v>AWS Core Services</v>
      </c>
      <c r="AQ60" s="17" t="str">
        <f>IFERROR(IF(Lists!$J60="","",Lists!$K60),"")</f>
        <v>Cloud &amp; Reliability</v>
      </c>
      <c r="AR60" s="17" t="str">
        <f>IFERROR(IF(Lists!$J60="","",Lists!$L60),"")</f>
        <v>Yes</v>
      </c>
      <c r="AS60" s="17">
        <f>IFERROR(IF(Lists!$J60="","",Lists!$M60),0)</f>
        <v>4</v>
      </c>
      <c r="AT60" s="17">
        <f>IF(AP60="","",COUNTIF('Skills Matrix'!$BK$6:$BK$205,3))</f>
        <v>4</v>
      </c>
      <c r="AU60" s="17">
        <f>IF(AP60="","",COUNTIF('Skills Matrix'!$BK$6:$BK$205,2))</f>
        <v>0</v>
      </c>
      <c r="AV60" s="17">
        <f t="shared" si="15"/>
        <v>0</v>
      </c>
      <c r="AW60" s="17" t="str">
        <f>IF(OR(AP60="",AS60&lt;=0,AV60&lt;=0,AND('Skill Management'!$D$4&lt;&gt;"All Departments",AQ60&lt;&gt;'Skill Management'!$D$4)),"",IF(AT60=0,100000,0)+IF(AR60="Yes",10000,0)+AV60*100+AU60)</f>
        <v/>
      </c>
      <c r="AX60" s="17" t="str">
        <f>IF(AW60="","",COUNTIF($AW$4:$AW$106,"&gt;"&amp;AW60)+COUNTIF($AW$4:AW60,AW60))</f>
        <v/>
      </c>
      <c r="AY60" s="17" t="str">
        <f>IFERROR(IF(Lists!$J60="","",Lists!$N60),"")</f>
        <v>Yes</v>
      </c>
      <c r="BA60" s="17" t="str">
        <f>IFERROR(IF('Training Plan'!$A61="","",'Training Plan'!$A61),"")</f>
        <v/>
      </c>
      <c r="BB60" s="17" t="str">
        <f>IFERROR(IF('Training Plan'!$A61="","",'Training Plan'!$B61),"")</f>
        <v/>
      </c>
      <c r="BC60" s="17" t="str">
        <f>IFERROR(IF('Training Plan'!$A61="","",'Training Plan'!$C61),"")</f>
        <v/>
      </c>
      <c r="BD60" s="17" t="str">
        <f>IFERROR(IF('Training Plan'!$A61="","",'Training Plan'!$D61),"")</f>
        <v/>
      </c>
      <c r="BE60" s="17" t="str">
        <f>IFERROR(IF('Training Plan'!$A61="","",'Training Plan'!$E61),"")</f>
        <v/>
      </c>
      <c r="BF60" s="17" t="str">
        <f>IFERROR(IF('Training Plan'!$A61="","",'Training Plan'!$F61),"")</f>
        <v/>
      </c>
      <c r="BG60" s="17" t="str">
        <f>IFERROR(IF('Training Plan'!$A61="","",'Training Plan'!$G61),"")</f>
        <v/>
      </c>
      <c r="BH60" s="17" t="str">
        <f>IFERROR(IF('Training Plan'!$A61="","",'Training Plan'!$H61),"")</f>
        <v/>
      </c>
      <c r="BI60" s="17" t="str">
        <f>IF(OR(BA60="",BF60="Complete",AND('Skill Management'!$D$4&lt;&gt;"All Departments",BB60&lt;&gt;'Skill Management'!$D$4)),"",IF(BF60="Blocked",100000,IF(BF60="In Progress",200000,300000))+IF(BE60="",99999,BE60))</f>
        <v/>
      </c>
      <c r="BJ60" s="17" t="str">
        <f>IF(BI60="","",COUNTIFS($BI$4:$BI$203,"&gt;0",$BI$4:$BI$203,"&lt;"&amp;BI60)+COUNTIF($BI$4:BI60,BI60))</f>
        <v/>
      </c>
      <c r="BT60" t="str">
        <f t="shared" si="16"/>
        <v>AWS Core Services</v>
      </c>
      <c r="BU60" t="str">
        <f t="shared" si="17"/>
        <v>Cloud &amp; Reliability</v>
      </c>
      <c r="BV60" t="str">
        <f>IF(BT60="","",IFERROR(INDEX('Skills Matrix'!$G$6:$DE$205,MATCH('Employee Transcript'!$C$4,'Skills Matrix'!$B$6:$B$205,0),MATCH(BT60,'Skills Matrix'!$G$5:$DE$5,0)),""))</f>
        <v/>
      </c>
      <c r="BW60" t="str">
        <f>IF(BT60="","",IFERROR(INDEX('Competency Event Log'!$E$4:$E$803,MATCH('Employee Transcript'!$C$4&amp;"|"&amp;BT60,'Competency Event Log'!$U$4:$U$803,0)),""))</f>
        <v/>
      </c>
      <c r="BX60" t="str">
        <f>IF(BT60="","",IF(BU60='Employee Transcript'!$B$7,"Home Department","Cross-Trained"))</f>
        <v>Cross-Trained</v>
      </c>
      <c r="BY60" t="str">
        <f t="shared" si="18"/>
        <v>Yes</v>
      </c>
      <c r="BZ60" t="str">
        <f>IF(BT60="","",IFERROR(INDEX('Competency Event Log'!$L$4:$L$803,MATCH('Employee Transcript'!$C$4&amp;"|"&amp;BT60,'Competency Event Log'!$U$4:$U$803,0)),""))</f>
        <v/>
      </c>
      <c r="CA60" t="str">
        <f>IF(N(BV60)&gt;0,COUNTIF($BV$4:BV60,"&gt;0"),"")</f>
        <v/>
      </c>
      <c r="CB60" t="str">
        <f>IF(AND('Competency Event Log'!$B60='Employee Transcript'!$C$4,'Competency Event Log'!$I60&lt;&gt;"Yes"),'Competency Event Log'!$K60,"")</f>
        <v/>
      </c>
      <c r="CC60" t="str">
        <f t="shared" si="9"/>
        <v/>
      </c>
      <c r="CD60" t="str">
        <f>IF(Certifications!$A60='Employee Transcript'!$C$4,60,"")</f>
        <v/>
      </c>
      <c r="CE60" t="str">
        <f>IF(CD60="","",COUNTIF($CD$4:CD60,"&gt;0"))</f>
        <v/>
      </c>
      <c r="CF60" t="str">
        <f>IF(AND('Training Plan'!$A61='Employee Transcript'!$C$4,'Training Plan'!$F61&lt;&gt;"Complete"),61,"")</f>
        <v/>
      </c>
      <c r="CG60" t="str">
        <f>IF(CF60="","",COUNTIF($CF$4:CF60,"&gt;0"))</f>
        <v/>
      </c>
    </row>
    <row r="61" spans="1:85">
      <c r="A61" s="2"/>
      <c r="B61" s="1"/>
      <c r="C61" s="1"/>
      <c r="D61" s="1"/>
      <c r="E61" s="1"/>
      <c r="F61" s="3"/>
      <c r="G61" s="1"/>
      <c r="H61" s="4"/>
      <c r="I61" s="1" t="s">
        <v>1085</v>
      </c>
      <c r="J61" s="1" t="s">
        <v>1083</v>
      </c>
      <c r="K61" s="1" t="s">
        <v>309</v>
      </c>
      <c r="L61" s="1" t="s">
        <v>27</v>
      </c>
      <c r="M61" s="1">
        <v>4</v>
      </c>
      <c r="N61" s="1" t="s">
        <v>27</v>
      </c>
      <c r="P61" s="1" t="s">
        <v>1083</v>
      </c>
      <c r="Q61" s="1" t="s">
        <v>309</v>
      </c>
      <c r="R61" s="1">
        <v>4</v>
      </c>
      <c r="S61" s="1">
        <f>COUNTIF('Skills Matrix'!$BL$6:$BL$205,3)</f>
        <v>1</v>
      </c>
      <c r="T61" s="1">
        <f t="shared" si="10"/>
        <v>3</v>
      </c>
      <c r="U61" s="1">
        <f>IF(AND(T61&gt;0,OR('HR Quick View'!$F$24="All Departments",Q61='HR Quick View'!$F$24)),COUNTIFS($T$4:$T$108,"&gt;"&amp;T61,$Q$4:$Q$108,IF('HR Quick View'!$F$24="All Departments","*",'HR Quick View'!$F$24))+COUNTIFS($T$4:T61,T61,$Q$4:Q61,IF('HR Quick View'!$F$24="All Departments","*",'HR Quick View'!$F$24)),"")</f>
        <v>28</v>
      </c>
      <c r="W61" s="1" t="s">
        <v>1083</v>
      </c>
      <c r="X61" s="1" t="s">
        <v>309</v>
      </c>
      <c r="Y61" s="1" t="s">
        <v>27</v>
      </c>
      <c r="Z61" s="1" t="str">
        <f>IF('HR Quick View'!$C$9="","",IF(COUNTIFS('Competency Event Log'!$B$4:$B$803,'HR Quick View'!$C$9,'Competency Event Log'!$C$4:$C$803,W61,'Competency Event Log'!$T$4:$T$803,"Current")=0,"",SUMIFS('Competency Event Log'!$D$4:$D$803,'Competency Event Log'!$B$4:$B$803,'HR Quick View'!$C$9,'Competency Event Log'!$C$4:$C$803,W61,'Competency Event Log'!$T$4:$T$803,"Current")))</f>
        <v/>
      </c>
      <c r="AA61" s="1" t="str">
        <f>IF($Z61="","",IF('HR Quick View'!$B$10="Qualified only",IF($Z61=3,COUNTIF($Z$4:$Z61,3),""),IF('HR Quick View'!$B$10="Developing only",IF(OR($Z61=1,$Z61=2),COUNTIF($Z$4:$Z$108,"&gt;"&amp;$Z61)+COUNTIF($Z$4:$Z61,$Z61)-COUNTIF($Z$4:$Z$108,3),""),IF('HR Quick View'!$B$10="All scored",COUNTIF($Z$4:$Z$108,"&gt;"&amp;$Z61)+COUNTIF($Z$4:$Z61,$Z61),""))))</f>
        <v/>
      </c>
      <c r="AB61" s="1" t="str">
        <f>""</f>
        <v/>
      </c>
      <c r="AC61" s="1">
        <f t="shared" si="11"/>
        <v>4</v>
      </c>
      <c r="AD61" s="1">
        <f t="shared" si="12"/>
        <v>1</v>
      </c>
      <c r="AE61" s="1">
        <f t="shared" si="13"/>
        <v>3</v>
      </c>
      <c r="AF61" s="1" t="str">
        <f>IFERROR(IF(Lists!$B61="","",Lists!$B61),"")</f>
        <v/>
      </c>
      <c r="AG61" s="1" t="str">
        <f>IFERROR(IF(Lists!$B61="","",Lists!$C61),"")</f>
        <v/>
      </c>
      <c r="AH61" s="1" t="str">
        <f>IFERROR(IF(Lists!$B61="","",Lists!$D61),"")</f>
        <v/>
      </c>
      <c r="AI61" s="1" t="str">
        <f>IF(AF61="","",IFERROR(INDEX('Skills Matrix'!$G$6:$DE$205,MATCH(AF61,'Skills Matrix'!$B$6:$B$205,0),MATCH('HR Quick View'!$J$9,'Skills Matrix'!$G$5:$DE$5,0)),""))</f>
        <v/>
      </c>
      <c r="AJ61" s="1" t="str">
        <f t="shared" si="14"/>
        <v/>
      </c>
      <c r="AK61" s="1" t="str">
        <f>IFERROR(IF(Lists!$B61="","",Lists!$E61),"")</f>
        <v/>
      </c>
      <c r="AL61" s="1" t="str">
        <f>IF(AND(OR('HR Quick View'!$L$10="All Shifts",AH61='HR Quick View'!$L$10),OR(AND('HR Quick View'!$I$10="Qualified only",AI61=3),AND('HR Quick View'!$I$10="All trained",AI61&gt;0))),IF('HR Quick View'!$L$10="All Shifts",COUNTIF($AI$4:$AI$203,"&gt;"&amp;AI61)+COUNTIF($AI$4:AI61,AI61),COUNTIFS($AI$4:$AI$203,"&gt;"&amp;AI61,$AH$4:$AH$203,'HR Quick View'!$L$10)+COUNTIFS($AI$4:AI61,AI61,$AH$4:AH61,'HR Quick View'!$L$10)),"")</f>
        <v/>
      </c>
      <c r="AP61" s="17" t="str">
        <f>IFERROR(IF(Lists!$J61="","",Lists!$J61),"")</f>
        <v>Azure Core Services</v>
      </c>
      <c r="AQ61" s="17" t="str">
        <f>IFERROR(IF(Lists!$J61="","",Lists!$K61),"")</f>
        <v>Cloud &amp; Reliability</v>
      </c>
      <c r="AR61" s="17" t="str">
        <f>IFERROR(IF(Lists!$J61="","",Lists!$L61),"")</f>
        <v>Yes</v>
      </c>
      <c r="AS61" s="17">
        <f>IFERROR(IF(Lists!$J61="","",Lists!$M61),0)</f>
        <v>4</v>
      </c>
      <c r="AT61" s="17">
        <f>IF(AP61="","",COUNTIF('Skills Matrix'!$BL$6:$BL$205,3))</f>
        <v>1</v>
      </c>
      <c r="AU61" s="17">
        <f>IF(AP61="","",COUNTIF('Skills Matrix'!$BL$6:$BL$205,2))</f>
        <v>1</v>
      </c>
      <c r="AV61" s="17">
        <f t="shared" si="15"/>
        <v>3</v>
      </c>
      <c r="AW61" s="17">
        <f>IF(OR(AP61="",AS61&lt;=0,AV61&lt;=0,AND('Skill Management'!$D$4&lt;&gt;"All Departments",AQ61&lt;&gt;'Skill Management'!$D$4)),"",IF(AT61=0,100000,0)+IF(AR61="Yes",10000,0)+AV61*100+AU61)</f>
        <v>10301</v>
      </c>
      <c r="AX61" s="17">
        <f>IF(AW61="","",COUNTIF($AW$4:$AW$106,"&gt;"&amp;AW61)+COUNTIF($AW$4:AW61,AW61))</f>
        <v>39</v>
      </c>
      <c r="AY61" s="17" t="str">
        <f>IFERROR(IF(Lists!$J61="","",Lists!$N61),"")</f>
        <v>Yes</v>
      </c>
      <c r="BA61" s="17" t="str">
        <f>IFERROR(IF('Training Plan'!$A62="","",'Training Plan'!$A62),"")</f>
        <v/>
      </c>
      <c r="BB61" s="17" t="str">
        <f>IFERROR(IF('Training Plan'!$A62="","",'Training Plan'!$B62),"")</f>
        <v/>
      </c>
      <c r="BC61" s="17" t="str">
        <f>IFERROR(IF('Training Plan'!$A62="","",'Training Plan'!$C62),"")</f>
        <v/>
      </c>
      <c r="BD61" s="17" t="str">
        <f>IFERROR(IF('Training Plan'!$A62="","",'Training Plan'!$D62),"")</f>
        <v/>
      </c>
      <c r="BE61" s="17" t="str">
        <f>IFERROR(IF('Training Plan'!$A62="","",'Training Plan'!$E62),"")</f>
        <v/>
      </c>
      <c r="BF61" s="17" t="str">
        <f>IFERROR(IF('Training Plan'!$A62="","",'Training Plan'!$F62),"")</f>
        <v/>
      </c>
      <c r="BG61" s="17" t="str">
        <f>IFERROR(IF('Training Plan'!$A62="","",'Training Plan'!$G62),"")</f>
        <v/>
      </c>
      <c r="BH61" s="17" t="str">
        <f>IFERROR(IF('Training Plan'!$A62="","",'Training Plan'!$H62),"")</f>
        <v/>
      </c>
      <c r="BI61" s="17" t="str">
        <f>IF(OR(BA61="",BF61="Complete",AND('Skill Management'!$D$4&lt;&gt;"All Departments",BB61&lt;&gt;'Skill Management'!$D$4)),"",IF(BF61="Blocked",100000,IF(BF61="In Progress",200000,300000))+IF(BE61="",99999,BE61))</f>
        <v/>
      </c>
      <c r="BJ61" s="17" t="str">
        <f>IF(BI61="","",COUNTIFS($BI$4:$BI$203,"&gt;0",$BI$4:$BI$203,"&lt;"&amp;BI61)+COUNTIF($BI$4:BI61,BI61))</f>
        <v/>
      </c>
      <c r="BT61" t="str">
        <f t="shared" si="16"/>
        <v>Azure Core Services</v>
      </c>
      <c r="BU61" t="str">
        <f t="shared" si="17"/>
        <v>Cloud &amp; Reliability</v>
      </c>
      <c r="BV61" t="str">
        <f>IF(BT61="","",IFERROR(INDEX('Skills Matrix'!$G$6:$DE$205,MATCH('Employee Transcript'!$C$4,'Skills Matrix'!$B$6:$B$205,0),MATCH(BT61,'Skills Matrix'!$G$5:$DE$5,0)),""))</f>
        <v/>
      </c>
      <c r="BW61" t="str">
        <f>IF(BT61="","",IFERROR(INDEX('Competency Event Log'!$E$4:$E$803,MATCH('Employee Transcript'!$C$4&amp;"|"&amp;BT61,'Competency Event Log'!$U$4:$U$803,0)),""))</f>
        <v/>
      </c>
      <c r="BX61" t="str">
        <f>IF(BT61="","",IF(BU61='Employee Transcript'!$B$7,"Home Department","Cross-Trained"))</f>
        <v>Cross-Trained</v>
      </c>
      <c r="BY61" t="str">
        <f t="shared" si="18"/>
        <v>Yes</v>
      </c>
      <c r="BZ61" t="str">
        <f>IF(BT61="","",IFERROR(INDEX('Competency Event Log'!$L$4:$L$803,MATCH('Employee Transcript'!$C$4&amp;"|"&amp;BT61,'Competency Event Log'!$U$4:$U$803,0)),""))</f>
        <v/>
      </c>
      <c r="CA61" t="str">
        <f>IF(N(BV61)&gt;0,COUNTIF($BV$4:BV61,"&gt;0"),"")</f>
        <v/>
      </c>
      <c r="CB61" t="str">
        <f>IF(AND('Competency Event Log'!$B61='Employee Transcript'!$C$4,'Competency Event Log'!$I61&lt;&gt;"Yes"),'Competency Event Log'!$K61,"")</f>
        <v/>
      </c>
      <c r="CC61" t="str">
        <f t="shared" si="9"/>
        <v/>
      </c>
      <c r="CD61" t="str">
        <f>IF(Certifications!$A61='Employee Transcript'!$C$4,61,"")</f>
        <v/>
      </c>
      <c r="CE61" t="str">
        <f>IF(CD61="","",COUNTIF($CD$4:CD61,"&gt;0"))</f>
        <v/>
      </c>
      <c r="CF61" t="str">
        <f>IF(AND('Training Plan'!$A62='Employee Transcript'!$C$4,'Training Plan'!$F62&lt;&gt;"Complete"),62,"")</f>
        <v/>
      </c>
      <c r="CG61" t="str">
        <f>IF(CF61="","",COUNTIF($CF$4:CF61,"&gt;0"))</f>
        <v/>
      </c>
    </row>
    <row r="62" spans="1:85">
      <c r="A62" s="2"/>
      <c r="B62" s="1"/>
      <c r="C62" s="1"/>
      <c r="D62" s="1"/>
      <c r="E62" s="1"/>
      <c r="F62" s="3"/>
      <c r="G62" s="1"/>
      <c r="H62" s="4"/>
      <c r="I62" s="1" t="s">
        <v>1130</v>
      </c>
      <c r="J62" s="1" t="s">
        <v>1128</v>
      </c>
      <c r="K62" s="1" t="s">
        <v>309</v>
      </c>
      <c r="L62" s="1" t="s">
        <v>27</v>
      </c>
      <c r="M62" s="1">
        <v>4</v>
      </c>
      <c r="N62" s="1" t="s">
        <v>27</v>
      </c>
      <c r="P62" s="1" t="s">
        <v>1128</v>
      </c>
      <c r="Q62" s="1" t="s">
        <v>309</v>
      </c>
      <c r="R62" s="1">
        <v>4</v>
      </c>
      <c r="S62" s="1">
        <f>COUNTIF('Skills Matrix'!$BM$6:$BM$205,3)</f>
        <v>1</v>
      </c>
      <c r="T62" s="1">
        <f t="shared" si="10"/>
        <v>3</v>
      </c>
      <c r="U62" s="1">
        <f>IF(AND(T62&gt;0,OR('HR Quick View'!$F$24="All Departments",Q62='HR Quick View'!$F$24)),COUNTIFS($T$4:$T$108,"&gt;"&amp;T62,$Q$4:$Q$108,IF('HR Quick View'!$F$24="All Departments","*",'HR Quick View'!$F$24))+COUNTIFS($T$4:T62,T62,$Q$4:Q62,IF('HR Quick View'!$F$24="All Departments","*",'HR Quick View'!$F$24)),"")</f>
        <v>29</v>
      </c>
      <c r="W62" s="1" t="s">
        <v>1128</v>
      </c>
      <c r="X62" s="1" t="s">
        <v>309</v>
      </c>
      <c r="Y62" s="1" t="s">
        <v>27</v>
      </c>
      <c r="Z62" s="1" t="str">
        <f>IF('HR Quick View'!$C$9="","",IF(COUNTIFS('Competency Event Log'!$B$4:$B$803,'HR Quick View'!$C$9,'Competency Event Log'!$C$4:$C$803,W62,'Competency Event Log'!$T$4:$T$803,"Current")=0,"",SUMIFS('Competency Event Log'!$D$4:$D$803,'Competency Event Log'!$B$4:$B$803,'HR Quick View'!$C$9,'Competency Event Log'!$C$4:$C$803,W62,'Competency Event Log'!$T$4:$T$803,"Current")))</f>
        <v/>
      </c>
      <c r="AA62" s="1" t="str">
        <f>IF($Z62="","",IF('HR Quick View'!$B$10="Qualified only",IF($Z62=3,COUNTIF($Z$4:$Z62,3),""),IF('HR Quick View'!$B$10="Developing only",IF(OR($Z62=1,$Z62=2),COUNTIF($Z$4:$Z$108,"&gt;"&amp;$Z62)+COUNTIF($Z$4:$Z62,$Z62)-COUNTIF($Z$4:$Z$108,3),""),IF('HR Quick View'!$B$10="All scored",COUNTIF($Z$4:$Z$108,"&gt;"&amp;$Z62)+COUNTIF($Z$4:$Z62,$Z62),""))))</f>
        <v/>
      </c>
      <c r="AB62" s="1" t="str">
        <f>""</f>
        <v/>
      </c>
      <c r="AC62" s="1">
        <f t="shared" si="11"/>
        <v>4</v>
      </c>
      <c r="AD62" s="1">
        <f t="shared" si="12"/>
        <v>1</v>
      </c>
      <c r="AE62" s="1">
        <f t="shared" si="13"/>
        <v>3</v>
      </c>
      <c r="AF62" s="1" t="str">
        <f>IFERROR(IF(Lists!$B62="","",Lists!$B62),"")</f>
        <v/>
      </c>
      <c r="AG62" s="1" t="str">
        <f>IFERROR(IF(Lists!$B62="","",Lists!$C62),"")</f>
        <v/>
      </c>
      <c r="AH62" s="1" t="str">
        <f>IFERROR(IF(Lists!$B62="","",Lists!$D62),"")</f>
        <v/>
      </c>
      <c r="AI62" s="1" t="str">
        <f>IF(AF62="","",IFERROR(INDEX('Skills Matrix'!$G$6:$DE$205,MATCH(AF62,'Skills Matrix'!$B$6:$B$205,0),MATCH('HR Quick View'!$J$9,'Skills Matrix'!$G$5:$DE$5,0)),""))</f>
        <v/>
      </c>
      <c r="AJ62" s="1" t="str">
        <f t="shared" si="14"/>
        <v/>
      </c>
      <c r="AK62" s="1" t="str">
        <f>IFERROR(IF(Lists!$B62="","",Lists!$E62),"")</f>
        <v/>
      </c>
      <c r="AL62" s="1" t="str">
        <f>IF(AND(OR('HR Quick View'!$L$10="All Shifts",AH62='HR Quick View'!$L$10),OR(AND('HR Quick View'!$I$10="Qualified only",AI62=3),AND('HR Quick View'!$I$10="All trained",AI62&gt;0))),IF('HR Quick View'!$L$10="All Shifts",COUNTIF($AI$4:$AI$203,"&gt;"&amp;AI62)+COUNTIF($AI$4:AI62,AI62),COUNTIFS($AI$4:$AI$203,"&gt;"&amp;AI62,$AH$4:$AH$203,'HR Quick View'!$L$10)+COUNTIFS($AI$4:AI62,AI62,$AH$4:AH62,'HR Quick View'!$L$10)),"")</f>
        <v/>
      </c>
      <c r="AP62" s="17" t="str">
        <f>IFERROR(IF(Lists!$J62="","",Lists!$J62),"")</f>
        <v>Container Runtime Operations</v>
      </c>
      <c r="AQ62" s="17" t="str">
        <f>IFERROR(IF(Lists!$J62="","",Lists!$K62),"")</f>
        <v>Cloud &amp; Reliability</v>
      </c>
      <c r="AR62" s="17" t="str">
        <f>IFERROR(IF(Lists!$J62="","",Lists!$L62),"")</f>
        <v>Yes</v>
      </c>
      <c r="AS62" s="17">
        <f>IFERROR(IF(Lists!$J62="","",Lists!$M62),0)</f>
        <v>4</v>
      </c>
      <c r="AT62" s="17">
        <f>IF(AP62="","",COUNTIF('Skills Matrix'!$BM$6:$BM$205,3))</f>
        <v>1</v>
      </c>
      <c r="AU62" s="17">
        <f>IF(AP62="","",COUNTIF('Skills Matrix'!$BM$6:$BM$205,2))</f>
        <v>0</v>
      </c>
      <c r="AV62" s="17">
        <f t="shared" si="15"/>
        <v>3</v>
      </c>
      <c r="AW62" s="17">
        <f>IF(OR(AP62="",AS62&lt;=0,AV62&lt;=0,AND('Skill Management'!$D$4&lt;&gt;"All Departments",AQ62&lt;&gt;'Skill Management'!$D$4)),"",IF(AT62=0,100000,0)+IF(AR62="Yes",10000,0)+AV62*100+AU62)</f>
        <v>10300</v>
      </c>
      <c r="AX62" s="17">
        <f>IF(AW62="","",COUNTIF($AW$4:$AW$106,"&gt;"&amp;AW62)+COUNTIF($AW$4:AW62,AW62))</f>
        <v>44</v>
      </c>
      <c r="AY62" s="17" t="str">
        <f>IFERROR(IF(Lists!$J62="","",Lists!$N62),"")</f>
        <v>Yes</v>
      </c>
      <c r="BA62" s="17" t="str">
        <f>IFERROR(IF('Training Plan'!$A63="","",'Training Plan'!$A63),"")</f>
        <v/>
      </c>
      <c r="BB62" s="17" t="str">
        <f>IFERROR(IF('Training Plan'!$A63="","",'Training Plan'!$B63),"")</f>
        <v/>
      </c>
      <c r="BC62" s="17" t="str">
        <f>IFERROR(IF('Training Plan'!$A63="","",'Training Plan'!$C63),"")</f>
        <v/>
      </c>
      <c r="BD62" s="17" t="str">
        <f>IFERROR(IF('Training Plan'!$A63="","",'Training Plan'!$D63),"")</f>
        <v/>
      </c>
      <c r="BE62" s="17" t="str">
        <f>IFERROR(IF('Training Plan'!$A63="","",'Training Plan'!$E63),"")</f>
        <v/>
      </c>
      <c r="BF62" s="17" t="str">
        <f>IFERROR(IF('Training Plan'!$A63="","",'Training Plan'!$F63),"")</f>
        <v/>
      </c>
      <c r="BG62" s="17" t="str">
        <f>IFERROR(IF('Training Plan'!$A63="","",'Training Plan'!$G63),"")</f>
        <v/>
      </c>
      <c r="BH62" s="17" t="str">
        <f>IFERROR(IF('Training Plan'!$A63="","",'Training Plan'!$H63),"")</f>
        <v/>
      </c>
      <c r="BI62" s="17" t="str">
        <f>IF(OR(BA62="",BF62="Complete",AND('Skill Management'!$D$4&lt;&gt;"All Departments",BB62&lt;&gt;'Skill Management'!$D$4)),"",IF(BF62="Blocked",100000,IF(BF62="In Progress",200000,300000))+IF(BE62="",99999,BE62))</f>
        <v/>
      </c>
      <c r="BJ62" s="17" t="str">
        <f>IF(BI62="","",COUNTIFS($BI$4:$BI$203,"&gt;0",$BI$4:$BI$203,"&lt;"&amp;BI62)+COUNTIF($BI$4:BI62,BI62))</f>
        <v/>
      </c>
      <c r="BT62" t="str">
        <f t="shared" si="16"/>
        <v>Container Runtime Operations</v>
      </c>
      <c r="BU62" t="str">
        <f t="shared" si="17"/>
        <v>Cloud &amp; Reliability</v>
      </c>
      <c r="BV62" t="str">
        <f>IF(BT62="","",IFERROR(INDEX('Skills Matrix'!$G$6:$DE$205,MATCH('Employee Transcript'!$C$4,'Skills Matrix'!$B$6:$B$205,0),MATCH(BT62,'Skills Matrix'!$G$5:$DE$5,0)),""))</f>
        <v/>
      </c>
      <c r="BW62" t="str">
        <f>IF(BT62="","",IFERROR(INDEX('Competency Event Log'!$E$4:$E$803,MATCH('Employee Transcript'!$C$4&amp;"|"&amp;BT62,'Competency Event Log'!$U$4:$U$803,0)),""))</f>
        <v/>
      </c>
      <c r="BX62" t="str">
        <f>IF(BT62="","",IF(BU62='Employee Transcript'!$B$7,"Home Department","Cross-Trained"))</f>
        <v>Cross-Trained</v>
      </c>
      <c r="BY62" t="str">
        <f t="shared" si="18"/>
        <v>Yes</v>
      </c>
      <c r="BZ62" t="str">
        <f>IF(BT62="","",IFERROR(INDEX('Competency Event Log'!$L$4:$L$803,MATCH('Employee Transcript'!$C$4&amp;"|"&amp;BT62,'Competency Event Log'!$U$4:$U$803,0)),""))</f>
        <v/>
      </c>
      <c r="CA62" t="str">
        <f>IF(N(BV62)&gt;0,COUNTIF($BV$4:BV62,"&gt;0"),"")</f>
        <v/>
      </c>
      <c r="CB62" t="str">
        <f>IF(AND('Competency Event Log'!$B62='Employee Transcript'!$C$4,'Competency Event Log'!$I62&lt;&gt;"Yes"),'Competency Event Log'!$K62,"")</f>
        <v/>
      </c>
      <c r="CC62" t="str">
        <f t="shared" si="9"/>
        <v/>
      </c>
      <c r="CD62" t="str">
        <f>IF(Certifications!$A62='Employee Transcript'!$C$4,62,"")</f>
        <v/>
      </c>
      <c r="CE62" t="str">
        <f>IF(CD62="","",COUNTIF($CD$4:CD62,"&gt;0"))</f>
        <v/>
      </c>
      <c r="CF62" t="str">
        <f>IF(AND('Training Plan'!$A63='Employee Transcript'!$C$4,'Training Plan'!$F63&lt;&gt;"Complete"),63,"")</f>
        <v/>
      </c>
      <c r="CG62" t="str">
        <f>IF(CF62="","",COUNTIF($CF$4:CF62,"&gt;0"))</f>
        <v/>
      </c>
    </row>
    <row r="63" spans="1:85">
      <c r="A63" s="2"/>
      <c r="B63" s="1"/>
      <c r="C63" s="1"/>
      <c r="D63" s="1"/>
      <c r="E63" s="1"/>
      <c r="F63" s="3"/>
      <c r="G63" s="1"/>
      <c r="H63" s="4"/>
      <c r="I63" s="1" t="s">
        <v>570</v>
      </c>
      <c r="J63" s="1" t="s">
        <v>568</v>
      </c>
      <c r="K63" s="1" t="s">
        <v>309</v>
      </c>
      <c r="L63" s="1" t="s">
        <v>27</v>
      </c>
      <c r="M63" s="1">
        <v>4</v>
      </c>
      <c r="N63" s="1" t="s">
        <v>27</v>
      </c>
      <c r="P63" s="1" t="s">
        <v>568</v>
      </c>
      <c r="Q63" s="1" t="s">
        <v>309</v>
      </c>
      <c r="R63" s="1">
        <v>4</v>
      </c>
      <c r="S63" s="1">
        <f>COUNTIF('Skills Matrix'!$BN$6:$BN$205,3)</f>
        <v>1</v>
      </c>
      <c r="T63" s="1">
        <f t="shared" si="10"/>
        <v>3</v>
      </c>
      <c r="U63" s="1">
        <f>IF(AND(T63&gt;0,OR('HR Quick View'!$F$24="All Departments",Q63='HR Quick View'!$F$24)),COUNTIFS($T$4:$T$108,"&gt;"&amp;T63,$Q$4:$Q$108,IF('HR Quick View'!$F$24="All Departments","*",'HR Quick View'!$F$24))+COUNTIFS($T$4:T63,T63,$Q$4:Q63,IF('HR Quick View'!$F$24="All Departments","*",'HR Quick View'!$F$24)),"")</f>
        <v>30</v>
      </c>
      <c r="W63" s="1" t="s">
        <v>568</v>
      </c>
      <c r="X63" s="1" t="s">
        <v>309</v>
      </c>
      <c r="Y63" s="1" t="s">
        <v>27</v>
      </c>
      <c r="Z63" s="1" t="str">
        <f>IF('HR Quick View'!$C$9="","",IF(COUNTIFS('Competency Event Log'!$B$4:$B$803,'HR Quick View'!$C$9,'Competency Event Log'!$C$4:$C$803,W63,'Competency Event Log'!$T$4:$T$803,"Current")=0,"",SUMIFS('Competency Event Log'!$D$4:$D$803,'Competency Event Log'!$B$4:$B$803,'HR Quick View'!$C$9,'Competency Event Log'!$C$4:$C$803,W63,'Competency Event Log'!$T$4:$T$803,"Current")))</f>
        <v/>
      </c>
      <c r="AA63" s="1" t="str">
        <f>IF($Z63="","",IF('HR Quick View'!$B$10="Qualified only",IF($Z63=3,COUNTIF($Z$4:$Z63,3),""),IF('HR Quick View'!$B$10="Developing only",IF(OR($Z63=1,$Z63=2),COUNTIF($Z$4:$Z$108,"&gt;"&amp;$Z63)+COUNTIF($Z$4:$Z63,$Z63)-COUNTIF($Z$4:$Z$108,3),""),IF('HR Quick View'!$B$10="All scored",COUNTIF($Z$4:$Z$108,"&gt;"&amp;$Z63)+COUNTIF($Z$4:$Z63,$Z63),""))))</f>
        <v/>
      </c>
      <c r="AB63" s="1" t="str">
        <f>""</f>
        <v/>
      </c>
      <c r="AC63" s="1">
        <f t="shared" si="11"/>
        <v>4</v>
      </c>
      <c r="AD63" s="1">
        <f t="shared" si="12"/>
        <v>1</v>
      </c>
      <c r="AE63" s="1">
        <f t="shared" si="13"/>
        <v>3</v>
      </c>
      <c r="AF63" s="1" t="str">
        <f>IFERROR(IF(Lists!$B63="","",Lists!$B63),"")</f>
        <v/>
      </c>
      <c r="AG63" s="1" t="str">
        <f>IFERROR(IF(Lists!$B63="","",Lists!$C63),"")</f>
        <v/>
      </c>
      <c r="AH63" s="1" t="str">
        <f>IFERROR(IF(Lists!$B63="","",Lists!$D63),"")</f>
        <v/>
      </c>
      <c r="AI63" s="1" t="str">
        <f>IF(AF63="","",IFERROR(INDEX('Skills Matrix'!$G$6:$DE$205,MATCH(AF63,'Skills Matrix'!$B$6:$B$205,0),MATCH('HR Quick View'!$J$9,'Skills Matrix'!$G$5:$DE$5,0)),""))</f>
        <v/>
      </c>
      <c r="AJ63" s="1" t="str">
        <f t="shared" si="14"/>
        <v/>
      </c>
      <c r="AK63" s="1" t="str">
        <f>IFERROR(IF(Lists!$B63="","",Lists!$E63),"")</f>
        <v/>
      </c>
      <c r="AL63" s="1" t="str">
        <f>IF(AND(OR('HR Quick View'!$L$10="All Shifts",AH63='HR Quick View'!$L$10),OR(AND('HR Quick View'!$I$10="Qualified only",AI63=3),AND('HR Quick View'!$I$10="All trained",AI63&gt;0))),IF('HR Quick View'!$L$10="All Shifts",COUNTIF($AI$4:$AI$203,"&gt;"&amp;AI63)+COUNTIF($AI$4:AI63,AI63),COUNTIFS($AI$4:$AI$203,"&gt;"&amp;AI63,$AH$4:$AH$203,'HR Quick View'!$L$10)+COUNTIFS($AI$4:AI63,AI63,$AH$4:AH63,'HR Quick View'!$L$10)),"")</f>
        <v/>
      </c>
      <c r="AP63" s="17" t="str">
        <f>IFERROR(IF(Lists!$J63="","",Lists!$J63),"")</f>
        <v>Kubernetes Operations</v>
      </c>
      <c r="AQ63" s="17" t="str">
        <f>IFERROR(IF(Lists!$J63="","",Lists!$K63),"")</f>
        <v>Cloud &amp; Reliability</v>
      </c>
      <c r="AR63" s="17" t="str">
        <f>IFERROR(IF(Lists!$J63="","",Lists!$L63),"")</f>
        <v>Yes</v>
      </c>
      <c r="AS63" s="17">
        <f>IFERROR(IF(Lists!$J63="","",Lists!$M63),0)</f>
        <v>4</v>
      </c>
      <c r="AT63" s="17">
        <f>IF(AP63="","",COUNTIF('Skills Matrix'!$BN$6:$BN$205,3))</f>
        <v>1</v>
      </c>
      <c r="AU63" s="17">
        <f>IF(AP63="","",COUNTIF('Skills Matrix'!$BN$6:$BN$205,2))</f>
        <v>1</v>
      </c>
      <c r="AV63" s="17">
        <f t="shared" si="15"/>
        <v>3</v>
      </c>
      <c r="AW63" s="17">
        <f>IF(OR(AP63="",AS63&lt;=0,AV63&lt;=0,AND('Skill Management'!$D$4&lt;&gt;"All Departments",AQ63&lt;&gt;'Skill Management'!$D$4)),"",IF(AT63=0,100000,0)+IF(AR63="Yes",10000,0)+AV63*100+AU63)</f>
        <v>10301</v>
      </c>
      <c r="AX63" s="17">
        <f>IF(AW63="","",COUNTIF($AW$4:$AW$106,"&gt;"&amp;AW63)+COUNTIF($AW$4:AW63,AW63))</f>
        <v>40</v>
      </c>
      <c r="AY63" s="17" t="str">
        <f>IFERROR(IF(Lists!$J63="","",Lists!$N63),"")</f>
        <v>Yes</v>
      </c>
      <c r="BA63" s="17" t="str">
        <f>IFERROR(IF('Training Plan'!$A64="","",'Training Plan'!$A64),"")</f>
        <v/>
      </c>
      <c r="BB63" s="17" t="str">
        <f>IFERROR(IF('Training Plan'!$A64="","",'Training Plan'!$B64),"")</f>
        <v/>
      </c>
      <c r="BC63" s="17" t="str">
        <f>IFERROR(IF('Training Plan'!$A64="","",'Training Plan'!$C64),"")</f>
        <v/>
      </c>
      <c r="BD63" s="17" t="str">
        <f>IFERROR(IF('Training Plan'!$A64="","",'Training Plan'!$D64),"")</f>
        <v/>
      </c>
      <c r="BE63" s="17" t="str">
        <f>IFERROR(IF('Training Plan'!$A64="","",'Training Plan'!$E64),"")</f>
        <v/>
      </c>
      <c r="BF63" s="17" t="str">
        <f>IFERROR(IF('Training Plan'!$A64="","",'Training Plan'!$F64),"")</f>
        <v/>
      </c>
      <c r="BG63" s="17" t="str">
        <f>IFERROR(IF('Training Plan'!$A64="","",'Training Plan'!$G64),"")</f>
        <v/>
      </c>
      <c r="BH63" s="17" t="str">
        <f>IFERROR(IF('Training Plan'!$A64="","",'Training Plan'!$H64),"")</f>
        <v/>
      </c>
      <c r="BI63" s="17" t="str">
        <f>IF(OR(BA63="",BF63="Complete",AND('Skill Management'!$D$4&lt;&gt;"All Departments",BB63&lt;&gt;'Skill Management'!$D$4)),"",IF(BF63="Blocked",100000,IF(BF63="In Progress",200000,300000))+IF(BE63="",99999,BE63))</f>
        <v/>
      </c>
      <c r="BJ63" s="17" t="str">
        <f>IF(BI63="","",COUNTIFS($BI$4:$BI$203,"&gt;0",$BI$4:$BI$203,"&lt;"&amp;BI63)+COUNTIF($BI$4:BI63,BI63))</f>
        <v/>
      </c>
      <c r="BT63" t="str">
        <f t="shared" si="16"/>
        <v>Kubernetes Operations</v>
      </c>
      <c r="BU63" t="str">
        <f t="shared" si="17"/>
        <v>Cloud &amp; Reliability</v>
      </c>
      <c r="BV63" t="str">
        <f>IF(BT63="","",IFERROR(INDEX('Skills Matrix'!$G$6:$DE$205,MATCH('Employee Transcript'!$C$4,'Skills Matrix'!$B$6:$B$205,0),MATCH(BT63,'Skills Matrix'!$G$5:$DE$5,0)),""))</f>
        <v/>
      </c>
      <c r="BW63" t="str">
        <f>IF(BT63="","",IFERROR(INDEX('Competency Event Log'!$E$4:$E$803,MATCH('Employee Transcript'!$C$4&amp;"|"&amp;BT63,'Competency Event Log'!$U$4:$U$803,0)),""))</f>
        <v/>
      </c>
      <c r="BX63" t="str">
        <f>IF(BT63="","",IF(BU63='Employee Transcript'!$B$7,"Home Department","Cross-Trained"))</f>
        <v>Cross-Trained</v>
      </c>
      <c r="BY63" t="str">
        <f t="shared" si="18"/>
        <v>Yes</v>
      </c>
      <c r="BZ63" t="str">
        <f>IF(BT63="","",IFERROR(INDEX('Competency Event Log'!$L$4:$L$803,MATCH('Employee Transcript'!$C$4&amp;"|"&amp;BT63,'Competency Event Log'!$U$4:$U$803,0)),""))</f>
        <v/>
      </c>
      <c r="CA63" t="str">
        <f>IF(N(BV63)&gt;0,COUNTIF($BV$4:BV63,"&gt;0"),"")</f>
        <v/>
      </c>
      <c r="CB63" t="str">
        <f>IF(AND('Competency Event Log'!$B63='Employee Transcript'!$C$4,'Competency Event Log'!$I63&lt;&gt;"Yes"),'Competency Event Log'!$K63,"")</f>
        <v/>
      </c>
      <c r="CC63" t="str">
        <f t="shared" si="9"/>
        <v/>
      </c>
      <c r="CD63" t="str">
        <f>IF(Certifications!$A63='Employee Transcript'!$C$4,63,"")</f>
        <v/>
      </c>
      <c r="CE63" t="str">
        <f>IF(CD63="","",COUNTIF($CD$4:CD63,"&gt;0"))</f>
        <v/>
      </c>
      <c r="CF63" t="str">
        <f>IF(AND('Training Plan'!$A64='Employee Transcript'!$C$4,'Training Plan'!$F64&lt;&gt;"Complete"),64,"")</f>
        <v/>
      </c>
      <c r="CG63" t="str">
        <f>IF(CF63="","",COUNTIF($CF$4:CF63,"&gt;0"))</f>
        <v/>
      </c>
    </row>
    <row r="64" spans="1:85">
      <c r="A64" s="2"/>
      <c r="B64" s="1"/>
      <c r="C64" s="1"/>
      <c r="D64" s="1"/>
      <c r="E64" s="1"/>
      <c r="F64" s="3"/>
      <c r="G64" s="1"/>
      <c r="H64" s="4"/>
      <c r="I64" s="1" t="s">
        <v>1070</v>
      </c>
      <c r="J64" s="1" t="s">
        <v>1068</v>
      </c>
      <c r="K64" s="1" t="s">
        <v>309</v>
      </c>
      <c r="L64" s="1" t="s">
        <v>27</v>
      </c>
      <c r="M64" s="1">
        <v>4</v>
      </c>
      <c r="N64" s="1" t="s">
        <v>27</v>
      </c>
      <c r="P64" s="1" t="s">
        <v>1068</v>
      </c>
      <c r="Q64" s="1" t="s">
        <v>309</v>
      </c>
      <c r="R64" s="1">
        <v>4</v>
      </c>
      <c r="S64" s="1">
        <f>COUNTIF('Skills Matrix'!$BO$6:$BO$205,3)</f>
        <v>1</v>
      </c>
      <c r="T64" s="1">
        <f t="shared" si="10"/>
        <v>3</v>
      </c>
      <c r="U64" s="1">
        <f>IF(AND(T64&gt;0,OR('HR Quick View'!$F$24="All Departments",Q64='HR Quick View'!$F$24)),COUNTIFS($T$4:$T$108,"&gt;"&amp;T64,$Q$4:$Q$108,IF('HR Quick View'!$F$24="All Departments","*",'HR Quick View'!$F$24))+COUNTIFS($T$4:T64,T64,$Q$4:Q64,IF('HR Quick View'!$F$24="All Departments","*",'HR Quick View'!$F$24)),"")</f>
        <v>31</v>
      </c>
      <c r="W64" s="1" t="s">
        <v>1068</v>
      </c>
      <c r="X64" s="1" t="s">
        <v>309</v>
      </c>
      <c r="Y64" s="1" t="s">
        <v>27</v>
      </c>
      <c r="Z64" s="1" t="str">
        <f>IF('HR Quick View'!$C$9="","",IF(COUNTIFS('Competency Event Log'!$B$4:$B$803,'HR Quick View'!$C$9,'Competency Event Log'!$C$4:$C$803,W64,'Competency Event Log'!$T$4:$T$803,"Current")=0,"",SUMIFS('Competency Event Log'!$D$4:$D$803,'Competency Event Log'!$B$4:$B$803,'HR Quick View'!$C$9,'Competency Event Log'!$C$4:$C$803,W64,'Competency Event Log'!$T$4:$T$803,"Current")))</f>
        <v/>
      </c>
      <c r="AA64" s="1" t="str">
        <f>IF($Z64="","",IF('HR Quick View'!$B$10="Qualified only",IF($Z64=3,COUNTIF($Z$4:$Z64,3),""),IF('HR Quick View'!$B$10="Developing only",IF(OR($Z64=1,$Z64=2),COUNTIF($Z$4:$Z$108,"&gt;"&amp;$Z64)+COUNTIF($Z$4:$Z64,$Z64)-COUNTIF($Z$4:$Z$108,3),""),IF('HR Quick View'!$B$10="All scored",COUNTIF($Z$4:$Z$108,"&gt;"&amp;$Z64)+COUNTIF($Z$4:$Z64,$Z64),""))))</f>
        <v/>
      </c>
      <c r="AB64" s="1" t="str">
        <f>""</f>
        <v/>
      </c>
      <c r="AC64" s="1">
        <f t="shared" si="11"/>
        <v>4</v>
      </c>
      <c r="AD64" s="1">
        <f t="shared" si="12"/>
        <v>1</v>
      </c>
      <c r="AE64" s="1">
        <f t="shared" si="13"/>
        <v>3</v>
      </c>
      <c r="AF64" s="1" t="str">
        <f>IFERROR(IF(Lists!$B64="","",Lists!$B64),"")</f>
        <v/>
      </c>
      <c r="AG64" s="1" t="str">
        <f>IFERROR(IF(Lists!$B64="","",Lists!$C64),"")</f>
        <v/>
      </c>
      <c r="AH64" s="1" t="str">
        <f>IFERROR(IF(Lists!$B64="","",Lists!$D64),"")</f>
        <v/>
      </c>
      <c r="AI64" s="1" t="str">
        <f>IF(AF64="","",IFERROR(INDEX('Skills Matrix'!$G$6:$DE$205,MATCH(AF64,'Skills Matrix'!$B$6:$B$205,0),MATCH('HR Quick View'!$J$9,'Skills Matrix'!$G$5:$DE$5,0)),""))</f>
        <v/>
      </c>
      <c r="AJ64" s="1" t="str">
        <f t="shared" si="14"/>
        <v/>
      </c>
      <c r="AK64" s="1" t="str">
        <f>IFERROR(IF(Lists!$B64="","",Lists!$E64),"")</f>
        <v/>
      </c>
      <c r="AL64" s="1" t="str">
        <f>IF(AND(OR('HR Quick View'!$L$10="All Shifts",AH64='HR Quick View'!$L$10),OR(AND('HR Quick View'!$I$10="Qualified only",AI64=3),AND('HR Quick View'!$I$10="All trained",AI64&gt;0))),IF('HR Quick View'!$L$10="All Shifts",COUNTIF($AI$4:$AI$203,"&gt;"&amp;AI64)+COUNTIF($AI$4:AI64,AI64),COUNTIFS($AI$4:$AI$203,"&gt;"&amp;AI64,$AH$4:$AH$203,'HR Quick View'!$L$10)+COUNTIFS($AI$4:AI64,AI64,$AH$4:AH64,'HR Quick View'!$L$10)),"")</f>
        <v/>
      </c>
      <c r="AP64" s="17" t="str">
        <f>IFERROR(IF(Lists!$J64="","",Lists!$J64),"")</f>
        <v>Cloud Cost Monitoring</v>
      </c>
      <c r="AQ64" s="17" t="str">
        <f>IFERROR(IF(Lists!$J64="","",Lists!$K64),"")</f>
        <v>Cloud &amp; Reliability</v>
      </c>
      <c r="AR64" s="17" t="str">
        <f>IFERROR(IF(Lists!$J64="","",Lists!$L64),"")</f>
        <v>Yes</v>
      </c>
      <c r="AS64" s="17">
        <f>IFERROR(IF(Lists!$J64="","",Lists!$M64),0)</f>
        <v>4</v>
      </c>
      <c r="AT64" s="17">
        <f>IF(AP64="","",COUNTIF('Skills Matrix'!$BO$6:$BO$205,3))</f>
        <v>1</v>
      </c>
      <c r="AU64" s="17">
        <f>IF(AP64="","",COUNTIF('Skills Matrix'!$BO$6:$BO$205,2))</f>
        <v>1</v>
      </c>
      <c r="AV64" s="17">
        <f t="shared" si="15"/>
        <v>3</v>
      </c>
      <c r="AW64" s="17">
        <f>IF(OR(AP64="",AS64&lt;=0,AV64&lt;=0,AND('Skill Management'!$D$4&lt;&gt;"All Departments",AQ64&lt;&gt;'Skill Management'!$D$4)),"",IF(AT64=0,100000,0)+IF(AR64="Yes",10000,0)+AV64*100+AU64)</f>
        <v>10301</v>
      </c>
      <c r="AX64" s="17">
        <f>IF(AW64="","",COUNTIF($AW$4:$AW$106,"&gt;"&amp;AW64)+COUNTIF($AW$4:AW64,AW64))</f>
        <v>41</v>
      </c>
      <c r="AY64" s="17" t="str">
        <f>IFERROR(IF(Lists!$J64="","",Lists!$N64),"")</f>
        <v>Yes</v>
      </c>
      <c r="BA64" s="17" t="str">
        <f>IFERROR(IF('Training Plan'!$A65="","",'Training Plan'!$A65),"")</f>
        <v/>
      </c>
      <c r="BB64" s="17" t="str">
        <f>IFERROR(IF('Training Plan'!$A65="","",'Training Plan'!$B65),"")</f>
        <v/>
      </c>
      <c r="BC64" s="17" t="str">
        <f>IFERROR(IF('Training Plan'!$A65="","",'Training Plan'!$C65),"")</f>
        <v/>
      </c>
      <c r="BD64" s="17" t="str">
        <f>IFERROR(IF('Training Plan'!$A65="","",'Training Plan'!$D65),"")</f>
        <v/>
      </c>
      <c r="BE64" s="17" t="str">
        <f>IFERROR(IF('Training Plan'!$A65="","",'Training Plan'!$E65),"")</f>
        <v/>
      </c>
      <c r="BF64" s="17" t="str">
        <f>IFERROR(IF('Training Plan'!$A65="","",'Training Plan'!$F65),"")</f>
        <v/>
      </c>
      <c r="BG64" s="17" t="str">
        <f>IFERROR(IF('Training Plan'!$A65="","",'Training Plan'!$G65),"")</f>
        <v/>
      </c>
      <c r="BH64" s="17" t="str">
        <f>IFERROR(IF('Training Plan'!$A65="","",'Training Plan'!$H65),"")</f>
        <v/>
      </c>
      <c r="BI64" s="17" t="str">
        <f>IF(OR(BA64="",BF64="Complete",AND('Skill Management'!$D$4&lt;&gt;"All Departments",BB64&lt;&gt;'Skill Management'!$D$4)),"",IF(BF64="Blocked",100000,IF(BF64="In Progress",200000,300000))+IF(BE64="",99999,BE64))</f>
        <v/>
      </c>
      <c r="BJ64" s="17" t="str">
        <f>IF(BI64="","",COUNTIFS($BI$4:$BI$203,"&gt;0",$BI$4:$BI$203,"&lt;"&amp;BI64)+COUNTIF($BI$4:BI64,BI64))</f>
        <v/>
      </c>
      <c r="BT64" t="str">
        <f t="shared" si="16"/>
        <v>Cloud Cost Monitoring</v>
      </c>
      <c r="BU64" t="str">
        <f t="shared" si="17"/>
        <v>Cloud &amp; Reliability</v>
      </c>
      <c r="BV64" t="str">
        <f>IF(BT64="","",IFERROR(INDEX('Skills Matrix'!$G$6:$DE$205,MATCH('Employee Transcript'!$C$4,'Skills Matrix'!$B$6:$B$205,0),MATCH(BT64,'Skills Matrix'!$G$5:$DE$5,0)),""))</f>
        <v/>
      </c>
      <c r="BW64" t="str">
        <f>IF(BT64="","",IFERROR(INDEX('Competency Event Log'!$E$4:$E$803,MATCH('Employee Transcript'!$C$4&amp;"|"&amp;BT64,'Competency Event Log'!$U$4:$U$803,0)),""))</f>
        <v/>
      </c>
      <c r="BX64" t="str">
        <f>IF(BT64="","",IF(BU64='Employee Transcript'!$B$7,"Home Department","Cross-Trained"))</f>
        <v>Cross-Trained</v>
      </c>
      <c r="BY64" t="str">
        <f t="shared" si="18"/>
        <v>Yes</v>
      </c>
      <c r="BZ64" t="str">
        <f>IF(BT64="","",IFERROR(INDEX('Competency Event Log'!$L$4:$L$803,MATCH('Employee Transcript'!$C$4&amp;"|"&amp;BT64,'Competency Event Log'!$U$4:$U$803,0)),""))</f>
        <v/>
      </c>
      <c r="CA64" t="str">
        <f>IF(N(BV64)&gt;0,COUNTIF($BV$4:BV64,"&gt;0"),"")</f>
        <v/>
      </c>
      <c r="CB64" t="str">
        <f>IF(AND('Competency Event Log'!$B64='Employee Transcript'!$C$4,'Competency Event Log'!$I64&lt;&gt;"Yes"),'Competency Event Log'!$K64,"")</f>
        <v/>
      </c>
      <c r="CC64" t="str">
        <f t="shared" si="9"/>
        <v/>
      </c>
      <c r="CD64" t="str">
        <f>IF(Certifications!$A64='Employee Transcript'!$C$4,64,"")</f>
        <v/>
      </c>
      <c r="CE64" t="str">
        <f>IF(CD64="","",COUNTIF($CD$4:CD64,"&gt;0"))</f>
        <v/>
      </c>
      <c r="CF64" t="str">
        <f>IF(AND('Training Plan'!$A65='Employee Transcript'!$C$4,'Training Plan'!$F65&lt;&gt;"Complete"),65,"")</f>
        <v/>
      </c>
      <c r="CG64" t="str">
        <f>IF(CF64="","",COUNTIF($CF$4:CF64,"&gt;0"))</f>
        <v/>
      </c>
    </row>
    <row r="65" spans="1:85">
      <c r="A65" s="2"/>
      <c r="B65" s="1"/>
      <c r="C65" s="1"/>
      <c r="D65" s="1"/>
      <c r="E65" s="1"/>
      <c r="F65" s="3"/>
      <c r="G65" s="1"/>
      <c r="H65" s="4"/>
      <c r="I65" s="1" t="s">
        <v>779</v>
      </c>
      <c r="J65" s="1" t="s">
        <v>777</v>
      </c>
      <c r="K65" s="1" t="s">
        <v>309</v>
      </c>
      <c r="L65" s="1" t="s">
        <v>27</v>
      </c>
      <c r="M65" s="1">
        <v>4</v>
      </c>
      <c r="N65" s="1" t="s">
        <v>27</v>
      </c>
      <c r="P65" s="1" t="s">
        <v>777</v>
      </c>
      <c r="Q65" s="1" t="s">
        <v>309</v>
      </c>
      <c r="R65" s="1">
        <v>4</v>
      </c>
      <c r="S65" s="1">
        <f>COUNTIF('Skills Matrix'!$BP$6:$BP$205,3)</f>
        <v>0</v>
      </c>
      <c r="T65" s="1">
        <f t="shared" si="10"/>
        <v>4</v>
      </c>
      <c r="U65" s="1">
        <f>IF(AND(T65&gt;0,OR('HR Quick View'!$F$24="All Departments",Q65='HR Quick View'!$F$24)),COUNTIFS($T$4:$T$108,"&gt;"&amp;T65,$Q$4:$Q$108,IF('HR Quick View'!$F$24="All Departments","*",'HR Quick View'!$F$24))+COUNTIFS($T$4:T65,T65,$Q$4:Q65,IF('HR Quick View'!$F$24="All Departments","*",'HR Quick View'!$F$24)),"")</f>
        <v>17</v>
      </c>
      <c r="W65" s="1" t="s">
        <v>777</v>
      </c>
      <c r="X65" s="1" t="s">
        <v>309</v>
      </c>
      <c r="Y65" s="1" t="s">
        <v>27</v>
      </c>
      <c r="Z65" s="1" t="str">
        <f>IF('HR Quick View'!$C$9="","",IF(COUNTIFS('Competency Event Log'!$B$4:$B$803,'HR Quick View'!$C$9,'Competency Event Log'!$C$4:$C$803,W65,'Competency Event Log'!$T$4:$T$803,"Current")=0,"",SUMIFS('Competency Event Log'!$D$4:$D$803,'Competency Event Log'!$B$4:$B$803,'HR Quick View'!$C$9,'Competency Event Log'!$C$4:$C$803,W65,'Competency Event Log'!$T$4:$T$803,"Current")))</f>
        <v/>
      </c>
      <c r="AA65" s="1" t="str">
        <f>IF($Z65="","",IF('HR Quick View'!$B$10="Qualified only",IF($Z65=3,COUNTIF($Z$4:$Z65,3),""),IF('HR Quick View'!$B$10="Developing only",IF(OR($Z65=1,$Z65=2),COUNTIF($Z$4:$Z$108,"&gt;"&amp;$Z65)+COUNTIF($Z$4:$Z65,$Z65)-COUNTIF($Z$4:$Z$108,3),""),IF('HR Quick View'!$B$10="All scored",COUNTIF($Z$4:$Z$108,"&gt;"&amp;$Z65)+COUNTIF($Z$4:$Z65,$Z65),""))))</f>
        <v/>
      </c>
      <c r="AB65" s="1" t="str">
        <f>""</f>
        <v/>
      </c>
      <c r="AC65" s="1">
        <f t="shared" si="11"/>
        <v>4</v>
      </c>
      <c r="AD65" s="1">
        <f t="shared" si="12"/>
        <v>0</v>
      </c>
      <c r="AE65" s="1">
        <f t="shared" si="13"/>
        <v>4</v>
      </c>
      <c r="AF65" s="1" t="str">
        <f>IFERROR(IF(Lists!$B65="","",Lists!$B65),"")</f>
        <v/>
      </c>
      <c r="AG65" s="1" t="str">
        <f>IFERROR(IF(Lists!$B65="","",Lists!$C65),"")</f>
        <v/>
      </c>
      <c r="AH65" s="1" t="str">
        <f>IFERROR(IF(Lists!$B65="","",Lists!$D65),"")</f>
        <v/>
      </c>
      <c r="AI65" s="1" t="str">
        <f>IF(AF65="","",IFERROR(INDEX('Skills Matrix'!$G$6:$DE$205,MATCH(AF65,'Skills Matrix'!$B$6:$B$205,0),MATCH('HR Quick View'!$J$9,'Skills Matrix'!$G$5:$DE$5,0)),""))</f>
        <v/>
      </c>
      <c r="AJ65" s="1" t="str">
        <f t="shared" si="14"/>
        <v/>
      </c>
      <c r="AK65" s="1" t="str">
        <f>IFERROR(IF(Lists!$B65="","",Lists!$E65),"")</f>
        <v/>
      </c>
      <c r="AL65" s="1" t="str">
        <f>IF(AND(OR('HR Quick View'!$L$10="All Shifts",AH65='HR Quick View'!$L$10),OR(AND('HR Quick View'!$I$10="Qualified only",AI65=3),AND('HR Quick View'!$I$10="All trained",AI65&gt;0))),IF('HR Quick View'!$L$10="All Shifts",COUNTIF($AI$4:$AI$203,"&gt;"&amp;AI65)+COUNTIF($AI$4:AI65,AI65),COUNTIFS($AI$4:$AI$203,"&gt;"&amp;AI65,$AH$4:$AH$203,'HR Quick View'!$L$10)+COUNTIFS($AI$4:AI65,AI65,$AH$4:AH65,'HR Quick View'!$L$10)),"")</f>
        <v/>
      </c>
      <c r="AP65" s="17" t="str">
        <f>IFERROR(IF(Lists!$J65="","",Lists!$J65),"")</f>
        <v>Disaster Recovery</v>
      </c>
      <c r="AQ65" s="17" t="str">
        <f>IFERROR(IF(Lists!$J65="","",Lists!$K65),"")</f>
        <v>Cloud &amp; Reliability</v>
      </c>
      <c r="AR65" s="17" t="str">
        <f>IFERROR(IF(Lists!$J65="","",Lists!$L65),"")</f>
        <v>Yes</v>
      </c>
      <c r="AS65" s="17">
        <f>IFERROR(IF(Lists!$J65="","",Lists!$M65),0)</f>
        <v>4</v>
      </c>
      <c r="AT65" s="17">
        <f>IF(AP65="","",COUNTIF('Skills Matrix'!$BP$6:$BP$205,3))</f>
        <v>0</v>
      </c>
      <c r="AU65" s="17">
        <f>IF(AP65="","",COUNTIF('Skills Matrix'!$BP$6:$BP$205,2))</f>
        <v>3</v>
      </c>
      <c r="AV65" s="17">
        <f t="shared" si="15"/>
        <v>4</v>
      </c>
      <c r="AW65" s="17">
        <f>IF(OR(AP65="",AS65&lt;=0,AV65&lt;=0,AND('Skill Management'!$D$4&lt;&gt;"All Departments",AQ65&lt;&gt;'Skill Management'!$D$4)),"",IF(AT65=0,100000,0)+IF(AR65="Yes",10000,0)+AV65*100+AU65)</f>
        <v>110403</v>
      </c>
      <c r="AX65" s="17">
        <f>IF(AW65="","",COUNTIF($AW$4:$AW$106,"&gt;"&amp;AW65)+COUNTIF($AW$4:AW65,AW65))</f>
        <v>1</v>
      </c>
      <c r="AY65" s="17" t="str">
        <f>IFERROR(IF(Lists!$J65="","",Lists!$N65),"")</f>
        <v>Yes</v>
      </c>
      <c r="BA65" s="17" t="str">
        <f>IFERROR(IF('Training Plan'!$A66="","",'Training Plan'!$A66),"")</f>
        <v/>
      </c>
      <c r="BB65" s="17" t="str">
        <f>IFERROR(IF('Training Plan'!$A66="","",'Training Plan'!$B66),"")</f>
        <v/>
      </c>
      <c r="BC65" s="17" t="str">
        <f>IFERROR(IF('Training Plan'!$A66="","",'Training Plan'!$C66),"")</f>
        <v/>
      </c>
      <c r="BD65" s="17" t="str">
        <f>IFERROR(IF('Training Plan'!$A66="","",'Training Plan'!$D66),"")</f>
        <v/>
      </c>
      <c r="BE65" s="17" t="str">
        <f>IFERROR(IF('Training Plan'!$A66="","",'Training Plan'!$E66),"")</f>
        <v/>
      </c>
      <c r="BF65" s="17" t="str">
        <f>IFERROR(IF('Training Plan'!$A66="","",'Training Plan'!$F66),"")</f>
        <v/>
      </c>
      <c r="BG65" s="17" t="str">
        <f>IFERROR(IF('Training Plan'!$A66="","",'Training Plan'!$G66),"")</f>
        <v/>
      </c>
      <c r="BH65" s="17" t="str">
        <f>IFERROR(IF('Training Plan'!$A66="","",'Training Plan'!$H66),"")</f>
        <v/>
      </c>
      <c r="BI65" s="17" t="str">
        <f>IF(OR(BA65="",BF65="Complete",AND('Skill Management'!$D$4&lt;&gt;"All Departments",BB65&lt;&gt;'Skill Management'!$D$4)),"",IF(BF65="Blocked",100000,IF(BF65="In Progress",200000,300000))+IF(BE65="",99999,BE65))</f>
        <v/>
      </c>
      <c r="BJ65" s="17" t="str">
        <f>IF(BI65="","",COUNTIFS($BI$4:$BI$203,"&gt;0",$BI$4:$BI$203,"&lt;"&amp;BI65)+COUNTIF($BI$4:BI65,BI65))</f>
        <v/>
      </c>
      <c r="BT65" t="str">
        <f t="shared" si="16"/>
        <v>Disaster Recovery</v>
      </c>
      <c r="BU65" t="str">
        <f t="shared" si="17"/>
        <v>Cloud &amp; Reliability</v>
      </c>
      <c r="BV65" t="str">
        <f>IF(BT65="","",IFERROR(INDEX('Skills Matrix'!$G$6:$DE$205,MATCH('Employee Transcript'!$C$4,'Skills Matrix'!$B$6:$B$205,0),MATCH(BT65,'Skills Matrix'!$G$5:$DE$5,0)),""))</f>
        <v/>
      </c>
      <c r="BW65" t="str">
        <f>IF(BT65="","",IFERROR(INDEX('Competency Event Log'!$E$4:$E$803,MATCH('Employee Transcript'!$C$4&amp;"|"&amp;BT65,'Competency Event Log'!$U$4:$U$803,0)),""))</f>
        <v/>
      </c>
      <c r="BX65" t="str">
        <f>IF(BT65="","",IF(BU65='Employee Transcript'!$B$7,"Home Department","Cross-Trained"))</f>
        <v>Cross-Trained</v>
      </c>
      <c r="BY65" t="str">
        <f t="shared" si="18"/>
        <v>Yes</v>
      </c>
      <c r="BZ65" t="str">
        <f>IF(BT65="","",IFERROR(INDEX('Competency Event Log'!$L$4:$L$803,MATCH('Employee Transcript'!$C$4&amp;"|"&amp;BT65,'Competency Event Log'!$U$4:$U$803,0)),""))</f>
        <v/>
      </c>
      <c r="CA65" t="str">
        <f>IF(N(BV65)&gt;0,COUNTIF($BV$4:BV65,"&gt;0"),"")</f>
        <v/>
      </c>
      <c r="CB65" t="str">
        <f>IF(AND('Competency Event Log'!$B65='Employee Transcript'!$C$4,'Competency Event Log'!$I65&lt;&gt;"Yes"),'Competency Event Log'!$K65,"")</f>
        <v/>
      </c>
      <c r="CC65" t="str">
        <f t="shared" si="9"/>
        <v/>
      </c>
      <c r="CD65" t="str">
        <f>IF(Certifications!$A65='Employee Transcript'!$C$4,65,"")</f>
        <v/>
      </c>
      <c r="CE65" t="str">
        <f>IF(CD65="","",COUNTIF($CD$4:CD65,"&gt;0"))</f>
        <v/>
      </c>
      <c r="CF65" t="str">
        <f>IF(AND('Training Plan'!$A66='Employee Transcript'!$C$4,'Training Plan'!$F66&lt;&gt;"Complete"),66,"")</f>
        <v/>
      </c>
      <c r="CG65" t="str">
        <f>IF(CF65="","",COUNTIF($CF$4:CF65,"&gt;0"))</f>
        <v/>
      </c>
    </row>
    <row r="66" spans="1:85">
      <c r="A66" s="2"/>
      <c r="B66" s="1"/>
      <c r="C66" s="1"/>
      <c r="D66" s="1"/>
      <c r="E66" s="1"/>
      <c r="F66" s="3"/>
      <c r="G66" s="1"/>
      <c r="H66" s="4"/>
      <c r="I66" s="1" t="s">
        <v>529</v>
      </c>
      <c r="J66" s="1" t="s">
        <v>527</v>
      </c>
      <c r="K66" s="1" t="s">
        <v>309</v>
      </c>
      <c r="L66" s="1" t="s">
        <v>27</v>
      </c>
      <c r="M66" s="1">
        <v>4</v>
      </c>
      <c r="N66" s="1" t="s">
        <v>27</v>
      </c>
      <c r="P66" s="1" t="s">
        <v>527</v>
      </c>
      <c r="Q66" s="1" t="s">
        <v>309</v>
      </c>
      <c r="R66" s="1">
        <v>4</v>
      </c>
      <c r="S66" s="1">
        <f>COUNTIF('Skills Matrix'!$BQ$6:$BQ$205,3)</f>
        <v>1</v>
      </c>
      <c r="T66" s="1">
        <f t="shared" si="10"/>
        <v>3</v>
      </c>
      <c r="U66" s="1">
        <f>IF(AND(T66&gt;0,OR('HR Quick View'!$F$24="All Departments",Q66='HR Quick View'!$F$24)),COUNTIFS($T$4:$T$108,"&gt;"&amp;T66,$Q$4:$Q$108,IF('HR Quick View'!$F$24="All Departments","*",'HR Quick View'!$F$24))+COUNTIFS($T$4:T66,T66,$Q$4:Q66,IF('HR Quick View'!$F$24="All Departments","*",'HR Quick View'!$F$24)),"")</f>
        <v>32</v>
      </c>
      <c r="W66" s="1" t="s">
        <v>527</v>
      </c>
      <c r="X66" s="1" t="s">
        <v>309</v>
      </c>
      <c r="Y66" s="1" t="s">
        <v>27</v>
      </c>
      <c r="Z66" s="1" t="str">
        <f>IF('HR Quick View'!$C$9="","",IF(COUNTIFS('Competency Event Log'!$B$4:$B$803,'HR Quick View'!$C$9,'Competency Event Log'!$C$4:$C$803,W66,'Competency Event Log'!$T$4:$T$803,"Current")=0,"",SUMIFS('Competency Event Log'!$D$4:$D$803,'Competency Event Log'!$B$4:$B$803,'HR Quick View'!$C$9,'Competency Event Log'!$C$4:$C$803,W66,'Competency Event Log'!$T$4:$T$803,"Current")))</f>
        <v/>
      </c>
      <c r="AA66" s="1" t="str">
        <f>IF($Z66="","",IF('HR Quick View'!$B$10="Qualified only",IF($Z66=3,COUNTIF($Z$4:$Z66,3),""),IF('HR Quick View'!$B$10="Developing only",IF(OR($Z66=1,$Z66=2),COUNTIF($Z$4:$Z$108,"&gt;"&amp;$Z66)+COUNTIF($Z$4:$Z66,$Z66)-COUNTIF($Z$4:$Z$108,3),""),IF('HR Quick View'!$B$10="All scored",COUNTIF($Z$4:$Z$108,"&gt;"&amp;$Z66)+COUNTIF($Z$4:$Z66,$Z66),""))))</f>
        <v/>
      </c>
      <c r="AB66" s="1" t="str">
        <f>""</f>
        <v/>
      </c>
      <c r="AC66" s="1">
        <f t="shared" si="11"/>
        <v>4</v>
      </c>
      <c r="AD66" s="1">
        <f t="shared" si="12"/>
        <v>1</v>
      </c>
      <c r="AE66" s="1">
        <f t="shared" si="13"/>
        <v>3</v>
      </c>
      <c r="AF66" s="1" t="str">
        <f>IFERROR(IF(Lists!$B66="","",Lists!$B66),"")</f>
        <v/>
      </c>
      <c r="AG66" s="1" t="str">
        <f>IFERROR(IF(Lists!$B66="","",Lists!$C66),"")</f>
        <v/>
      </c>
      <c r="AH66" s="1" t="str">
        <f>IFERROR(IF(Lists!$B66="","",Lists!$D66),"")</f>
        <v/>
      </c>
      <c r="AI66" s="1" t="str">
        <f>IF(AF66="","",IFERROR(INDEX('Skills Matrix'!$G$6:$DE$205,MATCH(AF66,'Skills Matrix'!$B$6:$B$205,0),MATCH('HR Quick View'!$J$9,'Skills Matrix'!$G$5:$DE$5,0)),""))</f>
        <v/>
      </c>
      <c r="AJ66" s="1" t="str">
        <f t="shared" si="14"/>
        <v/>
      </c>
      <c r="AK66" s="1" t="str">
        <f>IFERROR(IF(Lists!$B66="","",Lists!$E66),"")</f>
        <v/>
      </c>
      <c r="AL66" s="1" t="str">
        <f>IF(AND(OR('HR Quick View'!$L$10="All Shifts",AH66='HR Quick View'!$L$10),OR(AND('HR Quick View'!$I$10="Qualified only",AI66=3),AND('HR Quick View'!$I$10="All trained",AI66&gt;0))),IF('HR Quick View'!$L$10="All Shifts",COUNTIF($AI$4:$AI$203,"&gt;"&amp;AI66)+COUNTIF($AI$4:AI66,AI66),COUNTIFS($AI$4:$AI$203,"&gt;"&amp;AI66,$AH$4:$AH$203,'HR Quick View'!$L$10)+COUNTIFS($AI$4:AI66,AI66,$AH$4:AH66,'HR Quick View'!$L$10)),"")</f>
        <v/>
      </c>
      <c r="AP66" s="17" t="str">
        <f>IFERROR(IF(Lists!$J66="","",Lists!$J66),"")</f>
        <v>Load Balancing</v>
      </c>
      <c r="AQ66" s="17" t="str">
        <f>IFERROR(IF(Lists!$J66="","",Lists!$K66),"")</f>
        <v>Cloud &amp; Reliability</v>
      </c>
      <c r="AR66" s="17" t="str">
        <f>IFERROR(IF(Lists!$J66="","",Lists!$L66),"")</f>
        <v>Yes</v>
      </c>
      <c r="AS66" s="17">
        <f>IFERROR(IF(Lists!$J66="","",Lists!$M66),0)</f>
        <v>4</v>
      </c>
      <c r="AT66" s="17">
        <f>IF(AP66="","",COUNTIF('Skills Matrix'!$BQ$6:$BQ$205,3))</f>
        <v>1</v>
      </c>
      <c r="AU66" s="17">
        <f>IF(AP66="","",COUNTIF('Skills Matrix'!$BQ$6:$BQ$205,2))</f>
        <v>2</v>
      </c>
      <c r="AV66" s="17">
        <f t="shared" si="15"/>
        <v>3</v>
      </c>
      <c r="AW66" s="17">
        <f>IF(OR(AP66="",AS66&lt;=0,AV66&lt;=0,AND('Skill Management'!$D$4&lt;&gt;"All Departments",AQ66&lt;&gt;'Skill Management'!$D$4)),"",IF(AT66=0,100000,0)+IF(AR66="Yes",10000,0)+AV66*100+AU66)</f>
        <v>10302</v>
      </c>
      <c r="AX66" s="17">
        <f>IF(AW66="","",COUNTIF($AW$4:$AW$106,"&gt;"&amp;AW66)+COUNTIF($AW$4:AW66,AW66))</f>
        <v>33</v>
      </c>
      <c r="AY66" s="17" t="str">
        <f>IFERROR(IF(Lists!$J66="","",Lists!$N66),"")</f>
        <v>Yes</v>
      </c>
      <c r="BA66" s="17" t="str">
        <f>IFERROR(IF('Training Plan'!$A67="","",'Training Plan'!$A67),"")</f>
        <v/>
      </c>
      <c r="BB66" s="17" t="str">
        <f>IFERROR(IF('Training Plan'!$A67="","",'Training Plan'!$B67),"")</f>
        <v/>
      </c>
      <c r="BC66" s="17" t="str">
        <f>IFERROR(IF('Training Plan'!$A67="","",'Training Plan'!$C67),"")</f>
        <v/>
      </c>
      <c r="BD66" s="17" t="str">
        <f>IFERROR(IF('Training Plan'!$A67="","",'Training Plan'!$D67),"")</f>
        <v/>
      </c>
      <c r="BE66" s="17" t="str">
        <f>IFERROR(IF('Training Plan'!$A67="","",'Training Plan'!$E67),"")</f>
        <v/>
      </c>
      <c r="BF66" s="17" t="str">
        <f>IFERROR(IF('Training Plan'!$A67="","",'Training Plan'!$F67),"")</f>
        <v/>
      </c>
      <c r="BG66" s="17" t="str">
        <f>IFERROR(IF('Training Plan'!$A67="","",'Training Plan'!$G67),"")</f>
        <v/>
      </c>
      <c r="BH66" s="17" t="str">
        <f>IFERROR(IF('Training Plan'!$A67="","",'Training Plan'!$H67),"")</f>
        <v/>
      </c>
      <c r="BI66" s="17" t="str">
        <f>IF(OR(BA66="",BF66="Complete",AND('Skill Management'!$D$4&lt;&gt;"All Departments",BB66&lt;&gt;'Skill Management'!$D$4)),"",IF(BF66="Blocked",100000,IF(BF66="In Progress",200000,300000))+IF(BE66="",99999,BE66))</f>
        <v/>
      </c>
      <c r="BJ66" s="17" t="str">
        <f>IF(BI66="","",COUNTIFS($BI$4:$BI$203,"&gt;0",$BI$4:$BI$203,"&lt;"&amp;BI66)+COUNTIF($BI$4:BI66,BI66))</f>
        <v/>
      </c>
      <c r="BT66" t="str">
        <f t="shared" si="16"/>
        <v>Load Balancing</v>
      </c>
      <c r="BU66" t="str">
        <f t="shared" si="17"/>
        <v>Cloud &amp; Reliability</v>
      </c>
      <c r="BV66" t="str">
        <f>IF(BT66="","",IFERROR(INDEX('Skills Matrix'!$G$6:$DE$205,MATCH('Employee Transcript'!$C$4,'Skills Matrix'!$B$6:$B$205,0),MATCH(BT66,'Skills Matrix'!$G$5:$DE$5,0)),""))</f>
        <v/>
      </c>
      <c r="BW66" t="str">
        <f>IF(BT66="","",IFERROR(INDEX('Competency Event Log'!$E$4:$E$803,MATCH('Employee Transcript'!$C$4&amp;"|"&amp;BT66,'Competency Event Log'!$U$4:$U$803,0)),""))</f>
        <v/>
      </c>
      <c r="BX66" t="str">
        <f>IF(BT66="","",IF(BU66='Employee Transcript'!$B$7,"Home Department","Cross-Trained"))</f>
        <v>Cross-Trained</v>
      </c>
      <c r="BY66" t="str">
        <f t="shared" si="18"/>
        <v>Yes</v>
      </c>
      <c r="BZ66" t="str">
        <f>IF(BT66="","",IFERROR(INDEX('Competency Event Log'!$L$4:$L$803,MATCH('Employee Transcript'!$C$4&amp;"|"&amp;BT66,'Competency Event Log'!$U$4:$U$803,0)),""))</f>
        <v/>
      </c>
      <c r="CA66" t="str">
        <f>IF(N(BV66)&gt;0,COUNTIF($BV$4:BV66,"&gt;0"),"")</f>
        <v/>
      </c>
      <c r="CB66" t="str">
        <f>IF(AND('Competency Event Log'!$B66='Employee Transcript'!$C$4,'Competency Event Log'!$I66&lt;&gt;"Yes"),'Competency Event Log'!$K66,"")</f>
        <v/>
      </c>
      <c r="CC66" t="str">
        <f t="shared" si="9"/>
        <v/>
      </c>
      <c r="CD66" t="str">
        <f>IF(Certifications!$A66='Employee Transcript'!$C$4,66,"")</f>
        <v/>
      </c>
      <c r="CE66" t="str">
        <f>IF(CD66="","",COUNTIF($CD$4:CD66,"&gt;0"))</f>
        <v/>
      </c>
      <c r="CF66" t="str">
        <f>IF(AND('Training Plan'!$A67='Employee Transcript'!$C$4,'Training Plan'!$F67&lt;&gt;"Complete"),67,"")</f>
        <v/>
      </c>
      <c r="CG66" t="str">
        <f>IF(CF66="","",COUNTIF($CF$4:CF66,"&gt;0"))</f>
        <v/>
      </c>
    </row>
    <row r="67" spans="1:85">
      <c r="A67" s="2"/>
      <c r="B67" s="1"/>
      <c r="C67" s="1"/>
      <c r="D67" s="1"/>
      <c r="E67" s="1"/>
      <c r="F67" s="3"/>
      <c r="G67" s="1"/>
      <c r="H67" s="4"/>
      <c r="I67" s="1" t="s">
        <v>1029</v>
      </c>
      <c r="J67" s="1" t="s">
        <v>1027</v>
      </c>
      <c r="K67" s="1" t="s">
        <v>309</v>
      </c>
      <c r="L67" s="1" t="s">
        <v>27</v>
      </c>
      <c r="M67" s="1">
        <v>4</v>
      </c>
      <c r="N67" s="1" t="s">
        <v>27</v>
      </c>
      <c r="P67" s="1" t="s">
        <v>1027</v>
      </c>
      <c r="Q67" s="1" t="s">
        <v>309</v>
      </c>
      <c r="R67" s="1">
        <v>4</v>
      </c>
      <c r="S67" s="1">
        <f>COUNTIF('Skills Matrix'!$BR$6:$BR$205,3)</f>
        <v>4</v>
      </c>
      <c r="T67" s="1">
        <f t="shared" si="10"/>
        <v>0</v>
      </c>
      <c r="U67" s="1" t="str">
        <f>IF(AND(T67&gt;0,OR('HR Quick View'!$F$24="All Departments",Q67='HR Quick View'!$F$24)),COUNTIFS($T$4:$T$108,"&gt;"&amp;T67,$Q$4:$Q$108,IF('HR Quick View'!$F$24="All Departments","*",'HR Quick View'!$F$24))+COUNTIFS($T$4:T67,T67,$Q$4:Q67,IF('HR Quick View'!$F$24="All Departments","*",'HR Quick View'!$F$24)),"")</f>
        <v/>
      </c>
      <c r="W67" s="1" t="s">
        <v>1027</v>
      </c>
      <c r="X67" s="1" t="s">
        <v>309</v>
      </c>
      <c r="Y67" s="1" t="s">
        <v>27</v>
      </c>
      <c r="Z67" s="1" t="str">
        <f>IF('HR Quick View'!$C$9="","",IF(COUNTIFS('Competency Event Log'!$B$4:$B$803,'HR Quick View'!$C$9,'Competency Event Log'!$C$4:$C$803,W67,'Competency Event Log'!$T$4:$T$803,"Current")=0,"",SUMIFS('Competency Event Log'!$D$4:$D$803,'Competency Event Log'!$B$4:$B$803,'HR Quick View'!$C$9,'Competency Event Log'!$C$4:$C$803,W67,'Competency Event Log'!$T$4:$T$803,"Current")))</f>
        <v/>
      </c>
      <c r="AA67" s="1" t="str">
        <f>IF($Z67="","",IF('HR Quick View'!$B$10="Qualified only",IF($Z67=3,COUNTIF($Z$4:$Z67,3),""),IF('HR Quick View'!$B$10="Developing only",IF(OR($Z67=1,$Z67=2),COUNTIF($Z$4:$Z$108,"&gt;"&amp;$Z67)+COUNTIF($Z$4:$Z67,$Z67)-COUNTIF($Z$4:$Z$108,3),""),IF('HR Quick View'!$B$10="All scored",COUNTIF($Z$4:$Z$108,"&gt;"&amp;$Z67)+COUNTIF($Z$4:$Z67,$Z67),""))))</f>
        <v/>
      </c>
      <c r="AB67" s="1" t="str">
        <f>""</f>
        <v/>
      </c>
      <c r="AC67" s="1">
        <f t="shared" si="11"/>
        <v>4</v>
      </c>
      <c r="AD67" s="1">
        <f t="shared" si="12"/>
        <v>4</v>
      </c>
      <c r="AE67" s="1">
        <f t="shared" si="13"/>
        <v>0</v>
      </c>
      <c r="AF67" s="1" t="str">
        <f>IFERROR(IF(Lists!$B67="","",Lists!$B67),"")</f>
        <v/>
      </c>
      <c r="AG67" s="1" t="str">
        <f>IFERROR(IF(Lists!$B67="","",Lists!$C67),"")</f>
        <v/>
      </c>
      <c r="AH67" s="1" t="str">
        <f>IFERROR(IF(Lists!$B67="","",Lists!$D67),"")</f>
        <v/>
      </c>
      <c r="AI67" s="1" t="str">
        <f>IF(AF67="","",IFERROR(INDEX('Skills Matrix'!$G$6:$DE$205,MATCH(AF67,'Skills Matrix'!$B$6:$B$205,0),MATCH('HR Quick View'!$J$9,'Skills Matrix'!$G$5:$DE$5,0)),""))</f>
        <v/>
      </c>
      <c r="AJ67" s="1" t="str">
        <f t="shared" si="14"/>
        <v/>
      </c>
      <c r="AK67" s="1" t="str">
        <f>IFERROR(IF(Lists!$B67="","",Lists!$E67),"")</f>
        <v/>
      </c>
      <c r="AL67" s="1" t="str">
        <f>IF(AND(OR('HR Quick View'!$L$10="All Shifts",AH67='HR Quick View'!$L$10),OR(AND('HR Quick View'!$I$10="Qualified only",AI67=3),AND('HR Quick View'!$I$10="All trained",AI67&gt;0))),IF('HR Quick View'!$L$10="All Shifts",COUNTIF($AI$4:$AI$203,"&gt;"&amp;AI67)+COUNTIF($AI$4:AI67,AI67),COUNTIFS($AI$4:$AI$203,"&gt;"&amp;AI67,$AH$4:$AH$203,'HR Quick View'!$L$10)+COUNTIFS($AI$4:AI67,AI67,$AH$4:AH67,'HR Quick View'!$L$10)),"")</f>
        <v/>
      </c>
      <c r="AP67" s="17" t="str">
        <f>IFERROR(IF(Lists!$J67="","",Lists!$J67),"")</f>
        <v>Secrets Management</v>
      </c>
      <c r="AQ67" s="17" t="str">
        <f>IFERROR(IF(Lists!$J67="","",Lists!$K67),"")</f>
        <v>Cloud &amp; Reliability</v>
      </c>
      <c r="AR67" s="17" t="str">
        <f>IFERROR(IF(Lists!$J67="","",Lists!$L67),"")</f>
        <v>Yes</v>
      </c>
      <c r="AS67" s="17">
        <f>IFERROR(IF(Lists!$J67="","",Lists!$M67),0)</f>
        <v>4</v>
      </c>
      <c r="AT67" s="17">
        <f>IF(AP67="","",COUNTIF('Skills Matrix'!$BR$6:$BR$205,3))</f>
        <v>4</v>
      </c>
      <c r="AU67" s="17">
        <f>IF(AP67="","",COUNTIF('Skills Matrix'!$BR$6:$BR$205,2))</f>
        <v>1</v>
      </c>
      <c r="AV67" s="17">
        <f t="shared" si="15"/>
        <v>0</v>
      </c>
      <c r="AW67" s="17" t="str">
        <f>IF(OR(AP67="",AS67&lt;=0,AV67&lt;=0,AND('Skill Management'!$D$4&lt;&gt;"All Departments",AQ67&lt;&gt;'Skill Management'!$D$4)),"",IF(AT67=0,100000,0)+IF(AR67="Yes",10000,0)+AV67*100+AU67)</f>
        <v/>
      </c>
      <c r="AX67" s="17" t="str">
        <f>IF(AW67="","",COUNTIF($AW$4:$AW$106,"&gt;"&amp;AW67)+COUNTIF($AW$4:AW67,AW67))</f>
        <v/>
      </c>
      <c r="AY67" s="17" t="str">
        <f>IFERROR(IF(Lists!$J67="","",Lists!$N67),"")</f>
        <v>Yes</v>
      </c>
      <c r="BA67" s="17" t="str">
        <f>IFERROR(IF('Training Plan'!$A68="","",'Training Plan'!$A68),"")</f>
        <v/>
      </c>
      <c r="BB67" s="17" t="str">
        <f>IFERROR(IF('Training Plan'!$A68="","",'Training Plan'!$B68),"")</f>
        <v/>
      </c>
      <c r="BC67" s="17" t="str">
        <f>IFERROR(IF('Training Plan'!$A68="","",'Training Plan'!$C68),"")</f>
        <v/>
      </c>
      <c r="BD67" s="17" t="str">
        <f>IFERROR(IF('Training Plan'!$A68="","",'Training Plan'!$D68),"")</f>
        <v/>
      </c>
      <c r="BE67" s="17" t="str">
        <f>IFERROR(IF('Training Plan'!$A68="","",'Training Plan'!$E68),"")</f>
        <v/>
      </c>
      <c r="BF67" s="17" t="str">
        <f>IFERROR(IF('Training Plan'!$A68="","",'Training Plan'!$F68),"")</f>
        <v/>
      </c>
      <c r="BG67" s="17" t="str">
        <f>IFERROR(IF('Training Plan'!$A68="","",'Training Plan'!$G68),"")</f>
        <v/>
      </c>
      <c r="BH67" s="17" t="str">
        <f>IFERROR(IF('Training Plan'!$A68="","",'Training Plan'!$H68),"")</f>
        <v/>
      </c>
      <c r="BI67" s="17" t="str">
        <f>IF(OR(BA67="",BF67="Complete",AND('Skill Management'!$D$4&lt;&gt;"All Departments",BB67&lt;&gt;'Skill Management'!$D$4)),"",IF(BF67="Blocked",100000,IF(BF67="In Progress",200000,300000))+IF(BE67="",99999,BE67))</f>
        <v/>
      </c>
      <c r="BJ67" s="17" t="str">
        <f>IF(BI67="","",COUNTIFS($BI$4:$BI$203,"&gt;0",$BI$4:$BI$203,"&lt;"&amp;BI67)+COUNTIF($BI$4:BI67,BI67))</f>
        <v/>
      </c>
      <c r="BT67" t="str">
        <f t="shared" si="16"/>
        <v>Secrets Management</v>
      </c>
      <c r="BU67" t="str">
        <f t="shared" si="17"/>
        <v>Cloud &amp; Reliability</v>
      </c>
      <c r="BV67" t="str">
        <f>IF(BT67="","",IFERROR(INDEX('Skills Matrix'!$G$6:$DE$205,MATCH('Employee Transcript'!$C$4,'Skills Matrix'!$B$6:$B$205,0),MATCH(BT67,'Skills Matrix'!$G$5:$DE$5,0)),""))</f>
        <v/>
      </c>
      <c r="BW67" t="str">
        <f>IF(BT67="","",IFERROR(INDEX('Competency Event Log'!$E$4:$E$803,MATCH('Employee Transcript'!$C$4&amp;"|"&amp;BT67,'Competency Event Log'!$U$4:$U$803,0)),""))</f>
        <v/>
      </c>
      <c r="BX67" t="str">
        <f>IF(BT67="","",IF(BU67='Employee Transcript'!$B$7,"Home Department","Cross-Trained"))</f>
        <v>Cross-Trained</v>
      </c>
      <c r="BY67" t="str">
        <f t="shared" si="18"/>
        <v>Yes</v>
      </c>
      <c r="BZ67" t="str">
        <f>IF(BT67="","",IFERROR(INDEX('Competency Event Log'!$L$4:$L$803,MATCH('Employee Transcript'!$C$4&amp;"|"&amp;BT67,'Competency Event Log'!$U$4:$U$803,0)),""))</f>
        <v/>
      </c>
      <c r="CA67" t="str">
        <f>IF(N(BV67)&gt;0,COUNTIF($BV$4:BV67,"&gt;0"),"")</f>
        <v/>
      </c>
      <c r="CB67" t="str">
        <f>IF(AND('Competency Event Log'!$B67='Employee Transcript'!$C$4,'Competency Event Log'!$I67&lt;&gt;"Yes"),'Competency Event Log'!$K67,"")</f>
        <v/>
      </c>
      <c r="CC67" t="str">
        <f t="shared" si="9"/>
        <v/>
      </c>
      <c r="CD67" t="str">
        <f>IF(Certifications!$A67='Employee Transcript'!$C$4,67,"")</f>
        <v/>
      </c>
      <c r="CE67" t="str">
        <f>IF(CD67="","",COUNTIF($CD$4:CD67,"&gt;0"))</f>
        <v/>
      </c>
      <c r="CF67" t="str">
        <f>IF(AND('Training Plan'!$A68='Employee Transcript'!$C$4,'Training Plan'!$F68&lt;&gt;"Complete"),68,"")</f>
        <v/>
      </c>
      <c r="CG67" t="str">
        <f>IF(CF67="","",COUNTIF($CF$4:CF67,"&gt;0"))</f>
        <v/>
      </c>
    </row>
    <row r="68" spans="1:85">
      <c r="A68" s="2"/>
      <c r="B68" s="1"/>
      <c r="C68" s="1"/>
      <c r="D68" s="1"/>
      <c r="E68" s="1"/>
      <c r="F68" s="3"/>
      <c r="G68" s="1"/>
      <c r="H68" s="4"/>
      <c r="I68" s="1" t="s">
        <v>884</v>
      </c>
      <c r="J68" s="1" t="s">
        <v>882</v>
      </c>
      <c r="K68" s="1" t="s">
        <v>309</v>
      </c>
      <c r="L68" s="1" t="s">
        <v>27</v>
      </c>
      <c r="M68" s="1">
        <v>4</v>
      </c>
      <c r="N68" s="1" t="s">
        <v>27</v>
      </c>
      <c r="P68" s="1" t="s">
        <v>882</v>
      </c>
      <c r="Q68" s="1" t="s">
        <v>309</v>
      </c>
      <c r="R68" s="1">
        <v>4</v>
      </c>
      <c r="S68" s="1">
        <f>COUNTIF('Skills Matrix'!$BS$6:$BS$205,3)</f>
        <v>2</v>
      </c>
      <c r="T68" s="1">
        <f t="shared" ref="T68:T99" si="19">MAX(0,R68-S68)</f>
        <v>2</v>
      </c>
      <c r="U68" s="1">
        <f>IF(AND(T68&gt;0,OR('HR Quick View'!$F$24="All Departments",Q68='HR Quick View'!$F$24)),COUNTIFS($T$4:$T$108,"&gt;"&amp;T68,$Q$4:$Q$108,IF('HR Quick View'!$F$24="All Departments","*",'HR Quick View'!$F$24))+COUNTIFS($T$4:T68,T68,$Q$4:Q68,IF('HR Quick View'!$F$24="All Departments","*",'HR Quick View'!$F$24)),"")</f>
        <v>40</v>
      </c>
      <c r="W68" s="1" t="s">
        <v>882</v>
      </c>
      <c r="X68" s="1" t="s">
        <v>309</v>
      </c>
      <c r="Y68" s="1" t="s">
        <v>27</v>
      </c>
      <c r="Z68" s="1" t="str">
        <f>IF('HR Quick View'!$C$9="","",IF(COUNTIFS('Competency Event Log'!$B$4:$B$803,'HR Quick View'!$C$9,'Competency Event Log'!$C$4:$C$803,W68,'Competency Event Log'!$T$4:$T$803,"Current")=0,"",SUMIFS('Competency Event Log'!$D$4:$D$803,'Competency Event Log'!$B$4:$B$803,'HR Quick View'!$C$9,'Competency Event Log'!$C$4:$C$803,W68,'Competency Event Log'!$T$4:$T$803,"Current")))</f>
        <v/>
      </c>
      <c r="AA68" s="1" t="str">
        <f>IF($Z68="","",IF('HR Quick View'!$B$10="Qualified only",IF($Z68=3,COUNTIF($Z$4:$Z68,3),""),IF('HR Quick View'!$B$10="Developing only",IF(OR($Z68=1,$Z68=2),COUNTIF($Z$4:$Z$108,"&gt;"&amp;$Z68)+COUNTIF($Z$4:$Z68,$Z68)-COUNTIF($Z$4:$Z$108,3),""),IF('HR Quick View'!$B$10="All scored",COUNTIF($Z$4:$Z$108,"&gt;"&amp;$Z68)+COUNTIF($Z$4:$Z68,$Z68),""))))</f>
        <v/>
      </c>
      <c r="AB68" s="1" t="str">
        <f>""</f>
        <v/>
      </c>
      <c r="AC68" s="1">
        <f t="shared" ref="AC68:AC99" si="20">R68</f>
        <v>4</v>
      </c>
      <c r="AD68" s="1">
        <f t="shared" ref="AD68:AD99" si="21">S68</f>
        <v>2</v>
      </c>
      <c r="AE68" s="1">
        <f t="shared" ref="AE68:AE99" si="22">T68</f>
        <v>2</v>
      </c>
      <c r="AF68" s="1" t="str">
        <f>IFERROR(IF(Lists!$B68="","",Lists!$B68),"")</f>
        <v/>
      </c>
      <c r="AG68" s="1" t="str">
        <f>IFERROR(IF(Lists!$B68="","",Lists!$C68),"")</f>
        <v/>
      </c>
      <c r="AH68" s="1" t="str">
        <f>IFERROR(IF(Lists!$B68="","",Lists!$D68),"")</f>
        <v/>
      </c>
      <c r="AI68" s="1" t="str">
        <f>IF(AF68="","",IFERROR(INDEX('Skills Matrix'!$G$6:$DE$205,MATCH(AF68,'Skills Matrix'!$B$6:$B$205,0),MATCH('HR Quick View'!$J$9,'Skills Matrix'!$G$5:$DE$5,0)),""))</f>
        <v/>
      </c>
      <c r="AJ68" s="1" t="str">
        <f t="shared" ref="AJ68:AJ99" si="23">IF(AI68=3,"Qualified",IF(AI68=2,"Developing",IF(AI68=1,"Needs Training","")))</f>
        <v/>
      </c>
      <c r="AK68" s="1" t="str">
        <f>IFERROR(IF(Lists!$B68="","",Lists!$E68),"")</f>
        <v/>
      </c>
      <c r="AL68" s="1" t="str">
        <f>IF(AND(OR('HR Quick View'!$L$10="All Shifts",AH68='HR Quick View'!$L$10),OR(AND('HR Quick View'!$I$10="Qualified only",AI68=3),AND('HR Quick View'!$I$10="All trained",AI68&gt;0))),IF('HR Quick View'!$L$10="All Shifts",COUNTIF($AI$4:$AI$203,"&gt;"&amp;AI68)+COUNTIF($AI$4:AI68,AI68),COUNTIFS($AI$4:$AI$203,"&gt;"&amp;AI68,$AH$4:$AH$203,'HR Quick View'!$L$10)+COUNTIFS($AI$4:AI68,AI68,$AH$4:AH68,'HR Quick View'!$L$10)),"")</f>
        <v/>
      </c>
      <c r="AP68" s="17" t="str">
        <f>IFERROR(IF(Lists!$J68="","",Lists!$J68),"")</f>
        <v>Observability Dashboards</v>
      </c>
      <c r="AQ68" s="17" t="str">
        <f>IFERROR(IF(Lists!$J68="","",Lists!$K68),"")</f>
        <v>Cloud &amp; Reliability</v>
      </c>
      <c r="AR68" s="17" t="str">
        <f>IFERROR(IF(Lists!$J68="","",Lists!$L68),"")</f>
        <v>Yes</v>
      </c>
      <c r="AS68" s="17">
        <f>IFERROR(IF(Lists!$J68="","",Lists!$M68),0)</f>
        <v>4</v>
      </c>
      <c r="AT68" s="17">
        <f>IF(AP68="","",COUNTIF('Skills Matrix'!$BS$6:$BS$205,3))</f>
        <v>2</v>
      </c>
      <c r="AU68" s="17">
        <f>IF(AP68="","",COUNTIF('Skills Matrix'!$BS$6:$BS$205,2))</f>
        <v>1</v>
      </c>
      <c r="AV68" s="17">
        <f t="shared" ref="AV68:AV99" si="24">IF(OR(AP68="",AS68&lt;=0),"",MAX(0,AS68-AT68))</f>
        <v>2</v>
      </c>
      <c r="AW68" s="17">
        <f>IF(OR(AP68="",AS68&lt;=0,AV68&lt;=0,AND('Skill Management'!$D$4&lt;&gt;"All Departments",AQ68&lt;&gt;'Skill Management'!$D$4)),"",IF(AT68=0,100000,0)+IF(AR68="Yes",10000,0)+AV68*100+AU68)</f>
        <v>10201</v>
      </c>
      <c r="AX68" s="17">
        <f>IF(AW68="","",COUNTIF($AW$4:$AW$106,"&gt;"&amp;AW68)+COUNTIF($AW$4:AW68,AW68))</f>
        <v>53</v>
      </c>
      <c r="AY68" s="17" t="str">
        <f>IFERROR(IF(Lists!$J68="","",Lists!$N68),"")</f>
        <v>Yes</v>
      </c>
      <c r="BA68" s="17" t="str">
        <f>IFERROR(IF('Training Plan'!$A69="","",'Training Plan'!$A69),"")</f>
        <v/>
      </c>
      <c r="BB68" s="17" t="str">
        <f>IFERROR(IF('Training Plan'!$A69="","",'Training Plan'!$B69),"")</f>
        <v/>
      </c>
      <c r="BC68" s="17" t="str">
        <f>IFERROR(IF('Training Plan'!$A69="","",'Training Plan'!$C69),"")</f>
        <v/>
      </c>
      <c r="BD68" s="17" t="str">
        <f>IFERROR(IF('Training Plan'!$A69="","",'Training Plan'!$D69),"")</f>
        <v/>
      </c>
      <c r="BE68" s="17" t="str">
        <f>IFERROR(IF('Training Plan'!$A69="","",'Training Plan'!$E69),"")</f>
        <v/>
      </c>
      <c r="BF68" s="17" t="str">
        <f>IFERROR(IF('Training Plan'!$A69="","",'Training Plan'!$F69),"")</f>
        <v/>
      </c>
      <c r="BG68" s="17" t="str">
        <f>IFERROR(IF('Training Plan'!$A69="","",'Training Plan'!$G69),"")</f>
        <v/>
      </c>
      <c r="BH68" s="17" t="str">
        <f>IFERROR(IF('Training Plan'!$A69="","",'Training Plan'!$H69),"")</f>
        <v/>
      </c>
      <c r="BI68" s="17" t="str">
        <f>IF(OR(BA68="",BF68="Complete",AND('Skill Management'!$D$4&lt;&gt;"All Departments",BB68&lt;&gt;'Skill Management'!$D$4)),"",IF(BF68="Blocked",100000,IF(BF68="In Progress",200000,300000))+IF(BE68="",99999,BE68))</f>
        <v/>
      </c>
      <c r="BJ68" s="17" t="str">
        <f>IF(BI68="","",COUNTIFS($BI$4:$BI$203,"&gt;0",$BI$4:$BI$203,"&lt;"&amp;BI68)+COUNTIF($BI$4:BI68,BI68))</f>
        <v/>
      </c>
      <c r="BT68" t="str">
        <f t="shared" ref="BT68:BT99" si="25">IF($J68="","",$J68)</f>
        <v>Observability Dashboards</v>
      </c>
      <c r="BU68" t="str">
        <f t="shared" ref="BU68:BU99" si="26">IF(BT68="","",$K68)</f>
        <v>Cloud &amp; Reliability</v>
      </c>
      <c r="BV68" t="str">
        <f>IF(BT68="","",IFERROR(INDEX('Skills Matrix'!$G$6:$DE$205,MATCH('Employee Transcript'!$C$4,'Skills Matrix'!$B$6:$B$205,0),MATCH(BT68,'Skills Matrix'!$G$5:$DE$5,0)),""))</f>
        <v/>
      </c>
      <c r="BW68" t="str">
        <f>IF(BT68="","",IFERROR(INDEX('Competency Event Log'!$E$4:$E$803,MATCH('Employee Transcript'!$C$4&amp;"|"&amp;BT68,'Competency Event Log'!$U$4:$U$803,0)),""))</f>
        <v/>
      </c>
      <c r="BX68" t="str">
        <f>IF(BT68="","",IF(BU68='Employee Transcript'!$B$7,"Home Department","Cross-Trained"))</f>
        <v>Cross-Trained</v>
      </c>
      <c r="BY68" t="str">
        <f t="shared" ref="BY68:BY99" si="27">IF(BT68="","",$L68)</f>
        <v>Yes</v>
      </c>
      <c r="BZ68" t="str">
        <f>IF(BT68="","",IFERROR(INDEX('Competency Event Log'!$L$4:$L$803,MATCH('Employee Transcript'!$C$4&amp;"|"&amp;BT68,'Competency Event Log'!$U$4:$U$803,0)),""))</f>
        <v/>
      </c>
      <c r="CA68" t="str">
        <f>IF(N(BV68)&gt;0,COUNTIF($BV$4:BV68,"&gt;0"),"")</f>
        <v/>
      </c>
      <c r="CB68" t="str">
        <f>IF(AND('Competency Event Log'!$B68='Employee Transcript'!$C$4,'Competency Event Log'!$I68&lt;&gt;"Yes"),'Competency Event Log'!$K68,"")</f>
        <v/>
      </c>
      <c r="CC68" t="str">
        <f t="shared" ref="CC68:CC131" si="28">IF(CB68="","",COUNTIF($CB$4:$CB$803,"&gt;"&amp;CB68)+1)</f>
        <v/>
      </c>
      <c r="CD68" t="str">
        <f>IF(Certifications!$A68='Employee Transcript'!$C$4,68,"")</f>
        <v/>
      </c>
      <c r="CE68" t="str">
        <f>IF(CD68="","",COUNTIF($CD$4:CD68,"&gt;0"))</f>
        <v/>
      </c>
      <c r="CF68" t="str">
        <f>IF(AND('Training Plan'!$A69='Employee Transcript'!$C$4,'Training Plan'!$F69&lt;&gt;"Complete"),69,"")</f>
        <v/>
      </c>
      <c r="CG68" t="str">
        <f>IF(CF68="","",COUNTIF($CF$4:CF68,"&gt;0"))</f>
        <v/>
      </c>
    </row>
    <row r="69" spans="1:85">
      <c r="A69" s="2"/>
      <c r="B69" s="1"/>
      <c r="C69" s="1"/>
      <c r="D69" s="1"/>
      <c r="E69" s="1"/>
      <c r="F69" s="3"/>
      <c r="G69" s="1"/>
      <c r="H69" s="4"/>
      <c r="I69" s="1" t="s">
        <v>761</v>
      </c>
      <c r="J69" s="1" t="s">
        <v>759</v>
      </c>
      <c r="K69" s="1" t="s">
        <v>309</v>
      </c>
      <c r="L69" s="1" t="s">
        <v>27</v>
      </c>
      <c r="M69" s="1">
        <v>4</v>
      </c>
      <c r="N69" s="1" t="s">
        <v>27</v>
      </c>
      <c r="P69" s="1" t="s">
        <v>759</v>
      </c>
      <c r="Q69" s="1" t="s">
        <v>309</v>
      </c>
      <c r="R69" s="1">
        <v>4</v>
      </c>
      <c r="S69" s="1">
        <f>COUNTIF('Skills Matrix'!$BT$6:$BT$205,3)</f>
        <v>3</v>
      </c>
      <c r="T69" s="1">
        <f t="shared" si="19"/>
        <v>1</v>
      </c>
      <c r="U69" s="1">
        <f>IF(AND(T69&gt;0,OR('HR Quick View'!$F$24="All Departments",Q69='HR Quick View'!$F$24)),COUNTIFS($T$4:$T$108,"&gt;"&amp;T69,$Q$4:$Q$108,IF('HR Quick View'!$F$24="All Departments","*",'HR Quick View'!$F$24))+COUNTIFS($T$4:T69,T69,$Q$4:Q69,IF('HR Quick View'!$F$24="All Departments","*",'HR Quick View'!$F$24)),"")</f>
        <v>50</v>
      </c>
      <c r="W69" s="1" t="s">
        <v>759</v>
      </c>
      <c r="X69" s="1" t="s">
        <v>309</v>
      </c>
      <c r="Y69" s="1" t="s">
        <v>27</v>
      </c>
      <c r="Z69" s="1" t="str">
        <f>IF('HR Quick View'!$C$9="","",IF(COUNTIFS('Competency Event Log'!$B$4:$B$803,'HR Quick View'!$C$9,'Competency Event Log'!$C$4:$C$803,W69,'Competency Event Log'!$T$4:$T$803,"Current")=0,"",SUMIFS('Competency Event Log'!$D$4:$D$803,'Competency Event Log'!$B$4:$B$803,'HR Quick View'!$C$9,'Competency Event Log'!$C$4:$C$803,W69,'Competency Event Log'!$T$4:$T$803,"Current")))</f>
        <v/>
      </c>
      <c r="AA69" s="1" t="str">
        <f>IF($Z69="","",IF('HR Quick View'!$B$10="Qualified only",IF($Z69=3,COUNTIF($Z$4:$Z69,3),""),IF('HR Quick View'!$B$10="Developing only",IF(OR($Z69=1,$Z69=2),COUNTIF($Z$4:$Z$108,"&gt;"&amp;$Z69)+COUNTIF($Z$4:$Z69,$Z69)-COUNTIF($Z$4:$Z$108,3),""),IF('HR Quick View'!$B$10="All scored",COUNTIF($Z$4:$Z$108,"&gt;"&amp;$Z69)+COUNTIF($Z$4:$Z69,$Z69),""))))</f>
        <v/>
      </c>
      <c r="AB69" s="1" t="str">
        <f>""</f>
        <v/>
      </c>
      <c r="AC69" s="1">
        <f t="shared" si="20"/>
        <v>4</v>
      </c>
      <c r="AD69" s="1">
        <f t="shared" si="21"/>
        <v>3</v>
      </c>
      <c r="AE69" s="1">
        <f t="shared" si="22"/>
        <v>1</v>
      </c>
      <c r="AF69" s="1" t="str">
        <f>IFERROR(IF(Lists!$B69="","",Lists!$B69),"")</f>
        <v/>
      </c>
      <c r="AG69" s="1" t="str">
        <f>IFERROR(IF(Lists!$B69="","",Lists!$C69),"")</f>
        <v/>
      </c>
      <c r="AH69" s="1" t="str">
        <f>IFERROR(IF(Lists!$B69="","",Lists!$D69),"")</f>
        <v/>
      </c>
      <c r="AI69" s="1" t="str">
        <f>IF(AF69="","",IFERROR(INDEX('Skills Matrix'!$G$6:$DE$205,MATCH(AF69,'Skills Matrix'!$B$6:$B$205,0),MATCH('HR Quick View'!$J$9,'Skills Matrix'!$G$5:$DE$5,0)),""))</f>
        <v/>
      </c>
      <c r="AJ69" s="1" t="str">
        <f t="shared" si="23"/>
        <v/>
      </c>
      <c r="AK69" s="1" t="str">
        <f>IFERROR(IF(Lists!$B69="","",Lists!$E69),"")</f>
        <v/>
      </c>
      <c r="AL69" s="1" t="str">
        <f>IF(AND(OR('HR Quick View'!$L$10="All Shifts",AH69='HR Quick View'!$L$10),OR(AND('HR Quick View'!$I$10="Qualified only",AI69=3),AND('HR Quick View'!$I$10="All trained",AI69&gt;0))),IF('HR Quick View'!$L$10="All Shifts",COUNTIF($AI$4:$AI$203,"&gt;"&amp;AI69)+COUNTIF($AI$4:AI69,AI69),COUNTIFS($AI$4:$AI$203,"&gt;"&amp;AI69,$AH$4:$AH$203,'HR Quick View'!$L$10)+COUNTIFS($AI$4:AI69,AI69,$AH$4:AH69,'HR Quick View'!$L$10)),"")</f>
        <v/>
      </c>
      <c r="AP69" s="17" t="str">
        <f>IFERROR(IF(Lists!$J69="","",Lists!$J69),"")</f>
        <v>SLO &amp; SLI Monitoring</v>
      </c>
      <c r="AQ69" s="17" t="str">
        <f>IFERROR(IF(Lists!$J69="","",Lists!$K69),"")</f>
        <v>Cloud &amp; Reliability</v>
      </c>
      <c r="AR69" s="17" t="str">
        <f>IFERROR(IF(Lists!$J69="","",Lists!$L69),"")</f>
        <v>Yes</v>
      </c>
      <c r="AS69" s="17">
        <f>IFERROR(IF(Lists!$J69="","",Lists!$M69),0)</f>
        <v>4</v>
      </c>
      <c r="AT69" s="17">
        <f>IF(AP69="","",COUNTIF('Skills Matrix'!$BT$6:$BT$205,3))</f>
        <v>3</v>
      </c>
      <c r="AU69" s="17">
        <f>IF(AP69="","",COUNTIF('Skills Matrix'!$BT$6:$BT$205,2))</f>
        <v>1</v>
      </c>
      <c r="AV69" s="17">
        <f t="shared" si="24"/>
        <v>1</v>
      </c>
      <c r="AW69" s="17">
        <f>IF(OR(AP69="",AS69&lt;=0,AV69&lt;=0,AND('Skill Management'!$D$4&lt;&gt;"All Departments",AQ69&lt;&gt;'Skill Management'!$D$4)),"",IF(AT69=0,100000,0)+IF(AR69="Yes",10000,0)+AV69*100+AU69)</f>
        <v>10101</v>
      </c>
      <c r="AX69" s="17">
        <f>IF(AW69="","",COUNTIF($AW$4:$AW$106,"&gt;"&amp;AW69)+COUNTIF($AW$4:AW69,AW69))</f>
        <v>64</v>
      </c>
      <c r="AY69" s="17" t="str">
        <f>IFERROR(IF(Lists!$J69="","",Lists!$N69),"")</f>
        <v>Yes</v>
      </c>
      <c r="BA69" s="17" t="str">
        <f>IFERROR(IF('Training Plan'!$A70="","",'Training Plan'!$A70),"")</f>
        <v/>
      </c>
      <c r="BB69" s="17" t="str">
        <f>IFERROR(IF('Training Plan'!$A70="","",'Training Plan'!$B70),"")</f>
        <v/>
      </c>
      <c r="BC69" s="17" t="str">
        <f>IFERROR(IF('Training Plan'!$A70="","",'Training Plan'!$C70),"")</f>
        <v/>
      </c>
      <c r="BD69" s="17" t="str">
        <f>IFERROR(IF('Training Plan'!$A70="","",'Training Plan'!$D70),"")</f>
        <v/>
      </c>
      <c r="BE69" s="17" t="str">
        <f>IFERROR(IF('Training Plan'!$A70="","",'Training Plan'!$E70),"")</f>
        <v/>
      </c>
      <c r="BF69" s="17" t="str">
        <f>IFERROR(IF('Training Plan'!$A70="","",'Training Plan'!$F70),"")</f>
        <v/>
      </c>
      <c r="BG69" s="17" t="str">
        <f>IFERROR(IF('Training Plan'!$A70="","",'Training Plan'!$G70),"")</f>
        <v/>
      </c>
      <c r="BH69" s="17" t="str">
        <f>IFERROR(IF('Training Plan'!$A70="","",'Training Plan'!$H70),"")</f>
        <v/>
      </c>
      <c r="BI69" s="17" t="str">
        <f>IF(OR(BA69="",BF69="Complete",AND('Skill Management'!$D$4&lt;&gt;"All Departments",BB69&lt;&gt;'Skill Management'!$D$4)),"",IF(BF69="Blocked",100000,IF(BF69="In Progress",200000,300000))+IF(BE69="",99999,BE69))</f>
        <v/>
      </c>
      <c r="BJ69" s="17" t="str">
        <f>IF(BI69="","",COUNTIFS($BI$4:$BI$203,"&gt;0",$BI$4:$BI$203,"&lt;"&amp;BI69)+COUNTIF($BI$4:BI69,BI69))</f>
        <v/>
      </c>
      <c r="BT69" t="str">
        <f t="shared" si="25"/>
        <v>SLO &amp; SLI Monitoring</v>
      </c>
      <c r="BU69" t="str">
        <f t="shared" si="26"/>
        <v>Cloud &amp; Reliability</v>
      </c>
      <c r="BV69" t="str">
        <f>IF(BT69="","",IFERROR(INDEX('Skills Matrix'!$G$6:$DE$205,MATCH('Employee Transcript'!$C$4,'Skills Matrix'!$B$6:$B$205,0),MATCH(BT69,'Skills Matrix'!$G$5:$DE$5,0)),""))</f>
        <v/>
      </c>
      <c r="BW69" t="str">
        <f>IF(BT69="","",IFERROR(INDEX('Competency Event Log'!$E$4:$E$803,MATCH('Employee Transcript'!$C$4&amp;"|"&amp;BT69,'Competency Event Log'!$U$4:$U$803,0)),""))</f>
        <v/>
      </c>
      <c r="BX69" t="str">
        <f>IF(BT69="","",IF(BU69='Employee Transcript'!$B$7,"Home Department","Cross-Trained"))</f>
        <v>Cross-Trained</v>
      </c>
      <c r="BY69" t="str">
        <f t="shared" si="27"/>
        <v>Yes</v>
      </c>
      <c r="BZ69" t="str">
        <f>IF(BT69="","",IFERROR(INDEX('Competency Event Log'!$L$4:$L$803,MATCH('Employee Transcript'!$C$4&amp;"|"&amp;BT69,'Competency Event Log'!$U$4:$U$803,0)),""))</f>
        <v/>
      </c>
      <c r="CA69" t="str">
        <f>IF(N(BV69)&gt;0,COUNTIF($BV$4:BV69,"&gt;0"),"")</f>
        <v/>
      </c>
      <c r="CB69" t="str">
        <f>IF(AND('Competency Event Log'!$B69='Employee Transcript'!$C$4,'Competency Event Log'!$I69&lt;&gt;"Yes"),'Competency Event Log'!$K69,"")</f>
        <v/>
      </c>
      <c r="CC69" t="str">
        <f t="shared" si="28"/>
        <v/>
      </c>
      <c r="CD69" t="str">
        <f>IF(Certifications!$A69='Employee Transcript'!$C$4,69,"")</f>
        <v/>
      </c>
      <c r="CE69" t="str">
        <f>IF(CD69="","",COUNTIF($CD$4:CD69,"&gt;0"))</f>
        <v/>
      </c>
      <c r="CF69" t="str">
        <f>IF(AND('Training Plan'!$A70='Employee Transcript'!$C$4,'Training Plan'!$F70&lt;&gt;"Complete"),70,"")</f>
        <v/>
      </c>
      <c r="CG69" t="str">
        <f>IF(CF69="","",COUNTIF($CF$4:CF69,"&gt;0"))</f>
        <v/>
      </c>
    </row>
    <row r="70" spans="1:85">
      <c r="A70" s="2"/>
      <c r="B70" s="1"/>
      <c r="C70" s="1"/>
      <c r="D70" s="1"/>
      <c r="E70" s="1"/>
      <c r="F70" s="3"/>
      <c r="G70" s="1"/>
      <c r="H70" s="4"/>
      <c r="I70" s="1" t="s">
        <v>437</v>
      </c>
      <c r="J70" s="1" t="s">
        <v>435</v>
      </c>
      <c r="K70" s="1" t="s">
        <v>309</v>
      </c>
      <c r="L70" s="1" t="s">
        <v>27</v>
      </c>
      <c r="M70" s="1">
        <v>4</v>
      </c>
      <c r="N70" s="1" t="s">
        <v>27</v>
      </c>
      <c r="P70" s="1" t="s">
        <v>435</v>
      </c>
      <c r="Q70" s="1" t="s">
        <v>309</v>
      </c>
      <c r="R70" s="1">
        <v>4</v>
      </c>
      <c r="S70" s="1">
        <f>COUNTIF('Skills Matrix'!$BU$6:$BU$205,3)</f>
        <v>2</v>
      </c>
      <c r="T70" s="1">
        <f t="shared" si="19"/>
        <v>2</v>
      </c>
      <c r="U70" s="1">
        <f>IF(AND(T70&gt;0,OR('HR Quick View'!$F$24="All Departments",Q70='HR Quick View'!$F$24)),COUNTIFS($T$4:$T$108,"&gt;"&amp;T70,$Q$4:$Q$108,IF('HR Quick View'!$F$24="All Departments","*",'HR Quick View'!$F$24))+COUNTIFS($T$4:T70,T70,$Q$4:Q70,IF('HR Quick View'!$F$24="All Departments","*",'HR Quick View'!$F$24)),"")</f>
        <v>41</v>
      </c>
      <c r="W70" s="1" t="s">
        <v>435</v>
      </c>
      <c r="X70" s="1" t="s">
        <v>309</v>
      </c>
      <c r="Y70" s="1" t="s">
        <v>27</v>
      </c>
      <c r="Z70" s="1">
        <f>IF('HR Quick View'!$C$9="","",IF(COUNTIFS('Competency Event Log'!$B$4:$B$803,'HR Quick View'!$C$9,'Competency Event Log'!$C$4:$C$803,W70,'Competency Event Log'!$T$4:$T$803,"Current")=0,"",SUMIFS('Competency Event Log'!$D$4:$D$803,'Competency Event Log'!$B$4:$B$803,'HR Quick View'!$C$9,'Competency Event Log'!$C$4:$C$803,W70,'Competency Event Log'!$T$4:$T$803,"Current")))</f>
        <v>3</v>
      </c>
      <c r="AA70" s="1">
        <f>IF($Z70="","",IF('HR Quick View'!$B$10="Qualified only",IF($Z70=3,COUNTIF($Z$4:$Z70,3),""),IF('HR Quick View'!$B$10="Developing only",IF(OR($Z70=1,$Z70=2),COUNTIF($Z$4:$Z$108,"&gt;"&amp;$Z70)+COUNTIF($Z$4:$Z70,$Z70)-COUNTIF($Z$4:$Z$108,3),""),IF('HR Quick View'!$B$10="All scored",COUNTIF($Z$4:$Z$108,"&gt;"&amp;$Z70)+COUNTIF($Z$4:$Z70,$Z70),""))))</f>
        <v>6</v>
      </c>
      <c r="AB70" s="1" t="str">
        <f>""</f>
        <v/>
      </c>
      <c r="AC70" s="1">
        <f t="shared" si="20"/>
        <v>4</v>
      </c>
      <c r="AD70" s="1">
        <f t="shared" si="21"/>
        <v>2</v>
      </c>
      <c r="AE70" s="1">
        <f t="shared" si="22"/>
        <v>2</v>
      </c>
      <c r="AF70" s="1" t="str">
        <f>IFERROR(IF(Lists!$B70="","",Lists!$B70),"")</f>
        <v/>
      </c>
      <c r="AG70" s="1" t="str">
        <f>IFERROR(IF(Lists!$B70="","",Lists!$C70),"")</f>
        <v/>
      </c>
      <c r="AH70" s="1" t="str">
        <f>IFERROR(IF(Lists!$B70="","",Lists!$D70),"")</f>
        <v/>
      </c>
      <c r="AI70" s="1" t="str">
        <f>IF(AF70="","",IFERROR(INDEX('Skills Matrix'!$G$6:$DE$205,MATCH(AF70,'Skills Matrix'!$B$6:$B$205,0),MATCH('HR Quick View'!$J$9,'Skills Matrix'!$G$5:$DE$5,0)),""))</f>
        <v/>
      </c>
      <c r="AJ70" s="1" t="str">
        <f t="shared" si="23"/>
        <v/>
      </c>
      <c r="AK70" s="1" t="str">
        <f>IFERROR(IF(Lists!$B70="","",Lists!$E70),"")</f>
        <v/>
      </c>
      <c r="AL70" s="1" t="str">
        <f>IF(AND(OR('HR Quick View'!$L$10="All Shifts",AH70='HR Quick View'!$L$10),OR(AND('HR Quick View'!$I$10="Qualified only",AI70=3),AND('HR Quick View'!$I$10="All trained",AI70&gt;0))),IF('HR Quick View'!$L$10="All Shifts",COUNTIF($AI$4:$AI$203,"&gt;"&amp;AI70)+COUNTIF($AI$4:AI70,AI70),COUNTIFS($AI$4:$AI$203,"&gt;"&amp;AI70,$AH$4:$AH$203,'HR Quick View'!$L$10)+COUNTIFS($AI$4:AI70,AI70,$AH$4:AH70,'HR Quick View'!$L$10)),"")</f>
        <v/>
      </c>
      <c r="AP70" s="17" t="str">
        <f>IFERROR(IF(Lists!$J70="","",Lists!$J70),"")</f>
        <v>Backup Validation</v>
      </c>
      <c r="AQ70" s="17" t="str">
        <f>IFERROR(IF(Lists!$J70="","",Lists!$K70),"")</f>
        <v>Cloud &amp; Reliability</v>
      </c>
      <c r="AR70" s="17" t="str">
        <f>IFERROR(IF(Lists!$J70="","",Lists!$L70),"")</f>
        <v>Yes</v>
      </c>
      <c r="AS70" s="17">
        <f>IFERROR(IF(Lists!$J70="","",Lists!$M70),0)</f>
        <v>4</v>
      </c>
      <c r="AT70" s="17">
        <f>IF(AP70="","",COUNTIF('Skills Matrix'!$BU$6:$BU$205,3))</f>
        <v>2</v>
      </c>
      <c r="AU70" s="17">
        <f>IF(AP70="","",COUNTIF('Skills Matrix'!$BU$6:$BU$205,2))</f>
        <v>0</v>
      </c>
      <c r="AV70" s="17">
        <f t="shared" si="24"/>
        <v>2</v>
      </c>
      <c r="AW70" s="17">
        <f>IF(OR(AP70="",AS70&lt;=0,AV70&lt;=0,AND('Skill Management'!$D$4&lt;&gt;"All Departments",AQ70&lt;&gt;'Skill Management'!$D$4)),"",IF(AT70=0,100000,0)+IF(AR70="Yes",10000,0)+AV70*100+AU70)</f>
        <v>10200</v>
      </c>
      <c r="AX70" s="17">
        <f>IF(AW70="","",COUNTIF($AW$4:$AW$106,"&gt;"&amp;AW70)+COUNTIF($AW$4:AW70,AW70))</f>
        <v>55</v>
      </c>
      <c r="AY70" s="17" t="str">
        <f>IFERROR(IF(Lists!$J70="","",Lists!$N70),"")</f>
        <v>Yes</v>
      </c>
      <c r="BA70" s="17" t="str">
        <f>IFERROR(IF('Training Plan'!$A71="","",'Training Plan'!$A71),"")</f>
        <v/>
      </c>
      <c r="BB70" s="17" t="str">
        <f>IFERROR(IF('Training Plan'!$A71="","",'Training Plan'!$B71),"")</f>
        <v/>
      </c>
      <c r="BC70" s="17" t="str">
        <f>IFERROR(IF('Training Plan'!$A71="","",'Training Plan'!$C71),"")</f>
        <v/>
      </c>
      <c r="BD70" s="17" t="str">
        <f>IFERROR(IF('Training Plan'!$A71="","",'Training Plan'!$D71),"")</f>
        <v/>
      </c>
      <c r="BE70" s="17" t="str">
        <f>IFERROR(IF('Training Plan'!$A71="","",'Training Plan'!$E71),"")</f>
        <v/>
      </c>
      <c r="BF70" s="17" t="str">
        <f>IFERROR(IF('Training Plan'!$A71="","",'Training Plan'!$F71),"")</f>
        <v/>
      </c>
      <c r="BG70" s="17" t="str">
        <f>IFERROR(IF('Training Plan'!$A71="","",'Training Plan'!$G71),"")</f>
        <v/>
      </c>
      <c r="BH70" s="17" t="str">
        <f>IFERROR(IF('Training Plan'!$A71="","",'Training Plan'!$H71),"")</f>
        <v/>
      </c>
      <c r="BI70" s="17" t="str">
        <f>IF(OR(BA70="",BF70="Complete",AND('Skill Management'!$D$4&lt;&gt;"All Departments",BB70&lt;&gt;'Skill Management'!$D$4)),"",IF(BF70="Blocked",100000,IF(BF70="In Progress",200000,300000))+IF(BE70="",99999,BE70))</f>
        <v/>
      </c>
      <c r="BJ70" s="17" t="str">
        <f>IF(BI70="","",COUNTIFS($BI$4:$BI$203,"&gt;0",$BI$4:$BI$203,"&lt;"&amp;BI70)+COUNTIF($BI$4:BI70,BI70))</f>
        <v/>
      </c>
      <c r="BT70" t="str">
        <f t="shared" si="25"/>
        <v>Backup Validation</v>
      </c>
      <c r="BU70" t="str">
        <f t="shared" si="26"/>
        <v>Cloud &amp; Reliability</v>
      </c>
      <c r="BV70">
        <f>IF(BT70="","",IFERROR(INDEX('Skills Matrix'!$G$6:$DE$205,MATCH('Employee Transcript'!$C$4,'Skills Matrix'!$B$6:$B$205,0),MATCH(BT70,'Skills Matrix'!$G$5:$DE$5,0)),""))</f>
        <v>3</v>
      </c>
      <c r="BW70">
        <f>IF(BT70="","",IFERROR(INDEX('Competency Event Log'!$E$4:$E$803,MATCH('Employee Transcript'!$C$4&amp;"|"&amp;BT70,'Competency Event Log'!$U$4:$U$803,0)),""))</f>
        <v>45832</v>
      </c>
      <c r="BX70" t="str">
        <f>IF(BT70="","",IF(BU70='Employee Transcript'!$B$7,"Home Department","Cross-Trained"))</f>
        <v>Cross-Trained</v>
      </c>
      <c r="BY70" t="str">
        <f t="shared" si="27"/>
        <v>Yes</v>
      </c>
      <c r="BZ70" t="str">
        <f>IF(BT70="","",IFERROR(INDEX('Competency Event Log'!$L$4:$L$803,MATCH('Employee Transcript'!$C$4&amp;"|"&amp;BT70,'Competency Event Log'!$U$4:$U$803,0)),""))</f>
        <v>DEMO-00012</v>
      </c>
      <c r="CA70">
        <f>IF(N(BV70)&gt;0,COUNTIF($BV$4:BV70,"&gt;0"),"")</f>
        <v>6</v>
      </c>
      <c r="CB70" t="str">
        <f>IF(AND('Competency Event Log'!$B70='Employee Transcript'!$C$4,'Competency Event Log'!$I70&lt;&gt;"Yes"),'Competency Event Log'!$K70,"")</f>
        <v/>
      </c>
      <c r="CC70" t="str">
        <f t="shared" si="28"/>
        <v/>
      </c>
      <c r="CD70" t="str">
        <f>IF(Certifications!$A70='Employee Transcript'!$C$4,70,"")</f>
        <v/>
      </c>
      <c r="CE70" t="str">
        <f>IF(CD70="","",COUNTIF($CD$4:CD70,"&gt;0"))</f>
        <v/>
      </c>
      <c r="CF70" t="str">
        <f>IF(AND('Training Plan'!$A71='Employee Transcript'!$C$4,'Training Plan'!$F71&lt;&gt;"Complete"),71,"")</f>
        <v/>
      </c>
      <c r="CG70" t="str">
        <f>IF(CF70="","",COUNTIF($CF$4:CF70,"&gt;0"))</f>
        <v/>
      </c>
    </row>
    <row r="71" spans="1:85">
      <c r="A71" s="2"/>
      <c r="B71" s="1"/>
      <c r="C71" s="1"/>
      <c r="D71" s="1"/>
      <c r="E71" s="1"/>
      <c r="F71" s="3"/>
      <c r="G71" s="1"/>
      <c r="H71" s="4"/>
      <c r="I71" s="1" t="s">
        <v>1078</v>
      </c>
      <c r="J71" s="1" t="s">
        <v>1076</v>
      </c>
      <c r="K71" s="1" t="s">
        <v>309</v>
      </c>
      <c r="L71" s="1" t="s">
        <v>27</v>
      </c>
      <c r="M71" s="1">
        <v>4</v>
      </c>
      <c r="N71" s="1" t="s">
        <v>27</v>
      </c>
      <c r="P71" s="1" t="s">
        <v>1076</v>
      </c>
      <c r="Q71" s="1" t="s">
        <v>309</v>
      </c>
      <c r="R71" s="1">
        <v>4</v>
      </c>
      <c r="S71" s="1">
        <f>COUNTIF('Skills Matrix'!$BV$6:$BV$205,3)</f>
        <v>3</v>
      </c>
      <c r="T71" s="1">
        <f t="shared" si="19"/>
        <v>1</v>
      </c>
      <c r="U71" s="1">
        <f>IF(AND(T71&gt;0,OR('HR Quick View'!$F$24="All Departments",Q71='HR Quick View'!$F$24)),COUNTIFS($T$4:$T$108,"&gt;"&amp;T71,$Q$4:$Q$108,IF('HR Quick View'!$F$24="All Departments","*",'HR Quick View'!$F$24))+COUNTIFS($T$4:T71,T71,$Q$4:Q71,IF('HR Quick View'!$F$24="All Departments","*",'HR Quick View'!$F$24)),"")</f>
        <v>51</v>
      </c>
      <c r="W71" s="1" t="s">
        <v>1076</v>
      </c>
      <c r="X71" s="1" t="s">
        <v>309</v>
      </c>
      <c r="Y71" s="1" t="s">
        <v>27</v>
      </c>
      <c r="Z71" s="1" t="str">
        <f>IF('HR Quick View'!$C$9="","",IF(COUNTIFS('Competency Event Log'!$B$4:$B$803,'HR Quick View'!$C$9,'Competency Event Log'!$C$4:$C$803,W71,'Competency Event Log'!$T$4:$T$803,"Current")=0,"",SUMIFS('Competency Event Log'!$D$4:$D$803,'Competency Event Log'!$B$4:$B$803,'HR Quick View'!$C$9,'Competency Event Log'!$C$4:$C$803,W71,'Competency Event Log'!$T$4:$T$803,"Current")))</f>
        <v/>
      </c>
      <c r="AA71" s="1" t="str">
        <f>IF($Z71="","",IF('HR Quick View'!$B$10="Qualified only",IF($Z71=3,COUNTIF($Z$4:$Z71,3),""),IF('HR Quick View'!$B$10="Developing only",IF(OR($Z71=1,$Z71=2),COUNTIF($Z$4:$Z$108,"&gt;"&amp;$Z71)+COUNTIF($Z$4:$Z71,$Z71)-COUNTIF($Z$4:$Z$108,3),""),IF('HR Quick View'!$B$10="All scored",COUNTIF($Z$4:$Z$108,"&gt;"&amp;$Z71)+COUNTIF($Z$4:$Z71,$Z71),""))))</f>
        <v/>
      </c>
      <c r="AB71" s="1" t="str">
        <f>""</f>
        <v/>
      </c>
      <c r="AC71" s="1">
        <f t="shared" si="20"/>
        <v>4</v>
      </c>
      <c r="AD71" s="1">
        <f t="shared" si="21"/>
        <v>3</v>
      </c>
      <c r="AE71" s="1">
        <f t="shared" si="22"/>
        <v>1</v>
      </c>
      <c r="AF71" s="1" t="str">
        <f>IFERROR(IF(Lists!$B71="","",Lists!$B71),"")</f>
        <v/>
      </c>
      <c r="AG71" s="1" t="str">
        <f>IFERROR(IF(Lists!$B71="","",Lists!$C71),"")</f>
        <v/>
      </c>
      <c r="AH71" s="1" t="str">
        <f>IFERROR(IF(Lists!$B71="","",Lists!$D71),"")</f>
        <v/>
      </c>
      <c r="AI71" s="1" t="str">
        <f>IF(AF71="","",IFERROR(INDEX('Skills Matrix'!$G$6:$DE$205,MATCH(AF71,'Skills Matrix'!$B$6:$B$205,0),MATCH('HR Quick View'!$J$9,'Skills Matrix'!$G$5:$DE$5,0)),""))</f>
        <v/>
      </c>
      <c r="AJ71" s="1" t="str">
        <f t="shared" si="23"/>
        <v/>
      </c>
      <c r="AK71" s="1" t="str">
        <f>IFERROR(IF(Lists!$B71="","",Lists!$E71),"")</f>
        <v/>
      </c>
      <c r="AL71" s="1" t="str">
        <f>IF(AND(OR('HR Quick View'!$L$10="All Shifts",AH71='HR Quick View'!$L$10),OR(AND('HR Quick View'!$I$10="Qualified only",AI71=3),AND('HR Quick View'!$I$10="All trained",AI71&gt;0))),IF('HR Quick View'!$L$10="All Shifts",COUNTIF($AI$4:$AI$203,"&gt;"&amp;AI71)+COUNTIF($AI$4:AI71,AI71),COUNTIFS($AI$4:$AI$203,"&gt;"&amp;AI71,$AH$4:$AH$203,'HR Quick View'!$L$10)+COUNTIFS($AI$4:AI71,AI71,$AH$4:AH71,'HR Quick View'!$L$10)),"")</f>
        <v/>
      </c>
      <c r="AP71" s="17" t="str">
        <f>IFERROR(IF(Lists!$J71="","",Lists!$J71),"")</f>
        <v>Capacity Planning</v>
      </c>
      <c r="AQ71" s="17" t="str">
        <f>IFERROR(IF(Lists!$J71="","",Lists!$K71),"")</f>
        <v>Cloud &amp; Reliability</v>
      </c>
      <c r="AR71" s="17" t="str">
        <f>IFERROR(IF(Lists!$J71="","",Lists!$L71),"")</f>
        <v>Yes</v>
      </c>
      <c r="AS71" s="17">
        <f>IFERROR(IF(Lists!$J71="","",Lists!$M71),0)</f>
        <v>4</v>
      </c>
      <c r="AT71" s="17">
        <f>IF(AP71="","",COUNTIF('Skills Matrix'!$BV$6:$BV$205,3))</f>
        <v>3</v>
      </c>
      <c r="AU71" s="17">
        <f>IF(AP71="","",COUNTIF('Skills Matrix'!$BV$6:$BV$205,2))</f>
        <v>1</v>
      </c>
      <c r="AV71" s="17">
        <f t="shared" si="24"/>
        <v>1</v>
      </c>
      <c r="AW71" s="17">
        <f>IF(OR(AP71="",AS71&lt;=0,AV71&lt;=0,AND('Skill Management'!$D$4&lt;&gt;"All Departments",AQ71&lt;&gt;'Skill Management'!$D$4)),"",IF(AT71=0,100000,0)+IF(AR71="Yes",10000,0)+AV71*100+AU71)</f>
        <v>10101</v>
      </c>
      <c r="AX71" s="17">
        <f>IF(AW71="","",COUNTIF($AW$4:$AW$106,"&gt;"&amp;AW71)+COUNTIF($AW$4:AW71,AW71))</f>
        <v>65</v>
      </c>
      <c r="AY71" s="17" t="str">
        <f>IFERROR(IF(Lists!$J71="","",Lists!$N71),"")</f>
        <v>Yes</v>
      </c>
      <c r="BA71" s="17" t="str">
        <f>IFERROR(IF('Training Plan'!$A72="","",'Training Plan'!$A72),"")</f>
        <v/>
      </c>
      <c r="BB71" s="17" t="str">
        <f>IFERROR(IF('Training Plan'!$A72="","",'Training Plan'!$B72),"")</f>
        <v/>
      </c>
      <c r="BC71" s="17" t="str">
        <f>IFERROR(IF('Training Plan'!$A72="","",'Training Plan'!$C72),"")</f>
        <v/>
      </c>
      <c r="BD71" s="17" t="str">
        <f>IFERROR(IF('Training Plan'!$A72="","",'Training Plan'!$D72),"")</f>
        <v/>
      </c>
      <c r="BE71" s="17" t="str">
        <f>IFERROR(IF('Training Plan'!$A72="","",'Training Plan'!$E72),"")</f>
        <v/>
      </c>
      <c r="BF71" s="17" t="str">
        <f>IFERROR(IF('Training Plan'!$A72="","",'Training Plan'!$F72),"")</f>
        <v/>
      </c>
      <c r="BG71" s="17" t="str">
        <f>IFERROR(IF('Training Plan'!$A72="","",'Training Plan'!$G72),"")</f>
        <v/>
      </c>
      <c r="BH71" s="17" t="str">
        <f>IFERROR(IF('Training Plan'!$A72="","",'Training Plan'!$H72),"")</f>
        <v/>
      </c>
      <c r="BI71" s="17" t="str">
        <f>IF(OR(BA71="",BF71="Complete",AND('Skill Management'!$D$4&lt;&gt;"All Departments",BB71&lt;&gt;'Skill Management'!$D$4)),"",IF(BF71="Blocked",100000,IF(BF71="In Progress",200000,300000))+IF(BE71="",99999,BE71))</f>
        <v/>
      </c>
      <c r="BJ71" s="17" t="str">
        <f>IF(BI71="","",COUNTIFS($BI$4:$BI$203,"&gt;0",$BI$4:$BI$203,"&lt;"&amp;BI71)+COUNTIF($BI$4:BI71,BI71))</f>
        <v/>
      </c>
      <c r="BT71" t="str">
        <f t="shared" si="25"/>
        <v>Capacity Planning</v>
      </c>
      <c r="BU71" t="str">
        <f t="shared" si="26"/>
        <v>Cloud &amp; Reliability</v>
      </c>
      <c r="BV71" t="str">
        <f>IF(BT71="","",IFERROR(INDEX('Skills Matrix'!$G$6:$DE$205,MATCH('Employee Transcript'!$C$4,'Skills Matrix'!$B$6:$B$205,0),MATCH(BT71,'Skills Matrix'!$G$5:$DE$5,0)),""))</f>
        <v/>
      </c>
      <c r="BW71" t="str">
        <f>IF(BT71="","",IFERROR(INDEX('Competency Event Log'!$E$4:$E$803,MATCH('Employee Transcript'!$C$4&amp;"|"&amp;BT71,'Competency Event Log'!$U$4:$U$803,0)),""))</f>
        <v/>
      </c>
      <c r="BX71" t="str">
        <f>IF(BT71="","",IF(BU71='Employee Transcript'!$B$7,"Home Department","Cross-Trained"))</f>
        <v>Cross-Trained</v>
      </c>
      <c r="BY71" t="str">
        <f t="shared" si="27"/>
        <v>Yes</v>
      </c>
      <c r="BZ71" t="str">
        <f>IF(BT71="","",IFERROR(INDEX('Competency Event Log'!$L$4:$L$803,MATCH('Employee Transcript'!$C$4&amp;"|"&amp;BT71,'Competency Event Log'!$U$4:$U$803,0)),""))</f>
        <v/>
      </c>
      <c r="CA71" t="str">
        <f>IF(N(BV71)&gt;0,COUNTIF($BV$4:BV71,"&gt;0"),"")</f>
        <v/>
      </c>
      <c r="CB71" t="str">
        <f>IF(AND('Competency Event Log'!$B71='Employee Transcript'!$C$4,'Competency Event Log'!$I71&lt;&gt;"Yes"),'Competency Event Log'!$K71,"")</f>
        <v/>
      </c>
      <c r="CC71" t="str">
        <f t="shared" si="28"/>
        <v/>
      </c>
      <c r="CD71" t="str">
        <f>IF(Certifications!$A71='Employee Transcript'!$C$4,71,"")</f>
        <v/>
      </c>
      <c r="CE71" t="str">
        <f>IF(CD71="","",COUNTIF($CD$4:CD71,"&gt;0"))</f>
        <v/>
      </c>
      <c r="CF71" t="str">
        <f>IF(AND('Training Plan'!$A72='Employee Transcript'!$C$4,'Training Plan'!$F72&lt;&gt;"Complete"),72,"")</f>
        <v/>
      </c>
      <c r="CG71" t="str">
        <f>IF(CF71="","",COUNTIF($CF$4:CF71,"&gt;0"))</f>
        <v/>
      </c>
    </row>
    <row r="72" spans="1:85">
      <c r="A72" s="2"/>
      <c r="B72" s="1"/>
      <c r="C72" s="1"/>
      <c r="D72" s="1"/>
      <c r="E72" s="1"/>
      <c r="F72" s="3"/>
      <c r="G72" s="1"/>
      <c r="H72" s="4"/>
      <c r="I72" s="1" t="s">
        <v>1136</v>
      </c>
      <c r="J72" s="1" t="s">
        <v>1134</v>
      </c>
      <c r="K72" s="1" t="s">
        <v>309</v>
      </c>
      <c r="L72" s="1" t="s">
        <v>27</v>
      </c>
      <c r="M72" s="1">
        <v>4</v>
      </c>
      <c r="N72" s="1" t="s">
        <v>27</v>
      </c>
      <c r="P72" s="1" t="s">
        <v>1134</v>
      </c>
      <c r="Q72" s="1" t="s">
        <v>309</v>
      </c>
      <c r="R72" s="1">
        <v>4</v>
      </c>
      <c r="S72" s="1">
        <f>COUNTIF('Skills Matrix'!$BW$6:$BW$205,3)</f>
        <v>2</v>
      </c>
      <c r="T72" s="1">
        <f t="shared" si="19"/>
        <v>2</v>
      </c>
      <c r="U72" s="1">
        <f>IF(AND(T72&gt;0,OR('HR Quick View'!$F$24="All Departments",Q72='HR Quick View'!$F$24)),COUNTIFS($T$4:$T$108,"&gt;"&amp;T72,$Q$4:$Q$108,IF('HR Quick View'!$F$24="All Departments","*",'HR Quick View'!$F$24))+COUNTIFS($T$4:T72,T72,$Q$4:Q72,IF('HR Quick View'!$F$24="All Departments","*",'HR Quick View'!$F$24)),"")</f>
        <v>42</v>
      </c>
      <c r="W72" s="1" t="s">
        <v>1134</v>
      </c>
      <c r="X72" s="1" t="s">
        <v>309</v>
      </c>
      <c r="Y72" s="1" t="s">
        <v>27</v>
      </c>
      <c r="Z72" s="1" t="str">
        <f>IF('HR Quick View'!$C$9="","",IF(COUNTIFS('Competency Event Log'!$B$4:$B$803,'HR Quick View'!$C$9,'Competency Event Log'!$C$4:$C$803,W72,'Competency Event Log'!$T$4:$T$803,"Current")=0,"",SUMIFS('Competency Event Log'!$D$4:$D$803,'Competency Event Log'!$B$4:$B$803,'HR Quick View'!$C$9,'Competency Event Log'!$C$4:$C$803,W72,'Competency Event Log'!$T$4:$T$803,"Current")))</f>
        <v/>
      </c>
      <c r="AA72" s="1" t="str">
        <f>IF($Z72="","",IF('HR Quick View'!$B$10="Qualified only",IF($Z72=3,COUNTIF($Z$4:$Z72,3),""),IF('HR Quick View'!$B$10="Developing only",IF(OR($Z72=1,$Z72=2),COUNTIF($Z$4:$Z$108,"&gt;"&amp;$Z72)+COUNTIF($Z$4:$Z72,$Z72)-COUNTIF($Z$4:$Z$108,3),""),IF('HR Quick View'!$B$10="All scored",COUNTIF($Z$4:$Z$108,"&gt;"&amp;$Z72)+COUNTIF($Z$4:$Z72,$Z72),""))))</f>
        <v/>
      </c>
      <c r="AB72" s="1" t="str">
        <f>""</f>
        <v/>
      </c>
      <c r="AC72" s="1">
        <f t="shared" si="20"/>
        <v>4</v>
      </c>
      <c r="AD72" s="1">
        <f t="shared" si="21"/>
        <v>2</v>
      </c>
      <c r="AE72" s="1">
        <f t="shared" si="22"/>
        <v>2</v>
      </c>
      <c r="AF72" s="1" t="str">
        <f>IFERROR(IF(Lists!$B72="","",Lists!$B72),"")</f>
        <v/>
      </c>
      <c r="AG72" s="1" t="str">
        <f>IFERROR(IF(Lists!$B72="","",Lists!$C72),"")</f>
        <v/>
      </c>
      <c r="AH72" s="1" t="str">
        <f>IFERROR(IF(Lists!$B72="","",Lists!$D72),"")</f>
        <v/>
      </c>
      <c r="AI72" s="1" t="str">
        <f>IF(AF72="","",IFERROR(INDEX('Skills Matrix'!$G$6:$DE$205,MATCH(AF72,'Skills Matrix'!$B$6:$B$205,0),MATCH('HR Quick View'!$J$9,'Skills Matrix'!$G$5:$DE$5,0)),""))</f>
        <v/>
      </c>
      <c r="AJ72" s="1" t="str">
        <f t="shared" si="23"/>
        <v/>
      </c>
      <c r="AK72" s="1" t="str">
        <f>IFERROR(IF(Lists!$B72="","",Lists!$E72),"")</f>
        <v/>
      </c>
      <c r="AL72" s="1" t="str">
        <f>IF(AND(OR('HR Quick View'!$L$10="All Shifts",AH72='HR Quick View'!$L$10),OR(AND('HR Quick View'!$I$10="Qualified only",AI72=3),AND('HR Quick View'!$I$10="All trained",AI72&gt;0))),IF('HR Quick View'!$L$10="All Shifts",COUNTIF($AI$4:$AI$203,"&gt;"&amp;AI72)+COUNTIF($AI$4:AI72,AI72),COUNTIFS($AI$4:$AI$203,"&gt;"&amp;AI72,$AH$4:$AH$203,'HR Quick View'!$L$10)+COUNTIFS($AI$4:AI72,AI72,$AH$4:AH72,'HR Quick View'!$L$10)),"")</f>
        <v/>
      </c>
      <c r="AP72" s="17" t="str">
        <f>IFERROR(IF(Lists!$J72="","",Lists!$J72),"")</f>
        <v>Postmortem Facilitation</v>
      </c>
      <c r="AQ72" s="17" t="str">
        <f>IFERROR(IF(Lists!$J72="","",Lists!$K72),"")</f>
        <v>Cloud &amp; Reliability</v>
      </c>
      <c r="AR72" s="17" t="str">
        <f>IFERROR(IF(Lists!$J72="","",Lists!$L72),"")</f>
        <v>Yes</v>
      </c>
      <c r="AS72" s="17">
        <f>IFERROR(IF(Lists!$J72="","",Lists!$M72),0)</f>
        <v>4</v>
      </c>
      <c r="AT72" s="17">
        <f>IF(AP72="","",COUNTIF('Skills Matrix'!$BW$6:$BW$205,3))</f>
        <v>2</v>
      </c>
      <c r="AU72" s="17">
        <f>IF(AP72="","",COUNTIF('Skills Matrix'!$BW$6:$BW$205,2))</f>
        <v>0</v>
      </c>
      <c r="AV72" s="17">
        <f t="shared" si="24"/>
        <v>2</v>
      </c>
      <c r="AW72" s="17">
        <f>IF(OR(AP72="",AS72&lt;=0,AV72&lt;=0,AND('Skill Management'!$D$4&lt;&gt;"All Departments",AQ72&lt;&gt;'Skill Management'!$D$4)),"",IF(AT72=0,100000,0)+IF(AR72="Yes",10000,0)+AV72*100+AU72)</f>
        <v>10200</v>
      </c>
      <c r="AX72" s="17">
        <f>IF(AW72="","",COUNTIF($AW$4:$AW$106,"&gt;"&amp;AW72)+COUNTIF($AW$4:AW72,AW72))</f>
        <v>56</v>
      </c>
      <c r="AY72" s="17" t="str">
        <f>IFERROR(IF(Lists!$J72="","",Lists!$N72),"")</f>
        <v>Yes</v>
      </c>
      <c r="BA72" s="17" t="str">
        <f>IFERROR(IF('Training Plan'!$A73="","",'Training Plan'!$A73),"")</f>
        <v/>
      </c>
      <c r="BB72" s="17" t="str">
        <f>IFERROR(IF('Training Plan'!$A73="","",'Training Plan'!$B73),"")</f>
        <v/>
      </c>
      <c r="BC72" s="17" t="str">
        <f>IFERROR(IF('Training Plan'!$A73="","",'Training Plan'!$C73),"")</f>
        <v/>
      </c>
      <c r="BD72" s="17" t="str">
        <f>IFERROR(IF('Training Plan'!$A73="","",'Training Plan'!$D73),"")</f>
        <v/>
      </c>
      <c r="BE72" s="17" t="str">
        <f>IFERROR(IF('Training Plan'!$A73="","",'Training Plan'!$E73),"")</f>
        <v/>
      </c>
      <c r="BF72" s="17" t="str">
        <f>IFERROR(IF('Training Plan'!$A73="","",'Training Plan'!$F73),"")</f>
        <v/>
      </c>
      <c r="BG72" s="17" t="str">
        <f>IFERROR(IF('Training Plan'!$A73="","",'Training Plan'!$G73),"")</f>
        <v/>
      </c>
      <c r="BH72" s="17" t="str">
        <f>IFERROR(IF('Training Plan'!$A73="","",'Training Plan'!$H73),"")</f>
        <v/>
      </c>
      <c r="BI72" s="17" t="str">
        <f>IF(OR(BA72="",BF72="Complete",AND('Skill Management'!$D$4&lt;&gt;"All Departments",BB72&lt;&gt;'Skill Management'!$D$4)),"",IF(BF72="Blocked",100000,IF(BF72="In Progress",200000,300000))+IF(BE72="",99999,BE72))</f>
        <v/>
      </c>
      <c r="BJ72" s="17" t="str">
        <f>IF(BI72="","",COUNTIFS($BI$4:$BI$203,"&gt;0",$BI$4:$BI$203,"&lt;"&amp;BI72)+COUNTIF($BI$4:BI72,BI72))</f>
        <v/>
      </c>
      <c r="BT72" t="str">
        <f t="shared" si="25"/>
        <v>Postmortem Facilitation</v>
      </c>
      <c r="BU72" t="str">
        <f t="shared" si="26"/>
        <v>Cloud &amp; Reliability</v>
      </c>
      <c r="BV72" t="str">
        <f>IF(BT72="","",IFERROR(INDEX('Skills Matrix'!$G$6:$DE$205,MATCH('Employee Transcript'!$C$4,'Skills Matrix'!$B$6:$B$205,0),MATCH(BT72,'Skills Matrix'!$G$5:$DE$5,0)),""))</f>
        <v/>
      </c>
      <c r="BW72" t="str">
        <f>IF(BT72="","",IFERROR(INDEX('Competency Event Log'!$E$4:$E$803,MATCH('Employee Transcript'!$C$4&amp;"|"&amp;BT72,'Competency Event Log'!$U$4:$U$803,0)),""))</f>
        <v/>
      </c>
      <c r="BX72" t="str">
        <f>IF(BT72="","",IF(BU72='Employee Transcript'!$B$7,"Home Department","Cross-Trained"))</f>
        <v>Cross-Trained</v>
      </c>
      <c r="BY72" t="str">
        <f t="shared" si="27"/>
        <v>Yes</v>
      </c>
      <c r="BZ72" t="str">
        <f>IF(BT72="","",IFERROR(INDEX('Competency Event Log'!$L$4:$L$803,MATCH('Employee Transcript'!$C$4&amp;"|"&amp;BT72,'Competency Event Log'!$U$4:$U$803,0)),""))</f>
        <v/>
      </c>
      <c r="CA72" t="str">
        <f>IF(N(BV72)&gt;0,COUNTIF($BV$4:BV72,"&gt;0"),"")</f>
        <v/>
      </c>
      <c r="CB72" t="str">
        <f>IF(AND('Competency Event Log'!$B72='Employee Transcript'!$C$4,'Competency Event Log'!$I72&lt;&gt;"Yes"),'Competency Event Log'!$K72,"")</f>
        <v/>
      </c>
      <c r="CC72" t="str">
        <f t="shared" si="28"/>
        <v/>
      </c>
      <c r="CD72" t="str">
        <f>IF(Certifications!$A72='Employee Transcript'!$C$4,72,"")</f>
        <v/>
      </c>
      <c r="CE72" t="str">
        <f>IF(CD72="","",COUNTIF($CD$4:CD72,"&gt;0"))</f>
        <v/>
      </c>
      <c r="CF72" t="str">
        <f>IF(AND('Training Plan'!$A73='Employee Transcript'!$C$4,'Training Plan'!$F73&lt;&gt;"Complete"),73,"")</f>
        <v/>
      </c>
      <c r="CG72" t="str">
        <f>IF(CF72="","",COUNTIF($CF$4:CF72,"&gt;0"))</f>
        <v/>
      </c>
    </row>
    <row r="73" spans="1:85">
      <c r="A73" s="2"/>
      <c r="B73" s="1"/>
      <c r="C73" s="1"/>
      <c r="D73" s="1"/>
      <c r="E73" s="1"/>
      <c r="F73" s="3"/>
      <c r="G73" s="1"/>
      <c r="H73" s="4"/>
      <c r="I73" s="1" t="s">
        <v>994</v>
      </c>
      <c r="J73" s="1" t="s">
        <v>992</v>
      </c>
      <c r="K73" s="1" t="s">
        <v>309</v>
      </c>
      <c r="L73" s="1" t="s">
        <v>27</v>
      </c>
      <c r="M73" s="1">
        <v>4</v>
      </c>
      <c r="N73" s="1" t="s">
        <v>27</v>
      </c>
      <c r="P73" s="1" t="s">
        <v>992</v>
      </c>
      <c r="Q73" s="1" t="s">
        <v>309</v>
      </c>
      <c r="R73" s="1">
        <v>4</v>
      </c>
      <c r="S73" s="1">
        <f>COUNTIF('Skills Matrix'!$BX$6:$BX$205,3)</f>
        <v>3</v>
      </c>
      <c r="T73" s="1">
        <f t="shared" si="19"/>
        <v>1</v>
      </c>
      <c r="U73" s="1">
        <f>IF(AND(T73&gt;0,OR('HR Quick View'!$F$24="All Departments",Q73='HR Quick View'!$F$24)),COUNTIFS($T$4:$T$108,"&gt;"&amp;T73,$Q$4:$Q$108,IF('HR Quick View'!$F$24="All Departments","*",'HR Quick View'!$F$24))+COUNTIFS($T$4:T73,T73,$Q$4:Q73,IF('HR Quick View'!$F$24="All Departments","*",'HR Quick View'!$F$24)),"")</f>
        <v>52</v>
      </c>
      <c r="W73" s="1" t="s">
        <v>992</v>
      </c>
      <c r="X73" s="1" t="s">
        <v>309</v>
      </c>
      <c r="Y73" s="1" t="s">
        <v>27</v>
      </c>
      <c r="Z73" s="1" t="str">
        <f>IF('HR Quick View'!$C$9="","",IF(COUNTIFS('Competency Event Log'!$B$4:$B$803,'HR Quick View'!$C$9,'Competency Event Log'!$C$4:$C$803,W73,'Competency Event Log'!$T$4:$T$803,"Current")=0,"",SUMIFS('Competency Event Log'!$D$4:$D$803,'Competency Event Log'!$B$4:$B$803,'HR Quick View'!$C$9,'Competency Event Log'!$C$4:$C$803,W73,'Competency Event Log'!$T$4:$T$803,"Current")))</f>
        <v/>
      </c>
      <c r="AA73" s="1" t="str">
        <f>IF($Z73="","",IF('HR Quick View'!$B$10="Qualified only",IF($Z73=3,COUNTIF($Z$4:$Z73,3),""),IF('HR Quick View'!$B$10="Developing only",IF(OR($Z73=1,$Z73=2),COUNTIF($Z$4:$Z$108,"&gt;"&amp;$Z73)+COUNTIF($Z$4:$Z73,$Z73)-COUNTIF($Z$4:$Z$108,3),""),IF('HR Quick View'!$B$10="All scored",COUNTIF($Z$4:$Z$108,"&gt;"&amp;$Z73)+COUNTIF($Z$4:$Z73,$Z73),""))))</f>
        <v/>
      </c>
      <c r="AB73" s="1" t="str">
        <f>""</f>
        <v/>
      </c>
      <c r="AC73" s="1">
        <f t="shared" si="20"/>
        <v>4</v>
      </c>
      <c r="AD73" s="1">
        <f t="shared" si="21"/>
        <v>3</v>
      </c>
      <c r="AE73" s="1">
        <f t="shared" si="22"/>
        <v>1</v>
      </c>
      <c r="AF73" s="1" t="str">
        <f>IFERROR(IF(Lists!$B73="","",Lists!$B73),"")</f>
        <v/>
      </c>
      <c r="AG73" s="1" t="str">
        <f>IFERROR(IF(Lists!$B73="","",Lists!$C73),"")</f>
        <v/>
      </c>
      <c r="AH73" s="1" t="str">
        <f>IFERROR(IF(Lists!$B73="","",Lists!$D73),"")</f>
        <v/>
      </c>
      <c r="AI73" s="1" t="str">
        <f>IF(AF73="","",IFERROR(INDEX('Skills Matrix'!$G$6:$DE$205,MATCH(AF73,'Skills Matrix'!$B$6:$B$205,0),MATCH('HR Quick View'!$J$9,'Skills Matrix'!$G$5:$DE$5,0)),""))</f>
        <v/>
      </c>
      <c r="AJ73" s="1" t="str">
        <f t="shared" si="23"/>
        <v/>
      </c>
      <c r="AK73" s="1" t="str">
        <f>IFERROR(IF(Lists!$B73="","",Lists!$E73),"")</f>
        <v/>
      </c>
      <c r="AL73" s="1" t="str">
        <f>IF(AND(OR('HR Quick View'!$L$10="All Shifts",AH73='HR Quick View'!$L$10),OR(AND('HR Quick View'!$I$10="Qualified only",AI73=3),AND('HR Quick View'!$I$10="All trained",AI73&gt;0))),IF('HR Quick View'!$L$10="All Shifts",COUNTIF($AI$4:$AI$203,"&gt;"&amp;AI73)+COUNTIF($AI$4:AI73,AI73),COUNTIFS($AI$4:$AI$203,"&gt;"&amp;AI73,$AH$4:$AH$203,'HR Quick View'!$L$10)+COUNTIFS($AI$4:AI73,AI73,$AH$4:AH73,'HR Quick View'!$L$10)),"")</f>
        <v/>
      </c>
      <c r="AP73" s="17" t="str">
        <f>IFERROR(IF(Lists!$J73="","",Lists!$J73),"")</f>
        <v>Reliability Testing</v>
      </c>
      <c r="AQ73" s="17" t="str">
        <f>IFERROR(IF(Lists!$J73="","",Lists!$K73),"")</f>
        <v>Cloud &amp; Reliability</v>
      </c>
      <c r="AR73" s="17" t="str">
        <f>IFERROR(IF(Lists!$J73="","",Lists!$L73),"")</f>
        <v>Yes</v>
      </c>
      <c r="AS73" s="17">
        <f>IFERROR(IF(Lists!$J73="","",Lists!$M73),0)</f>
        <v>4</v>
      </c>
      <c r="AT73" s="17">
        <f>IF(AP73="","",COUNTIF('Skills Matrix'!$BX$6:$BX$205,3))</f>
        <v>3</v>
      </c>
      <c r="AU73" s="17">
        <f>IF(AP73="","",COUNTIF('Skills Matrix'!$BX$6:$BX$205,2))</f>
        <v>0</v>
      </c>
      <c r="AV73" s="17">
        <f t="shared" si="24"/>
        <v>1</v>
      </c>
      <c r="AW73" s="17">
        <f>IF(OR(AP73="",AS73&lt;=0,AV73&lt;=0,AND('Skill Management'!$D$4&lt;&gt;"All Departments",AQ73&lt;&gt;'Skill Management'!$D$4)),"",IF(AT73=0,100000,0)+IF(AR73="Yes",10000,0)+AV73*100+AU73)</f>
        <v>10100</v>
      </c>
      <c r="AX73" s="17">
        <f>IF(AW73="","",COUNTIF($AW$4:$AW$106,"&gt;"&amp;AW73)+COUNTIF($AW$4:AW73,AW73))</f>
        <v>67</v>
      </c>
      <c r="AY73" s="17" t="str">
        <f>IFERROR(IF(Lists!$J73="","",Lists!$N73),"")</f>
        <v>Yes</v>
      </c>
      <c r="BA73" s="17" t="str">
        <f>IFERROR(IF('Training Plan'!$A74="","",'Training Plan'!$A74),"")</f>
        <v/>
      </c>
      <c r="BB73" s="17" t="str">
        <f>IFERROR(IF('Training Plan'!$A74="","",'Training Plan'!$B74),"")</f>
        <v/>
      </c>
      <c r="BC73" s="17" t="str">
        <f>IFERROR(IF('Training Plan'!$A74="","",'Training Plan'!$C74),"")</f>
        <v/>
      </c>
      <c r="BD73" s="17" t="str">
        <f>IFERROR(IF('Training Plan'!$A74="","",'Training Plan'!$D74),"")</f>
        <v/>
      </c>
      <c r="BE73" s="17" t="str">
        <f>IFERROR(IF('Training Plan'!$A74="","",'Training Plan'!$E74),"")</f>
        <v/>
      </c>
      <c r="BF73" s="17" t="str">
        <f>IFERROR(IF('Training Plan'!$A74="","",'Training Plan'!$F74),"")</f>
        <v/>
      </c>
      <c r="BG73" s="17" t="str">
        <f>IFERROR(IF('Training Plan'!$A74="","",'Training Plan'!$G74),"")</f>
        <v/>
      </c>
      <c r="BH73" s="17" t="str">
        <f>IFERROR(IF('Training Plan'!$A74="","",'Training Plan'!$H74),"")</f>
        <v/>
      </c>
      <c r="BI73" s="17" t="str">
        <f>IF(OR(BA73="",BF73="Complete",AND('Skill Management'!$D$4&lt;&gt;"All Departments",BB73&lt;&gt;'Skill Management'!$D$4)),"",IF(BF73="Blocked",100000,IF(BF73="In Progress",200000,300000))+IF(BE73="",99999,BE73))</f>
        <v/>
      </c>
      <c r="BJ73" s="17" t="str">
        <f>IF(BI73="","",COUNTIFS($BI$4:$BI$203,"&gt;0",$BI$4:$BI$203,"&lt;"&amp;BI73)+COUNTIF($BI$4:BI73,BI73))</f>
        <v/>
      </c>
      <c r="BT73" t="str">
        <f t="shared" si="25"/>
        <v>Reliability Testing</v>
      </c>
      <c r="BU73" t="str">
        <f t="shared" si="26"/>
        <v>Cloud &amp; Reliability</v>
      </c>
      <c r="BV73" t="str">
        <f>IF(BT73="","",IFERROR(INDEX('Skills Matrix'!$G$6:$DE$205,MATCH('Employee Transcript'!$C$4,'Skills Matrix'!$B$6:$B$205,0),MATCH(BT73,'Skills Matrix'!$G$5:$DE$5,0)),""))</f>
        <v/>
      </c>
      <c r="BW73" t="str">
        <f>IF(BT73="","",IFERROR(INDEX('Competency Event Log'!$E$4:$E$803,MATCH('Employee Transcript'!$C$4&amp;"|"&amp;BT73,'Competency Event Log'!$U$4:$U$803,0)),""))</f>
        <v/>
      </c>
      <c r="BX73" t="str">
        <f>IF(BT73="","",IF(BU73='Employee Transcript'!$B$7,"Home Department","Cross-Trained"))</f>
        <v>Cross-Trained</v>
      </c>
      <c r="BY73" t="str">
        <f t="shared" si="27"/>
        <v>Yes</v>
      </c>
      <c r="BZ73" t="str">
        <f>IF(BT73="","",IFERROR(INDEX('Competency Event Log'!$L$4:$L$803,MATCH('Employee Transcript'!$C$4&amp;"|"&amp;BT73,'Competency Event Log'!$U$4:$U$803,0)),""))</f>
        <v/>
      </c>
      <c r="CA73" t="str">
        <f>IF(N(BV73)&gt;0,COUNTIF($BV$4:BV73,"&gt;0"),"")</f>
        <v/>
      </c>
      <c r="CB73" t="str">
        <f>IF(AND('Competency Event Log'!$B73='Employee Transcript'!$C$4,'Competency Event Log'!$I73&lt;&gt;"Yes"),'Competency Event Log'!$K73,"")</f>
        <v/>
      </c>
      <c r="CC73" t="str">
        <f t="shared" si="28"/>
        <v/>
      </c>
      <c r="CD73" t="str">
        <f>IF(Certifications!$A73='Employee Transcript'!$C$4,73,"")</f>
        <v/>
      </c>
      <c r="CE73" t="str">
        <f>IF(CD73="","",COUNTIF($CD$4:CD73,"&gt;0"))</f>
        <v/>
      </c>
      <c r="CF73" t="str">
        <f>IF(AND('Training Plan'!$A74='Employee Transcript'!$C$4,'Training Plan'!$F74&lt;&gt;"Complete"),74,"")</f>
        <v/>
      </c>
      <c r="CG73" t="str">
        <f>IF(CF73="","",COUNTIF($CF$4:CF73,"&gt;0"))</f>
        <v/>
      </c>
    </row>
    <row r="74" spans="1:85">
      <c r="A74" s="2"/>
      <c r="B74" s="1"/>
      <c r="C74" s="1"/>
      <c r="D74" s="1"/>
      <c r="E74" s="1"/>
      <c r="F74" s="3"/>
      <c r="G74" s="1"/>
      <c r="H74" s="4"/>
      <c r="I74" s="1" t="s">
        <v>1061</v>
      </c>
      <c r="J74" s="1" t="s">
        <v>1059</v>
      </c>
      <c r="K74" s="1" t="s">
        <v>309</v>
      </c>
      <c r="L74" s="1" t="s">
        <v>27</v>
      </c>
      <c r="M74" s="1">
        <v>4</v>
      </c>
      <c r="N74" s="1" t="s">
        <v>27</v>
      </c>
      <c r="P74" s="1" t="s">
        <v>1059</v>
      </c>
      <c r="Q74" s="1" t="s">
        <v>309</v>
      </c>
      <c r="R74" s="1">
        <v>4</v>
      </c>
      <c r="S74" s="1">
        <f>COUNTIF('Skills Matrix'!$BY$6:$BY$205,3)</f>
        <v>1</v>
      </c>
      <c r="T74" s="1">
        <f t="shared" si="19"/>
        <v>3</v>
      </c>
      <c r="U74" s="1">
        <f>IF(AND(T74&gt;0,OR('HR Quick View'!$F$24="All Departments",Q74='HR Quick View'!$F$24)),COUNTIFS($T$4:$T$108,"&gt;"&amp;T74,$Q$4:$Q$108,IF('HR Quick View'!$F$24="All Departments","*",'HR Quick View'!$F$24))+COUNTIFS($T$4:T74,T74,$Q$4:Q74,IF('HR Quick View'!$F$24="All Departments","*",'HR Quick View'!$F$24)),"")</f>
        <v>33</v>
      </c>
      <c r="W74" s="1" t="s">
        <v>1059</v>
      </c>
      <c r="X74" s="1" t="s">
        <v>309</v>
      </c>
      <c r="Y74" s="1" t="s">
        <v>27</v>
      </c>
      <c r="Z74" s="1" t="str">
        <f>IF('HR Quick View'!$C$9="","",IF(COUNTIFS('Competency Event Log'!$B$4:$B$803,'HR Quick View'!$C$9,'Competency Event Log'!$C$4:$C$803,W74,'Competency Event Log'!$T$4:$T$803,"Current")=0,"",SUMIFS('Competency Event Log'!$D$4:$D$803,'Competency Event Log'!$B$4:$B$803,'HR Quick View'!$C$9,'Competency Event Log'!$C$4:$C$803,W74,'Competency Event Log'!$T$4:$T$803,"Current")))</f>
        <v/>
      </c>
      <c r="AA74" s="1" t="str">
        <f>IF($Z74="","",IF('HR Quick View'!$B$10="Qualified only",IF($Z74=3,COUNTIF($Z$4:$Z74,3),""),IF('HR Quick View'!$B$10="Developing only",IF(OR($Z74=1,$Z74=2),COUNTIF($Z$4:$Z$108,"&gt;"&amp;$Z74)+COUNTIF($Z$4:$Z74,$Z74)-COUNTIF($Z$4:$Z$108,3),""),IF('HR Quick View'!$B$10="All scored",COUNTIF($Z$4:$Z$108,"&gt;"&amp;$Z74)+COUNTIF($Z$4:$Z74,$Z74),""))))</f>
        <v/>
      </c>
      <c r="AB74" s="1" t="str">
        <f>""</f>
        <v/>
      </c>
      <c r="AC74" s="1">
        <f t="shared" si="20"/>
        <v>4</v>
      </c>
      <c r="AD74" s="1">
        <f t="shared" si="21"/>
        <v>1</v>
      </c>
      <c r="AE74" s="1">
        <f t="shared" si="22"/>
        <v>3</v>
      </c>
      <c r="AF74" s="1" t="str">
        <f>IFERROR(IF(Lists!$B74="","",Lists!$B74),"")</f>
        <v/>
      </c>
      <c r="AG74" s="1" t="str">
        <f>IFERROR(IF(Lists!$B74="","",Lists!$C74),"")</f>
        <v/>
      </c>
      <c r="AH74" s="1" t="str">
        <f>IFERROR(IF(Lists!$B74="","",Lists!$D74),"")</f>
        <v/>
      </c>
      <c r="AI74" s="1" t="str">
        <f>IF(AF74="","",IFERROR(INDEX('Skills Matrix'!$G$6:$DE$205,MATCH(AF74,'Skills Matrix'!$B$6:$B$205,0),MATCH('HR Quick View'!$J$9,'Skills Matrix'!$G$5:$DE$5,0)),""))</f>
        <v/>
      </c>
      <c r="AJ74" s="1" t="str">
        <f t="shared" si="23"/>
        <v/>
      </c>
      <c r="AK74" s="1" t="str">
        <f>IFERROR(IF(Lists!$B74="","",Lists!$E74),"")</f>
        <v/>
      </c>
      <c r="AL74" s="1" t="str">
        <f>IF(AND(OR('HR Quick View'!$L$10="All Shifts",AH74='HR Quick View'!$L$10),OR(AND('HR Quick View'!$I$10="Qualified only",AI74=3),AND('HR Quick View'!$I$10="All trained",AI74&gt;0))),IF('HR Quick View'!$L$10="All Shifts",COUNTIF($AI$4:$AI$203,"&gt;"&amp;AI74)+COUNTIF($AI$4:AI74,AI74),COUNTIFS($AI$4:$AI$203,"&gt;"&amp;AI74,$AH$4:$AH$203,'HR Quick View'!$L$10)+COUNTIFS($AI$4:AI74,AI74,$AH$4:AH74,'HR Quick View'!$L$10)),"")</f>
        <v/>
      </c>
      <c r="AP74" s="17" t="str">
        <f>IFERROR(IF(Lists!$J74="","",Lists!$J74),"")</f>
        <v>Service Dependency Mapping</v>
      </c>
      <c r="AQ74" s="17" t="str">
        <f>IFERROR(IF(Lists!$J74="","",Lists!$K74),"")</f>
        <v>Cloud &amp; Reliability</v>
      </c>
      <c r="AR74" s="17" t="str">
        <f>IFERROR(IF(Lists!$J74="","",Lists!$L74),"")</f>
        <v>Yes</v>
      </c>
      <c r="AS74" s="17">
        <f>IFERROR(IF(Lists!$J74="","",Lists!$M74),0)</f>
        <v>4</v>
      </c>
      <c r="AT74" s="17">
        <f>IF(AP74="","",COUNTIF('Skills Matrix'!$BY$6:$BY$205,3))</f>
        <v>1</v>
      </c>
      <c r="AU74" s="17">
        <f>IF(AP74="","",COUNTIF('Skills Matrix'!$BY$6:$BY$205,2))</f>
        <v>1</v>
      </c>
      <c r="AV74" s="17">
        <f t="shared" si="24"/>
        <v>3</v>
      </c>
      <c r="AW74" s="17">
        <f>IF(OR(AP74="",AS74&lt;=0,AV74&lt;=0,AND('Skill Management'!$D$4&lt;&gt;"All Departments",AQ74&lt;&gt;'Skill Management'!$D$4)),"",IF(AT74=0,100000,0)+IF(AR74="Yes",10000,0)+AV74*100+AU74)</f>
        <v>10301</v>
      </c>
      <c r="AX74" s="17">
        <f>IF(AW74="","",COUNTIF($AW$4:$AW$106,"&gt;"&amp;AW74)+COUNTIF($AW$4:AW74,AW74))</f>
        <v>42</v>
      </c>
      <c r="AY74" s="17" t="str">
        <f>IFERROR(IF(Lists!$J74="","",Lists!$N74),"")</f>
        <v>Yes</v>
      </c>
      <c r="BA74" s="17" t="str">
        <f>IFERROR(IF('Training Plan'!$A75="","",'Training Plan'!$A75),"")</f>
        <v/>
      </c>
      <c r="BB74" s="17" t="str">
        <f>IFERROR(IF('Training Plan'!$A75="","",'Training Plan'!$B75),"")</f>
        <v/>
      </c>
      <c r="BC74" s="17" t="str">
        <f>IFERROR(IF('Training Plan'!$A75="","",'Training Plan'!$C75),"")</f>
        <v/>
      </c>
      <c r="BD74" s="17" t="str">
        <f>IFERROR(IF('Training Plan'!$A75="","",'Training Plan'!$D75),"")</f>
        <v/>
      </c>
      <c r="BE74" s="17" t="str">
        <f>IFERROR(IF('Training Plan'!$A75="","",'Training Plan'!$E75),"")</f>
        <v/>
      </c>
      <c r="BF74" s="17" t="str">
        <f>IFERROR(IF('Training Plan'!$A75="","",'Training Plan'!$F75),"")</f>
        <v/>
      </c>
      <c r="BG74" s="17" t="str">
        <f>IFERROR(IF('Training Plan'!$A75="","",'Training Plan'!$G75),"")</f>
        <v/>
      </c>
      <c r="BH74" s="17" t="str">
        <f>IFERROR(IF('Training Plan'!$A75="","",'Training Plan'!$H75),"")</f>
        <v/>
      </c>
      <c r="BI74" s="17" t="str">
        <f>IF(OR(BA74="",BF74="Complete",AND('Skill Management'!$D$4&lt;&gt;"All Departments",BB74&lt;&gt;'Skill Management'!$D$4)),"",IF(BF74="Blocked",100000,IF(BF74="In Progress",200000,300000))+IF(BE74="",99999,BE74))</f>
        <v/>
      </c>
      <c r="BJ74" s="17" t="str">
        <f>IF(BI74="","",COUNTIFS($BI$4:$BI$203,"&gt;0",$BI$4:$BI$203,"&lt;"&amp;BI74)+COUNTIF($BI$4:BI74,BI74))</f>
        <v/>
      </c>
      <c r="BT74" t="str">
        <f t="shared" si="25"/>
        <v>Service Dependency Mapping</v>
      </c>
      <c r="BU74" t="str">
        <f t="shared" si="26"/>
        <v>Cloud &amp; Reliability</v>
      </c>
      <c r="BV74" t="str">
        <f>IF(BT74="","",IFERROR(INDEX('Skills Matrix'!$G$6:$DE$205,MATCH('Employee Transcript'!$C$4,'Skills Matrix'!$B$6:$B$205,0),MATCH(BT74,'Skills Matrix'!$G$5:$DE$5,0)),""))</f>
        <v/>
      </c>
      <c r="BW74" t="str">
        <f>IF(BT74="","",IFERROR(INDEX('Competency Event Log'!$E$4:$E$803,MATCH('Employee Transcript'!$C$4&amp;"|"&amp;BT74,'Competency Event Log'!$U$4:$U$803,0)),""))</f>
        <v/>
      </c>
      <c r="BX74" t="str">
        <f>IF(BT74="","",IF(BU74='Employee Transcript'!$B$7,"Home Department","Cross-Trained"))</f>
        <v>Cross-Trained</v>
      </c>
      <c r="BY74" t="str">
        <f t="shared" si="27"/>
        <v>Yes</v>
      </c>
      <c r="BZ74" t="str">
        <f>IF(BT74="","",IFERROR(INDEX('Competency Event Log'!$L$4:$L$803,MATCH('Employee Transcript'!$C$4&amp;"|"&amp;BT74,'Competency Event Log'!$U$4:$U$803,0)),""))</f>
        <v/>
      </c>
      <c r="CA74" t="str">
        <f>IF(N(BV74)&gt;0,COUNTIF($BV$4:BV74,"&gt;0"),"")</f>
        <v/>
      </c>
      <c r="CB74" t="str">
        <f>IF(AND('Competency Event Log'!$B74='Employee Transcript'!$C$4,'Competency Event Log'!$I74&lt;&gt;"Yes"),'Competency Event Log'!$K74,"")</f>
        <v/>
      </c>
      <c r="CC74" t="str">
        <f t="shared" si="28"/>
        <v/>
      </c>
      <c r="CD74" t="str">
        <f>IF(Certifications!$A74='Employee Transcript'!$C$4,74,"")</f>
        <v/>
      </c>
      <c r="CE74" t="str">
        <f>IF(CD74="","",COUNTIF($CD$4:CD74,"&gt;0"))</f>
        <v/>
      </c>
      <c r="CF74" t="str">
        <f>IF(AND('Training Plan'!$A75='Employee Transcript'!$C$4,'Training Plan'!$F75&lt;&gt;"Complete"),75,"")</f>
        <v/>
      </c>
      <c r="CG74" t="str">
        <f>IF(CF74="","",COUNTIF($CF$4:CF74,"&gt;0"))</f>
        <v/>
      </c>
    </row>
    <row r="75" spans="1:85">
      <c r="A75" s="2"/>
      <c r="B75" s="1"/>
      <c r="C75" s="1"/>
      <c r="D75" s="1"/>
      <c r="E75" s="1"/>
      <c r="F75" s="3"/>
      <c r="G75" s="1"/>
      <c r="H75" s="4"/>
      <c r="I75" s="1" t="s">
        <v>1095</v>
      </c>
      <c r="J75" s="1" t="s">
        <v>1093</v>
      </c>
      <c r="K75" s="1" t="s">
        <v>310</v>
      </c>
      <c r="L75" s="1" t="s">
        <v>27</v>
      </c>
      <c r="M75" s="1">
        <v>4</v>
      </c>
      <c r="N75" s="1" t="s">
        <v>27</v>
      </c>
      <c r="P75" s="1" t="s">
        <v>1093</v>
      </c>
      <c r="Q75" s="1" t="s">
        <v>310</v>
      </c>
      <c r="R75" s="1">
        <v>4</v>
      </c>
      <c r="S75" s="1">
        <f>COUNTIF('Skills Matrix'!$BZ$6:$BZ$205,3)</f>
        <v>1</v>
      </c>
      <c r="T75" s="1">
        <f t="shared" si="19"/>
        <v>3</v>
      </c>
      <c r="U75" s="1">
        <f>IF(AND(T75&gt;0,OR('HR Quick View'!$F$24="All Departments",Q75='HR Quick View'!$F$24)),COUNTIFS($T$4:$T$108,"&gt;"&amp;T75,$Q$4:$Q$108,IF('HR Quick View'!$F$24="All Departments","*",'HR Quick View'!$F$24))+COUNTIFS($T$4:T75,T75,$Q$4:Q75,IF('HR Quick View'!$F$24="All Departments","*",'HR Quick View'!$F$24)),"")</f>
        <v>34</v>
      </c>
      <c r="W75" s="1" t="s">
        <v>1093</v>
      </c>
      <c r="X75" s="1" t="s">
        <v>310</v>
      </c>
      <c r="Y75" s="1" t="s">
        <v>27</v>
      </c>
      <c r="Z75" s="1" t="str">
        <f>IF('HR Quick View'!$C$9="","",IF(COUNTIFS('Competency Event Log'!$B$4:$B$803,'HR Quick View'!$C$9,'Competency Event Log'!$C$4:$C$803,W75,'Competency Event Log'!$T$4:$T$803,"Current")=0,"",SUMIFS('Competency Event Log'!$D$4:$D$803,'Competency Event Log'!$B$4:$B$803,'HR Quick View'!$C$9,'Competency Event Log'!$C$4:$C$803,W75,'Competency Event Log'!$T$4:$T$803,"Current")))</f>
        <v/>
      </c>
      <c r="AA75" s="1" t="str">
        <f>IF($Z75="","",IF('HR Quick View'!$B$10="Qualified only",IF($Z75=3,COUNTIF($Z$4:$Z75,3),""),IF('HR Quick View'!$B$10="Developing only",IF(OR($Z75=1,$Z75=2),COUNTIF($Z$4:$Z$108,"&gt;"&amp;$Z75)+COUNTIF($Z$4:$Z75,$Z75)-COUNTIF($Z$4:$Z$108,3),""),IF('HR Quick View'!$B$10="All scored",COUNTIF($Z$4:$Z$108,"&gt;"&amp;$Z75)+COUNTIF($Z$4:$Z75,$Z75),""))))</f>
        <v/>
      </c>
      <c r="AB75" s="1" t="str">
        <f>""</f>
        <v/>
      </c>
      <c r="AC75" s="1">
        <f t="shared" si="20"/>
        <v>4</v>
      </c>
      <c r="AD75" s="1">
        <f t="shared" si="21"/>
        <v>1</v>
      </c>
      <c r="AE75" s="1">
        <f t="shared" si="22"/>
        <v>3</v>
      </c>
      <c r="AF75" s="1" t="str">
        <f>IFERROR(IF(Lists!$B75="","",Lists!$B75),"")</f>
        <v/>
      </c>
      <c r="AG75" s="1" t="str">
        <f>IFERROR(IF(Lists!$B75="","",Lists!$C75),"")</f>
        <v/>
      </c>
      <c r="AH75" s="1" t="str">
        <f>IFERROR(IF(Lists!$B75="","",Lists!$D75),"")</f>
        <v/>
      </c>
      <c r="AI75" s="1" t="str">
        <f>IF(AF75="","",IFERROR(INDEX('Skills Matrix'!$G$6:$DE$205,MATCH(AF75,'Skills Matrix'!$B$6:$B$205,0),MATCH('HR Quick View'!$J$9,'Skills Matrix'!$G$5:$DE$5,0)),""))</f>
        <v/>
      </c>
      <c r="AJ75" s="1" t="str">
        <f t="shared" si="23"/>
        <v/>
      </c>
      <c r="AK75" s="1" t="str">
        <f>IFERROR(IF(Lists!$B75="","",Lists!$E75),"")</f>
        <v/>
      </c>
      <c r="AL75" s="1" t="str">
        <f>IF(AND(OR('HR Quick View'!$L$10="All Shifts",AH75='HR Quick View'!$L$10),OR(AND('HR Quick View'!$I$10="Qualified only",AI75=3),AND('HR Quick View'!$I$10="All trained",AI75&gt;0))),IF('HR Quick View'!$L$10="All Shifts",COUNTIF($AI$4:$AI$203,"&gt;"&amp;AI75)+COUNTIF($AI$4:AI75,AI75),COUNTIFS($AI$4:$AI$203,"&gt;"&amp;AI75,$AH$4:$AH$203,'HR Quick View'!$L$10)+COUNTIFS($AI$4:AI75,AI75,$AH$4:AH75,'HR Quick View'!$L$10)),"")</f>
        <v/>
      </c>
      <c r="AP75" s="17" t="str">
        <f>IFERROR(IF(Lists!$J75="","",Lists!$J75),"")</f>
        <v>SQL Fundamentals</v>
      </c>
      <c r="AQ75" s="17" t="str">
        <f>IFERROR(IF(Lists!$J75="","",Lists!$K75),"")</f>
        <v>Data &amp; Analytics</v>
      </c>
      <c r="AR75" s="17" t="str">
        <f>IFERROR(IF(Lists!$J75="","",Lists!$L75),"")</f>
        <v>Yes</v>
      </c>
      <c r="AS75" s="17">
        <f>IFERROR(IF(Lists!$J75="","",Lists!$M75),0)</f>
        <v>4</v>
      </c>
      <c r="AT75" s="17">
        <f>IF(AP75="","",COUNTIF('Skills Matrix'!$BZ$6:$BZ$205,3))</f>
        <v>1</v>
      </c>
      <c r="AU75" s="17">
        <f>IF(AP75="","",COUNTIF('Skills Matrix'!$BZ$6:$BZ$205,2))</f>
        <v>0</v>
      </c>
      <c r="AV75" s="17">
        <f t="shared" si="24"/>
        <v>3</v>
      </c>
      <c r="AW75" s="17">
        <f>IF(OR(AP75="",AS75&lt;=0,AV75&lt;=0,AND('Skill Management'!$D$4&lt;&gt;"All Departments",AQ75&lt;&gt;'Skill Management'!$D$4)),"",IF(AT75=0,100000,0)+IF(AR75="Yes",10000,0)+AV75*100+AU75)</f>
        <v>10300</v>
      </c>
      <c r="AX75" s="17">
        <f>IF(AW75="","",COUNTIF($AW$4:$AW$106,"&gt;"&amp;AW75)+COUNTIF($AW$4:AW75,AW75))</f>
        <v>45</v>
      </c>
      <c r="AY75" s="17" t="str">
        <f>IFERROR(IF(Lists!$J75="","",Lists!$N75),"")</f>
        <v>Yes</v>
      </c>
      <c r="BA75" s="17" t="str">
        <f>IFERROR(IF('Training Plan'!$A76="","",'Training Plan'!$A76),"")</f>
        <v/>
      </c>
      <c r="BB75" s="17" t="str">
        <f>IFERROR(IF('Training Plan'!$A76="","",'Training Plan'!$B76),"")</f>
        <v/>
      </c>
      <c r="BC75" s="17" t="str">
        <f>IFERROR(IF('Training Plan'!$A76="","",'Training Plan'!$C76),"")</f>
        <v/>
      </c>
      <c r="BD75" s="17" t="str">
        <f>IFERROR(IF('Training Plan'!$A76="","",'Training Plan'!$D76),"")</f>
        <v/>
      </c>
      <c r="BE75" s="17" t="str">
        <f>IFERROR(IF('Training Plan'!$A76="","",'Training Plan'!$E76),"")</f>
        <v/>
      </c>
      <c r="BF75" s="17" t="str">
        <f>IFERROR(IF('Training Plan'!$A76="","",'Training Plan'!$F76),"")</f>
        <v/>
      </c>
      <c r="BG75" s="17" t="str">
        <f>IFERROR(IF('Training Plan'!$A76="","",'Training Plan'!$G76),"")</f>
        <v/>
      </c>
      <c r="BH75" s="17" t="str">
        <f>IFERROR(IF('Training Plan'!$A76="","",'Training Plan'!$H76),"")</f>
        <v/>
      </c>
      <c r="BI75" s="17" t="str">
        <f>IF(OR(BA75="",BF75="Complete",AND('Skill Management'!$D$4&lt;&gt;"All Departments",BB75&lt;&gt;'Skill Management'!$D$4)),"",IF(BF75="Blocked",100000,IF(BF75="In Progress",200000,300000))+IF(BE75="",99999,BE75))</f>
        <v/>
      </c>
      <c r="BJ75" s="17" t="str">
        <f>IF(BI75="","",COUNTIFS($BI$4:$BI$203,"&gt;0",$BI$4:$BI$203,"&lt;"&amp;BI75)+COUNTIF($BI$4:BI75,BI75))</f>
        <v/>
      </c>
      <c r="BT75" t="str">
        <f t="shared" si="25"/>
        <v>SQL Fundamentals</v>
      </c>
      <c r="BU75" t="str">
        <f t="shared" si="26"/>
        <v>Data &amp; Analytics</v>
      </c>
      <c r="BV75" t="str">
        <f>IF(BT75="","",IFERROR(INDEX('Skills Matrix'!$G$6:$DE$205,MATCH('Employee Transcript'!$C$4,'Skills Matrix'!$B$6:$B$205,0),MATCH(BT75,'Skills Matrix'!$G$5:$DE$5,0)),""))</f>
        <v/>
      </c>
      <c r="BW75" t="str">
        <f>IF(BT75="","",IFERROR(INDEX('Competency Event Log'!$E$4:$E$803,MATCH('Employee Transcript'!$C$4&amp;"|"&amp;BT75,'Competency Event Log'!$U$4:$U$803,0)),""))</f>
        <v/>
      </c>
      <c r="BX75" t="str">
        <f>IF(BT75="","",IF(BU75='Employee Transcript'!$B$7,"Home Department","Cross-Trained"))</f>
        <v>Cross-Trained</v>
      </c>
      <c r="BY75" t="str">
        <f t="shared" si="27"/>
        <v>Yes</v>
      </c>
      <c r="BZ75" t="str">
        <f>IF(BT75="","",IFERROR(INDEX('Competency Event Log'!$L$4:$L$803,MATCH('Employee Transcript'!$C$4&amp;"|"&amp;BT75,'Competency Event Log'!$U$4:$U$803,0)),""))</f>
        <v/>
      </c>
      <c r="CA75" t="str">
        <f>IF(N(BV75)&gt;0,COUNTIF($BV$4:BV75,"&gt;0"),"")</f>
        <v/>
      </c>
      <c r="CB75" t="str">
        <f>IF(AND('Competency Event Log'!$B75='Employee Transcript'!$C$4,'Competency Event Log'!$I75&lt;&gt;"Yes"),'Competency Event Log'!$K75,"")</f>
        <v/>
      </c>
      <c r="CC75" t="str">
        <f t="shared" si="28"/>
        <v/>
      </c>
      <c r="CD75" t="str">
        <f>IF(Certifications!$A75='Employee Transcript'!$C$4,75,"")</f>
        <v/>
      </c>
      <c r="CE75" t="str">
        <f>IF(CD75="","",COUNTIF($CD$4:CD75,"&gt;0"))</f>
        <v/>
      </c>
      <c r="CF75" t="str">
        <f>IF(AND('Training Plan'!$A76='Employee Transcript'!$C$4,'Training Plan'!$F76&lt;&gt;"Complete"),76,"")</f>
        <v/>
      </c>
      <c r="CG75" t="str">
        <f>IF(CF75="","",COUNTIF($CF$4:CF75,"&gt;0"))</f>
        <v/>
      </c>
    </row>
    <row r="76" spans="1:85">
      <c r="A76" s="2"/>
      <c r="B76" s="1"/>
      <c r="C76" s="1"/>
      <c r="D76" s="1"/>
      <c r="E76" s="1"/>
      <c r="F76" s="3"/>
      <c r="G76" s="1"/>
      <c r="H76" s="4"/>
      <c r="I76" s="1" t="s">
        <v>1013</v>
      </c>
      <c r="J76" s="1" t="s">
        <v>1225</v>
      </c>
      <c r="K76" s="1" t="s">
        <v>310</v>
      </c>
      <c r="L76" s="1" t="s">
        <v>27</v>
      </c>
      <c r="M76" s="1">
        <v>4</v>
      </c>
      <c r="N76" s="1" t="s">
        <v>27</v>
      </c>
      <c r="P76" s="1" t="s">
        <v>1225</v>
      </c>
      <c r="Q76" s="1" t="s">
        <v>310</v>
      </c>
      <c r="R76" s="1">
        <v>10</v>
      </c>
      <c r="S76" s="1">
        <f>COUNTIF('Skills Matrix'!$CA$6:$CA$205,3)</f>
        <v>0</v>
      </c>
      <c r="T76" s="1">
        <f t="shared" si="19"/>
        <v>10</v>
      </c>
      <c r="U76" s="1">
        <f>IF(AND(T76&gt;0,OR('HR Quick View'!$F$24="All Departments",Q76='HR Quick View'!$F$24)),COUNTIFS($T$4:$T$108,"&gt;"&amp;T76,$Q$4:$Q$108,IF('HR Quick View'!$F$24="All Departments","*",'HR Quick View'!$F$24))+COUNTIFS($T$4:T76,T76,$Q$4:Q76,IF('HR Quick View'!$F$24="All Departments","*",'HR Quick View'!$F$24)),"")</f>
        <v>3</v>
      </c>
      <c r="W76" s="1" t="s">
        <v>1225</v>
      </c>
      <c r="X76" s="1" t="s">
        <v>310</v>
      </c>
      <c r="Y76" s="1" t="s">
        <v>27</v>
      </c>
      <c r="Z76" s="1" t="str">
        <f>IF('HR Quick View'!$C$9="","",IF(COUNTIFS('Competency Event Log'!$B$4:$B$803,'HR Quick View'!$C$9,'Competency Event Log'!$C$4:$C$803,W76,'Competency Event Log'!$T$4:$T$803,"Current")=0,"",SUMIFS('Competency Event Log'!$D$4:$D$803,'Competency Event Log'!$B$4:$B$803,'HR Quick View'!$C$9,'Competency Event Log'!$C$4:$C$803,W76,'Competency Event Log'!$T$4:$T$803,"Current")))</f>
        <v/>
      </c>
      <c r="AA76" s="1" t="str">
        <f>IF($Z76="","",IF('HR Quick View'!$B$10="Qualified only",IF($Z76=3,COUNTIF($Z$4:$Z76,3),""),IF('HR Quick View'!$B$10="Developing only",IF(OR($Z76=1,$Z76=2),COUNTIF($Z$4:$Z$108,"&gt;"&amp;$Z76)+COUNTIF($Z$4:$Z76,$Z76)-COUNTIF($Z$4:$Z$108,3),""),IF('HR Quick View'!$B$10="All scored",COUNTIF($Z$4:$Z$108,"&gt;"&amp;$Z76)+COUNTIF($Z$4:$Z76,$Z76),""))))</f>
        <v/>
      </c>
      <c r="AB76" s="1" t="str">
        <f>""</f>
        <v/>
      </c>
      <c r="AC76" s="1">
        <f t="shared" si="20"/>
        <v>10</v>
      </c>
      <c r="AD76" s="1">
        <f t="shared" si="21"/>
        <v>0</v>
      </c>
      <c r="AE76" s="1">
        <f t="shared" si="22"/>
        <v>10</v>
      </c>
      <c r="AF76" s="1" t="str">
        <f>IFERROR(IF(Lists!$B76="","",Lists!$B76),"")</f>
        <v/>
      </c>
      <c r="AG76" s="1" t="str">
        <f>IFERROR(IF(Lists!$B76="","",Lists!$C76),"")</f>
        <v/>
      </c>
      <c r="AH76" s="1" t="str">
        <f>IFERROR(IF(Lists!$B76="","",Lists!$D76),"")</f>
        <v/>
      </c>
      <c r="AI76" s="1" t="str">
        <f>IF(AF76="","",IFERROR(INDEX('Skills Matrix'!$G$6:$DE$205,MATCH(AF76,'Skills Matrix'!$B$6:$B$205,0),MATCH('HR Quick View'!$J$9,'Skills Matrix'!$G$5:$DE$5,0)),""))</f>
        <v/>
      </c>
      <c r="AJ76" s="1" t="str">
        <f t="shared" si="23"/>
        <v/>
      </c>
      <c r="AK76" s="1" t="str">
        <f>IFERROR(IF(Lists!$B76="","",Lists!$E76),"")</f>
        <v/>
      </c>
      <c r="AL76" s="1" t="str">
        <f>IF(AND(OR('HR Quick View'!$L$10="All Shifts",AH76='HR Quick View'!$L$10),OR(AND('HR Quick View'!$I$10="Qualified only",AI76=3),AND('HR Quick View'!$I$10="All trained",AI76&gt;0))),IF('HR Quick View'!$L$10="All Shifts",COUNTIF($AI$4:$AI$203,"&gt;"&amp;AI76)+COUNTIF($AI$4:AI76,AI76),COUNTIFS($AI$4:$AI$203,"&gt;"&amp;AI76,$AH$4:$AH$203,'HR Quick View'!$L$10)+COUNTIFS($AI$4:AI76,AI76,$AH$4:AH76,'HR Quick View'!$L$10)),"")</f>
        <v/>
      </c>
      <c r="AP76" s="17" t="str">
        <f>IFERROR(IF(Lists!$J76="","",Lists!$J76),"")</f>
        <v>Data Validation</v>
      </c>
      <c r="AQ76" s="17" t="str">
        <f>IFERROR(IF(Lists!$J76="","",Lists!$K76),"")</f>
        <v>Data &amp; Analytics</v>
      </c>
      <c r="AR76" s="17" t="str">
        <f>IFERROR(IF(Lists!$J76="","",Lists!$L76),"")</f>
        <v>Yes</v>
      </c>
      <c r="AS76" s="17">
        <f>IFERROR(IF(Lists!$J76="","",Lists!$M76),0)</f>
        <v>4</v>
      </c>
      <c r="AT76" s="17">
        <f>IF(AP76="","",COUNTIF('Skills Matrix'!$CA$6:$CA$205,3))</f>
        <v>0</v>
      </c>
      <c r="AU76" s="17">
        <f>IF(AP76="","",COUNTIF('Skills Matrix'!$CA$6:$CA$205,2))</f>
        <v>0</v>
      </c>
      <c r="AV76" s="17">
        <f t="shared" si="24"/>
        <v>4</v>
      </c>
      <c r="AW76" s="17">
        <f>IF(OR(AP76="",AS76&lt;=0,AV76&lt;=0,AND('Skill Management'!$D$4&lt;&gt;"All Departments",AQ76&lt;&gt;'Skill Management'!$D$4)),"",IF(AT76=0,100000,0)+IF(AR76="Yes",10000,0)+AV76*100+AU76)</f>
        <v>110400</v>
      </c>
      <c r="AX76" s="17">
        <f>IF(AW76="","",COUNTIF($AW$4:$AW$106,"&gt;"&amp;AW76)+COUNTIF($AW$4:AW76,AW76))</f>
        <v>7</v>
      </c>
      <c r="AY76" s="17" t="str">
        <f>IFERROR(IF(Lists!$J76="","",Lists!$N76),"")</f>
        <v>Yes</v>
      </c>
      <c r="BA76" s="17" t="str">
        <f>IFERROR(IF('Training Plan'!$A77="","",'Training Plan'!$A77),"")</f>
        <v/>
      </c>
      <c r="BB76" s="17" t="str">
        <f>IFERROR(IF('Training Plan'!$A77="","",'Training Plan'!$B77),"")</f>
        <v/>
      </c>
      <c r="BC76" s="17" t="str">
        <f>IFERROR(IF('Training Plan'!$A77="","",'Training Plan'!$C77),"")</f>
        <v/>
      </c>
      <c r="BD76" s="17" t="str">
        <f>IFERROR(IF('Training Plan'!$A77="","",'Training Plan'!$D77),"")</f>
        <v/>
      </c>
      <c r="BE76" s="17" t="str">
        <f>IFERROR(IF('Training Plan'!$A77="","",'Training Plan'!$E77),"")</f>
        <v/>
      </c>
      <c r="BF76" s="17" t="str">
        <f>IFERROR(IF('Training Plan'!$A77="","",'Training Plan'!$F77),"")</f>
        <v/>
      </c>
      <c r="BG76" s="17" t="str">
        <f>IFERROR(IF('Training Plan'!$A77="","",'Training Plan'!$G77),"")</f>
        <v/>
      </c>
      <c r="BH76" s="17" t="str">
        <f>IFERROR(IF('Training Plan'!$A77="","",'Training Plan'!$H77),"")</f>
        <v/>
      </c>
      <c r="BI76" s="17" t="str">
        <f>IF(OR(BA76="",BF76="Complete",AND('Skill Management'!$D$4&lt;&gt;"All Departments",BB76&lt;&gt;'Skill Management'!$D$4)),"",IF(BF76="Blocked",100000,IF(BF76="In Progress",200000,300000))+IF(BE76="",99999,BE76))</f>
        <v/>
      </c>
      <c r="BJ76" s="17" t="str">
        <f>IF(BI76="","",COUNTIFS($BI$4:$BI$203,"&gt;0",$BI$4:$BI$203,"&lt;"&amp;BI76)+COUNTIF($BI$4:BI76,BI76))</f>
        <v/>
      </c>
      <c r="BT76" t="str">
        <f t="shared" si="25"/>
        <v>Data Validation</v>
      </c>
      <c r="BU76" t="str">
        <f t="shared" si="26"/>
        <v>Data &amp; Analytics</v>
      </c>
      <c r="BV76" t="str">
        <f>IF(BT76="","",IFERROR(INDEX('Skills Matrix'!$G$6:$DE$205,MATCH('Employee Transcript'!$C$4,'Skills Matrix'!$B$6:$B$205,0),MATCH(BT76,'Skills Matrix'!$G$5:$DE$5,0)),""))</f>
        <v/>
      </c>
      <c r="BW76" t="str">
        <f>IF(BT76="","",IFERROR(INDEX('Competency Event Log'!$E$4:$E$803,MATCH('Employee Transcript'!$C$4&amp;"|"&amp;BT76,'Competency Event Log'!$U$4:$U$803,0)),""))</f>
        <v/>
      </c>
      <c r="BX76" t="str">
        <f>IF(BT76="","",IF(BU76='Employee Transcript'!$B$7,"Home Department","Cross-Trained"))</f>
        <v>Cross-Trained</v>
      </c>
      <c r="BY76" t="str">
        <f t="shared" si="27"/>
        <v>Yes</v>
      </c>
      <c r="BZ76" t="str">
        <f>IF(BT76="","",IFERROR(INDEX('Competency Event Log'!$L$4:$L$803,MATCH('Employee Transcript'!$C$4&amp;"|"&amp;BT76,'Competency Event Log'!$U$4:$U$803,0)),""))</f>
        <v/>
      </c>
      <c r="CA76" t="str">
        <f>IF(N(BV76)&gt;0,COUNTIF($BV$4:BV76,"&gt;0"),"")</f>
        <v/>
      </c>
      <c r="CB76" t="str">
        <f>IF(AND('Competency Event Log'!$B76='Employee Transcript'!$C$4,'Competency Event Log'!$I76&lt;&gt;"Yes"),'Competency Event Log'!$K76,"")</f>
        <v/>
      </c>
      <c r="CC76" t="str">
        <f t="shared" si="28"/>
        <v/>
      </c>
      <c r="CD76" t="str">
        <f>IF(Certifications!$A76='Employee Transcript'!$C$4,76,"")</f>
        <v/>
      </c>
      <c r="CE76" t="str">
        <f>IF(CD76="","",COUNTIF($CD$4:CD76,"&gt;0"))</f>
        <v/>
      </c>
      <c r="CF76" t="str">
        <f>IF(AND('Training Plan'!$A77='Employee Transcript'!$C$4,'Training Plan'!$F77&lt;&gt;"Complete"),77,"")</f>
        <v/>
      </c>
      <c r="CG76" t="str">
        <f>IF(CF76="","",COUNTIF($CF$4:CF76,"&gt;0"))</f>
        <v/>
      </c>
    </row>
    <row r="77" spans="1:85">
      <c r="A77" s="2"/>
      <c r="B77" s="1"/>
      <c r="C77" s="1"/>
      <c r="D77" s="1"/>
      <c r="E77" s="1"/>
      <c r="F77" s="3"/>
      <c r="G77" s="1"/>
      <c r="H77" s="4"/>
      <c r="I77" s="1" t="s">
        <v>1265</v>
      </c>
      <c r="J77" s="1" t="s">
        <v>1188</v>
      </c>
      <c r="K77" s="1" t="s">
        <v>310</v>
      </c>
      <c r="L77" s="1" t="s">
        <v>27</v>
      </c>
      <c r="M77" s="1">
        <v>4</v>
      </c>
      <c r="N77" s="1" t="s">
        <v>27</v>
      </c>
      <c r="P77" s="1" t="s">
        <v>1188</v>
      </c>
      <c r="Q77" s="1" t="s">
        <v>310</v>
      </c>
      <c r="R77" s="1">
        <v>7</v>
      </c>
      <c r="S77" s="1">
        <f>COUNTIF('Skills Matrix'!$CB$6:$CB$205,3)</f>
        <v>0</v>
      </c>
      <c r="T77" s="1">
        <f t="shared" si="19"/>
        <v>7</v>
      </c>
      <c r="U77" s="1">
        <f>IF(AND(T77&gt;0,OR('HR Quick View'!$F$24="All Departments",Q77='HR Quick View'!$F$24)),COUNTIFS($T$4:$T$108,"&gt;"&amp;T77,$Q$4:$Q$108,IF('HR Quick View'!$F$24="All Departments","*",'HR Quick View'!$F$24))+COUNTIFS($T$4:T77,T77,$Q$4:Q77,IF('HR Quick View'!$F$24="All Departments","*",'HR Quick View'!$F$24)),"")</f>
        <v>9</v>
      </c>
      <c r="W77" s="1" t="s">
        <v>1188</v>
      </c>
      <c r="X77" s="1" t="s">
        <v>310</v>
      </c>
      <c r="Y77" s="1" t="s">
        <v>27</v>
      </c>
      <c r="Z77" s="1" t="str">
        <f>IF('HR Quick View'!$C$9="","",IF(COUNTIFS('Competency Event Log'!$B$4:$B$803,'HR Quick View'!$C$9,'Competency Event Log'!$C$4:$C$803,W77,'Competency Event Log'!$T$4:$T$803,"Current")=0,"",SUMIFS('Competency Event Log'!$D$4:$D$803,'Competency Event Log'!$B$4:$B$803,'HR Quick View'!$C$9,'Competency Event Log'!$C$4:$C$803,W77,'Competency Event Log'!$T$4:$T$803,"Current")))</f>
        <v/>
      </c>
      <c r="AA77" s="1" t="str">
        <f>IF($Z77="","",IF('HR Quick View'!$B$10="Qualified only",IF($Z77=3,COUNTIF($Z$4:$Z77,3),""),IF('HR Quick View'!$B$10="Developing only",IF(OR($Z77=1,$Z77=2),COUNTIF($Z$4:$Z$108,"&gt;"&amp;$Z77)+COUNTIF($Z$4:$Z77,$Z77)-COUNTIF($Z$4:$Z$108,3),""),IF('HR Quick View'!$B$10="All scored",COUNTIF($Z$4:$Z$108,"&gt;"&amp;$Z77)+COUNTIF($Z$4:$Z77,$Z77),""))))</f>
        <v/>
      </c>
      <c r="AB77" s="1" t="str">
        <f>""</f>
        <v/>
      </c>
      <c r="AC77" s="1">
        <f t="shared" si="20"/>
        <v>7</v>
      </c>
      <c r="AD77" s="1">
        <f t="shared" si="21"/>
        <v>0</v>
      </c>
      <c r="AE77" s="1">
        <f t="shared" si="22"/>
        <v>7</v>
      </c>
      <c r="AF77" s="1" t="str">
        <f>IFERROR(IF(Lists!$B77="","",Lists!$B77),"")</f>
        <v/>
      </c>
      <c r="AG77" s="1" t="str">
        <f>IFERROR(IF(Lists!$B77="","",Lists!$C77),"")</f>
        <v/>
      </c>
      <c r="AH77" s="1" t="str">
        <f>IFERROR(IF(Lists!$B77="","",Lists!$D77),"")</f>
        <v/>
      </c>
      <c r="AI77" s="1" t="str">
        <f>IF(AF77="","",IFERROR(INDEX('Skills Matrix'!$G$6:$DE$205,MATCH(AF77,'Skills Matrix'!$B$6:$B$205,0),MATCH('HR Quick View'!$J$9,'Skills Matrix'!$G$5:$DE$5,0)),""))</f>
        <v/>
      </c>
      <c r="AJ77" s="1" t="str">
        <f t="shared" si="23"/>
        <v/>
      </c>
      <c r="AK77" s="1" t="str">
        <f>IFERROR(IF(Lists!$B77="","",Lists!$E77),"")</f>
        <v/>
      </c>
      <c r="AL77" s="1" t="str">
        <f>IF(AND(OR('HR Quick View'!$L$10="All Shifts",AH77='HR Quick View'!$L$10),OR(AND('HR Quick View'!$I$10="Qualified only",AI77=3),AND('HR Quick View'!$I$10="All trained",AI77&gt;0))),IF('HR Quick View'!$L$10="All Shifts",COUNTIF($AI$4:$AI$203,"&gt;"&amp;AI77)+COUNTIF($AI$4:AI77,AI77),COUNTIFS($AI$4:$AI$203,"&gt;"&amp;AI77,$AH$4:$AH$203,'HR Quick View'!$L$10)+COUNTIFS($AI$4:AI77,AI77,$AH$4:AH77,'HR Quick View'!$L$10)),"")</f>
        <v/>
      </c>
      <c r="AP77" s="17" t="str">
        <f>IFERROR(IF(Lists!$J77="","",Lists!$J77),"")</f>
        <v>Dashboard QA</v>
      </c>
      <c r="AQ77" s="17" t="str">
        <f>IFERROR(IF(Lists!$J77="","",Lists!$K77),"")</f>
        <v>Data &amp; Analytics</v>
      </c>
      <c r="AR77" s="17" t="str">
        <f>IFERROR(IF(Lists!$J77="","",Lists!$L77),"")</f>
        <v>Yes</v>
      </c>
      <c r="AS77" s="17">
        <f>IFERROR(IF(Lists!$J77="","",Lists!$M77),0)</f>
        <v>4</v>
      </c>
      <c r="AT77" s="17">
        <f>IF(AP77="","",COUNTIF('Skills Matrix'!$CB$6:$CB$205,3))</f>
        <v>0</v>
      </c>
      <c r="AU77" s="17">
        <f>IF(AP77="","",COUNTIF('Skills Matrix'!$CB$6:$CB$205,2))</f>
        <v>0</v>
      </c>
      <c r="AV77" s="17">
        <f t="shared" si="24"/>
        <v>4</v>
      </c>
      <c r="AW77" s="17">
        <f>IF(OR(AP77="",AS77&lt;=0,AV77&lt;=0,AND('Skill Management'!$D$4&lt;&gt;"All Departments",AQ77&lt;&gt;'Skill Management'!$D$4)),"",IF(AT77=0,100000,0)+IF(AR77="Yes",10000,0)+AV77*100+AU77)</f>
        <v>110400</v>
      </c>
      <c r="AX77" s="17">
        <f>IF(AW77="","",COUNTIF($AW$4:$AW$106,"&gt;"&amp;AW77)+COUNTIF($AW$4:AW77,AW77))</f>
        <v>8</v>
      </c>
      <c r="AY77" s="17" t="str">
        <f>IFERROR(IF(Lists!$J77="","",Lists!$N77),"")</f>
        <v>Yes</v>
      </c>
      <c r="BA77" s="17" t="str">
        <f>IFERROR(IF('Training Plan'!$A78="","",'Training Plan'!$A78),"")</f>
        <v/>
      </c>
      <c r="BB77" s="17" t="str">
        <f>IFERROR(IF('Training Plan'!$A78="","",'Training Plan'!$B78),"")</f>
        <v/>
      </c>
      <c r="BC77" s="17" t="str">
        <f>IFERROR(IF('Training Plan'!$A78="","",'Training Plan'!$C78),"")</f>
        <v/>
      </c>
      <c r="BD77" s="17" t="str">
        <f>IFERROR(IF('Training Plan'!$A78="","",'Training Plan'!$D78),"")</f>
        <v/>
      </c>
      <c r="BE77" s="17" t="str">
        <f>IFERROR(IF('Training Plan'!$A78="","",'Training Plan'!$E78),"")</f>
        <v/>
      </c>
      <c r="BF77" s="17" t="str">
        <f>IFERROR(IF('Training Plan'!$A78="","",'Training Plan'!$F78),"")</f>
        <v/>
      </c>
      <c r="BG77" s="17" t="str">
        <f>IFERROR(IF('Training Plan'!$A78="","",'Training Plan'!$G78),"")</f>
        <v/>
      </c>
      <c r="BH77" s="17" t="str">
        <f>IFERROR(IF('Training Plan'!$A78="","",'Training Plan'!$H78),"")</f>
        <v/>
      </c>
      <c r="BI77" s="17" t="str">
        <f>IF(OR(BA77="",BF77="Complete",AND('Skill Management'!$D$4&lt;&gt;"All Departments",BB77&lt;&gt;'Skill Management'!$D$4)),"",IF(BF77="Blocked",100000,IF(BF77="In Progress",200000,300000))+IF(BE77="",99999,BE77))</f>
        <v/>
      </c>
      <c r="BJ77" s="17" t="str">
        <f>IF(BI77="","",COUNTIFS($BI$4:$BI$203,"&gt;0",$BI$4:$BI$203,"&lt;"&amp;BI77)+COUNTIF($BI$4:BI77,BI77))</f>
        <v/>
      </c>
      <c r="BT77" t="str">
        <f t="shared" si="25"/>
        <v>Dashboard QA</v>
      </c>
      <c r="BU77" t="str">
        <f t="shared" si="26"/>
        <v>Data &amp; Analytics</v>
      </c>
      <c r="BV77" t="str">
        <f>IF(BT77="","",IFERROR(INDEX('Skills Matrix'!$G$6:$DE$205,MATCH('Employee Transcript'!$C$4,'Skills Matrix'!$B$6:$B$205,0),MATCH(BT77,'Skills Matrix'!$G$5:$DE$5,0)),""))</f>
        <v/>
      </c>
      <c r="BW77" t="str">
        <f>IF(BT77="","",IFERROR(INDEX('Competency Event Log'!$E$4:$E$803,MATCH('Employee Transcript'!$C$4&amp;"|"&amp;BT77,'Competency Event Log'!$U$4:$U$803,0)),""))</f>
        <v/>
      </c>
      <c r="BX77" t="str">
        <f>IF(BT77="","",IF(BU77='Employee Transcript'!$B$7,"Home Department","Cross-Trained"))</f>
        <v>Cross-Trained</v>
      </c>
      <c r="BY77" t="str">
        <f t="shared" si="27"/>
        <v>Yes</v>
      </c>
      <c r="BZ77" t="str">
        <f>IF(BT77="","",IFERROR(INDEX('Competency Event Log'!$L$4:$L$803,MATCH('Employee Transcript'!$C$4&amp;"|"&amp;BT77,'Competency Event Log'!$U$4:$U$803,0)),""))</f>
        <v/>
      </c>
      <c r="CA77" t="str">
        <f>IF(N(BV77)&gt;0,COUNTIF($BV$4:BV77,"&gt;0"),"")</f>
        <v/>
      </c>
      <c r="CB77" t="str">
        <f>IF(AND('Competency Event Log'!$B77='Employee Transcript'!$C$4,'Competency Event Log'!$I77&lt;&gt;"Yes"),'Competency Event Log'!$K77,"")</f>
        <v/>
      </c>
      <c r="CC77" t="str">
        <f t="shared" si="28"/>
        <v/>
      </c>
      <c r="CD77" t="str">
        <f>IF(Certifications!$A77='Employee Transcript'!$C$4,77,"")</f>
        <v/>
      </c>
      <c r="CE77" t="str">
        <f>IF(CD77="","",COUNTIF($CD$4:CD77,"&gt;0"))</f>
        <v/>
      </c>
      <c r="CF77" t="str">
        <f>IF(AND('Training Plan'!$A78='Employee Transcript'!$C$4,'Training Plan'!$F78&lt;&gt;"Complete"),78,"")</f>
        <v/>
      </c>
      <c r="CG77" t="str">
        <f>IF(CF77="","",COUNTIF($CF$4:CF77,"&gt;0"))</f>
        <v/>
      </c>
    </row>
    <row r="78" spans="1:85">
      <c r="A78" s="2"/>
      <c r="B78" s="1"/>
      <c r="C78" s="1"/>
      <c r="D78" s="1"/>
      <c r="E78" s="1"/>
      <c r="F78" s="3"/>
      <c r="G78" s="1"/>
      <c r="H78" s="4"/>
      <c r="I78" s="1" t="s">
        <v>1266</v>
      </c>
      <c r="J78" s="1" t="s">
        <v>1189</v>
      </c>
      <c r="K78" s="1" t="s">
        <v>310</v>
      </c>
      <c r="L78" s="1" t="s">
        <v>27</v>
      </c>
      <c r="M78" s="1">
        <v>4</v>
      </c>
      <c r="N78" s="1" t="s">
        <v>27</v>
      </c>
      <c r="P78" s="1" t="s">
        <v>1189</v>
      </c>
      <c r="Q78" s="1" t="s">
        <v>310</v>
      </c>
      <c r="R78" s="1">
        <v>6</v>
      </c>
      <c r="S78" s="1">
        <f>COUNTIF('Skills Matrix'!$CC$6:$CC$205,3)</f>
        <v>0</v>
      </c>
      <c r="T78" s="1">
        <f t="shared" si="19"/>
        <v>6</v>
      </c>
      <c r="U78" s="1">
        <f>IF(AND(T78&gt;0,OR('HR Quick View'!$F$24="All Departments",Q78='HR Quick View'!$F$24)),COUNTIFS($T$4:$T$108,"&gt;"&amp;T78,$Q$4:$Q$108,IF('HR Quick View'!$F$24="All Departments","*",'HR Quick View'!$F$24))+COUNTIFS($T$4:T78,T78,$Q$4:Q78,IF('HR Quick View'!$F$24="All Departments","*",'HR Quick View'!$F$24)),"")</f>
        <v>10</v>
      </c>
      <c r="W78" s="1" t="s">
        <v>1189</v>
      </c>
      <c r="X78" s="1" t="s">
        <v>310</v>
      </c>
      <c r="Y78" s="1" t="s">
        <v>27</v>
      </c>
      <c r="Z78" s="1" t="str">
        <f>IF('HR Quick View'!$C$9="","",IF(COUNTIFS('Competency Event Log'!$B$4:$B$803,'HR Quick View'!$C$9,'Competency Event Log'!$C$4:$C$803,W78,'Competency Event Log'!$T$4:$T$803,"Current")=0,"",SUMIFS('Competency Event Log'!$D$4:$D$803,'Competency Event Log'!$B$4:$B$803,'HR Quick View'!$C$9,'Competency Event Log'!$C$4:$C$803,W78,'Competency Event Log'!$T$4:$T$803,"Current")))</f>
        <v/>
      </c>
      <c r="AA78" s="1" t="str">
        <f>IF($Z78="","",IF('HR Quick View'!$B$10="Qualified only",IF($Z78=3,COUNTIF($Z$4:$Z78,3),""),IF('HR Quick View'!$B$10="Developing only",IF(OR($Z78=1,$Z78=2),COUNTIF($Z$4:$Z$108,"&gt;"&amp;$Z78)+COUNTIF($Z$4:$Z78,$Z78)-COUNTIF($Z$4:$Z$108,3),""),IF('HR Quick View'!$B$10="All scored",COUNTIF($Z$4:$Z$108,"&gt;"&amp;$Z78)+COUNTIF($Z$4:$Z78,$Z78),""))))</f>
        <v/>
      </c>
      <c r="AB78" s="1" t="str">
        <f>""</f>
        <v/>
      </c>
      <c r="AC78" s="1">
        <f t="shared" si="20"/>
        <v>6</v>
      </c>
      <c r="AD78" s="1">
        <f t="shared" si="21"/>
        <v>0</v>
      </c>
      <c r="AE78" s="1">
        <f t="shared" si="22"/>
        <v>6</v>
      </c>
      <c r="AF78" s="1" t="str">
        <f>IFERROR(IF(Lists!$B78="","",Lists!$B78),"")</f>
        <v/>
      </c>
      <c r="AG78" s="1" t="str">
        <f>IFERROR(IF(Lists!$B78="","",Lists!$C78),"")</f>
        <v/>
      </c>
      <c r="AH78" s="1" t="str">
        <f>IFERROR(IF(Lists!$B78="","",Lists!$D78),"")</f>
        <v/>
      </c>
      <c r="AI78" s="1" t="str">
        <f>IF(AF78="","",IFERROR(INDEX('Skills Matrix'!$G$6:$DE$205,MATCH(AF78,'Skills Matrix'!$B$6:$B$205,0),MATCH('HR Quick View'!$J$9,'Skills Matrix'!$G$5:$DE$5,0)),""))</f>
        <v/>
      </c>
      <c r="AJ78" s="1" t="str">
        <f t="shared" si="23"/>
        <v/>
      </c>
      <c r="AK78" s="1" t="str">
        <f>IFERROR(IF(Lists!$B78="","",Lists!$E78),"")</f>
        <v/>
      </c>
      <c r="AL78" s="1" t="str">
        <f>IF(AND(OR('HR Quick View'!$L$10="All Shifts",AH78='HR Quick View'!$L$10),OR(AND('HR Quick View'!$I$10="Qualified only",AI78=3),AND('HR Quick View'!$I$10="All trained",AI78&gt;0))),IF('HR Quick View'!$L$10="All Shifts",COUNTIF($AI$4:$AI$203,"&gt;"&amp;AI78)+COUNTIF($AI$4:AI78,AI78),COUNTIFS($AI$4:$AI$203,"&gt;"&amp;AI78,$AH$4:$AH$203,'HR Quick View'!$L$10)+COUNTIFS($AI$4:AI78,AI78,$AH$4:AH78,'HR Quick View'!$L$10)),"")</f>
        <v/>
      </c>
      <c r="AP78" s="17" t="str">
        <f>IFERROR(IF(Lists!$J78="","",Lists!$J78),"")</f>
        <v>QA Engineer I</v>
      </c>
      <c r="AQ78" s="17" t="str">
        <f>IFERROR(IF(Lists!$J78="","",Lists!$K78),"")</f>
        <v>Data &amp; Analytics</v>
      </c>
      <c r="AR78" s="17" t="str">
        <f>IFERROR(IF(Lists!$J78="","",Lists!$L78),"")</f>
        <v>Yes</v>
      </c>
      <c r="AS78" s="17">
        <f>IFERROR(IF(Lists!$J78="","",Lists!$M78),0)</f>
        <v>4</v>
      </c>
      <c r="AT78" s="17">
        <f>IF(AP78="","",COUNTIF('Skills Matrix'!$CC$6:$CC$205,3))</f>
        <v>0</v>
      </c>
      <c r="AU78" s="17">
        <f>IF(AP78="","",COUNTIF('Skills Matrix'!$CC$6:$CC$205,2))</f>
        <v>0</v>
      </c>
      <c r="AV78" s="17">
        <f t="shared" si="24"/>
        <v>4</v>
      </c>
      <c r="AW78" s="17">
        <f>IF(OR(AP78="",AS78&lt;=0,AV78&lt;=0,AND('Skill Management'!$D$4&lt;&gt;"All Departments",AQ78&lt;&gt;'Skill Management'!$D$4)),"",IF(AT78=0,100000,0)+IF(AR78="Yes",10000,0)+AV78*100+AU78)</f>
        <v>110400</v>
      </c>
      <c r="AX78" s="17">
        <f>IF(AW78="","",COUNTIF($AW$4:$AW$106,"&gt;"&amp;AW78)+COUNTIF($AW$4:AW78,AW78))</f>
        <v>9</v>
      </c>
      <c r="AY78" s="17" t="str">
        <f>IFERROR(IF(Lists!$J78="","",Lists!$N78),"")</f>
        <v>Yes</v>
      </c>
      <c r="BA78" s="17" t="str">
        <f>IFERROR(IF('Training Plan'!$A79="","",'Training Plan'!$A79),"")</f>
        <v/>
      </c>
      <c r="BB78" s="17" t="str">
        <f>IFERROR(IF('Training Plan'!$A79="","",'Training Plan'!$B79),"")</f>
        <v/>
      </c>
      <c r="BC78" s="17" t="str">
        <f>IFERROR(IF('Training Plan'!$A79="","",'Training Plan'!$C79),"")</f>
        <v/>
      </c>
      <c r="BD78" s="17" t="str">
        <f>IFERROR(IF('Training Plan'!$A79="","",'Training Plan'!$D79),"")</f>
        <v/>
      </c>
      <c r="BE78" s="17" t="str">
        <f>IFERROR(IF('Training Plan'!$A79="","",'Training Plan'!$E79),"")</f>
        <v/>
      </c>
      <c r="BF78" s="17" t="str">
        <f>IFERROR(IF('Training Plan'!$A79="","",'Training Plan'!$F79),"")</f>
        <v/>
      </c>
      <c r="BG78" s="17" t="str">
        <f>IFERROR(IF('Training Plan'!$A79="","",'Training Plan'!$G79),"")</f>
        <v/>
      </c>
      <c r="BH78" s="17" t="str">
        <f>IFERROR(IF('Training Plan'!$A79="","",'Training Plan'!$H79),"")</f>
        <v/>
      </c>
      <c r="BI78" s="17" t="str">
        <f>IF(OR(BA78="",BF78="Complete",AND('Skill Management'!$D$4&lt;&gt;"All Departments",BB78&lt;&gt;'Skill Management'!$D$4)),"",IF(BF78="Blocked",100000,IF(BF78="In Progress",200000,300000))+IF(BE78="",99999,BE78))</f>
        <v/>
      </c>
      <c r="BJ78" s="17" t="str">
        <f>IF(BI78="","",COUNTIFS($BI$4:$BI$203,"&gt;0",$BI$4:$BI$203,"&lt;"&amp;BI78)+COUNTIF($BI$4:BI78,BI78))</f>
        <v/>
      </c>
      <c r="BT78" t="str">
        <f t="shared" si="25"/>
        <v>QA Engineer I</v>
      </c>
      <c r="BU78" t="str">
        <f t="shared" si="26"/>
        <v>Data &amp; Analytics</v>
      </c>
      <c r="BV78" t="str">
        <f>IF(BT78="","",IFERROR(INDEX('Skills Matrix'!$G$6:$DE$205,MATCH('Employee Transcript'!$C$4,'Skills Matrix'!$B$6:$B$205,0),MATCH(BT78,'Skills Matrix'!$G$5:$DE$5,0)),""))</f>
        <v/>
      </c>
      <c r="BW78" t="str">
        <f>IF(BT78="","",IFERROR(INDEX('Competency Event Log'!$E$4:$E$803,MATCH('Employee Transcript'!$C$4&amp;"|"&amp;BT78,'Competency Event Log'!$U$4:$U$803,0)),""))</f>
        <v/>
      </c>
      <c r="BX78" t="str">
        <f>IF(BT78="","",IF(BU78='Employee Transcript'!$B$7,"Home Department","Cross-Trained"))</f>
        <v>Cross-Trained</v>
      </c>
      <c r="BY78" t="str">
        <f t="shared" si="27"/>
        <v>Yes</v>
      </c>
      <c r="BZ78" t="str">
        <f>IF(BT78="","",IFERROR(INDEX('Competency Event Log'!$L$4:$L$803,MATCH('Employee Transcript'!$C$4&amp;"|"&amp;BT78,'Competency Event Log'!$U$4:$U$803,0)),""))</f>
        <v/>
      </c>
      <c r="CA78" t="str">
        <f>IF(N(BV78)&gt;0,COUNTIF($BV$4:BV78,"&gt;0"),"")</f>
        <v/>
      </c>
      <c r="CB78" t="str">
        <f>IF(AND('Competency Event Log'!$B78='Employee Transcript'!$C$4,'Competency Event Log'!$I78&lt;&gt;"Yes"),'Competency Event Log'!$K78,"")</f>
        <v/>
      </c>
      <c r="CC78" t="str">
        <f t="shared" si="28"/>
        <v/>
      </c>
      <c r="CD78" t="str">
        <f>IF(Certifications!$A78='Employee Transcript'!$C$4,78,"")</f>
        <v/>
      </c>
      <c r="CE78" t="str">
        <f>IF(CD78="","",COUNTIF($CD$4:CD78,"&gt;0"))</f>
        <v/>
      </c>
      <c r="CF78" t="str">
        <f>IF(AND('Training Plan'!$A79='Employee Transcript'!$C$4,'Training Plan'!$F79&lt;&gt;"Complete"),79,"")</f>
        <v/>
      </c>
      <c r="CG78" t="str">
        <f>IF(CF78="","",COUNTIF($CF$4:CF78,"&gt;0"))</f>
        <v/>
      </c>
    </row>
    <row r="79" spans="1:85">
      <c r="A79" s="2"/>
      <c r="B79" s="1"/>
      <c r="C79" s="1"/>
      <c r="D79" s="1"/>
      <c r="E79" s="1"/>
      <c r="F79" s="3"/>
      <c r="G79" s="1"/>
      <c r="H79" s="4"/>
      <c r="I79" s="1" t="s">
        <v>1267</v>
      </c>
      <c r="J79" s="1" t="s">
        <v>1190</v>
      </c>
      <c r="K79" s="1" t="s">
        <v>310</v>
      </c>
      <c r="L79" s="1" t="s">
        <v>27</v>
      </c>
      <c r="M79" s="1">
        <v>4</v>
      </c>
      <c r="N79" s="1" t="s">
        <v>27</v>
      </c>
      <c r="P79" s="1" t="s">
        <v>1190</v>
      </c>
      <c r="Q79" s="1" t="s">
        <v>310</v>
      </c>
      <c r="R79" s="1">
        <v>9</v>
      </c>
      <c r="S79" s="1">
        <f>COUNTIF('Skills Matrix'!$CD$6:$CD$205,3)</f>
        <v>0</v>
      </c>
      <c r="T79" s="1">
        <f t="shared" si="19"/>
        <v>9</v>
      </c>
      <c r="U79" s="1">
        <f>IF(AND(T79&gt;0,OR('HR Quick View'!$F$24="All Departments",Q79='HR Quick View'!$F$24)),COUNTIFS($T$4:$T$108,"&gt;"&amp;T79,$Q$4:$Q$108,IF('HR Quick View'!$F$24="All Departments","*",'HR Quick View'!$F$24))+COUNTIFS($T$4:T79,T79,$Q$4:Q79,IF('HR Quick View'!$F$24="All Departments","*",'HR Quick View'!$F$24)),"")</f>
        <v>6</v>
      </c>
      <c r="W79" s="1" t="s">
        <v>1190</v>
      </c>
      <c r="X79" s="1" t="s">
        <v>310</v>
      </c>
      <c r="Y79" s="1" t="s">
        <v>27</v>
      </c>
      <c r="Z79" s="1" t="str">
        <f>IF('HR Quick View'!$C$9="","",IF(COUNTIFS('Competency Event Log'!$B$4:$B$803,'HR Quick View'!$C$9,'Competency Event Log'!$C$4:$C$803,W79,'Competency Event Log'!$T$4:$T$803,"Current")=0,"",SUMIFS('Competency Event Log'!$D$4:$D$803,'Competency Event Log'!$B$4:$B$803,'HR Quick View'!$C$9,'Competency Event Log'!$C$4:$C$803,W79,'Competency Event Log'!$T$4:$T$803,"Current")))</f>
        <v/>
      </c>
      <c r="AA79" s="1" t="str">
        <f>IF($Z79="","",IF('HR Quick View'!$B$10="Qualified only",IF($Z79=3,COUNTIF($Z$4:$Z79,3),""),IF('HR Quick View'!$B$10="Developing only",IF(OR($Z79=1,$Z79=2),COUNTIF($Z$4:$Z$108,"&gt;"&amp;$Z79)+COUNTIF($Z$4:$Z79,$Z79)-COUNTIF($Z$4:$Z$108,3),""),IF('HR Quick View'!$B$10="All scored",COUNTIF($Z$4:$Z$108,"&gt;"&amp;$Z79)+COUNTIF($Z$4:$Z79,$Z79),""))))</f>
        <v/>
      </c>
      <c r="AB79" s="1" t="str">
        <f>""</f>
        <v/>
      </c>
      <c r="AC79" s="1">
        <f t="shared" si="20"/>
        <v>9</v>
      </c>
      <c r="AD79" s="1">
        <f t="shared" si="21"/>
        <v>0</v>
      </c>
      <c r="AE79" s="1">
        <f t="shared" si="22"/>
        <v>9</v>
      </c>
      <c r="AF79" s="1" t="str">
        <f>IFERROR(IF(Lists!$B79="","",Lists!$B79),"")</f>
        <v/>
      </c>
      <c r="AG79" s="1" t="str">
        <f>IFERROR(IF(Lists!$B79="","",Lists!$C79),"")</f>
        <v/>
      </c>
      <c r="AH79" s="1" t="str">
        <f>IFERROR(IF(Lists!$B79="","",Lists!$D79),"")</f>
        <v/>
      </c>
      <c r="AI79" s="1" t="str">
        <f>IF(AF79="","",IFERROR(INDEX('Skills Matrix'!$G$6:$DE$205,MATCH(AF79,'Skills Matrix'!$B$6:$B$205,0),MATCH('HR Quick View'!$J$9,'Skills Matrix'!$G$5:$DE$5,0)),""))</f>
        <v/>
      </c>
      <c r="AJ79" s="1" t="str">
        <f t="shared" si="23"/>
        <v/>
      </c>
      <c r="AK79" s="1" t="str">
        <f>IFERROR(IF(Lists!$B79="","",Lists!$E79),"")</f>
        <v/>
      </c>
      <c r="AL79" s="1" t="str">
        <f>IF(AND(OR('HR Quick View'!$L$10="All Shifts",AH79='HR Quick View'!$L$10),OR(AND('HR Quick View'!$I$10="Qualified only",AI79=3),AND('HR Quick View'!$I$10="All trained",AI79&gt;0))),IF('HR Quick View'!$L$10="All Shifts",COUNTIF($AI$4:$AI$203,"&gt;"&amp;AI79)+COUNTIF($AI$4:AI79,AI79),COUNTIFS($AI$4:$AI$203,"&gt;"&amp;AI79,$AH$4:$AH$203,'HR Quick View'!$L$10)+COUNTIFS($AI$4:AI79,AI79,$AH$4:AH79,'HR Quick View'!$L$10)),"")</f>
        <v/>
      </c>
      <c r="AP79" s="17" t="str">
        <f>IFERROR(IF(Lists!$J79="","",Lists!$J79),"")</f>
        <v>QA Engineer II</v>
      </c>
      <c r="AQ79" s="17" t="str">
        <f>IFERROR(IF(Lists!$J79="","",Lists!$K79),"")</f>
        <v>Data &amp; Analytics</v>
      </c>
      <c r="AR79" s="17" t="str">
        <f>IFERROR(IF(Lists!$J79="","",Lists!$L79),"")</f>
        <v>Yes</v>
      </c>
      <c r="AS79" s="17">
        <f>IFERROR(IF(Lists!$J79="","",Lists!$M79),0)</f>
        <v>4</v>
      </c>
      <c r="AT79" s="17">
        <f>IF(AP79="","",COUNTIF('Skills Matrix'!$CD$6:$CD$205,3))</f>
        <v>0</v>
      </c>
      <c r="AU79" s="17">
        <f>IF(AP79="","",COUNTIF('Skills Matrix'!$CD$6:$CD$205,2))</f>
        <v>0</v>
      </c>
      <c r="AV79" s="17">
        <f t="shared" si="24"/>
        <v>4</v>
      </c>
      <c r="AW79" s="17">
        <f>IF(OR(AP79="",AS79&lt;=0,AV79&lt;=0,AND('Skill Management'!$D$4&lt;&gt;"All Departments",AQ79&lt;&gt;'Skill Management'!$D$4)),"",IF(AT79=0,100000,0)+IF(AR79="Yes",10000,0)+AV79*100+AU79)</f>
        <v>110400</v>
      </c>
      <c r="AX79" s="17">
        <f>IF(AW79="","",COUNTIF($AW$4:$AW$106,"&gt;"&amp;AW79)+COUNTIF($AW$4:AW79,AW79))</f>
        <v>10</v>
      </c>
      <c r="AY79" s="17" t="str">
        <f>IFERROR(IF(Lists!$J79="","",Lists!$N79),"")</f>
        <v>Yes</v>
      </c>
      <c r="BA79" s="17" t="str">
        <f>IFERROR(IF('Training Plan'!$A80="","",'Training Plan'!$A80),"")</f>
        <v/>
      </c>
      <c r="BB79" s="17" t="str">
        <f>IFERROR(IF('Training Plan'!$A80="","",'Training Plan'!$B80),"")</f>
        <v/>
      </c>
      <c r="BC79" s="17" t="str">
        <f>IFERROR(IF('Training Plan'!$A80="","",'Training Plan'!$C80),"")</f>
        <v/>
      </c>
      <c r="BD79" s="17" t="str">
        <f>IFERROR(IF('Training Plan'!$A80="","",'Training Plan'!$D80),"")</f>
        <v/>
      </c>
      <c r="BE79" s="17" t="str">
        <f>IFERROR(IF('Training Plan'!$A80="","",'Training Plan'!$E80),"")</f>
        <v/>
      </c>
      <c r="BF79" s="17" t="str">
        <f>IFERROR(IF('Training Plan'!$A80="","",'Training Plan'!$F80),"")</f>
        <v/>
      </c>
      <c r="BG79" s="17" t="str">
        <f>IFERROR(IF('Training Plan'!$A80="","",'Training Plan'!$G80),"")</f>
        <v/>
      </c>
      <c r="BH79" s="17" t="str">
        <f>IFERROR(IF('Training Plan'!$A80="","",'Training Plan'!$H80),"")</f>
        <v/>
      </c>
      <c r="BI79" s="17" t="str">
        <f>IF(OR(BA79="",BF79="Complete",AND('Skill Management'!$D$4&lt;&gt;"All Departments",BB79&lt;&gt;'Skill Management'!$D$4)),"",IF(BF79="Blocked",100000,IF(BF79="In Progress",200000,300000))+IF(BE79="",99999,BE79))</f>
        <v/>
      </c>
      <c r="BJ79" s="17" t="str">
        <f>IF(BI79="","",COUNTIFS($BI$4:$BI$203,"&gt;0",$BI$4:$BI$203,"&lt;"&amp;BI79)+COUNTIF($BI$4:BI79,BI79))</f>
        <v/>
      </c>
      <c r="BT79" t="str">
        <f t="shared" si="25"/>
        <v>QA Engineer II</v>
      </c>
      <c r="BU79" t="str">
        <f t="shared" si="26"/>
        <v>Data &amp; Analytics</v>
      </c>
      <c r="BV79" t="str">
        <f>IF(BT79="","",IFERROR(INDEX('Skills Matrix'!$G$6:$DE$205,MATCH('Employee Transcript'!$C$4,'Skills Matrix'!$B$6:$B$205,0),MATCH(BT79,'Skills Matrix'!$G$5:$DE$5,0)),""))</f>
        <v/>
      </c>
      <c r="BW79" t="str">
        <f>IF(BT79="","",IFERROR(INDEX('Competency Event Log'!$E$4:$E$803,MATCH('Employee Transcript'!$C$4&amp;"|"&amp;BT79,'Competency Event Log'!$U$4:$U$803,0)),""))</f>
        <v/>
      </c>
      <c r="BX79" t="str">
        <f>IF(BT79="","",IF(BU79='Employee Transcript'!$B$7,"Home Department","Cross-Trained"))</f>
        <v>Cross-Trained</v>
      </c>
      <c r="BY79" t="str">
        <f t="shared" si="27"/>
        <v>Yes</v>
      </c>
      <c r="BZ79" t="str">
        <f>IF(BT79="","",IFERROR(INDEX('Competency Event Log'!$L$4:$L$803,MATCH('Employee Transcript'!$C$4&amp;"|"&amp;BT79,'Competency Event Log'!$U$4:$U$803,0)),""))</f>
        <v/>
      </c>
      <c r="CA79" t="str">
        <f>IF(N(BV79)&gt;0,COUNTIF($BV$4:BV79,"&gt;0"),"")</f>
        <v/>
      </c>
      <c r="CB79" t="str">
        <f>IF(AND('Competency Event Log'!$B79='Employee Transcript'!$C$4,'Competency Event Log'!$I79&lt;&gt;"Yes"),'Competency Event Log'!$K79,"")</f>
        <v/>
      </c>
      <c r="CC79" t="str">
        <f t="shared" si="28"/>
        <v/>
      </c>
      <c r="CD79" t="str">
        <f>IF(Certifications!$A79='Employee Transcript'!$C$4,79,"")</f>
        <v/>
      </c>
      <c r="CE79" t="str">
        <f>IF(CD79="","",COUNTIF($CD$4:CD79,"&gt;0"))</f>
        <v/>
      </c>
      <c r="CF79" t="str">
        <f>IF(AND('Training Plan'!$A80='Employee Transcript'!$C$4,'Training Plan'!$F80&lt;&gt;"Complete"),80,"")</f>
        <v/>
      </c>
      <c r="CG79" t="str">
        <f>IF(CF79="","",COUNTIF($CF$4:CF79,"&gt;0"))</f>
        <v/>
      </c>
    </row>
    <row r="80" spans="1:85">
      <c r="A80" s="2"/>
      <c r="B80" s="1"/>
      <c r="C80" s="1"/>
      <c r="D80" s="1"/>
      <c r="E80" s="1"/>
      <c r="F80" s="3"/>
      <c r="G80" s="1"/>
      <c r="H80" s="4"/>
      <c r="I80" s="1" t="s">
        <v>1268</v>
      </c>
      <c r="J80" s="1" t="s">
        <v>1191</v>
      </c>
      <c r="K80" s="1" t="s">
        <v>310</v>
      </c>
      <c r="L80" s="1" t="s">
        <v>27</v>
      </c>
      <c r="M80" s="1">
        <v>4</v>
      </c>
      <c r="N80" s="1" t="s">
        <v>27</v>
      </c>
      <c r="P80" s="1" t="s">
        <v>1191</v>
      </c>
      <c r="Q80" s="1" t="s">
        <v>310</v>
      </c>
      <c r="R80" s="1">
        <v>3</v>
      </c>
      <c r="S80" s="1">
        <f>COUNTIF('Skills Matrix'!$CE$6:$CE$205,3)</f>
        <v>0</v>
      </c>
      <c r="T80" s="1">
        <f t="shared" si="19"/>
        <v>3</v>
      </c>
      <c r="U80" s="1">
        <f>IF(AND(T80&gt;0,OR('HR Quick View'!$F$24="All Departments",Q80='HR Quick View'!$F$24)),COUNTIFS($T$4:$T$108,"&gt;"&amp;T80,$Q$4:$Q$108,IF('HR Quick View'!$F$24="All Departments","*",'HR Quick View'!$F$24))+COUNTIFS($T$4:T80,T80,$Q$4:Q80,IF('HR Quick View'!$F$24="All Departments","*",'HR Quick View'!$F$24)),"")</f>
        <v>35</v>
      </c>
      <c r="W80" s="1" t="s">
        <v>1191</v>
      </c>
      <c r="X80" s="1" t="s">
        <v>310</v>
      </c>
      <c r="Y80" s="1" t="s">
        <v>27</v>
      </c>
      <c r="Z80" s="1" t="str">
        <f>IF('HR Quick View'!$C$9="","",IF(COUNTIFS('Competency Event Log'!$B$4:$B$803,'HR Quick View'!$C$9,'Competency Event Log'!$C$4:$C$803,W80,'Competency Event Log'!$T$4:$T$803,"Current")=0,"",SUMIFS('Competency Event Log'!$D$4:$D$803,'Competency Event Log'!$B$4:$B$803,'HR Quick View'!$C$9,'Competency Event Log'!$C$4:$C$803,W80,'Competency Event Log'!$T$4:$T$803,"Current")))</f>
        <v/>
      </c>
      <c r="AA80" s="1" t="str">
        <f>IF($Z80="","",IF('HR Quick View'!$B$10="Qualified only",IF($Z80=3,COUNTIF($Z$4:$Z80,3),""),IF('HR Quick View'!$B$10="Developing only",IF(OR($Z80=1,$Z80=2),COUNTIF($Z$4:$Z$108,"&gt;"&amp;$Z80)+COUNTIF($Z$4:$Z80,$Z80)-COUNTIF($Z$4:$Z$108,3),""),IF('HR Quick View'!$B$10="All scored",COUNTIF($Z$4:$Z$108,"&gt;"&amp;$Z80)+COUNTIF($Z$4:$Z80,$Z80),""))))</f>
        <v/>
      </c>
      <c r="AB80" s="1" t="str">
        <f>""</f>
        <v/>
      </c>
      <c r="AC80" s="1">
        <f t="shared" si="20"/>
        <v>3</v>
      </c>
      <c r="AD80" s="1">
        <f t="shared" si="21"/>
        <v>0</v>
      </c>
      <c r="AE80" s="1">
        <f t="shared" si="22"/>
        <v>3</v>
      </c>
      <c r="AF80" s="1" t="str">
        <f>IFERROR(IF(Lists!$B80="","",Lists!$B80),"")</f>
        <v/>
      </c>
      <c r="AG80" s="1" t="str">
        <f>IFERROR(IF(Lists!$B80="","",Lists!$C80),"")</f>
        <v/>
      </c>
      <c r="AH80" s="1" t="str">
        <f>IFERROR(IF(Lists!$B80="","",Lists!$D80),"")</f>
        <v/>
      </c>
      <c r="AI80" s="1" t="str">
        <f>IF(AF80="","",IFERROR(INDEX('Skills Matrix'!$G$6:$DE$205,MATCH(AF80,'Skills Matrix'!$B$6:$B$205,0),MATCH('HR Quick View'!$J$9,'Skills Matrix'!$G$5:$DE$5,0)),""))</f>
        <v/>
      </c>
      <c r="AJ80" s="1" t="str">
        <f t="shared" si="23"/>
        <v/>
      </c>
      <c r="AK80" s="1" t="str">
        <f>IFERROR(IF(Lists!$B80="","",Lists!$E80),"")</f>
        <v/>
      </c>
      <c r="AL80" s="1" t="str">
        <f>IF(AND(OR('HR Quick View'!$L$10="All Shifts",AH80='HR Quick View'!$L$10),OR(AND('HR Quick View'!$I$10="Qualified only",AI80=3),AND('HR Quick View'!$I$10="All trained",AI80&gt;0))),IF('HR Quick View'!$L$10="All Shifts",COUNTIF($AI$4:$AI$203,"&gt;"&amp;AI80)+COUNTIF($AI$4:AI80,AI80),COUNTIFS($AI$4:$AI$203,"&gt;"&amp;AI80,$AH$4:$AH$203,'HR Quick View'!$L$10)+COUNTIFS($AI$4:AI80,AI80,$AH$4:AH80,'HR Quick View'!$L$10)),"")</f>
        <v/>
      </c>
      <c r="AP80" s="17" t="str">
        <f>IFERROR(IF(Lists!$J80="","",Lists!$J80),"")</f>
        <v>Data Reconciliation</v>
      </c>
      <c r="AQ80" s="17" t="str">
        <f>IFERROR(IF(Lists!$J80="","",Lists!$K80),"")</f>
        <v>Data &amp; Analytics</v>
      </c>
      <c r="AR80" s="17" t="str">
        <f>IFERROR(IF(Lists!$J80="","",Lists!$L80),"")</f>
        <v>Yes</v>
      </c>
      <c r="AS80" s="17">
        <f>IFERROR(IF(Lists!$J80="","",Lists!$M80),0)</f>
        <v>4</v>
      </c>
      <c r="AT80" s="17">
        <f>IF(AP80="","",COUNTIF('Skills Matrix'!$CE$6:$CE$205,3))</f>
        <v>0</v>
      </c>
      <c r="AU80" s="17">
        <f>IF(AP80="","",COUNTIF('Skills Matrix'!$CE$6:$CE$205,2))</f>
        <v>0</v>
      </c>
      <c r="AV80" s="17">
        <f t="shared" si="24"/>
        <v>4</v>
      </c>
      <c r="AW80" s="17">
        <f>IF(OR(AP80="",AS80&lt;=0,AV80&lt;=0,AND('Skill Management'!$D$4&lt;&gt;"All Departments",AQ80&lt;&gt;'Skill Management'!$D$4)),"",IF(AT80=0,100000,0)+IF(AR80="Yes",10000,0)+AV80*100+AU80)</f>
        <v>110400</v>
      </c>
      <c r="AX80" s="17">
        <f>IF(AW80="","",COUNTIF($AW$4:$AW$106,"&gt;"&amp;AW80)+COUNTIF($AW$4:AW80,AW80))</f>
        <v>11</v>
      </c>
      <c r="AY80" s="17" t="str">
        <f>IFERROR(IF(Lists!$J80="","",Lists!$N80),"")</f>
        <v>Yes</v>
      </c>
      <c r="BA80" s="17" t="str">
        <f>IFERROR(IF('Training Plan'!$A81="","",'Training Plan'!$A81),"")</f>
        <v/>
      </c>
      <c r="BB80" s="17" t="str">
        <f>IFERROR(IF('Training Plan'!$A81="","",'Training Plan'!$B81),"")</f>
        <v/>
      </c>
      <c r="BC80" s="17" t="str">
        <f>IFERROR(IF('Training Plan'!$A81="","",'Training Plan'!$C81),"")</f>
        <v/>
      </c>
      <c r="BD80" s="17" t="str">
        <f>IFERROR(IF('Training Plan'!$A81="","",'Training Plan'!$D81),"")</f>
        <v/>
      </c>
      <c r="BE80" s="17" t="str">
        <f>IFERROR(IF('Training Plan'!$A81="","",'Training Plan'!$E81),"")</f>
        <v/>
      </c>
      <c r="BF80" s="17" t="str">
        <f>IFERROR(IF('Training Plan'!$A81="","",'Training Plan'!$F81),"")</f>
        <v/>
      </c>
      <c r="BG80" s="17" t="str">
        <f>IFERROR(IF('Training Plan'!$A81="","",'Training Plan'!$G81),"")</f>
        <v/>
      </c>
      <c r="BH80" s="17" t="str">
        <f>IFERROR(IF('Training Plan'!$A81="","",'Training Plan'!$H81),"")</f>
        <v/>
      </c>
      <c r="BI80" s="17" t="str">
        <f>IF(OR(BA80="",BF80="Complete",AND('Skill Management'!$D$4&lt;&gt;"All Departments",BB80&lt;&gt;'Skill Management'!$D$4)),"",IF(BF80="Blocked",100000,IF(BF80="In Progress",200000,300000))+IF(BE80="",99999,BE80))</f>
        <v/>
      </c>
      <c r="BJ80" s="17" t="str">
        <f>IF(BI80="","",COUNTIFS($BI$4:$BI$203,"&gt;0",$BI$4:$BI$203,"&lt;"&amp;BI80)+COUNTIF($BI$4:BI80,BI80))</f>
        <v/>
      </c>
      <c r="BT80" t="str">
        <f t="shared" si="25"/>
        <v>Data Reconciliation</v>
      </c>
      <c r="BU80" t="str">
        <f t="shared" si="26"/>
        <v>Data &amp; Analytics</v>
      </c>
      <c r="BV80" t="str">
        <f>IF(BT80="","",IFERROR(INDEX('Skills Matrix'!$G$6:$DE$205,MATCH('Employee Transcript'!$C$4,'Skills Matrix'!$B$6:$B$205,0),MATCH(BT80,'Skills Matrix'!$G$5:$DE$5,0)),""))</f>
        <v/>
      </c>
      <c r="BW80" t="str">
        <f>IF(BT80="","",IFERROR(INDEX('Competency Event Log'!$E$4:$E$803,MATCH('Employee Transcript'!$C$4&amp;"|"&amp;BT80,'Competency Event Log'!$U$4:$U$803,0)),""))</f>
        <v/>
      </c>
      <c r="BX80" t="str">
        <f>IF(BT80="","",IF(BU80='Employee Transcript'!$B$7,"Home Department","Cross-Trained"))</f>
        <v>Cross-Trained</v>
      </c>
      <c r="BY80" t="str">
        <f t="shared" si="27"/>
        <v>Yes</v>
      </c>
      <c r="BZ80" t="str">
        <f>IF(BT80="","",IFERROR(INDEX('Competency Event Log'!$L$4:$L$803,MATCH('Employee Transcript'!$C$4&amp;"|"&amp;BT80,'Competency Event Log'!$U$4:$U$803,0)),""))</f>
        <v/>
      </c>
      <c r="CA80" t="str">
        <f>IF(N(BV80)&gt;0,COUNTIF($BV$4:BV80,"&gt;0"),"")</f>
        <v/>
      </c>
      <c r="CB80" t="str">
        <f>IF(AND('Competency Event Log'!$B80='Employee Transcript'!$C$4,'Competency Event Log'!$I80&lt;&gt;"Yes"),'Competency Event Log'!$K80,"")</f>
        <v/>
      </c>
      <c r="CC80" t="str">
        <f t="shared" si="28"/>
        <v/>
      </c>
      <c r="CD80" t="str">
        <f>IF(Certifications!$A80='Employee Transcript'!$C$4,80,"")</f>
        <v/>
      </c>
      <c r="CE80" t="str">
        <f>IF(CD80="","",COUNTIF($CD$4:CD80,"&gt;0"))</f>
        <v/>
      </c>
      <c r="CF80" t="str">
        <f>IF(AND('Training Plan'!$A81='Employee Transcript'!$C$4,'Training Plan'!$F81&lt;&gt;"Complete"),81,"")</f>
        <v/>
      </c>
      <c r="CG80" t="str">
        <f>IF(CF80="","",COUNTIF($CF$4:CF80,"&gt;0"))</f>
        <v/>
      </c>
    </row>
    <row r="81" spans="1:85">
      <c r="A81" s="2"/>
      <c r="B81" s="1"/>
      <c r="C81" s="1"/>
      <c r="D81" s="1"/>
      <c r="E81" s="1"/>
      <c r="F81" s="3"/>
      <c r="G81" s="1"/>
      <c r="H81" s="4"/>
      <c r="I81" s="1" t="s">
        <v>1269</v>
      </c>
      <c r="J81" s="1" t="s">
        <v>1192</v>
      </c>
      <c r="K81" s="1" t="s">
        <v>310</v>
      </c>
      <c r="L81" s="1" t="s">
        <v>27</v>
      </c>
      <c r="M81" s="1">
        <v>4</v>
      </c>
      <c r="N81" s="1" t="s">
        <v>27</v>
      </c>
      <c r="P81" s="1" t="s">
        <v>1192</v>
      </c>
      <c r="Q81" s="1" t="s">
        <v>310</v>
      </c>
      <c r="R81" s="1">
        <v>4</v>
      </c>
      <c r="S81" s="1">
        <f>COUNTIF('Skills Matrix'!$CF$6:$CF$205,3)</f>
        <v>0</v>
      </c>
      <c r="T81" s="1">
        <f t="shared" si="19"/>
        <v>4</v>
      </c>
      <c r="U81" s="1">
        <f>IF(AND(T81&gt;0,OR('HR Quick View'!$F$24="All Departments",Q81='HR Quick View'!$F$24)),COUNTIFS($T$4:$T$108,"&gt;"&amp;T81,$Q$4:$Q$108,IF('HR Quick View'!$F$24="All Departments","*",'HR Quick View'!$F$24))+COUNTIFS($T$4:T81,T81,$Q$4:Q81,IF('HR Quick View'!$F$24="All Departments","*",'HR Quick View'!$F$24)),"")</f>
        <v>18</v>
      </c>
      <c r="W81" s="1" t="s">
        <v>1192</v>
      </c>
      <c r="X81" s="1" t="s">
        <v>310</v>
      </c>
      <c r="Y81" s="1" t="s">
        <v>27</v>
      </c>
      <c r="Z81" s="1" t="str">
        <f>IF('HR Quick View'!$C$9="","",IF(COUNTIFS('Competency Event Log'!$B$4:$B$803,'HR Quick View'!$C$9,'Competency Event Log'!$C$4:$C$803,W81,'Competency Event Log'!$T$4:$T$803,"Current")=0,"",SUMIFS('Competency Event Log'!$D$4:$D$803,'Competency Event Log'!$B$4:$B$803,'HR Quick View'!$C$9,'Competency Event Log'!$C$4:$C$803,W81,'Competency Event Log'!$T$4:$T$803,"Current")))</f>
        <v/>
      </c>
      <c r="AA81" s="1" t="str">
        <f>IF($Z81="","",IF('HR Quick View'!$B$10="Qualified only",IF($Z81=3,COUNTIF($Z$4:$Z81,3),""),IF('HR Quick View'!$B$10="Developing only",IF(OR($Z81=1,$Z81=2),COUNTIF($Z$4:$Z$108,"&gt;"&amp;$Z81)+COUNTIF($Z$4:$Z81,$Z81)-COUNTIF($Z$4:$Z$108,3),""),IF('HR Quick View'!$B$10="All scored",COUNTIF($Z$4:$Z$108,"&gt;"&amp;$Z81)+COUNTIF($Z$4:$Z81,$Z81),""))))</f>
        <v/>
      </c>
      <c r="AB81" s="1" t="str">
        <f>""</f>
        <v/>
      </c>
      <c r="AC81" s="1">
        <f t="shared" si="20"/>
        <v>4</v>
      </c>
      <c r="AD81" s="1">
        <f t="shared" si="21"/>
        <v>0</v>
      </c>
      <c r="AE81" s="1">
        <f t="shared" si="22"/>
        <v>4</v>
      </c>
      <c r="AF81" s="1" t="str">
        <f>IFERROR(IF(Lists!$B81="","",Lists!$B81),"")</f>
        <v/>
      </c>
      <c r="AG81" s="1" t="str">
        <f>IFERROR(IF(Lists!$B81="","",Lists!$C81),"")</f>
        <v/>
      </c>
      <c r="AH81" s="1" t="str">
        <f>IFERROR(IF(Lists!$B81="","",Lists!$D81),"")</f>
        <v/>
      </c>
      <c r="AI81" s="1" t="str">
        <f>IF(AF81="","",IFERROR(INDEX('Skills Matrix'!$G$6:$DE$205,MATCH(AF81,'Skills Matrix'!$B$6:$B$205,0),MATCH('HR Quick View'!$J$9,'Skills Matrix'!$G$5:$DE$5,0)),""))</f>
        <v/>
      </c>
      <c r="AJ81" s="1" t="str">
        <f t="shared" si="23"/>
        <v/>
      </c>
      <c r="AK81" s="1" t="str">
        <f>IFERROR(IF(Lists!$B81="","",Lists!$E81),"")</f>
        <v/>
      </c>
      <c r="AL81" s="1" t="str">
        <f>IF(AND(OR('HR Quick View'!$L$10="All Shifts",AH81='HR Quick View'!$L$10),OR(AND('HR Quick View'!$I$10="Qualified only",AI81=3),AND('HR Quick View'!$I$10="All trained",AI81&gt;0))),IF('HR Quick View'!$L$10="All Shifts",COUNTIF($AI$4:$AI$203,"&gt;"&amp;AI81)+COUNTIF($AI$4:AI81,AI81),COUNTIFS($AI$4:$AI$203,"&gt;"&amp;AI81,$AH$4:$AH$203,'HR Quick View'!$L$10)+COUNTIFS($AI$4:AI81,AI81,$AH$4:AH81,'HR Quick View'!$L$10)),"")</f>
        <v/>
      </c>
      <c r="AP81" s="17" t="str">
        <f>IFERROR(IF(Lists!$J81="","",Lists!$J81),"")</f>
        <v>Performance Test Analyst</v>
      </c>
      <c r="AQ81" s="17" t="str">
        <f>IFERROR(IF(Lists!$J81="","",Lists!$K81),"")</f>
        <v>Data &amp; Analytics</v>
      </c>
      <c r="AR81" s="17" t="str">
        <f>IFERROR(IF(Lists!$J81="","",Lists!$L81),"")</f>
        <v>Yes</v>
      </c>
      <c r="AS81" s="17">
        <f>IFERROR(IF(Lists!$J81="","",Lists!$M81),0)</f>
        <v>4</v>
      </c>
      <c r="AT81" s="17">
        <f>IF(AP81="","",COUNTIF('Skills Matrix'!$CF$6:$CF$205,3))</f>
        <v>0</v>
      </c>
      <c r="AU81" s="17">
        <f>IF(AP81="","",COUNTIF('Skills Matrix'!$CF$6:$CF$205,2))</f>
        <v>0</v>
      </c>
      <c r="AV81" s="17">
        <f t="shared" si="24"/>
        <v>4</v>
      </c>
      <c r="AW81" s="17">
        <f>IF(OR(AP81="",AS81&lt;=0,AV81&lt;=0,AND('Skill Management'!$D$4&lt;&gt;"All Departments",AQ81&lt;&gt;'Skill Management'!$D$4)),"",IF(AT81=0,100000,0)+IF(AR81="Yes",10000,0)+AV81*100+AU81)</f>
        <v>110400</v>
      </c>
      <c r="AX81" s="17">
        <f>IF(AW81="","",COUNTIF($AW$4:$AW$106,"&gt;"&amp;AW81)+COUNTIF($AW$4:AW81,AW81))</f>
        <v>12</v>
      </c>
      <c r="AY81" s="17" t="str">
        <f>IFERROR(IF(Lists!$J81="","",Lists!$N81),"")</f>
        <v>Yes</v>
      </c>
      <c r="BA81" s="17" t="str">
        <f>IFERROR(IF('Training Plan'!$A82="","",'Training Plan'!$A82),"")</f>
        <v/>
      </c>
      <c r="BB81" s="17" t="str">
        <f>IFERROR(IF('Training Plan'!$A82="","",'Training Plan'!$B82),"")</f>
        <v/>
      </c>
      <c r="BC81" s="17" t="str">
        <f>IFERROR(IF('Training Plan'!$A82="","",'Training Plan'!$C82),"")</f>
        <v/>
      </c>
      <c r="BD81" s="17" t="str">
        <f>IFERROR(IF('Training Plan'!$A82="","",'Training Plan'!$D82),"")</f>
        <v/>
      </c>
      <c r="BE81" s="17" t="str">
        <f>IFERROR(IF('Training Plan'!$A82="","",'Training Plan'!$E82),"")</f>
        <v/>
      </c>
      <c r="BF81" s="17" t="str">
        <f>IFERROR(IF('Training Plan'!$A82="","",'Training Plan'!$F82),"")</f>
        <v/>
      </c>
      <c r="BG81" s="17" t="str">
        <f>IFERROR(IF('Training Plan'!$A82="","",'Training Plan'!$G82),"")</f>
        <v/>
      </c>
      <c r="BH81" s="17" t="str">
        <f>IFERROR(IF('Training Plan'!$A82="","",'Training Plan'!$H82),"")</f>
        <v/>
      </c>
      <c r="BI81" s="17" t="str">
        <f>IF(OR(BA81="",BF81="Complete",AND('Skill Management'!$D$4&lt;&gt;"All Departments",BB81&lt;&gt;'Skill Management'!$D$4)),"",IF(BF81="Blocked",100000,IF(BF81="In Progress",200000,300000))+IF(BE81="",99999,BE81))</f>
        <v/>
      </c>
      <c r="BJ81" s="17" t="str">
        <f>IF(BI81="","",COUNTIFS($BI$4:$BI$203,"&gt;0",$BI$4:$BI$203,"&lt;"&amp;BI81)+COUNTIF($BI$4:BI81,BI81))</f>
        <v/>
      </c>
      <c r="BT81" t="str">
        <f t="shared" si="25"/>
        <v>Performance Test Analyst</v>
      </c>
      <c r="BU81" t="str">
        <f t="shared" si="26"/>
        <v>Data &amp; Analytics</v>
      </c>
      <c r="BV81" t="str">
        <f>IF(BT81="","",IFERROR(INDEX('Skills Matrix'!$G$6:$DE$205,MATCH('Employee Transcript'!$C$4,'Skills Matrix'!$B$6:$B$205,0),MATCH(BT81,'Skills Matrix'!$G$5:$DE$5,0)),""))</f>
        <v/>
      </c>
      <c r="BW81" t="str">
        <f>IF(BT81="","",IFERROR(INDEX('Competency Event Log'!$E$4:$E$803,MATCH('Employee Transcript'!$C$4&amp;"|"&amp;BT81,'Competency Event Log'!$U$4:$U$803,0)),""))</f>
        <v/>
      </c>
      <c r="BX81" t="str">
        <f>IF(BT81="","",IF(BU81='Employee Transcript'!$B$7,"Home Department","Cross-Trained"))</f>
        <v>Cross-Trained</v>
      </c>
      <c r="BY81" t="str">
        <f t="shared" si="27"/>
        <v>Yes</v>
      </c>
      <c r="BZ81" t="str">
        <f>IF(BT81="","",IFERROR(INDEX('Competency Event Log'!$L$4:$L$803,MATCH('Employee Transcript'!$C$4&amp;"|"&amp;BT81,'Competency Event Log'!$U$4:$U$803,0)),""))</f>
        <v/>
      </c>
      <c r="CA81" t="str">
        <f>IF(N(BV81)&gt;0,COUNTIF($BV$4:BV81,"&gt;0"),"")</f>
        <v/>
      </c>
      <c r="CB81" t="str">
        <f>IF(AND('Competency Event Log'!$B81='Employee Transcript'!$C$4,'Competency Event Log'!$I81&lt;&gt;"Yes"),'Competency Event Log'!$K81,"")</f>
        <v/>
      </c>
      <c r="CC81" t="str">
        <f t="shared" si="28"/>
        <v/>
      </c>
      <c r="CD81" t="str">
        <f>IF(Certifications!$A81='Employee Transcript'!$C$4,81,"")</f>
        <v/>
      </c>
      <c r="CE81" t="str">
        <f>IF(CD81="","",COUNTIF($CD$4:CD81,"&gt;0"))</f>
        <v/>
      </c>
      <c r="CF81" t="str">
        <f>IF(AND('Training Plan'!$A82='Employee Transcript'!$C$4,'Training Plan'!$F82&lt;&gt;"Complete"),82,"")</f>
        <v/>
      </c>
      <c r="CG81" t="str">
        <f>IF(CF81="","",COUNTIF($CF$4:CF81,"&gt;0"))</f>
        <v/>
      </c>
    </row>
    <row r="82" spans="1:85">
      <c r="A82" s="2"/>
      <c r="B82" s="1"/>
      <c r="C82" s="1"/>
      <c r="D82" s="1"/>
      <c r="E82" s="1"/>
      <c r="F82" s="3"/>
      <c r="G82" s="1"/>
      <c r="H82" s="4"/>
      <c r="I82" s="1" t="s">
        <v>1122</v>
      </c>
      <c r="J82" s="1" t="s">
        <v>1120</v>
      </c>
      <c r="K82" s="1" t="s">
        <v>310</v>
      </c>
      <c r="L82" s="1" t="s">
        <v>27</v>
      </c>
      <c r="M82" s="1">
        <v>4</v>
      </c>
      <c r="N82" s="1" t="s">
        <v>27</v>
      </c>
      <c r="P82" s="1" t="s">
        <v>1120</v>
      </c>
      <c r="Q82" s="1" t="s">
        <v>310</v>
      </c>
      <c r="R82" s="1">
        <v>9</v>
      </c>
      <c r="S82" s="1">
        <f>COUNTIF('Skills Matrix'!$CG$6:$CG$205,3)</f>
        <v>1</v>
      </c>
      <c r="T82" s="1">
        <f t="shared" si="19"/>
        <v>8</v>
      </c>
      <c r="U82" s="1">
        <f>IF(AND(T82&gt;0,OR('HR Quick View'!$F$24="All Departments",Q82='HR Quick View'!$F$24)),COUNTIFS($T$4:$T$108,"&gt;"&amp;T82,$Q$4:$Q$108,IF('HR Quick View'!$F$24="All Departments","*",'HR Quick View'!$F$24))+COUNTIFS($T$4:T82,T82,$Q$4:Q82,IF('HR Quick View'!$F$24="All Departments","*",'HR Quick View'!$F$24)),"")</f>
        <v>7</v>
      </c>
      <c r="W82" s="1" t="s">
        <v>1120</v>
      </c>
      <c r="X82" s="1" t="s">
        <v>310</v>
      </c>
      <c r="Y82" s="1" t="s">
        <v>27</v>
      </c>
      <c r="Z82" s="1" t="str">
        <f>IF('HR Quick View'!$C$9="","",IF(COUNTIFS('Competency Event Log'!$B$4:$B$803,'HR Quick View'!$C$9,'Competency Event Log'!$C$4:$C$803,W82,'Competency Event Log'!$T$4:$T$803,"Current")=0,"",SUMIFS('Competency Event Log'!$D$4:$D$803,'Competency Event Log'!$B$4:$B$803,'HR Quick View'!$C$9,'Competency Event Log'!$C$4:$C$803,W82,'Competency Event Log'!$T$4:$T$803,"Current")))</f>
        <v/>
      </c>
      <c r="AA82" s="1" t="str">
        <f>IF($Z82="","",IF('HR Quick View'!$B$10="Qualified only",IF($Z82=3,COUNTIF($Z$4:$Z82,3),""),IF('HR Quick View'!$B$10="Developing only",IF(OR($Z82=1,$Z82=2),COUNTIF($Z$4:$Z$108,"&gt;"&amp;$Z82)+COUNTIF($Z$4:$Z82,$Z82)-COUNTIF($Z$4:$Z$108,3),""),IF('HR Quick View'!$B$10="All scored",COUNTIF($Z$4:$Z$108,"&gt;"&amp;$Z82)+COUNTIF($Z$4:$Z82,$Z82),""))))</f>
        <v/>
      </c>
      <c r="AB82" s="1" t="str">
        <f>""</f>
        <v/>
      </c>
      <c r="AC82" s="1">
        <f t="shared" si="20"/>
        <v>9</v>
      </c>
      <c r="AD82" s="1">
        <f t="shared" si="21"/>
        <v>1</v>
      </c>
      <c r="AE82" s="1">
        <f t="shared" si="22"/>
        <v>8</v>
      </c>
      <c r="AF82" s="1" t="str">
        <f>IFERROR(IF(Lists!$B82="","",Lists!$B82),"")</f>
        <v/>
      </c>
      <c r="AG82" s="1" t="str">
        <f>IFERROR(IF(Lists!$B82="","",Lists!$C82),"")</f>
        <v/>
      </c>
      <c r="AH82" s="1" t="str">
        <f>IFERROR(IF(Lists!$B82="","",Lists!$D82),"")</f>
        <v/>
      </c>
      <c r="AI82" s="1" t="str">
        <f>IF(AF82="","",IFERROR(INDEX('Skills Matrix'!$G$6:$DE$205,MATCH(AF82,'Skills Matrix'!$B$6:$B$205,0),MATCH('HR Quick View'!$J$9,'Skills Matrix'!$G$5:$DE$5,0)),""))</f>
        <v/>
      </c>
      <c r="AJ82" s="1" t="str">
        <f t="shared" si="23"/>
        <v/>
      </c>
      <c r="AK82" s="1" t="str">
        <f>IFERROR(IF(Lists!$B82="","",Lists!$E82),"")</f>
        <v/>
      </c>
      <c r="AL82" s="1" t="str">
        <f>IF(AND(OR('HR Quick View'!$L$10="All Shifts",AH82='HR Quick View'!$L$10),OR(AND('HR Quick View'!$I$10="Qualified only",AI82=3),AND('HR Quick View'!$I$10="All trained",AI82&gt;0))),IF('HR Quick View'!$L$10="All Shifts",COUNTIF($AI$4:$AI$203,"&gt;"&amp;AI82)+COUNTIF($AI$4:AI82,AI82),COUNTIFS($AI$4:$AI$203,"&gt;"&amp;AI82,$AH$4:$AH$203,'HR Quick View'!$L$10)+COUNTIFS($AI$4:AI82,AI82,$AH$4:AH82,'HR Quick View'!$L$10)),"")</f>
        <v/>
      </c>
      <c r="AP82" s="17" t="str">
        <f>IFERROR(IF(Lists!$J82="","",Lists!$J82),"")</f>
        <v>Defect Triage Analyst</v>
      </c>
      <c r="AQ82" s="17" t="str">
        <f>IFERROR(IF(Lists!$J82="","",Lists!$K82),"")</f>
        <v>Data &amp; Analytics</v>
      </c>
      <c r="AR82" s="17" t="str">
        <f>IFERROR(IF(Lists!$J82="","",Lists!$L82),"")</f>
        <v>Yes</v>
      </c>
      <c r="AS82" s="17">
        <f>IFERROR(IF(Lists!$J82="","",Lists!$M82),0)</f>
        <v>4</v>
      </c>
      <c r="AT82" s="17">
        <f>IF(AP82="","",COUNTIF('Skills Matrix'!$CG$6:$CG$205,3))</f>
        <v>1</v>
      </c>
      <c r="AU82" s="17">
        <f>IF(AP82="","",COUNTIF('Skills Matrix'!$CG$6:$CG$205,2))</f>
        <v>0</v>
      </c>
      <c r="AV82" s="17">
        <f t="shared" si="24"/>
        <v>3</v>
      </c>
      <c r="AW82" s="17">
        <f>IF(OR(AP82="",AS82&lt;=0,AV82&lt;=0,AND('Skill Management'!$D$4&lt;&gt;"All Departments",AQ82&lt;&gt;'Skill Management'!$D$4)),"",IF(AT82=0,100000,0)+IF(AR82="Yes",10000,0)+AV82*100+AU82)</f>
        <v>10300</v>
      </c>
      <c r="AX82" s="17">
        <f>IF(AW82="","",COUNTIF($AW$4:$AW$106,"&gt;"&amp;AW82)+COUNTIF($AW$4:AW82,AW82))</f>
        <v>46</v>
      </c>
      <c r="AY82" s="17" t="str">
        <f>IFERROR(IF(Lists!$J82="","",Lists!$N82),"")</f>
        <v>Yes</v>
      </c>
      <c r="BA82" s="17" t="str">
        <f>IFERROR(IF('Training Plan'!$A83="","",'Training Plan'!$A83),"")</f>
        <v/>
      </c>
      <c r="BB82" s="17" t="str">
        <f>IFERROR(IF('Training Plan'!$A83="","",'Training Plan'!$B83),"")</f>
        <v/>
      </c>
      <c r="BC82" s="17" t="str">
        <f>IFERROR(IF('Training Plan'!$A83="","",'Training Plan'!$C83),"")</f>
        <v/>
      </c>
      <c r="BD82" s="17" t="str">
        <f>IFERROR(IF('Training Plan'!$A83="","",'Training Plan'!$D83),"")</f>
        <v/>
      </c>
      <c r="BE82" s="17" t="str">
        <f>IFERROR(IF('Training Plan'!$A83="","",'Training Plan'!$E83),"")</f>
        <v/>
      </c>
      <c r="BF82" s="17" t="str">
        <f>IFERROR(IF('Training Plan'!$A83="","",'Training Plan'!$F83),"")</f>
        <v/>
      </c>
      <c r="BG82" s="17" t="str">
        <f>IFERROR(IF('Training Plan'!$A83="","",'Training Plan'!$G83),"")</f>
        <v/>
      </c>
      <c r="BH82" s="17" t="str">
        <f>IFERROR(IF('Training Plan'!$A83="","",'Training Plan'!$H83),"")</f>
        <v/>
      </c>
      <c r="BI82" s="17" t="str">
        <f>IF(OR(BA82="",BF82="Complete",AND('Skill Management'!$D$4&lt;&gt;"All Departments",BB82&lt;&gt;'Skill Management'!$D$4)),"",IF(BF82="Blocked",100000,IF(BF82="In Progress",200000,300000))+IF(BE82="",99999,BE82))</f>
        <v/>
      </c>
      <c r="BJ82" s="17" t="str">
        <f>IF(BI82="","",COUNTIFS($BI$4:$BI$203,"&gt;0",$BI$4:$BI$203,"&lt;"&amp;BI82)+COUNTIF($BI$4:BI82,BI82))</f>
        <v/>
      </c>
      <c r="BT82" t="str">
        <f t="shared" si="25"/>
        <v>Defect Triage Analyst</v>
      </c>
      <c r="BU82" t="str">
        <f t="shared" si="26"/>
        <v>Data &amp; Analytics</v>
      </c>
      <c r="BV82" t="str">
        <f>IF(BT82="","",IFERROR(INDEX('Skills Matrix'!$G$6:$DE$205,MATCH('Employee Transcript'!$C$4,'Skills Matrix'!$B$6:$B$205,0),MATCH(BT82,'Skills Matrix'!$G$5:$DE$5,0)),""))</f>
        <v/>
      </c>
      <c r="BW82" t="str">
        <f>IF(BT82="","",IFERROR(INDEX('Competency Event Log'!$E$4:$E$803,MATCH('Employee Transcript'!$C$4&amp;"|"&amp;BT82,'Competency Event Log'!$U$4:$U$803,0)),""))</f>
        <v/>
      </c>
      <c r="BX82" t="str">
        <f>IF(BT82="","",IF(BU82='Employee Transcript'!$B$7,"Home Department","Cross-Trained"))</f>
        <v>Cross-Trained</v>
      </c>
      <c r="BY82" t="str">
        <f t="shared" si="27"/>
        <v>Yes</v>
      </c>
      <c r="BZ82" t="str">
        <f>IF(BT82="","",IFERROR(INDEX('Competency Event Log'!$L$4:$L$803,MATCH('Employee Transcript'!$C$4&amp;"|"&amp;BT82,'Competency Event Log'!$U$4:$U$803,0)),""))</f>
        <v/>
      </c>
      <c r="CA82" t="str">
        <f>IF(N(BV82)&gt;0,COUNTIF($BV$4:BV82,"&gt;0"),"")</f>
        <v/>
      </c>
      <c r="CB82" t="str">
        <f>IF(AND('Competency Event Log'!$B82='Employee Transcript'!$C$4,'Competency Event Log'!$I82&lt;&gt;"Yes"),'Competency Event Log'!$K82,"")</f>
        <v/>
      </c>
      <c r="CC82" t="str">
        <f t="shared" si="28"/>
        <v/>
      </c>
      <c r="CD82" t="str">
        <f>IF(Certifications!$A82='Employee Transcript'!$C$4,82,"")</f>
        <v/>
      </c>
      <c r="CE82" t="str">
        <f>IF(CD82="","",COUNTIF($CD$4:CD82,"&gt;0"))</f>
        <v/>
      </c>
      <c r="CF82" t="str">
        <f>IF(AND('Training Plan'!$A83='Employee Transcript'!$C$4,'Training Plan'!$F83&lt;&gt;"Complete"),83,"")</f>
        <v/>
      </c>
      <c r="CG82" t="str">
        <f>IF(CF82="","",COUNTIF($CF$4:CF82,"&gt;0"))</f>
        <v/>
      </c>
    </row>
    <row r="83" spans="1:85">
      <c r="A83" s="2"/>
      <c r="B83" s="1"/>
      <c r="C83" s="1"/>
      <c r="D83" s="1"/>
      <c r="E83" s="1"/>
      <c r="F83" s="3"/>
      <c r="G83" s="1"/>
      <c r="H83" s="4"/>
      <c r="I83" s="1" t="s">
        <v>1270</v>
      </c>
      <c r="J83" s="1" t="s">
        <v>1229</v>
      </c>
      <c r="K83" s="1" t="s">
        <v>310</v>
      </c>
      <c r="L83" s="1" t="s">
        <v>27</v>
      </c>
      <c r="M83" s="1">
        <v>4</v>
      </c>
      <c r="N83" s="1" t="s">
        <v>27</v>
      </c>
      <c r="P83" s="1" t="s">
        <v>1229</v>
      </c>
      <c r="Q83" s="1" t="s">
        <v>310</v>
      </c>
      <c r="R83" s="1">
        <v>10</v>
      </c>
      <c r="S83" s="1">
        <f>COUNTIF('Skills Matrix'!$CH$6:$CH$205,3)</f>
        <v>0</v>
      </c>
      <c r="T83" s="1">
        <f t="shared" si="19"/>
        <v>10</v>
      </c>
      <c r="U83" s="1">
        <f>IF(AND(T83&gt;0,OR('HR Quick View'!$F$24="All Departments",Q83='HR Quick View'!$F$24)),COUNTIFS($T$4:$T$108,"&gt;"&amp;T83,$Q$4:$Q$108,IF('HR Quick View'!$F$24="All Departments","*",'HR Quick View'!$F$24))+COUNTIFS($T$4:T83,T83,$Q$4:Q83,IF('HR Quick View'!$F$24="All Departments","*",'HR Quick View'!$F$24)),"")</f>
        <v>4</v>
      </c>
      <c r="W83" s="1" t="s">
        <v>1229</v>
      </c>
      <c r="X83" s="1" t="s">
        <v>310</v>
      </c>
      <c r="Y83" s="1" t="s">
        <v>27</v>
      </c>
      <c r="Z83" s="1" t="str">
        <f>IF('HR Quick View'!$C$9="","",IF(COUNTIFS('Competency Event Log'!$B$4:$B$803,'HR Quick View'!$C$9,'Competency Event Log'!$C$4:$C$803,W83,'Competency Event Log'!$T$4:$T$803,"Current")=0,"",SUMIFS('Competency Event Log'!$D$4:$D$803,'Competency Event Log'!$B$4:$B$803,'HR Quick View'!$C$9,'Competency Event Log'!$C$4:$C$803,W83,'Competency Event Log'!$T$4:$T$803,"Current")))</f>
        <v/>
      </c>
      <c r="AA83" s="1" t="str">
        <f>IF($Z83="","",IF('HR Quick View'!$B$10="Qualified only",IF($Z83=3,COUNTIF($Z$4:$Z83,3),""),IF('HR Quick View'!$B$10="Developing only",IF(OR($Z83=1,$Z83=2),COUNTIF($Z$4:$Z$108,"&gt;"&amp;$Z83)+COUNTIF($Z$4:$Z83,$Z83)-COUNTIF($Z$4:$Z$108,3),""),IF('HR Quick View'!$B$10="All scored",COUNTIF($Z$4:$Z$108,"&gt;"&amp;$Z83)+COUNTIF($Z$4:$Z83,$Z83),""))))</f>
        <v/>
      </c>
      <c r="AB83" s="1" t="str">
        <f>""</f>
        <v/>
      </c>
      <c r="AC83" s="1">
        <f t="shared" si="20"/>
        <v>10</v>
      </c>
      <c r="AD83" s="1">
        <f t="shared" si="21"/>
        <v>0</v>
      </c>
      <c r="AE83" s="1">
        <f t="shared" si="22"/>
        <v>10</v>
      </c>
      <c r="AF83" s="1" t="str">
        <f>IFERROR(IF(Lists!$B83="","",Lists!$B83),"")</f>
        <v/>
      </c>
      <c r="AG83" s="1" t="str">
        <f>IFERROR(IF(Lists!$B83="","",Lists!$C83),"")</f>
        <v/>
      </c>
      <c r="AH83" s="1" t="str">
        <f>IFERROR(IF(Lists!$B83="","",Lists!$D83),"")</f>
        <v/>
      </c>
      <c r="AI83" s="1" t="str">
        <f>IF(AF83="","",IFERROR(INDEX('Skills Matrix'!$G$6:$DE$205,MATCH(AF83,'Skills Matrix'!$B$6:$B$205,0),MATCH('HR Quick View'!$J$9,'Skills Matrix'!$G$5:$DE$5,0)),""))</f>
        <v/>
      </c>
      <c r="AJ83" s="1" t="str">
        <f t="shared" si="23"/>
        <v/>
      </c>
      <c r="AK83" s="1" t="str">
        <f>IFERROR(IF(Lists!$B83="","",Lists!$E83),"")</f>
        <v/>
      </c>
      <c r="AL83" s="1" t="str">
        <f>IF(AND(OR('HR Quick View'!$L$10="All Shifts",AH83='HR Quick View'!$L$10),OR(AND('HR Quick View'!$I$10="Qualified only",AI83=3),AND('HR Quick View'!$I$10="All trained",AI83&gt;0))),IF('HR Quick View'!$L$10="All Shifts",COUNTIF($AI$4:$AI$203,"&gt;"&amp;AI83)+COUNTIF($AI$4:AI83,AI83),COUNTIFS($AI$4:$AI$203,"&gt;"&amp;AI83,$AH$4:$AH$203,'HR Quick View'!$L$10)+COUNTIFS($AI$4:AI83,AI83,$AH$4:AH83,'HR Quick View'!$L$10)),"")</f>
        <v/>
      </c>
      <c r="AP83" s="17" t="str">
        <f>IFERROR(IF(Lists!$J83="","",Lists!$J83),"")</f>
        <v>Data Incident Triage</v>
      </c>
      <c r="AQ83" s="17" t="str">
        <f>IFERROR(IF(Lists!$J83="","",Lists!$K83),"")</f>
        <v>Data &amp; Analytics</v>
      </c>
      <c r="AR83" s="17" t="str">
        <f>IFERROR(IF(Lists!$J83="","",Lists!$L83),"")</f>
        <v>Yes</v>
      </c>
      <c r="AS83" s="17">
        <f>IFERROR(IF(Lists!$J83="","",Lists!$M83),0)</f>
        <v>4</v>
      </c>
      <c r="AT83" s="17">
        <f>IF(AP83="","",COUNTIF('Skills Matrix'!$CH$6:$CH$205,3))</f>
        <v>0</v>
      </c>
      <c r="AU83" s="17">
        <f>IF(AP83="","",COUNTIF('Skills Matrix'!$CH$6:$CH$205,2))</f>
        <v>0</v>
      </c>
      <c r="AV83" s="17">
        <f t="shared" si="24"/>
        <v>4</v>
      </c>
      <c r="AW83" s="17">
        <f>IF(OR(AP83="",AS83&lt;=0,AV83&lt;=0,AND('Skill Management'!$D$4&lt;&gt;"All Departments",AQ83&lt;&gt;'Skill Management'!$D$4)),"",IF(AT83=0,100000,0)+IF(AR83="Yes",10000,0)+AV83*100+AU83)</f>
        <v>110400</v>
      </c>
      <c r="AX83" s="17">
        <f>IF(AW83="","",COUNTIF($AW$4:$AW$106,"&gt;"&amp;AW83)+COUNTIF($AW$4:AW83,AW83))</f>
        <v>13</v>
      </c>
      <c r="AY83" s="17" t="str">
        <f>IFERROR(IF(Lists!$J83="","",Lists!$N83),"")</f>
        <v>Yes</v>
      </c>
      <c r="BA83" s="17" t="str">
        <f>IFERROR(IF('Training Plan'!$A84="","",'Training Plan'!$A84),"")</f>
        <v/>
      </c>
      <c r="BB83" s="17" t="str">
        <f>IFERROR(IF('Training Plan'!$A84="","",'Training Plan'!$B84),"")</f>
        <v/>
      </c>
      <c r="BC83" s="17" t="str">
        <f>IFERROR(IF('Training Plan'!$A84="","",'Training Plan'!$C84),"")</f>
        <v/>
      </c>
      <c r="BD83" s="17" t="str">
        <f>IFERROR(IF('Training Plan'!$A84="","",'Training Plan'!$D84),"")</f>
        <v/>
      </c>
      <c r="BE83" s="17" t="str">
        <f>IFERROR(IF('Training Plan'!$A84="","",'Training Plan'!$E84),"")</f>
        <v/>
      </c>
      <c r="BF83" s="17" t="str">
        <f>IFERROR(IF('Training Plan'!$A84="","",'Training Plan'!$F84),"")</f>
        <v/>
      </c>
      <c r="BG83" s="17" t="str">
        <f>IFERROR(IF('Training Plan'!$A84="","",'Training Plan'!$G84),"")</f>
        <v/>
      </c>
      <c r="BH83" s="17" t="str">
        <f>IFERROR(IF('Training Plan'!$A84="","",'Training Plan'!$H84),"")</f>
        <v/>
      </c>
      <c r="BI83" s="17" t="str">
        <f>IF(OR(BA83="",BF83="Complete",AND('Skill Management'!$D$4&lt;&gt;"All Departments",BB83&lt;&gt;'Skill Management'!$D$4)),"",IF(BF83="Blocked",100000,IF(BF83="In Progress",200000,300000))+IF(BE83="",99999,BE83))</f>
        <v/>
      </c>
      <c r="BJ83" s="17" t="str">
        <f>IF(BI83="","",COUNTIFS($BI$4:$BI$203,"&gt;0",$BI$4:$BI$203,"&lt;"&amp;BI83)+COUNTIF($BI$4:BI83,BI83))</f>
        <v/>
      </c>
      <c r="BT83" t="str">
        <f t="shared" si="25"/>
        <v>Data Incident Triage</v>
      </c>
      <c r="BU83" t="str">
        <f t="shared" si="26"/>
        <v>Data &amp; Analytics</v>
      </c>
      <c r="BV83" t="str">
        <f>IF(BT83="","",IFERROR(INDEX('Skills Matrix'!$G$6:$DE$205,MATCH('Employee Transcript'!$C$4,'Skills Matrix'!$B$6:$B$205,0),MATCH(BT83,'Skills Matrix'!$G$5:$DE$5,0)),""))</f>
        <v/>
      </c>
      <c r="BW83" t="str">
        <f>IF(BT83="","",IFERROR(INDEX('Competency Event Log'!$E$4:$E$803,MATCH('Employee Transcript'!$C$4&amp;"|"&amp;BT83,'Competency Event Log'!$U$4:$U$803,0)),""))</f>
        <v/>
      </c>
      <c r="BX83" t="str">
        <f>IF(BT83="","",IF(BU83='Employee Transcript'!$B$7,"Home Department","Cross-Trained"))</f>
        <v>Cross-Trained</v>
      </c>
      <c r="BY83" t="str">
        <f t="shared" si="27"/>
        <v>Yes</v>
      </c>
      <c r="BZ83" t="str">
        <f>IF(BT83="","",IFERROR(INDEX('Competency Event Log'!$L$4:$L$803,MATCH('Employee Transcript'!$C$4&amp;"|"&amp;BT83,'Competency Event Log'!$U$4:$U$803,0)),""))</f>
        <v/>
      </c>
      <c r="CA83" t="str">
        <f>IF(N(BV83)&gt;0,COUNTIF($BV$4:BV83,"&gt;0"),"")</f>
        <v/>
      </c>
      <c r="CB83" t="str">
        <f>IF(AND('Competency Event Log'!$B83='Employee Transcript'!$C$4,'Competency Event Log'!$I83&lt;&gt;"Yes"),'Competency Event Log'!$K83,"")</f>
        <v/>
      </c>
      <c r="CC83" t="str">
        <f t="shared" si="28"/>
        <v/>
      </c>
      <c r="CD83" t="str">
        <f>IF(Certifications!$A83='Employee Transcript'!$C$4,83,"")</f>
        <v/>
      </c>
      <c r="CE83" t="str">
        <f>IF(CD83="","",COUNTIF($CD$4:CD83,"&gt;0"))</f>
        <v/>
      </c>
      <c r="CF83" t="str">
        <f>IF(AND('Training Plan'!$A84='Employee Transcript'!$C$4,'Training Plan'!$F84&lt;&gt;"Complete"),84,"")</f>
        <v/>
      </c>
      <c r="CG83" t="str">
        <f>IF(CF83="","",COUNTIF($CF$4:CF83,"&gt;0"))</f>
        <v/>
      </c>
    </row>
    <row r="84" spans="1:85">
      <c r="A84" s="2"/>
      <c r="B84" s="1"/>
      <c r="C84" s="1"/>
      <c r="D84" s="1"/>
      <c r="E84" s="1"/>
      <c r="F84" s="3"/>
      <c r="G84" s="1"/>
      <c r="H84" s="4"/>
      <c r="I84" s="1" t="s">
        <v>1271</v>
      </c>
      <c r="J84" s="1" t="s">
        <v>1194</v>
      </c>
      <c r="K84" s="1" t="s">
        <v>311</v>
      </c>
      <c r="L84" s="1" t="s">
        <v>411</v>
      </c>
      <c r="M84" s="1">
        <v>3</v>
      </c>
      <c r="N84" s="1" t="s">
        <v>27</v>
      </c>
      <c r="P84" s="1" t="s">
        <v>1194</v>
      </c>
      <c r="Q84" s="1" t="s">
        <v>311</v>
      </c>
      <c r="R84" s="1">
        <v>0</v>
      </c>
      <c r="S84" s="1">
        <f>COUNTIF('Skills Matrix'!$CI$6:$CI$205,3)</f>
        <v>0</v>
      </c>
      <c r="T84" s="1">
        <f t="shared" si="19"/>
        <v>0</v>
      </c>
      <c r="U84" s="1" t="str">
        <f>IF(AND(T84&gt;0,OR('HR Quick View'!$F$24="All Departments",Q84='HR Quick View'!$F$24)),COUNTIFS($T$4:$T$108,"&gt;"&amp;T84,$Q$4:$Q$108,IF('HR Quick View'!$F$24="All Departments","*",'HR Quick View'!$F$24))+COUNTIFS($T$4:T84,T84,$Q$4:Q84,IF('HR Quick View'!$F$24="All Departments","*",'HR Quick View'!$F$24)),"")</f>
        <v/>
      </c>
      <c r="W84" s="1" t="s">
        <v>1194</v>
      </c>
      <c r="X84" s="1" t="s">
        <v>311</v>
      </c>
      <c r="Y84" s="1" t="s">
        <v>411</v>
      </c>
      <c r="Z84" s="1" t="str">
        <f>IF('HR Quick View'!$C$9="","",IF(COUNTIFS('Competency Event Log'!$B$4:$B$803,'HR Quick View'!$C$9,'Competency Event Log'!$C$4:$C$803,W84,'Competency Event Log'!$T$4:$T$803,"Current")=0,"",SUMIFS('Competency Event Log'!$D$4:$D$803,'Competency Event Log'!$B$4:$B$803,'HR Quick View'!$C$9,'Competency Event Log'!$C$4:$C$803,W84,'Competency Event Log'!$T$4:$T$803,"Current")))</f>
        <v/>
      </c>
      <c r="AA84" s="1" t="str">
        <f>IF($Z84="","",IF('HR Quick View'!$B$10="Qualified only",IF($Z84=3,COUNTIF($Z$4:$Z84,3),""),IF('HR Quick View'!$B$10="Developing only",IF(OR($Z84=1,$Z84=2),COUNTIF($Z$4:$Z$108,"&gt;"&amp;$Z84)+COUNTIF($Z$4:$Z84,$Z84)-COUNTIF($Z$4:$Z$108,3),""),IF('HR Quick View'!$B$10="All scored",COUNTIF($Z$4:$Z$108,"&gt;"&amp;$Z84)+COUNTIF($Z$4:$Z84,$Z84),""))))</f>
        <v/>
      </c>
      <c r="AB84" s="1" t="str">
        <f>""</f>
        <v/>
      </c>
      <c r="AC84" s="1">
        <f t="shared" si="20"/>
        <v>0</v>
      </c>
      <c r="AD84" s="1">
        <f t="shared" si="21"/>
        <v>0</v>
      </c>
      <c r="AE84" s="1">
        <f t="shared" si="22"/>
        <v>0</v>
      </c>
      <c r="AF84" s="1" t="str">
        <f>IFERROR(IF(Lists!$B84="","",Lists!$B84),"")</f>
        <v/>
      </c>
      <c r="AG84" s="1" t="str">
        <f>IFERROR(IF(Lists!$B84="","",Lists!$C84),"")</f>
        <v/>
      </c>
      <c r="AH84" s="1" t="str">
        <f>IFERROR(IF(Lists!$B84="","",Lists!$D84),"")</f>
        <v/>
      </c>
      <c r="AI84" s="1" t="str">
        <f>IF(AF84="","",IFERROR(INDEX('Skills Matrix'!$G$6:$DE$205,MATCH(AF84,'Skills Matrix'!$B$6:$B$205,0),MATCH('HR Quick View'!$J$9,'Skills Matrix'!$G$5:$DE$5,0)),""))</f>
        <v/>
      </c>
      <c r="AJ84" s="1" t="str">
        <f t="shared" si="23"/>
        <v/>
      </c>
      <c r="AK84" s="1" t="str">
        <f>IFERROR(IF(Lists!$B84="","",Lists!$E84),"")</f>
        <v/>
      </c>
      <c r="AL84" s="1" t="str">
        <f>IF(AND(OR('HR Quick View'!$L$10="All Shifts",AH84='HR Quick View'!$L$10),OR(AND('HR Quick View'!$I$10="Qualified only",AI84=3),AND('HR Quick View'!$I$10="All trained",AI84&gt;0))),IF('HR Quick View'!$L$10="All Shifts",COUNTIF($AI$4:$AI$203,"&gt;"&amp;AI84)+COUNTIF($AI$4:AI84,AI84),COUNTIFS($AI$4:$AI$203,"&gt;"&amp;AI84,$AH$4:$AH$203,'HR Quick View'!$L$10)+COUNTIFS($AI$4:AI84,AI84,$AH$4:AH84,'HR Quick View'!$L$10)),"")</f>
        <v/>
      </c>
      <c r="AP84" s="17" t="str">
        <f>IFERROR(IF(Lists!$J84="","",Lists!$J84),"")</f>
        <v>Alert Triage</v>
      </c>
      <c r="AQ84" s="17" t="str">
        <f>IFERROR(IF(Lists!$J84="","",Lists!$K84),"")</f>
        <v>Cybersecurity</v>
      </c>
      <c r="AR84" s="17" t="str">
        <f>IFERROR(IF(Lists!$J84="","",Lists!$L84),"")</f>
        <v>No</v>
      </c>
      <c r="AS84" s="17">
        <f>IFERROR(IF(Lists!$J84="","",Lists!$M84),0)</f>
        <v>3</v>
      </c>
      <c r="AT84" s="17">
        <f>IF(AP84="","",COUNTIF('Skills Matrix'!$CI$6:$CI$205,3))</f>
        <v>0</v>
      </c>
      <c r="AU84" s="17">
        <f>IF(AP84="","",COUNTIF('Skills Matrix'!$CI$6:$CI$205,2))</f>
        <v>0</v>
      </c>
      <c r="AV84" s="17">
        <f t="shared" si="24"/>
        <v>3</v>
      </c>
      <c r="AW84" s="17">
        <f>IF(OR(AP84="",AS84&lt;=0,AV84&lt;=0,AND('Skill Management'!$D$4&lt;&gt;"All Departments",AQ84&lt;&gt;'Skill Management'!$D$4)),"",IF(AT84=0,100000,0)+IF(AR84="Yes",10000,0)+AV84*100+AU84)</f>
        <v>100300</v>
      </c>
      <c r="AX84" s="17">
        <f>IF(AW84="","",COUNTIF($AW$4:$AW$106,"&gt;"&amp;AW84)+COUNTIF($AW$4:AW84,AW84))</f>
        <v>23</v>
      </c>
      <c r="AY84" s="17" t="str">
        <f>IFERROR(IF(Lists!$J84="","",Lists!$N84),"")</f>
        <v>Yes</v>
      </c>
      <c r="BA84" s="17" t="str">
        <f>IFERROR(IF('Training Plan'!$A85="","",'Training Plan'!$A85),"")</f>
        <v/>
      </c>
      <c r="BB84" s="17" t="str">
        <f>IFERROR(IF('Training Plan'!$A85="","",'Training Plan'!$B85),"")</f>
        <v/>
      </c>
      <c r="BC84" s="17" t="str">
        <f>IFERROR(IF('Training Plan'!$A85="","",'Training Plan'!$C85),"")</f>
        <v/>
      </c>
      <c r="BD84" s="17" t="str">
        <f>IFERROR(IF('Training Plan'!$A85="","",'Training Plan'!$D85),"")</f>
        <v/>
      </c>
      <c r="BE84" s="17" t="str">
        <f>IFERROR(IF('Training Plan'!$A85="","",'Training Plan'!$E85),"")</f>
        <v/>
      </c>
      <c r="BF84" s="17" t="str">
        <f>IFERROR(IF('Training Plan'!$A85="","",'Training Plan'!$F85),"")</f>
        <v/>
      </c>
      <c r="BG84" s="17" t="str">
        <f>IFERROR(IF('Training Plan'!$A85="","",'Training Plan'!$G85),"")</f>
        <v/>
      </c>
      <c r="BH84" s="17" t="str">
        <f>IFERROR(IF('Training Plan'!$A85="","",'Training Plan'!$H85),"")</f>
        <v/>
      </c>
      <c r="BI84" s="17" t="str">
        <f>IF(OR(BA84="",BF84="Complete",AND('Skill Management'!$D$4&lt;&gt;"All Departments",BB84&lt;&gt;'Skill Management'!$D$4)),"",IF(BF84="Blocked",100000,IF(BF84="In Progress",200000,300000))+IF(BE84="",99999,BE84))</f>
        <v/>
      </c>
      <c r="BJ84" s="17" t="str">
        <f>IF(BI84="","",COUNTIFS($BI$4:$BI$203,"&gt;0",$BI$4:$BI$203,"&lt;"&amp;BI84)+COUNTIF($BI$4:BI84,BI84))</f>
        <v/>
      </c>
      <c r="BT84" t="str">
        <f t="shared" si="25"/>
        <v>Alert Triage</v>
      </c>
      <c r="BU84" t="str">
        <f t="shared" si="26"/>
        <v>Cybersecurity</v>
      </c>
      <c r="BV84" t="str">
        <f>IF(BT84="","",IFERROR(INDEX('Skills Matrix'!$G$6:$DE$205,MATCH('Employee Transcript'!$C$4,'Skills Matrix'!$B$6:$B$205,0),MATCH(BT84,'Skills Matrix'!$G$5:$DE$5,0)),""))</f>
        <v/>
      </c>
      <c r="BW84" t="str">
        <f>IF(BT84="","",IFERROR(INDEX('Competency Event Log'!$E$4:$E$803,MATCH('Employee Transcript'!$C$4&amp;"|"&amp;BT84,'Competency Event Log'!$U$4:$U$803,0)),""))</f>
        <v/>
      </c>
      <c r="BX84" t="str">
        <f>IF(BT84="","",IF(BU84='Employee Transcript'!$B$7,"Home Department","Cross-Trained"))</f>
        <v>Cross-Trained</v>
      </c>
      <c r="BY84" t="str">
        <f t="shared" si="27"/>
        <v>No</v>
      </c>
      <c r="BZ84" t="str">
        <f>IF(BT84="","",IFERROR(INDEX('Competency Event Log'!$L$4:$L$803,MATCH('Employee Transcript'!$C$4&amp;"|"&amp;BT84,'Competency Event Log'!$U$4:$U$803,0)),""))</f>
        <v/>
      </c>
      <c r="CA84" t="str">
        <f>IF(N(BV84)&gt;0,COUNTIF($BV$4:BV84,"&gt;0"),"")</f>
        <v/>
      </c>
      <c r="CB84" t="str">
        <f>IF(AND('Competency Event Log'!$B84='Employee Transcript'!$C$4,'Competency Event Log'!$I84&lt;&gt;"Yes"),'Competency Event Log'!$K84,"")</f>
        <v/>
      </c>
      <c r="CC84" t="str">
        <f t="shared" si="28"/>
        <v/>
      </c>
      <c r="CD84" t="str">
        <f>IF(Certifications!$A84='Employee Transcript'!$C$4,84,"")</f>
        <v/>
      </c>
      <c r="CE84" t="str">
        <f>IF(CD84="","",COUNTIF($CD$4:CD84,"&gt;0"))</f>
        <v/>
      </c>
      <c r="CF84" t="str">
        <f>IF(AND('Training Plan'!$A85='Employee Transcript'!$C$4,'Training Plan'!$F85&lt;&gt;"Complete"),85,"")</f>
        <v/>
      </c>
      <c r="CG84" t="str">
        <f>IF(CF84="","",COUNTIF($CF$4:CF84,"&gt;0"))</f>
        <v/>
      </c>
    </row>
    <row r="85" spans="1:85">
      <c r="A85" s="2"/>
      <c r="B85" s="1"/>
      <c r="C85" s="1"/>
      <c r="D85" s="1"/>
      <c r="E85" s="1"/>
      <c r="F85" s="3"/>
      <c r="G85" s="1"/>
      <c r="H85" s="4"/>
      <c r="I85" s="1" t="s">
        <v>1272</v>
      </c>
      <c r="J85" s="1" t="s">
        <v>1195</v>
      </c>
      <c r="K85" s="1" t="s">
        <v>311</v>
      </c>
      <c r="L85" s="1" t="s">
        <v>411</v>
      </c>
      <c r="M85" s="1">
        <v>4</v>
      </c>
      <c r="N85" s="1" t="s">
        <v>27</v>
      </c>
      <c r="P85" s="1" t="s">
        <v>1195</v>
      </c>
      <c r="Q85" s="1" t="s">
        <v>311</v>
      </c>
      <c r="R85" s="1">
        <v>0</v>
      </c>
      <c r="S85" s="1">
        <f>COUNTIF('Skills Matrix'!$CJ$6:$CJ$205,3)</f>
        <v>0</v>
      </c>
      <c r="T85" s="1">
        <f t="shared" si="19"/>
        <v>0</v>
      </c>
      <c r="U85" s="1" t="str">
        <f>IF(AND(T85&gt;0,OR('HR Quick View'!$F$24="All Departments",Q85='HR Quick View'!$F$24)),COUNTIFS($T$4:$T$108,"&gt;"&amp;T85,$Q$4:$Q$108,IF('HR Quick View'!$F$24="All Departments","*",'HR Quick View'!$F$24))+COUNTIFS($T$4:T85,T85,$Q$4:Q85,IF('HR Quick View'!$F$24="All Departments","*",'HR Quick View'!$F$24)),"")</f>
        <v/>
      </c>
      <c r="W85" s="1" t="s">
        <v>1195</v>
      </c>
      <c r="X85" s="1" t="s">
        <v>311</v>
      </c>
      <c r="Y85" s="1" t="s">
        <v>411</v>
      </c>
      <c r="Z85" s="1" t="str">
        <f>IF('HR Quick View'!$C$9="","",IF(COUNTIFS('Competency Event Log'!$B$4:$B$803,'HR Quick View'!$C$9,'Competency Event Log'!$C$4:$C$803,W85,'Competency Event Log'!$T$4:$T$803,"Current")=0,"",SUMIFS('Competency Event Log'!$D$4:$D$803,'Competency Event Log'!$B$4:$B$803,'HR Quick View'!$C$9,'Competency Event Log'!$C$4:$C$803,W85,'Competency Event Log'!$T$4:$T$803,"Current")))</f>
        <v/>
      </c>
      <c r="AA85" s="1" t="str">
        <f>IF($Z85="","",IF('HR Quick View'!$B$10="Qualified only",IF($Z85=3,COUNTIF($Z$4:$Z85,3),""),IF('HR Quick View'!$B$10="Developing only",IF(OR($Z85=1,$Z85=2),COUNTIF($Z$4:$Z$108,"&gt;"&amp;$Z85)+COUNTIF($Z$4:$Z85,$Z85)-COUNTIF($Z$4:$Z$108,3),""),IF('HR Quick View'!$B$10="All scored",COUNTIF($Z$4:$Z$108,"&gt;"&amp;$Z85)+COUNTIF($Z$4:$Z85,$Z85),""))))</f>
        <v/>
      </c>
      <c r="AB85" s="1" t="str">
        <f>""</f>
        <v/>
      </c>
      <c r="AC85" s="1">
        <f t="shared" si="20"/>
        <v>0</v>
      </c>
      <c r="AD85" s="1">
        <f t="shared" si="21"/>
        <v>0</v>
      </c>
      <c r="AE85" s="1">
        <f t="shared" si="22"/>
        <v>0</v>
      </c>
      <c r="AF85" s="1" t="str">
        <f>IFERROR(IF(Lists!$B85="","",Lists!$B85),"")</f>
        <v/>
      </c>
      <c r="AG85" s="1" t="str">
        <f>IFERROR(IF(Lists!$B85="","",Lists!$C85),"")</f>
        <v/>
      </c>
      <c r="AH85" s="1" t="str">
        <f>IFERROR(IF(Lists!$B85="","",Lists!$D85),"")</f>
        <v/>
      </c>
      <c r="AI85" s="1" t="str">
        <f>IF(AF85="","",IFERROR(INDEX('Skills Matrix'!$G$6:$DE$205,MATCH(AF85,'Skills Matrix'!$B$6:$B$205,0),MATCH('HR Quick View'!$J$9,'Skills Matrix'!$G$5:$DE$5,0)),""))</f>
        <v/>
      </c>
      <c r="AJ85" s="1" t="str">
        <f t="shared" si="23"/>
        <v/>
      </c>
      <c r="AK85" s="1" t="str">
        <f>IFERROR(IF(Lists!$B85="","",Lists!$E85),"")</f>
        <v/>
      </c>
      <c r="AL85" s="1" t="str">
        <f>IF(AND(OR('HR Quick View'!$L$10="All Shifts",AH85='HR Quick View'!$L$10),OR(AND('HR Quick View'!$I$10="Qualified only",AI85=3),AND('HR Quick View'!$I$10="All trained",AI85&gt;0))),IF('HR Quick View'!$L$10="All Shifts",COUNTIF($AI$4:$AI$203,"&gt;"&amp;AI85)+COUNTIF($AI$4:AI85,AI85),COUNTIFS($AI$4:$AI$203,"&gt;"&amp;AI85,$AH$4:$AH$203,'HR Quick View'!$L$10)+COUNTIFS($AI$4:AI85,AI85,$AH$4:AH85,'HR Quick View'!$L$10)),"")</f>
        <v/>
      </c>
      <c r="AP85" s="17" t="str">
        <f>IFERROR(IF(Lists!$J85="","",Lists!$J85),"")</f>
        <v>SIEM Investigation</v>
      </c>
      <c r="AQ85" s="17" t="str">
        <f>IFERROR(IF(Lists!$J85="","",Lists!$K85),"")</f>
        <v>Cybersecurity</v>
      </c>
      <c r="AR85" s="17" t="str">
        <f>IFERROR(IF(Lists!$J85="","",Lists!$L85),"")</f>
        <v>No</v>
      </c>
      <c r="AS85" s="17">
        <f>IFERROR(IF(Lists!$J85="","",Lists!$M85),0)</f>
        <v>4</v>
      </c>
      <c r="AT85" s="17">
        <f>IF(AP85="","",COUNTIF('Skills Matrix'!$CJ$6:$CJ$205,3))</f>
        <v>0</v>
      </c>
      <c r="AU85" s="17">
        <f>IF(AP85="","",COUNTIF('Skills Matrix'!$CJ$6:$CJ$205,2))</f>
        <v>0</v>
      </c>
      <c r="AV85" s="17">
        <f t="shared" si="24"/>
        <v>4</v>
      </c>
      <c r="AW85" s="17">
        <f>IF(OR(AP85="",AS85&lt;=0,AV85&lt;=0,AND('Skill Management'!$D$4&lt;&gt;"All Departments",AQ85&lt;&gt;'Skill Management'!$D$4)),"",IF(AT85=0,100000,0)+IF(AR85="Yes",10000,0)+AV85*100+AU85)</f>
        <v>100400</v>
      </c>
      <c r="AX85" s="17">
        <f>IF(AW85="","",COUNTIF($AW$4:$AW$106,"&gt;"&amp;AW85)+COUNTIF($AW$4:AW85,AW85))</f>
        <v>14</v>
      </c>
      <c r="AY85" s="17" t="str">
        <f>IFERROR(IF(Lists!$J85="","",Lists!$N85),"")</f>
        <v>Yes</v>
      </c>
      <c r="BA85" s="17" t="str">
        <f>IFERROR(IF('Training Plan'!$A86="","",'Training Plan'!$A86),"")</f>
        <v/>
      </c>
      <c r="BB85" s="17" t="str">
        <f>IFERROR(IF('Training Plan'!$A86="","",'Training Plan'!$B86),"")</f>
        <v/>
      </c>
      <c r="BC85" s="17" t="str">
        <f>IFERROR(IF('Training Plan'!$A86="","",'Training Plan'!$C86),"")</f>
        <v/>
      </c>
      <c r="BD85" s="17" t="str">
        <f>IFERROR(IF('Training Plan'!$A86="","",'Training Plan'!$D86),"")</f>
        <v/>
      </c>
      <c r="BE85" s="17" t="str">
        <f>IFERROR(IF('Training Plan'!$A86="","",'Training Plan'!$E86),"")</f>
        <v/>
      </c>
      <c r="BF85" s="17" t="str">
        <f>IFERROR(IF('Training Plan'!$A86="","",'Training Plan'!$F86),"")</f>
        <v/>
      </c>
      <c r="BG85" s="17" t="str">
        <f>IFERROR(IF('Training Plan'!$A86="","",'Training Plan'!$G86),"")</f>
        <v/>
      </c>
      <c r="BH85" s="17" t="str">
        <f>IFERROR(IF('Training Plan'!$A86="","",'Training Plan'!$H86),"")</f>
        <v/>
      </c>
      <c r="BI85" s="17" t="str">
        <f>IF(OR(BA85="",BF85="Complete",AND('Skill Management'!$D$4&lt;&gt;"All Departments",BB85&lt;&gt;'Skill Management'!$D$4)),"",IF(BF85="Blocked",100000,IF(BF85="In Progress",200000,300000))+IF(BE85="",99999,BE85))</f>
        <v/>
      </c>
      <c r="BJ85" s="17" t="str">
        <f>IF(BI85="","",COUNTIFS($BI$4:$BI$203,"&gt;0",$BI$4:$BI$203,"&lt;"&amp;BI85)+COUNTIF($BI$4:BI85,BI85))</f>
        <v/>
      </c>
      <c r="BT85" t="str">
        <f t="shared" si="25"/>
        <v>SIEM Investigation</v>
      </c>
      <c r="BU85" t="str">
        <f t="shared" si="26"/>
        <v>Cybersecurity</v>
      </c>
      <c r="BV85" t="str">
        <f>IF(BT85="","",IFERROR(INDEX('Skills Matrix'!$G$6:$DE$205,MATCH('Employee Transcript'!$C$4,'Skills Matrix'!$B$6:$B$205,0),MATCH(BT85,'Skills Matrix'!$G$5:$DE$5,0)),""))</f>
        <v/>
      </c>
      <c r="BW85" t="str">
        <f>IF(BT85="","",IFERROR(INDEX('Competency Event Log'!$E$4:$E$803,MATCH('Employee Transcript'!$C$4&amp;"|"&amp;BT85,'Competency Event Log'!$U$4:$U$803,0)),""))</f>
        <v/>
      </c>
      <c r="BX85" t="str">
        <f>IF(BT85="","",IF(BU85='Employee Transcript'!$B$7,"Home Department","Cross-Trained"))</f>
        <v>Cross-Trained</v>
      </c>
      <c r="BY85" t="str">
        <f t="shared" si="27"/>
        <v>No</v>
      </c>
      <c r="BZ85" t="str">
        <f>IF(BT85="","",IFERROR(INDEX('Competency Event Log'!$L$4:$L$803,MATCH('Employee Transcript'!$C$4&amp;"|"&amp;BT85,'Competency Event Log'!$U$4:$U$803,0)),""))</f>
        <v/>
      </c>
      <c r="CA85" t="str">
        <f>IF(N(BV85)&gt;0,COUNTIF($BV$4:BV85,"&gt;0"),"")</f>
        <v/>
      </c>
      <c r="CB85" t="str">
        <f>IF(AND('Competency Event Log'!$B85='Employee Transcript'!$C$4,'Competency Event Log'!$I85&lt;&gt;"Yes"),'Competency Event Log'!$K85,"")</f>
        <v/>
      </c>
      <c r="CC85" t="str">
        <f t="shared" si="28"/>
        <v/>
      </c>
      <c r="CD85" t="str">
        <f>IF(Certifications!$A85='Employee Transcript'!$C$4,85,"")</f>
        <v/>
      </c>
      <c r="CE85" t="str">
        <f>IF(CD85="","",COUNTIF($CD$4:CD85,"&gt;0"))</f>
        <v/>
      </c>
      <c r="CF85" t="str">
        <f>IF(AND('Training Plan'!$A86='Employee Transcript'!$C$4,'Training Plan'!$F86&lt;&gt;"Complete"),86,"")</f>
        <v/>
      </c>
      <c r="CG85" t="str">
        <f>IF(CF85="","",COUNTIF($CF$4:CF85,"&gt;0"))</f>
        <v/>
      </c>
    </row>
    <row r="86" spans="1:85">
      <c r="A86" s="2"/>
      <c r="B86" s="1"/>
      <c r="C86" s="1"/>
      <c r="D86" s="1"/>
      <c r="E86" s="1"/>
      <c r="F86" s="3"/>
      <c r="G86" s="1"/>
      <c r="H86" s="4"/>
      <c r="I86" s="1" t="s">
        <v>1273</v>
      </c>
      <c r="J86" s="1" t="s">
        <v>1196</v>
      </c>
      <c r="K86" s="1" t="s">
        <v>311</v>
      </c>
      <c r="L86" s="1" t="s">
        <v>411</v>
      </c>
      <c r="M86" s="1">
        <v>3</v>
      </c>
      <c r="N86" s="1" t="s">
        <v>27</v>
      </c>
      <c r="P86" s="1" t="s">
        <v>1196</v>
      </c>
      <c r="Q86" s="1" t="s">
        <v>311</v>
      </c>
      <c r="R86" s="1">
        <v>0</v>
      </c>
      <c r="S86" s="1">
        <f>COUNTIF('Skills Matrix'!$CK$6:$CK$205,3)</f>
        <v>0</v>
      </c>
      <c r="T86" s="1">
        <f t="shared" si="19"/>
        <v>0</v>
      </c>
      <c r="U86" s="1" t="str">
        <f>IF(AND(T86&gt;0,OR('HR Quick View'!$F$24="All Departments",Q86='HR Quick View'!$F$24)),COUNTIFS($T$4:$T$108,"&gt;"&amp;T86,$Q$4:$Q$108,IF('HR Quick View'!$F$24="All Departments","*",'HR Quick View'!$F$24))+COUNTIFS($T$4:T86,T86,$Q$4:Q86,IF('HR Quick View'!$F$24="All Departments","*",'HR Quick View'!$F$24)),"")</f>
        <v/>
      </c>
      <c r="W86" s="1" t="s">
        <v>1196</v>
      </c>
      <c r="X86" s="1" t="s">
        <v>311</v>
      </c>
      <c r="Y86" s="1" t="s">
        <v>411</v>
      </c>
      <c r="Z86" s="1" t="str">
        <f>IF('HR Quick View'!$C$9="","",IF(COUNTIFS('Competency Event Log'!$B$4:$B$803,'HR Quick View'!$C$9,'Competency Event Log'!$C$4:$C$803,W86,'Competency Event Log'!$T$4:$T$803,"Current")=0,"",SUMIFS('Competency Event Log'!$D$4:$D$803,'Competency Event Log'!$B$4:$B$803,'HR Quick View'!$C$9,'Competency Event Log'!$C$4:$C$803,W86,'Competency Event Log'!$T$4:$T$803,"Current")))</f>
        <v/>
      </c>
      <c r="AA86" s="1" t="str">
        <f>IF($Z86="","",IF('HR Quick View'!$B$10="Qualified only",IF($Z86=3,COUNTIF($Z$4:$Z86,3),""),IF('HR Quick View'!$B$10="Developing only",IF(OR($Z86=1,$Z86=2),COUNTIF($Z$4:$Z$108,"&gt;"&amp;$Z86)+COUNTIF($Z$4:$Z86,$Z86)-COUNTIF($Z$4:$Z$108,3),""),IF('HR Quick View'!$B$10="All scored",COUNTIF($Z$4:$Z$108,"&gt;"&amp;$Z86)+COUNTIF($Z$4:$Z86,$Z86),""))))</f>
        <v/>
      </c>
      <c r="AB86" s="1" t="str">
        <f>""</f>
        <v/>
      </c>
      <c r="AC86" s="1">
        <f t="shared" si="20"/>
        <v>0</v>
      </c>
      <c r="AD86" s="1">
        <f t="shared" si="21"/>
        <v>0</v>
      </c>
      <c r="AE86" s="1">
        <f t="shared" si="22"/>
        <v>0</v>
      </c>
      <c r="AF86" s="1" t="str">
        <f>IFERROR(IF(Lists!$B86="","",Lists!$B86),"")</f>
        <v/>
      </c>
      <c r="AG86" s="1" t="str">
        <f>IFERROR(IF(Lists!$B86="","",Lists!$C86),"")</f>
        <v/>
      </c>
      <c r="AH86" s="1" t="str">
        <f>IFERROR(IF(Lists!$B86="","",Lists!$D86),"")</f>
        <v/>
      </c>
      <c r="AI86" s="1" t="str">
        <f>IF(AF86="","",IFERROR(INDEX('Skills Matrix'!$G$6:$DE$205,MATCH(AF86,'Skills Matrix'!$B$6:$B$205,0),MATCH('HR Quick View'!$J$9,'Skills Matrix'!$G$5:$DE$5,0)),""))</f>
        <v/>
      </c>
      <c r="AJ86" s="1" t="str">
        <f t="shared" si="23"/>
        <v/>
      </c>
      <c r="AK86" s="1" t="str">
        <f>IFERROR(IF(Lists!$B86="","",Lists!$E86),"")</f>
        <v/>
      </c>
      <c r="AL86" s="1" t="str">
        <f>IF(AND(OR('HR Quick View'!$L$10="All Shifts",AH86='HR Quick View'!$L$10),OR(AND('HR Quick View'!$I$10="Qualified only",AI86=3),AND('HR Quick View'!$I$10="All trained",AI86&gt;0))),IF('HR Quick View'!$L$10="All Shifts",COUNTIF($AI$4:$AI$203,"&gt;"&amp;AI86)+COUNTIF($AI$4:AI86,AI86),COUNTIFS($AI$4:$AI$203,"&gt;"&amp;AI86,$AH$4:$AH$203,'HR Quick View'!$L$10)+COUNTIFS($AI$4:AI86,AI86,$AH$4:AH86,'HR Quick View'!$L$10)),"")</f>
        <v/>
      </c>
      <c r="AP86" s="17" t="str">
        <f>IFERROR(IF(Lists!$J86="","",Lists!$J86),"")</f>
        <v>Vulnerability Analyst</v>
      </c>
      <c r="AQ86" s="17" t="str">
        <f>IFERROR(IF(Lists!$J86="","",Lists!$K86),"")</f>
        <v>Cybersecurity</v>
      </c>
      <c r="AR86" s="17" t="str">
        <f>IFERROR(IF(Lists!$J86="","",Lists!$L86),"")</f>
        <v>No</v>
      </c>
      <c r="AS86" s="17">
        <f>IFERROR(IF(Lists!$J86="","",Lists!$M86),0)</f>
        <v>3</v>
      </c>
      <c r="AT86" s="17">
        <f>IF(AP86="","",COUNTIF('Skills Matrix'!$CK$6:$CK$205,3))</f>
        <v>0</v>
      </c>
      <c r="AU86" s="17">
        <f>IF(AP86="","",COUNTIF('Skills Matrix'!$CK$6:$CK$205,2))</f>
        <v>0</v>
      </c>
      <c r="AV86" s="17">
        <f t="shared" si="24"/>
        <v>3</v>
      </c>
      <c r="AW86" s="17">
        <f>IF(OR(AP86="",AS86&lt;=0,AV86&lt;=0,AND('Skill Management'!$D$4&lt;&gt;"All Departments",AQ86&lt;&gt;'Skill Management'!$D$4)),"",IF(AT86=0,100000,0)+IF(AR86="Yes",10000,0)+AV86*100+AU86)</f>
        <v>100300</v>
      </c>
      <c r="AX86" s="17">
        <f>IF(AW86="","",COUNTIF($AW$4:$AW$106,"&gt;"&amp;AW86)+COUNTIF($AW$4:AW86,AW86))</f>
        <v>24</v>
      </c>
      <c r="AY86" s="17" t="str">
        <f>IFERROR(IF(Lists!$J86="","",Lists!$N86),"")</f>
        <v>Yes</v>
      </c>
      <c r="BA86" s="17" t="str">
        <f>IFERROR(IF('Training Plan'!$A87="","",'Training Plan'!$A87),"")</f>
        <v/>
      </c>
      <c r="BB86" s="17" t="str">
        <f>IFERROR(IF('Training Plan'!$A87="","",'Training Plan'!$B87),"")</f>
        <v/>
      </c>
      <c r="BC86" s="17" t="str">
        <f>IFERROR(IF('Training Plan'!$A87="","",'Training Plan'!$C87),"")</f>
        <v/>
      </c>
      <c r="BD86" s="17" t="str">
        <f>IFERROR(IF('Training Plan'!$A87="","",'Training Plan'!$D87),"")</f>
        <v/>
      </c>
      <c r="BE86" s="17" t="str">
        <f>IFERROR(IF('Training Plan'!$A87="","",'Training Plan'!$E87),"")</f>
        <v/>
      </c>
      <c r="BF86" s="17" t="str">
        <f>IFERROR(IF('Training Plan'!$A87="","",'Training Plan'!$F87),"")</f>
        <v/>
      </c>
      <c r="BG86" s="17" t="str">
        <f>IFERROR(IF('Training Plan'!$A87="","",'Training Plan'!$G87),"")</f>
        <v/>
      </c>
      <c r="BH86" s="17" t="str">
        <f>IFERROR(IF('Training Plan'!$A87="","",'Training Plan'!$H87),"")</f>
        <v/>
      </c>
      <c r="BI86" s="17" t="str">
        <f>IF(OR(BA86="",BF86="Complete",AND('Skill Management'!$D$4&lt;&gt;"All Departments",BB86&lt;&gt;'Skill Management'!$D$4)),"",IF(BF86="Blocked",100000,IF(BF86="In Progress",200000,300000))+IF(BE86="",99999,BE86))</f>
        <v/>
      </c>
      <c r="BJ86" s="17" t="str">
        <f>IF(BI86="","",COUNTIFS($BI$4:$BI$203,"&gt;0",$BI$4:$BI$203,"&lt;"&amp;BI86)+COUNTIF($BI$4:BI86,BI86))</f>
        <v/>
      </c>
      <c r="BT86" t="str">
        <f t="shared" si="25"/>
        <v>Vulnerability Analyst</v>
      </c>
      <c r="BU86" t="str">
        <f t="shared" si="26"/>
        <v>Cybersecurity</v>
      </c>
      <c r="BV86" t="str">
        <f>IF(BT86="","",IFERROR(INDEX('Skills Matrix'!$G$6:$DE$205,MATCH('Employee Transcript'!$C$4,'Skills Matrix'!$B$6:$B$205,0),MATCH(BT86,'Skills Matrix'!$G$5:$DE$5,0)),""))</f>
        <v/>
      </c>
      <c r="BW86" t="str">
        <f>IF(BT86="","",IFERROR(INDEX('Competency Event Log'!$E$4:$E$803,MATCH('Employee Transcript'!$C$4&amp;"|"&amp;BT86,'Competency Event Log'!$U$4:$U$803,0)),""))</f>
        <v/>
      </c>
      <c r="BX86" t="str">
        <f>IF(BT86="","",IF(BU86='Employee Transcript'!$B$7,"Home Department","Cross-Trained"))</f>
        <v>Cross-Trained</v>
      </c>
      <c r="BY86" t="str">
        <f t="shared" si="27"/>
        <v>No</v>
      </c>
      <c r="BZ86" t="str">
        <f>IF(BT86="","",IFERROR(INDEX('Competency Event Log'!$L$4:$L$803,MATCH('Employee Transcript'!$C$4&amp;"|"&amp;BT86,'Competency Event Log'!$U$4:$U$803,0)),""))</f>
        <v/>
      </c>
      <c r="CA86" t="str">
        <f>IF(N(BV86)&gt;0,COUNTIF($BV$4:BV86,"&gt;0"),"")</f>
        <v/>
      </c>
      <c r="CB86" t="str">
        <f>IF(AND('Competency Event Log'!$B86='Employee Transcript'!$C$4,'Competency Event Log'!$I86&lt;&gt;"Yes"),'Competency Event Log'!$K86,"")</f>
        <v/>
      </c>
      <c r="CC86" t="str">
        <f t="shared" si="28"/>
        <v/>
      </c>
      <c r="CD86" t="str">
        <f>IF(Certifications!$A86='Employee Transcript'!$C$4,86,"")</f>
        <v/>
      </c>
      <c r="CE86" t="str">
        <f>IF(CD86="","",COUNTIF($CD$4:CD86,"&gt;0"))</f>
        <v/>
      </c>
      <c r="CF86" t="str">
        <f>IF(AND('Training Plan'!$A87='Employee Transcript'!$C$4,'Training Plan'!$F87&lt;&gt;"Complete"),87,"")</f>
        <v/>
      </c>
      <c r="CG86" t="str">
        <f>IF(CF86="","",COUNTIF($CF$4:CF86,"&gt;0"))</f>
        <v/>
      </c>
    </row>
    <row r="87" spans="1:85">
      <c r="A87" s="2"/>
      <c r="B87" s="1"/>
      <c r="C87" s="1"/>
      <c r="D87" s="1"/>
      <c r="E87" s="1"/>
      <c r="F87" s="3"/>
      <c r="G87" s="1"/>
      <c r="H87" s="4"/>
      <c r="I87" s="1" t="s">
        <v>637</v>
      </c>
      <c r="J87" s="1" t="s">
        <v>635</v>
      </c>
      <c r="K87" s="1" t="s">
        <v>311</v>
      </c>
      <c r="L87" s="1" t="s">
        <v>411</v>
      </c>
      <c r="M87" s="1">
        <v>2</v>
      </c>
      <c r="N87" s="1" t="s">
        <v>27</v>
      </c>
      <c r="P87" s="1" t="s">
        <v>635</v>
      </c>
      <c r="Q87" s="1" t="s">
        <v>311</v>
      </c>
      <c r="R87" s="1">
        <v>0</v>
      </c>
      <c r="S87" s="1">
        <f>COUNTIF('Skills Matrix'!$CL$6:$CL$205,3)</f>
        <v>1</v>
      </c>
      <c r="T87" s="1">
        <f t="shared" si="19"/>
        <v>0</v>
      </c>
      <c r="U87" s="1" t="str">
        <f>IF(AND(T87&gt;0,OR('HR Quick View'!$F$24="All Departments",Q87='HR Quick View'!$F$24)),COUNTIFS($T$4:$T$108,"&gt;"&amp;T87,$Q$4:$Q$108,IF('HR Quick View'!$F$24="All Departments","*",'HR Quick View'!$F$24))+COUNTIFS($T$4:T87,T87,$Q$4:Q87,IF('HR Quick View'!$F$24="All Departments","*",'HR Quick View'!$F$24)),"")</f>
        <v/>
      </c>
      <c r="W87" s="1" t="s">
        <v>635</v>
      </c>
      <c r="X87" s="1" t="s">
        <v>311</v>
      </c>
      <c r="Y87" s="1" t="s">
        <v>411</v>
      </c>
      <c r="Z87" s="1" t="str">
        <f>IF('HR Quick View'!$C$9="","",IF(COUNTIFS('Competency Event Log'!$B$4:$B$803,'HR Quick View'!$C$9,'Competency Event Log'!$C$4:$C$803,W87,'Competency Event Log'!$T$4:$T$803,"Current")=0,"",SUMIFS('Competency Event Log'!$D$4:$D$803,'Competency Event Log'!$B$4:$B$803,'HR Quick View'!$C$9,'Competency Event Log'!$C$4:$C$803,W87,'Competency Event Log'!$T$4:$T$803,"Current")))</f>
        <v/>
      </c>
      <c r="AA87" s="1" t="str">
        <f>IF($Z87="","",IF('HR Quick View'!$B$10="Qualified only",IF($Z87=3,COUNTIF($Z$4:$Z87,3),""),IF('HR Quick View'!$B$10="Developing only",IF(OR($Z87=1,$Z87=2),COUNTIF($Z$4:$Z$108,"&gt;"&amp;$Z87)+COUNTIF($Z$4:$Z87,$Z87)-COUNTIF($Z$4:$Z$108,3),""),IF('HR Quick View'!$B$10="All scored",COUNTIF($Z$4:$Z$108,"&gt;"&amp;$Z87)+COUNTIF($Z$4:$Z87,$Z87),""))))</f>
        <v/>
      </c>
      <c r="AB87" s="1" t="str">
        <f>""</f>
        <v/>
      </c>
      <c r="AC87" s="1">
        <f t="shared" si="20"/>
        <v>0</v>
      </c>
      <c r="AD87" s="1">
        <f t="shared" si="21"/>
        <v>1</v>
      </c>
      <c r="AE87" s="1">
        <f t="shared" si="22"/>
        <v>0</v>
      </c>
      <c r="AF87" s="1" t="str">
        <f>IFERROR(IF(Lists!$B87="","",Lists!$B87),"")</f>
        <v/>
      </c>
      <c r="AG87" s="1" t="str">
        <f>IFERROR(IF(Lists!$B87="","",Lists!$C87),"")</f>
        <v/>
      </c>
      <c r="AH87" s="1" t="str">
        <f>IFERROR(IF(Lists!$B87="","",Lists!$D87),"")</f>
        <v/>
      </c>
      <c r="AI87" s="1" t="str">
        <f>IF(AF87="","",IFERROR(INDEX('Skills Matrix'!$G$6:$DE$205,MATCH(AF87,'Skills Matrix'!$B$6:$B$205,0),MATCH('HR Quick View'!$J$9,'Skills Matrix'!$G$5:$DE$5,0)),""))</f>
        <v/>
      </c>
      <c r="AJ87" s="1" t="str">
        <f t="shared" si="23"/>
        <v/>
      </c>
      <c r="AK87" s="1" t="str">
        <f>IFERROR(IF(Lists!$B87="","",Lists!$E87),"")</f>
        <v/>
      </c>
      <c r="AL87" s="1" t="str">
        <f>IF(AND(OR('HR Quick View'!$L$10="All Shifts",AH87='HR Quick View'!$L$10),OR(AND('HR Quick View'!$I$10="Qualified only",AI87=3),AND('HR Quick View'!$I$10="All trained",AI87&gt;0))),IF('HR Quick View'!$L$10="All Shifts",COUNTIF($AI$4:$AI$203,"&gt;"&amp;AI87)+COUNTIF($AI$4:AI87,AI87),COUNTIFS($AI$4:$AI$203,"&gt;"&amp;AI87,$AH$4:$AH$203,'HR Quick View'!$L$10)+COUNTIFS($AI$4:AI87,AI87,$AH$4:AH87,'HR Quick View'!$L$10)),"")</f>
        <v/>
      </c>
      <c r="AP87" s="17" t="str">
        <f>IFERROR(IF(Lists!$J87="","",Lists!$J87),"")</f>
        <v>Endpoint Detection &amp; Response</v>
      </c>
      <c r="AQ87" s="17" t="str">
        <f>IFERROR(IF(Lists!$J87="","",Lists!$K87),"")</f>
        <v>Cybersecurity</v>
      </c>
      <c r="AR87" s="17" t="str">
        <f>IFERROR(IF(Lists!$J87="","",Lists!$L87),"")</f>
        <v>No</v>
      </c>
      <c r="AS87" s="17">
        <f>IFERROR(IF(Lists!$J87="","",Lists!$M87),0)</f>
        <v>2</v>
      </c>
      <c r="AT87" s="17">
        <f>IF(AP87="","",COUNTIF('Skills Matrix'!$CL$6:$CL$205,3))</f>
        <v>1</v>
      </c>
      <c r="AU87" s="17">
        <f>IF(AP87="","",COUNTIF('Skills Matrix'!$CL$6:$CL$205,2))</f>
        <v>0</v>
      </c>
      <c r="AV87" s="17">
        <f t="shared" si="24"/>
        <v>1</v>
      </c>
      <c r="AW87" s="17">
        <f>IF(OR(AP87="",AS87&lt;=0,AV87&lt;=0,AND('Skill Management'!$D$4&lt;&gt;"All Departments",AQ87&lt;&gt;'Skill Management'!$D$4)),"",IF(AT87=0,100000,0)+IF(AR87="Yes",10000,0)+AV87*100+AU87)</f>
        <v>100</v>
      </c>
      <c r="AX87" s="17">
        <f>IF(AW87="","",COUNTIF($AW$4:$AW$106,"&gt;"&amp;AW87)+COUNTIF($AW$4:AW87,AW87))</f>
        <v>85</v>
      </c>
      <c r="AY87" s="17" t="str">
        <f>IFERROR(IF(Lists!$J87="","",Lists!$N87),"")</f>
        <v>Yes</v>
      </c>
      <c r="BA87" s="17" t="str">
        <f>IFERROR(IF('Training Plan'!$A88="","",'Training Plan'!$A88),"")</f>
        <v/>
      </c>
      <c r="BB87" s="17" t="str">
        <f>IFERROR(IF('Training Plan'!$A88="","",'Training Plan'!$B88),"")</f>
        <v/>
      </c>
      <c r="BC87" s="17" t="str">
        <f>IFERROR(IF('Training Plan'!$A88="","",'Training Plan'!$C88),"")</f>
        <v/>
      </c>
      <c r="BD87" s="17" t="str">
        <f>IFERROR(IF('Training Plan'!$A88="","",'Training Plan'!$D88),"")</f>
        <v/>
      </c>
      <c r="BE87" s="17" t="str">
        <f>IFERROR(IF('Training Plan'!$A88="","",'Training Plan'!$E88),"")</f>
        <v/>
      </c>
      <c r="BF87" s="17" t="str">
        <f>IFERROR(IF('Training Plan'!$A88="","",'Training Plan'!$F88),"")</f>
        <v/>
      </c>
      <c r="BG87" s="17" t="str">
        <f>IFERROR(IF('Training Plan'!$A88="","",'Training Plan'!$G88),"")</f>
        <v/>
      </c>
      <c r="BH87" s="17" t="str">
        <f>IFERROR(IF('Training Plan'!$A88="","",'Training Plan'!$H88),"")</f>
        <v/>
      </c>
      <c r="BI87" s="17" t="str">
        <f>IF(OR(BA87="",BF87="Complete",AND('Skill Management'!$D$4&lt;&gt;"All Departments",BB87&lt;&gt;'Skill Management'!$D$4)),"",IF(BF87="Blocked",100000,IF(BF87="In Progress",200000,300000))+IF(BE87="",99999,BE87))</f>
        <v/>
      </c>
      <c r="BJ87" s="17" t="str">
        <f>IF(BI87="","",COUNTIFS($BI$4:$BI$203,"&gt;0",$BI$4:$BI$203,"&lt;"&amp;BI87)+COUNTIF($BI$4:BI87,BI87))</f>
        <v/>
      </c>
      <c r="BT87" t="str">
        <f t="shared" si="25"/>
        <v>Endpoint Detection &amp; Response</v>
      </c>
      <c r="BU87" t="str">
        <f t="shared" si="26"/>
        <v>Cybersecurity</v>
      </c>
      <c r="BV87" t="str">
        <f>IF(BT87="","",IFERROR(INDEX('Skills Matrix'!$G$6:$DE$205,MATCH('Employee Transcript'!$C$4,'Skills Matrix'!$B$6:$B$205,0),MATCH(BT87,'Skills Matrix'!$G$5:$DE$5,0)),""))</f>
        <v/>
      </c>
      <c r="BW87" t="str">
        <f>IF(BT87="","",IFERROR(INDEX('Competency Event Log'!$E$4:$E$803,MATCH('Employee Transcript'!$C$4&amp;"|"&amp;BT87,'Competency Event Log'!$U$4:$U$803,0)),""))</f>
        <v/>
      </c>
      <c r="BX87" t="str">
        <f>IF(BT87="","",IF(BU87='Employee Transcript'!$B$7,"Home Department","Cross-Trained"))</f>
        <v>Cross-Trained</v>
      </c>
      <c r="BY87" t="str">
        <f t="shared" si="27"/>
        <v>No</v>
      </c>
      <c r="BZ87" t="str">
        <f>IF(BT87="","",IFERROR(INDEX('Competency Event Log'!$L$4:$L$803,MATCH('Employee Transcript'!$C$4&amp;"|"&amp;BT87,'Competency Event Log'!$U$4:$U$803,0)),""))</f>
        <v/>
      </c>
      <c r="CA87" t="str">
        <f>IF(N(BV87)&gt;0,COUNTIF($BV$4:BV87,"&gt;0"),"")</f>
        <v/>
      </c>
      <c r="CB87" t="str">
        <f>IF(AND('Competency Event Log'!$B87='Employee Transcript'!$C$4,'Competency Event Log'!$I87&lt;&gt;"Yes"),'Competency Event Log'!$K87,"")</f>
        <v/>
      </c>
      <c r="CC87" t="str">
        <f t="shared" si="28"/>
        <v/>
      </c>
      <c r="CD87" t="str">
        <f>IF(Certifications!$A87='Employee Transcript'!$C$4,87,"")</f>
        <v/>
      </c>
      <c r="CE87" t="str">
        <f>IF(CD87="","",COUNTIF($CD$4:CD87,"&gt;0"))</f>
        <v/>
      </c>
      <c r="CF87" t="str">
        <f>IF(AND('Training Plan'!$A88='Employee Transcript'!$C$4,'Training Plan'!$F88&lt;&gt;"Complete"),88,"")</f>
        <v/>
      </c>
      <c r="CG87" t="str">
        <f>IF(CF87="","",COUNTIF($CF$4:CF87,"&gt;0"))</f>
        <v/>
      </c>
    </row>
    <row r="88" spans="1:85">
      <c r="A88" s="2"/>
      <c r="B88" s="1"/>
      <c r="C88" s="1"/>
      <c r="D88" s="1"/>
      <c r="E88" s="1"/>
      <c r="F88" s="3"/>
      <c r="G88" s="1"/>
      <c r="H88" s="4"/>
      <c r="I88" s="1" t="s">
        <v>1013</v>
      </c>
      <c r="J88" s="1" t="s">
        <v>1011</v>
      </c>
      <c r="K88" s="1" t="s">
        <v>311</v>
      </c>
      <c r="L88" s="1" t="s">
        <v>411</v>
      </c>
      <c r="M88" s="1">
        <v>3</v>
      </c>
      <c r="N88" s="1" t="s">
        <v>27</v>
      </c>
      <c r="P88" s="1" t="s">
        <v>1011</v>
      </c>
      <c r="Q88" s="1" t="s">
        <v>311</v>
      </c>
      <c r="R88" s="1">
        <v>0</v>
      </c>
      <c r="S88" s="1">
        <f>COUNTIF('Skills Matrix'!$CM$6:$CM$205,3)</f>
        <v>0</v>
      </c>
      <c r="T88" s="1">
        <f t="shared" si="19"/>
        <v>0</v>
      </c>
      <c r="U88" s="1" t="str">
        <f>IF(AND(T88&gt;0,OR('HR Quick View'!$F$24="All Departments",Q88='HR Quick View'!$F$24)),COUNTIFS($T$4:$T$108,"&gt;"&amp;T88,$Q$4:$Q$108,IF('HR Quick View'!$F$24="All Departments","*",'HR Quick View'!$F$24))+COUNTIFS($T$4:T88,T88,$Q$4:Q88,IF('HR Quick View'!$F$24="All Departments","*",'HR Quick View'!$F$24)),"")</f>
        <v/>
      </c>
      <c r="W88" s="1" t="s">
        <v>1011</v>
      </c>
      <c r="X88" s="1" t="s">
        <v>311</v>
      </c>
      <c r="Y88" s="1" t="s">
        <v>411</v>
      </c>
      <c r="Z88" s="1" t="str">
        <f>IF('HR Quick View'!$C$9="","",IF(COUNTIFS('Competency Event Log'!$B$4:$B$803,'HR Quick View'!$C$9,'Competency Event Log'!$C$4:$C$803,W88,'Competency Event Log'!$T$4:$T$803,"Current")=0,"",SUMIFS('Competency Event Log'!$D$4:$D$803,'Competency Event Log'!$B$4:$B$803,'HR Quick View'!$C$9,'Competency Event Log'!$C$4:$C$803,W88,'Competency Event Log'!$T$4:$T$803,"Current")))</f>
        <v/>
      </c>
      <c r="AA88" s="1" t="str">
        <f>IF($Z88="","",IF('HR Quick View'!$B$10="Qualified only",IF($Z88=3,COUNTIF($Z$4:$Z88,3),""),IF('HR Quick View'!$B$10="Developing only",IF(OR($Z88=1,$Z88=2),COUNTIF($Z$4:$Z$108,"&gt;"&amp;$Z88)+COUNTIF($Z$4:$Z88,$Z88)-COUNTIF($Z$4:$Z$108,3),""),IF('HR Quick View'!$B$10="All scored",COUNTIF($Z$4:$Z$108,"&gt;"&amp;$Z88)+COUNTIF($Z$4:$Z88,$Z88),""))))</f>
        <v/>
      </c>
      <c r="AB88" s="1" t="str">
        <f>""</f>
        <v/>
      </c>
      <c r="AC88" s="1">
        <f t="shared" si="20"/>
        <v>0</v>
      </c>
      <c r="AD88" s="1">
        <f t="shared" si="21"/>
        <v>0</v>
      </c>
      <c r="AE88" s="1">
        <f t="shared" si="22"/>
        <v>0</v>
      </c>
      <c r="AF88" s="1" t="str">
        <f>IFERROR(IF(Lists!$B88="","",Lists!$B88),"")</f>
        <v/>
      </c>
      <c r="AG88" s="1" t="str">
        <f>IFERROR(IF(Lists!$B88="","",Lists!$C88),"")</f>
        <v/>
      </c>
      <c r="AH88" s="1" t="str">
        <f>IFERROR(IF(Lists!$B88="","",Lists!$D88),"")</f>
        <v/>
      </c>
      <c r="AI88" s="1" t="str">
        <f>IF(AF88="","",IFERROR(INDEX('Skills Matrix'!$G$6:$DE$205,MATCH(AF88,'Skills Matrix'!$B$6:$B$205,0),MATCH('HR Quick View'!$J$9,'Skills Matrix'!$G$5:$DE$5,0)),""))</f>
        <v/>
      </c>
      <c r="AJ88" s="1" t="str">
        <f t="shared" si="23"/>
        <v/>
      </c>
      <c r="AK88" s="1" t="str">
        <f>IFERROR(IF(Lists!$B88="","",Lists!$E88),"")</f>
        <v/>
      </c>
      <c r="AL88" s="1" t="str">
        <f>IF(AND(OR('HR Quick View'!$L$10="All Shifts",AH88='HR Quick View'!$L$10),OR(AND('HR Quick View'!$I$10="Qualified only",AI88=3),AND('HR Quick View'!$I$10="All trained",AI88&gt;0))),IF('HR Quick View'!$L$10="All Shifts",COUNTIF($AI$4:$AI$203,"&gt;"&amp;AI88)+COUNTIF($AI$4:AI88,AI88),COUNTIFS($AI$4:$AI$203,"&gt;"&amp;AI88,$AH$4:$AH$203,'HR Quick View'!$L$10)+COUNTIFS($AI$4:AI88,AI88,$AH$4:AH88,'HR Quick View'!$L$10)),"")</f>
        <v/>
      </c>
      <c r="AP88" s="17" t="str">
        <f>IFERROR(IF(Lists!$J88="","",Lists!$J88),"")</f>
        <v>Vulnerability Scanning</v>
      </c>
      <c r="AQ88" s="17" t="str">
        <f>IFERROR(IF(Lists!$J88="","",Lists!$K88),"")</f>
        <v>Cybersecurity</v>
      </c>
      <c r="AR88" s="17" t="str">
        <f>IFERROR(IF(Lists!$J88="","",Lists!$L88),"")</f>
        <v>No</v>
      </c>
      <c r="AS88" s="17">
        <f>IFERROR(IF(Lists!$J88="","",Lists!$M88),0)</f>
        <v>3</v>
      </c>
      <c r="AT88" s="17">
        <f>IF(AP88="","",COUNTIF('Skills Matrix'!$CM$6:$CM$205,3))</f>
        <v>0</v>
      </c>
      <c r="AU88" s="17">
        <f>IF(AP88="","",COUNTIF('Skills Matrix'!$CM$6:$CM$205,2))</f>
        <v>1</v>
      </c>
      <c r="AV88" s="17">
        <f t="shared" si="24"/>
        <v>3</v>
      </c>
      <c r="AW88" s="17">
        <f>IF(OR(AP88="",AS88&lt;=0,AV88&lt;=0,AND('Skill Management'!$D$4&lt;&gt;"All Departments",AQ88&lt;&gt;'Skill Management'!$D$4)),"",IF(AT88=0,100000,0)+IF(AR88="Yes",10000,0)+AV88*100+AU88)</f>
        <v>100301</v>
      </c>
      <c r="AX88" s="17">
        <f>IF(AW88="","",COUNTIF($AW$4:$AW$106,"&gt;"&amp;AW88)+COUNTIF($AW$4:AW88,AW88))</f>
        <v>21</v>
      </c>
      <c r="AY88" s="17" t="str">
        <f>IFERROR(IF(Lists!$J88="","",Lists!$N88),"")</f>
        <v>Yes</v>
      </c>
      <c r="BA88" s="17" t="str">
        <f>IFERROR(IF('Training Plan'!$A89="","",'Training Plan'!$A89),"")</f>
        <v/>
      </c>
      <c r="BB88" s="17" t="str">
        <f>IFERROR(IF('Training Plan'!$A89="","",'Training Plan'!$B89),"")</f>
        <v/>
      </c>
      <c r="BC88" s="17" t="str">
        <f>IFERROR(IF('Training Plan'!$A89="","",'Training Plan'!$C89),"")</f>
        <v/>
      </c>
      <c r="BD88" s="17" t="str">
        <f>IFERROR(IF('Training Plan'!$A89="","",'Training Plan'!$D89),"")</f>
        <v/>
      </c>
      <c r="BE88" s="17" t="str">
        <f>IFERROR(IF('Training Plan'!$A89="","",'Training Plan'!$E89),"")</f>
        <v/>
      </c>
      <c r="BF88" s="17" t="str">
        <f>IFERROR(IF('Training Plan'!$A89="","",'Training Plan'!$F89),"")</f>
        <v/>
      </c>
      <c r="BG88" s="17" t="str">
        <f>IFERROR(IF('Training Plan'!$A89="","",'Training Plan'!$G89),"")</f>
        <v/>
      </c>
      <c r="BH88" s="17" t="str">
        <f>IFERROR(IF('Training Plan'!$A89="","",'Training Plan'!$H89),"")</f>
        <v/>
      </c>
      <c r="BI88" s="17" t="str">
        <f>IF(OR(BA88="",BF88="Complete",AND('Skill Management'!$D$4&lt;&gt;"All Departments",BB88&lt;&gt;'Skill Management'!$D$4)),"",IF(BF88="Blocked",100000,IF(BF88="In Progress",200000,300000))+IF(BE88="",99999,BE88))</f>
        <v/>
      </c>
      <c r="BJ88" s="17" t="str">
        <f>IF(BI88="","",COUNTIFS($BI$4:$BI$203,"&gt;0",$BI$4:$BI$203,"&lt;"&amp;BI88)+COUNTIF($BI$4:BI88,BI88))</f>
        <v/>
      </c>
      <c r="BT88" t="str">
        <f t="shared" si="25"/>
        <v>Vulnerability Scanning</v>
      </c>
      <c r="BU88" t="str">
        <f t="shared" si="26"/>
        <v>Cybersecurity</v>
      </c>
      <c r="BV88" t="str">
        <f>IF(BT88="","",IFERROR(INDEX('Skills Matrix'!$G$6:$DE$205,MATCH('Employee Transcript'!$C$4,'Skills Matrix'!$B$6:$B$205,0),MATCH(BT88,'Skills Matrix'!$G$5:$DE$5,0)),""))</f>
        <v/>
      </c>
      <c r="BW88" t="str">
        <f>IF(BT88="","",IFERROR(INDEX('Competency Event Log'!$E$4:$E$803,MATCH('Employee Transcript'!$C$4&amp;"|"&amp;BT88,'Competency Event Log'!$U$4:$U$803,0)),""))</f>
        <v/>
      </c>
      <c r="BX88" t="str">
        <f>IF(BT88="","",IF(BU88='Employee Transcript'!$B$7,"Home Department","Cross-Trained"))</f>
        <v>Cross-Trained</v>
      </c>
      <c r="BY88" t="str">
        <f t="shared" si="27"/>
        <v>No</v>
      </c>
      <c r="BZ88" t="str">
        <f>IF(BT88="","",IFERROR(INDEX('Competency Event Log'!$L$4:$L$803,MATCH('Employee Transcript'!$C$4&amp;"|"&amp;BT88,'Competency Event Log'!$U$4:$U$803,0)),""))</f>
        <v/>
      </c>
      <c r="CA88" t="str">
        <f>IF(N(BV88)&gt;0,COUNTIF($BV$4:BV88,"&gt;0"),"")</f>
        <v/>
      </c>
      <c r="CB88" t="str">
        <f>IF(AND('Competency Event Log'!$B88='Employee Transcript'!$C$4,'Competency Event Log'!$I88&lt;&gt;"Yes"),'Competency Event Log'!$K88,"")</f>
        <v/>
      </c>
      <c r="CC88" t="str">
        <f t="shared" si="28"/>
        <v/>
      </c>
      <c r="CD88" t="str">
        <f>IF(Certifications!$A88='Employee Transcript'!$C$4,88,"")</f>
        <v/>
      </c>
      <c r="CE88" t="str">
        <f>IF(CD88="","",COUNTIF($CD$4:CD88,"&gt;0"))</f>
        <v/>
      </c>
      <c r="CF88" t="str">
        <f>IF(AND('Training Plan'!$A89='Employee Transcript'!$C$4,'Training Plan'!$F89&lt;&gt;"Complete"),89,"")</f>
        <v/>
      </c>
      <c r="CG88" t="str">
        <f>IF(CF88="","",COUNTIF($CF$4:CF88,"&gt;0"))</f>
        <v/>
      </c>
    </row>
    <row r="89" spans="1:85">
      <c r="A89" s="2"/>
      <c r="B89" s="1"/>
      <c r="C89" s="1"/>
      <c r="D89" s="1"/>
      <c r="E89" s="1"/>
      <c r="F89" s="3"/>
      <c r="G89" s="1"/>
      <c r="H89" s="4"/>
      <c r="I89" s="1" t="s">
        <v>976</v>
      </c>
      <c r="J89" s="1" t="s">
        <v>974</v>
      </c>
      <c r="K89" s="1" t="s">
        <v>311</v>
      </c>
      <c r="L89" s="1" t="s">
        <v>411</v>
      </c>
      <c r="M89" s="1">
        <v>3</v>
      </c>
      <c r="N89" s="1" t="s">
        <v>27</v>
      </c>
      <c r="P89" s="1" t="s">
        <v>974</v>
      </c>
      <c r="Q89" s="1" t="s">
        <v>311</v>
      </c>
      <c r="R89" s="1">
        <v>0</v>
      </c>
      <c r="S89" s="1">
        <f>COUNTIF('Skills Matrix'!$CN$6:$CN$205,3)</f>
        <v>1</v>
      </c>
      <c r="T89" s="1">
        <f t="shared" si="19"/>
        <v>0</v>
      </c>
      <c r="U89" s="1" t="str">
        <f>IF(AND(T89&gt;0,OR('HR Quick View'!$F$24="All Departments",Q89='HR Quick View'!$F$24)),COUNTIFS($T$4:$T$108,"&gt;"&amp;T89,$Q$4:$Q$108,IF('HR Quick View'!$F$24="All Departments","*",'HR Quick View'!$F$24))+COUNTIFS($T$4:T89,T89,$Q$4:Q89,IF('HR Quick View'!$F$24="All Departments","*",'HR Quick View'!$F$24)),"")</f>
        <v/>
      </c>
      <c r="W89" s="1" t="s">
        <v>974</v>
      </c>
      <c r="X89" s="1" t="s">
        <v>311</v>
      </c>
      <c r="Y89" s="1" t="s">
        <v>411</v>
      </c>
      <c r="Z89" s="1" t="str">
        <f>IF('HR Quick View'!$C$9="","",IF(COUNTIFS('Competency Event Log'!$B$4:$B$803,'HR Quick View'!$C$9,'Competency Event Log'!$C$4:$C$803,W89,'Competency Event Log'!$T$4:$T$803,"Current")=0,"",SUMIFS('Competency Event Log'!$D$4:$D$803,'Competency Event Log'!$B$4:$B$803,'HR Quick View'!$C$9,'Competency Event Log'!$C$4:$C$803,W89,'Competency Event Log'!$T$4:$T$803,"Current")))</f>
        <v/>
      </c>
      <c r="AA89" s="1" t="str">
        <f>IF($Z89="","",IF('HR Quick View'!$B$10="Qualified only",IF($Z89=3,COUNTIF($Z$4:$Z89,3),""),IF('HR Quick View'!$B$10="Developing only",IF(OR($Z89=1,$Z89=2),COUNTIF($Z$4:$Z$108,"&gt;"&amp;$Z89)+COUNTIF($Z$4:$Z89,$Z89)-COUNTIF($Z$4:$Z$108,3),""),IF('HR Quick View'!$B$10="All scored",COUNTIF($Z$4:$Z$108,"&gt;"&amp;$Z89)+COUNTIF($Z$4:$Z89,$Z89),""))))</f>
        <v/>
      </c>
      <c r="AB89" s="1" t="str">
        <f>""</f>
        <v/>
      </c>
      <c r="AC89" s="1">
        <f t="shared" si="20"/>
        <v>0</v>
      </c>
      <c r="AD89" s="1">
        <f t="shared" si="21"/>
        <v>1</v>
      </c>
      <c r="AE89" s="1">
        <f t="shared" si="22"/>
        <v>0</v>
      </c>
      <c r="AF89" s="1" t="str">
        <f>IFERROR(IF(Lists!$B89="","",Lists!$B89),"")</f>
        <v/>
      </c>
      <c r="AG89" s="1" t="str">
        <f>IFERROR(IF(Lists!$B89="","",Lists!$C89),"")</f>
        <v/>
      </c>
      <c r="AH89" s="1" t="str">
        <f>IFERROR(IF(Lists!$B89="","",Lists!$D89),"")</f>
        <v/>
      </c>
      <c r="AI89" s="1" t="str">
        <f>IF(AF89="","",IFERROR(INDEX('Skills Matrix'!$G$6:$DE$205,MATCH(AF89,'Skills Matrix'!$B$6:$B$205,0),MATCH('HR Quick View'!$J$9,'Skills Matrix'!$G$5:$DE$5,0)),""))</f>
        <v/>
      </c>
      <c r="AJ89" s="1" t="str">
        <f t="shared" si="23"/>
        <v/>
      </c>
      <c r="AK89" s="1" t="str">
        <f>IFERROR(IF(Lists!$B89="","",Lists!$E89),"")</f>
        <v/>
      </c>
      <c r="AL89" s="1" t="str">
        <f>IF(AND(OR('HR Quick View'!$L$10="All Shifts",AH89='HR Quick View'!$L$10),OR(AND('HR Quick View'!$I$10="Qualified only",AI89=3),AND('HR Quick View'!$I$10="All trained",AI89&gt;0))),IF('HR Quick View'!$L$10="All Shifts",COUNTIF($AI$4:$AI$203,"&gt;"&amp;AI89)+COUNTIF($AI$4:AI89,AI89),COUNTIFS($AI$4:$AI$203,"&gt;"&amp;AI89,$AH$4:$AH$203,'HR Quick View'!$L$10)+COUNTIFS($AI$4:AI89,AI89,$AH$4:AH89,'HR Quick View'!$L$10)),"")</f>
        <v/>
      </c>
      <c r="AP89" s="17" t="str">
        <f>IFERROR(IF(Lists!$J89="","",Lists!$J89),"")</f>
        <v>Vulnerability Remediation</v>
      </c>
      <c r="AQ89" s="17" t="str">
        <f>IFERROR(IF(Lists!$J89="","",Lists!$K89),"")</f>
        <v>Cybersecurity</v>
      </c>
      <c r="AR89" s="17" t="str">
        <f>IFERROR(IF(Lists!$J89="","",Lists!$L89),"")</f>
        <v>No</v>
      </c>
      <c r="AS89" s="17">
        <f>IFERROR(IF(Lists!$J89="","",Lists!$M89),0)</f>
        <v>3</v>
      </c>
      <c r="AT89" s="17">
        <f>IF(AP89="","",COUNTIF('Skills Matrix'!$CN$6:$CN$205,3))</f>
        <v>1</v>
      </c>
      <c r="AU89" s="17">
        <f>IF(AP89="","",COUNTIF('Skills Matrix'!$CN$6:$CN$205,2))</f>
        <v>0</v>
      </c>
      <c r="AV89" s="17">
        <f t="shared" si="24"/>
        <v>2</v>
      </c>
      <c r="AW89" s="17">
        <f>IF(OR(AP89="",AS89&lt;=0,AV89&lt;=0,AND('Skill Management'!$D$4&lt;&gt;"All Departments",AQ89&lt;&gt;'Skill Management'!$D$4)),"",IF(AT89=0,100000,0)+IF(AR89="Yes",10000,0)+AV89*100+AU89)</f>
        <v>200</v>
      </c>
      <c r="AX89" s="17">
        <f>IF(AW89="","",COUNTIF($AW$4:$AW$106,"&gt;"&amp;AW89)+COUNTIF($AW$4:AW89,AW89))</f>
        <v>76</v>
      </c>
      <c r="AY89" s="17" t="str">
        <f>IFERROR(IF(Lists!$J89="","",Lists!$N89),"")</f>
        <v>Yes</v>
      </c>
      <c r="BA89" s="17" t="str">
        <f>IFERROR(IF('Training Plan'!$A90="","",'Training Plan'!$A90),"")</f>
        <v/>
      </c>
      <c r="BB89" s="17" t="str">
        <f>IFERROR(IF('Training Plan'!$A90="","",'Training Plan'!$B90),"")</f>
        <v/>
      </c>
      <c r="BC89" s="17" t="str">
        <f>IFERROR(IF('Training Plan'!$A90="","",'Training Plan'!$C90),"")</f>
        <v/>
      </c>
      <c r="BD89" s="17" t="str">
        <f>IFERROR(IF('Training Plan'!$A90="","",'Training Plan'!$D90),"")</f>
        <v/>
      </c>
      <c r="BE89" s="17" t="str">
        <f>IFERROR(IF('Training Plan'!$A90="","",'Training Plan'!$E90),"")</f>
        <v/>
      </c>
      <c r="BF89" s="17" t="str">
        <f>IFERROR(IF('Training Plan'!$A90="","",'Training Plan'!$F90),"")</f>
        <v/>
      </c>
      <c r="BG89" s="17" t="str">
        <f>IFERROR(IF('Training Plan'!$A90="","",'Training Plan'!$G90),"")</f>
        <v/>
      </c>
      <c r="BH89" s="17" t="str">
        <f>IFERROR(IF('Training Plan'!$A90="","",'Training Plan'!$H90),"")</f>
        <v/>
      </c>
      <c r="BI89" s="17" t="str">
        <f>IF(OR(BA89="",BF89="Complete",AND('Skill Management'!$D$4&lt;&gt;"All Departments",BB89&lt;&gt;'Skill Management'!$D$4)),"",IF(BF89="Blocked",100000,IF(BF89="In Progress",200000,300000))+IF(BE89="",99999,BE89))</f>
        <v/>
      </c>
      <c r="BJ89" s="17" t="str">
        <f>IF(BI89="","",COUNTIFS($BI$4:$BI$203,"&gt;0",$BI$4:$BI$203,"&lt;"&amp;BI89)+COUNTIF($BI$4:BI89,BI89))</f>
        <v/>
      </c>
      <c r="BT89" t="str">
        <f t="shared" si="25"/>
        <v>Vulnerability Remediation</v>
      </c>
      <c r="BU89" t="str">
        <f t="shared" si="26"/>
        <v>Cybersecurity</v>
      </c>
      <c r="BV89" t="str">
        <f>IF(BT89="","",IFERROR(INDEX('Skills Matrix'!$G$6:$DE$205,MATCH('Employee Transcript'!$C$4,'Skills Matrix'!$B$6:$B$205,0),MATCH(BT89,'Skills Matrix'!$G$5:$DE$5,0)),""))</f>
        <v/>
      </c>
      <c r="BW89" t="str">
        <f>IF(BT89="","",IFERROR(INDEX('Competency Event Log'!$E$4:$E$803,MATCH('Employee Transcript'!$C$4&amp;"|"&amp;BT89,'Competency Event Log'!$U$4:$U$803,0)),""))</f>
        <v/>
      </c>
      <c r="BX89" t="str">
        <f>IF(BT89="","",IF(BU89='Employee Transcript'!$B$7,"Home Department","Cross-Trained"))</f>
        <v>Cross-Trained</v>
      </c>
      <c r="BY89" t="str">
        <f t="shared" si="27"/>
        <v>No</v>
      </c>
      <c r="BZ89" t="str">
        <f>IF(BT89="","",IFERROR(INDEX('Competency Event Log'!$L$4:$L$803,MATCH('Employee Transcript'!$C$4&amp;"|"&amp;BT89,'Competency Event Log'!$U$4:$U$803,0)),""))</f>
        <v/>
      </c>
      <c r="CA89" t="str">
        <f>IF(N(BV89)&gt;0,COUNTIF($BV$4:BV89,"&gt;0"),"")</f>
        <v/>
      </c>
      <c r="CB89" t="str">
        <f>IF(AND('Competency Event Log'!$B89='Employee Transcript'!$C$4,'Competency Event Log'!$I89&lt;&gt;"Yes"),'Competency Event Log'!$K89,"")</f>
        <v/>
      </c>
      <c r="CC89" t="str">
        <f t="shared" si="28"/>
        <v/>
      </c>
      <c r="CD89" t="str">
        <f>IF(Certifications!$A89='Employee Transcript'!$C$4,89,"")</f>
        <v/>
      </c>
      <c r="CE89" t="str">
        <f>IF(CD89="","",COUNTIF($CD$4:CD89,"&gt;0"))</f>
        <v/>
      </c>
      <c r="CF89" t="str">
        <f>IF(AND('Training Plan'!$A90='Employee Transcript'!$C$4,'Training Plan'!$F90&lt;&gt;"Complete"),90,"")</f>
        <v/>
      </c>
      <c r="CG89" t="str">
        <f>IF(CF89="","",COUNTIF($CF$4:CF89,"&gt;0"))</f>
        <v/>
      </c>
    </row>
    <row r="90" spans="1:85">
      <c r="A90" s="2"/>
      <c r="B90" s="1"/>
      <c r="C90" s="1"/>
      <c r="D90" s="1"/>
      <c r="E90" s="1"/>
      <c r="F90" s="3"/>
      <c r="G90" s="1"/>
      <c r="H90" s="4"/>
      <c r="I90" s="1" t="s">
        <v>573</v>
      </c>
      <c r="J90" s="1" t="s">
        <v>571</v>
      </c>
      <c r="K90" s="1" t="s">
        <v>311</v>
      </c>
      <c r="L90" s="1" t="s">
        <v>411</v>
      </c>
      <c r="M90" s="1">
        <v>3</v>
      </c>
      <c r="N90" s="1" t="s">
        <v>27</v>
      </c>
      <c r="P90" s="1" t="s">
        <v>571</v>
      </c>
      <c r="Q90" s="1" t="s">
        <v>311</v>
      </c>
      <c r="R90" s="1">
        <v>0</v>
      </c>
      <c r="S90" s="1">
        <f>COUNTIF('Skills Matrix'!$CO$6:$CO$205,3)</f>
        <v>0</v>
      </c>
      <c r="T90" s="1">
        <f t="shared" si="19"/>
        <v>0</v>
      </c>
      <c r="U90" s="1" t="str">
        <f>IF(AND(T90&gt;0,OR('HR Quick View'!$F$24="All Departments",Q90='HR Quick View'!$F$24)),COUNTIFS($T$4:$T$108,"&gt;"&amp;T90,$Q$4:$Q$108,IF('HR Quick View'!$F$24="All Departments","*",'HR Quick View'!$F$24))+COUNTIFS($T$4:T90,T90,$Q$4:Q90,IF('HR Quick View'!$F$24="All Departments","*",'HR Quick View'!$F$24)),"")</f>
        <v/>
      </c>
      <c r="W90" s="1" t="s">
        <v>571</v>
      </c>
      <c r="X90" s="1" t="s">
        <v>311</v>
      </c>
      <c r="Y90" s="1" t="s">
        <v>411</v>
      </c>
      <c r="Z90" s="1" t="str">
        <f>IF('HR Quick View'!$C$9="","",IF(COUNTIFS('Competency Event Log'!$B$4:$B$803,'HR Quick View'!$C$9,'Competency Event Log'!$C$4:$C$803,W90,'Competency Event Log'!$T$4:$T$803,"Current")=0,"",SUMIFS('Competency Event Log'!$D$4:$D$803,'Competency Event Log'!$B$4:$B$803,'HR Quick View'!$C$9,'Competency Event Log'!$C$4:$C$803,W90,'Competency Event Log'!$T$4:$T$803,"Current")))</f>
        <v/>
      </c>
      <c r="AA90" s="1" t="str">
        <f>IF($Z90="","",IF('HR Quick View'!$B$10="Qualified only",IF($Z90=3,COUNTIF($Z$4:$Z90,3),""),IF('HR Quick View'!$B$10="Developing only",IF(OR($Z90=1,$Z90=2),COUNTIF($Z$4:$Z$108,"&gt;"&amp;$Z90)+COUNTIF($Z$4:$Z90,$Z90)-COUNTIF($Z$4:$Z$108,3),""),IF('HR Quick View'!$B$10="All scored",COUNTIF($Z$4:$Z$108,"&gt;"&amp;$Z90)+COUNTIF($Z$4:$Z90,$Z90),""))))</f>
        <v/>
      </c>
      <c r="AB90" s="1" t="str">
        <f>""</f>
        <v/>
      </c>
      <c r="AC90" s="1">
        <f t="shared" si="20"/>
        <v>0</v>
      </c>
      <c r="AD90" s="1">
        <f t="shared" si="21"/>
        <v>0</v>
      </c>
      <c r="AE90" s="1">
        <f t="shared" si="22"/>
        <v>0</v>
      </c>
      <c r="AF90" s="1" t="str">
        <f>IFERROR(IF(Lists!$B90="","",Lists!$B90),"")</f>
        <v/>
      </c>
      <c r="AG90" s="1" t="str">
        <f>IFERROR(IF(Lists!$B90="","",Lists!$C90),"")</f>
        <v/>
      </c>
      <c r="AH90" s="1" t="str">
        <f>IFERROR(IF(Lists!$B90="","",Lists!$D90),"")</f>
        <v/>
      </c>
      <c r="AI90" s="1" t="str">
        <f>IF(AF90="","",IFERROR(INDEX('Skills Matrix'!$G$6:$DE$205,MATCH(AF90,'Skills Matrix'!$B$6:$B$205,0),MATCH('HR Quick View'!$J$9,'Skills Matrix'!$G$5:$DE$5,0)),""))</f>
        <v/>
      </c>
      <c r="AJ90" s="1" t="str">
        <f t="shared" si="23"/>
        <v/>
      </c>
      <c r="AK90" s="1" t="str">
        <f>IFERROR(IF(Lists!$B90="","",Lists!$E90),"")</f>
        <v/>
      </c>
      <c r="AL90" s="1" t="str">
        <f>IF(AND(OR('HR Quick View'!$L$10="All Shifts",AH90='HR Quick View'!$L$10),OR(AND('HR Quick View'!$I$10="Qualified only",AI90=3),AND('HR Quick View'!$I$10="All trained",AI90&gt;0))),IF('HR Quick View'!$L$10="All Shifts",COUNTIF($AI$4:$AI$203,"&gt;"&amp;AI90)+COUNTIF($AI$4:AI90,AI90),COUNTIFS($AI$4:$AI$203,"&gt;"&amp;AI90,$AH$4:$AH$203,'HR Quick View'!$L$10)+COUNTIFS($AI$4:AI90,AI90,$AH$4:AH90,'HR Quick View'!$L$10)),"")</f>
        <v/>
      </c>
      <c r="AP90" s="17" t="str">
        <f>IFERROR(IF(Lists!$J90="","",Lists!$J90),"")</f>
        <v>Identity Threat Detection</v>
      </c>
      <c r="AQ90" s="17" t="str">
        <f>IFERROR(IF(Lists!$J90="","",Lists!$K90),"")</f>
        <v>Cybersecurity</v>
      </c>
      <c r="AR90" s="17" t="str">
        <f>IFERROR(IF(Lists!$J90="","",Lists!$L90),"")</f>
        <v>No</v>
      </c>
      <c r="AS90" s="17">
        <f>IFERROR(IF(Lists!$J90="","",Lists!$M90),0)</f>
        <v>3</v>
      </c>
      <c r="AT90" s="17">
        <f>IF(AP90="","",COUNTIF('Skills Matrix'!$CO$6:$CO$205,3))</f>
        <v>0</v>
      </c>
      <c r="AU90" s="17">
        <f>IF(AP90="","",COUNTIF('Skills Matrix'!$CO$6:$CO$205,2))</f>
        <v>0</v>
      </c>
      <c r="AV90" s="17">
        <f t="shared" si="24"/>
        <v>3</v>
      </c>
      <c r="AW90" s="17">
        <f>IF(OR(AP90="",AS90&lt;=0,AV90&lt;=0,AND('Skill Management'!$D$4&lt;&gt;"All Departments",AQ90&lt;&gt;'Skill Management'!$D$4)),"",IF(AT90=0,100000,0)+IF(AR90="Yes",10000,0)+AV90*100+AU90)</f>
        <v>100300</v>
      </c>
      <c r="AX90" s="17">
        <f>IF(AW90="","",COUNTIF($AW$4:$AW$106,"&gt;"&amp;AW90)+COUNTIF($AW$4:AW90,AW90))</f>
        <v>25</v>
      </c>
      <c r="AY90" s="17" t="str">
        <f>IFERROR(IF(Lists!$J90="","",Lists!$N90),"")</f>
        <v>Yes</v>
      </c>
      <c r="BA90" s="17" t="str">
        <f>IFERROR(IF('Training Plan'!$A91="","",'Training Plan'!$A91),"")</f>
        <v/>
      </c>
      <c r="BB90" s="17" t="str">
        <f>IFERROR(IF('Training Plan'!$A91="","",'Training Plan'!$B91),"")</f>
        <v/>
      </c>
      <c r="BC90" s="17" t="str">
        <f>IFERROR(IF('Training Plan'!$A91="","",'Training Plan'!$C91),"")</f>
        <v/>
      </c>
      <c r="BD90" s="17" t="str">
        <f>IFERROR(IF('Training Plan'!$A91="","",'Training Plan'!$D91),"")</f>
        <v/>
      </c>
      <c r="BE90" s="17" t="str">
        <f>IFERROR(IF('Training Plan'!$A91="","",'Training Plan'!$E91),"")</f>
        <v/>
      </c>
      <c r="BF90" s="17" t="str">
        <f>IFERROR(IF('Training Plan'!$A91="","",'Training Plan'!$F91),"")</f>
        <v/>
      </c>
      <c r="BG90" s="17" t="str">
        <f>IFERROR(IF('Training Plan'!$A91="","",'Training Plan'!$G91),"")</f>
        <v/>
      </c>
      <c r="BH90" s="17" t="str">
        <f>IFERROR(IF('Training Plan'!$A91="","",'Training Plan'!$H91),"")</f>
        <v/>
      </c>
      <c r="BI90" s="17" t="str">
        <f>IF(OR(BA90="",BF90="Complete",AND('Skill Management'!$D$4&lt;&gt;"All Departments",BB90&lt;&gt;'Skill Management'!$D$4)),"",IF(BF90="Blocked",100000,IF(BF90="In Progress",200000,300000))+IF(BE90="",99999,BE90))</f>
        <v/>
      </c>
      <c r="BJ90" s="17" t="str">
        <f>IF(BI90="","",COUNTIFS($BI$4:$BI$203,"&gt;0",$BI$4:$BI$203,"&lt;"&amp;BI90)+COUNTIF($BI$4:BI90,BI90))</f>
        <v/>
      </c>
      <c r="BT90" t="str">
        <f t="shared" si="25"/>
        <v>Identity Threat Detection</v>
      </c>
      <c r="BU90" t="str">
        <f t="shared" si="26"/>
        <v>Cybersecurity</v>
      </c>
      <c r="BV90" t="str">
        <f>IF(BT90="","",IFERROR(INDEX('Skills Matrix'!$G$6:$DE$205,MATCH('Employee Transcript'!$C$4,'Skills Matrix'!$B$6:$B$205,0),MATCH(BT90,'Skills Matrix'!$G$5:$DE$5,0)),""))</f>
        <v/>
      </c>
      <c r="BW90" t="str">
        <f>IF(BT90="","",IFERROR(INDEX('Competency Event Log'!$E$4:$E$803,MATCH('Employee Transcript'!$C$4&amp;"|"&amp;BT90,'Competency Event Log'!$U$4:$U$803,0)),""))</f>
        <v/>
      </c>
      <c r="BX90" t="str">
        <f>IF(BT90="","",IF(BU90='Employee Transcript'!$B$7,"Home Department","Cross-Trained"))</f>
        <v>Cross-Trained</v>
      </c>
      <c r="BY90" t="str">
        <f t="shared" si="27"/>
        <v>No</v>
      </c>
      <c r="BZ90" t="str">
        <f>IF(BT90="","",IFERROR(INDEX('Competency Event Log'!$L$4:$L$803,MATCH('Employee Transcript'!$C$4&amp;"|"&amp;BT90,'Competency Event Log'!$U$4:$U$803,0)),""))</f>
        <v/>
      </c>
      <c r="CA90" t="str">
        <f>IF(N(BV90)&gt;0,COUNTIF($BV$4:BV90,"&gt;0"),"")</f>
        <v/>
      </c>
      <c r="CB90" t="str">
        <f>IF(AND('Competency Event Log'!$B90='Employee Transcript'!$C$4,'Competency Event Log'!$I90&lt;&gt;"Yes"),'Competency Event Log'!$K90,"")</f>
        <v/>
      </c>
      <c r="CC90" t="str">
        <f t="shared" si="28"/>
        <v/>
      </c>
      <c r="CD90" t="str">
        <f>IF(Certifications!$A90='Employee Transcript'!$C$4,90,"")</f>
        <v/>
      </c>
      <c r="CE90" t="str">
        <f>IF(CD90="","",COUNTIF($CD$4:CD90,"&gt;0"))</f>
        <v/>
      </c>
      <c r="CF90" t="str">
        <f>IF(AND('Training Plan'!$A91='Employee Transcript'!$C$4,'Training Plan'!$F91&lt;&gt;"Complete"),91,"")</f>
        <v/>
      </c>
      <c r="CG90" t="str">
        <f>IF(CF90="","",COUNTIF($CF$4:CF90,"&gt;0"))</f>
        <v/>
      </c>
    </row>
    <row r="91" spans="1:85">
      <c r="A91" s="2"/>
      <c r="B91" s="1"/>
      <c r="C91" s="1"/>
      <c r="D91" s="1"/>
      <c r="E91" s="1"/>
      <c r="F91" s="3"/>
      <c r="G91" s="1"/>
      <c r="H91" s="4"/>
      <c r="I91" s="1" t="s">
        <v>1274</v>
      </c>
      <c r="J91" s="1" t="s">
        <v>1197</v>
      </c>
      <c r="K91" s="1" t="s">
        <v>311</v>
      </c>
      <c r="L91" s="1" t="s">
        <v>411</v>
      </c>
      <c r="M91" s="1">
        <v>4</v>
      </c>
      <c r="N91" s="1" t="s">
        <v>27</v>
      </c>
      <c r="P91" s="1" t="s">
        <v>1197</v>
      </c>
      <c r="Q91" s="1" t="s">
        <v>311</v>
      </c>
      <c r="R91" s="1">
        <v>0</v>
      </c>
      <c r="S91" s="1">
        <f>COUNTIF('Skills Matrix'!$CP$6:$CP$205,3)</f>
        <v>0</v>
      </c>
      <c r="T91" s="1">
        <f t="shared" si="19"/>
        <v>0</v>
      </c>
      <c r="U91" s="1" t="str">
        <f>IF(AND(T91&gt;0,OR('HR Quick View'!$F$24="All Departments",Q91='HR Quick View'!$F$24)),COUNTIFS($T$4:$T$108,"&gt;"&amp;T91,$Q$4:$Q$108,IF('HR Quick View'!$F$24="All Departments","*",'HR Quick View'!$F$24))+COUNTIFS($T$4:T91,T91,$Q$4:Q91,IF('HR Quick View'!$F$24="All Departments","*",'HR Quick View'!$F$24)),"")</f>
        <v/>
      </c>
      <c r="W91" s="1" t="s">
        <v>1197</v>
      </c>
      <c r="X91" s="1" t="s">
        <v>311</v>
      </c>
      <c r="Y91" s="1" t="s">
        <v>411</v>
      </c>
      <c r="Z91" s="1" t="str">
        <f>IF('HR Quick View'!$C$9="","",IF(COUNTIFS('Competency Event Log'!$B$4:$B$803,'HR Quick View'!$C$9,'Competency Event Log'!$C$4:$C$803,W91,'Competency Event Log'!$T$4:$T$803,"Current")=0,"",SUMIFS('Competency Event Log'!$D$4:$D$803,'Competency Event Log'!$B$4:$B$803,'HR Quick View'!$C$9,'Competency Event Log'!$C$4:$C$803,W91,'Competency Event Log'!$T$4:$T$803,"Current")))</f>
        <v/>
      </c>
      <c r="AA91" s="1" t="str">
        <f>IF($Z91="","",IF('HR Quick View'!$B$10="Qualified only",IF($Z91=3,COUNTIF($Z$4:$Z91,3),""),IF('HR Quick View'!$B$10="Developing only",IF(OR($Z91=1,$Z91=2),COUNTIF($Z$4:$Z$108,"&gt;"&amp;$Z91)+COUNTIF($Z$4:$Z91,$Z91)-COUNTIF($Z$4:$Z$108,3),""),IF('HR Quick View'!$B$10="All scored",COUNTIF($Z$4:$Z$108,"&gt;"&amp;$Z91)+COUNTIF($Z$4:$Z91,$Z91),""))))</f>
        <v/>
      </c>
      <c r="AB91" s="1" t="str">
        <f>""</f>
        <v/>
      </c>
      <c r="AC91" s="1">
        <f t="shared" si="20"/>
        <v>0</v>
      </c>
      <c r="AD91" s="1">
        <f t="shared" si="21"/>
        <v>0</v>
      </c>
      <c r="AE91" s="1">
        <f t="shared" si="22"/>
        <v>0</v>
      </c>
      <c r="AF91" s="1" t="str">
        <f>IFERROR(IF(Lists!$B91="","",Lists!$B91),"")</f>
        <v/>
      </c>
      <c r="AG91" s="1" t="str">
        <f>IFERROR(IF(Lists!$B91="","",Lists!$C91),"")</f>
        <v/>
      </c>
      <c r="AH91" s="1" t="str">
        <f>IFERROR(IF(Lists!$B91="","",Lists!$D91),"")</f>
        <v/>
      </c>
      <c r="AI91" s="1" t="str">
        <f>IF(AF91="","",IFERROR(INDEX('Skills Matrix'!$G$6:$DE$205,MATCH(AF91,'Skills Matrix'!$B$6:$B$205,0),MATCH('HR Quick View'!$J$9,'Skills Matrix'!$G$5:$DE$5,0)),""))</f>
        <v/>
      </c>
      <c r="AJ91" s="1" t="str">
        <f t="shared" si="23"/>
        <v/>
      </c>
      <c r="AK91" s="1" t="str">
        <f>IFERROR(IF(Lists!$B91="","",Lists!$E91),"")</f>
        <v/>
      </c>
      <c r="AL91" s="1" t="str">
        <f>IF(AND(OR('HR Quick View'!$L$10="All Shifts",AH91='HR Quick View'!$L$10),OR(AND('HR Quick View'!$I$10="Qualified only",AI91=3),AND('HR Quick View'!$I$10="All trained",AI91&gt;0))),IF('HR Quick View'!$L$10="All Shifts",COUNTIF($AI$4:$AI$203,"&gt;"&amp;AI91)+COUNTIF($AI$4:AI91,AI91),COUNTIFS($AI$4:$AI$203,"&gt;"&amp;AI91,$AH$4:$AH$203,'HR Quick View'!$L$10)+COUNTIFS($AI$4:AI91,AI91,$AH$4:AH91,'HR Quick View'!$L$10)),"")</f>
        <v/>
      </c>
      <c r="AP91" s="17" t="str">
        <f>IFERROR(IF(Lists!$J91="","",Lists!$J91),"")</f>
        <v>Privileged Access Review</v>
      </c>
      <c r="AQ91" s="17" t="str">
        <f>IFERROR(IF(Lists!$J91="","",Lists!$K91),"")</f>
        <v>Cybersecurity</v>
      </c>
      <c r="AR91" s="17" t="str">
        <f>IFERROR(IF(Lists!$J91="","",Lists!$L91),"")</f>
        <v>No</v>
      </c>
      <c r="AS91" s="17">
        <f>IFERROR(IF(Lists!$J91="","",Lists!$M91),0)</f>
        <v>4</v>
      </c>
      <c r="AT91" s="17">
        <f>IF(AP91="","",COUNTIF('Skills Matrix'!$CP$6:$CP$205,3))</f>
        <v>0</v>
      </c>
      <c r="AU91" s="17">
        <f>IF(AP91="","",COUNTIF('Skills Matrix'!$CP$6:$CP$205,2))</f>
        <v>0</v>
      </c>
      <c r="AV91" s="17">
        <f t="shared" si="24"/>
        <v>4</v>
      </c>
      <c r="AW91" s="17">
        <f>IF(OR(AP91="",AS91&lt;=0,AV91&lt;=0,AND('Skill Management'!$D$4&lt;&gt;"All Departments",AQ91&lt;&gt;'Skill Management'!$D$4)),"",IF(AT91=0,100000,0)+IF(AR91="Yes",10000,0)+AV91*100+AU91)</f>
        <v>100400</v>
      </c>
      <c r="AX91" s="17">
        <f>IF(AW91="","",COUNTIF($AW$4:$AW$106,"&gt;"&amp;AW91)+COUNTIF($AW$4:AW91,AW91))</f>
        <v>15</v>
      </c>
      <c r="AY91" s="17" t="str">
        <f>IFERROR(IF(Lists!$J91="","",Lists!$N91),"")</f>
        <v>Yes</v>
      </c>
      <c r="BA91" s="17" t="str">
        <f>IFERROR(IF('Training Plan'!$A92="","",'Training Plan'!$A92),"")</f>
        <v/>
      </c>
      <c r="BB91" s="17" t="str">
        <f>IFERROR(IF('Training Plan'!$A92="","",'Training Plan'!$B92),"")</f>
        <v/>
      </c>
      <c r="BC91" s="17" t="str">
        <f>IFERROR(IF('Training Plan'!$A92="","",'Training Plan'!$C92),"")</f>
        <v/>
      </c>
      <c r="BD91" s="17" t="str">
        <f>IFERROR(IF('Training Plan'!$A92="","",'Training Plan'!$D92),"")</f>
        <v/>
      </c>
      <c r="BE91" s="17" t="str">
        <f>IFERROR(IF('Training Plan'!$A92="","",'Training Plan'!$E92),"")</f>
        <v/>
      </c>
      <c r="BF91" s="17" t="str">
        <f>IFERROR(IF('Training Plan'!$A92="","",'Training Plan'!$F92),"")</f>
        <v/>
      </c>
      <c r="BG91" s="17" t="str">
        <f>IFERROR(IF('Training Plan'!$A92="","",'Training Plan'!$G92),"")</f>
        <v/>
      </c>
      <c r="BH91" s="17" t="str">
        <f>IFERROR(IF('Training Plan'!$A92="","",'Training Plan'!$H92),"")</f>
        <v/>
      </c>
      <c r="BI91" s="17" t="str">
        <f>IF(OR(BA91="",BF91="Complete",AND('Skill Management'!$D$4&lt;&gt;"All Departments",BB91&lt;&gt;'Skill Management'!$D$4)),"",IF(BF91="Blocked",100000,IF(BF91="In Progress",200000,300000))+IF(BE91="",99999,BE91))</f>
        <v/>
      </c>
      <c r="BJ91" s="17" t="str">
        <f>IF(BI91="","",COUNTIFS($BI$4:$BI$203,"&gt;0",$BI$4:$BI$203,"&lt;"&amp;BI91)+COUNTIF($BI$4:BI91,BI91))</f>
        <v/>
      </c>
      <c r="BT91" t="str">
        <f t="shared" si="25"/>
        <v>Privileged Access Review</v>
      </c>
      <c r="BU91" t="str">
        <f t="shared" si="26"/>
        <v>Cybersecurity</v>
      </c>
      <c r="BV91" t="str">
        <f>IF(BT91="","",IFERROR(INDEX('Skills Matrix'!$G$6:$DE$205,MATCH('Employee Transcript'!$C$4,'Skills Matrix'!$B$6:$B$205,0),MATCH(BT91,'Skills Matrix'!$G$5:$DE$5,0)),""))</f>
        <v/>
      </c>
      <c r="BW91" t="str">
        <f>IF(BT91="","",IFERROR(INDEX('Competency Event Log'!$E$4:$E$803,MATCH('Employee Transcript'!$C$4&amp;"|"&amp;BT91,'Competency Event Log'!$U$4:$U$803,0)),""))</f>
        <v/>
      </c>
      <c r="BX91" t="str">
        <f>IF(BT91="","",IF(BU91='Employee Transcript'!$B$7,"Home Department","Cross-Trained"))</f>
        <v>Cross-Trained</v>
      </c>
      <c r="BY91" t="str">
        <f t="shared" si="27"/>
        <v>No</v>
      </c>
      <c r="BZ91" t="str">
        <f>IF(BT91="","",IFERROR(INDEX('Competency Event Log'!$L$4:$L$803,MATCH('Employee Transcript'!$C$4&amp;"|"&amp;BT91,'Competency Event Log'!$U$4:$U$803,0)),""))</f>
        <v/>
      </c>
      <c r="CA91" t="str">
        <f>IF(N(BV91)&gt;0,COUNTIF($BV$4:BV91,"&gt;0"),"")</f>
        <v/>
      </c>
      <c r="CB91" t="str">
        <f>IF(AND('Competency Event Log'!$B91='Employee Transcript'!$C$4,'Competency Event Log'!$I91&lt;&gt;"Yes"),'Competency Event Log'!$K91,"")</f>
        <v/>
      </c>
      <c r="CC91" t="str">
        <f t="shared" si="28"/>
        <v/>
      </c>
      <c r="CD91" t="str">
        <f>IF(Certifications!$A91='Employee Transcript'!$C$4,91,"")</f>
        <v/>
      </c>
      <c r="CE91" t="str">
        <f>IF(CD91="","",COUNTIF($CD$4:CD91,"&gt;0"))</f>
        <v/>
      </c>
      <c r="CF91" t="str">
        <f>IF(AND('Training Plan'!$A92='Employee Transcript'!$C$4,'Training Plan'!$F92&lt;&gt;"Complete"),92,"")</f>
        <v/>
      </c>
      <c r="CG91" t="str">
        <f>IF(CF91="","",COUNTIF($CF$4:CF91,"&gt;0"))</f>
        <v/>
      </c>
    </row>
    <row r="92" spans="1:85">
      <c r="A92" s="2"/>
      <c r="B92" s="1"/>
      <c r="C92" s="1"/>
      <c r="D92" s="1"/>
      <c r="E92" s="1"/>
      <c r="F92" s="3"/>
      <c r="G92" s="1"/>
      <c r="H92" s="4"/>
      <c r="I92" s="1" t="s">
        <v>866</v>
      </c>
      <c r="J92" s="1" t="s">
        <v>864</v>
      </c>
      <c r="K92" s="1" t="s">
        <v>311</v>
      </c>
      <c r="L92" s="1" t="s">
        <v>411</v>
      </c>
      <c r="M92" s="1">
        <v>4</v>
      </c>
      <c r="N92" s="1" t="s">
        <v>27</v>
      </c>
      <c r="P92" s="1" t="s">
        <v>864</v>
      </c>
      <c r="Q92" s="1" t="s">
        <v>311</v>
      </c>
      <c r="R92" s="1">
        <v>0</v>
      </c>
      <c r="S92" s="1">
        <f>COUNTIF('Skills Matrix'!$CQ$6:$CQ$205,3)</f>
        <v>0</v>
      </c>
      <c r="T92" s="1">
        <f t="shared" si="19"/>
        <v>0</v>
      </c>
      <c r="U92" s="1" t="str">
        <f>IF(AND(T92&gt;0,OR('HR Quick View'!$F$24="All Departments",Q92='HR Quick View'!$F$24)),COUNTIFS($T$4:$T$108,"&gt;"&amp;T92,$Q$4:$Q$108,IF('HR Quick View'!$F$24="All Departments","*",'HR Quick View'!$F$24))+COUNTIFS($T$4:T92,T92,$Q$4:Q92,IF('HR Quick View'!$F$24="All Departments","*",'HR Quick View'!$F$24)),"")</f>
        <v/>
      </c>
      <c r="W92" s="1" t="s">
        <v>864</v>
      </c>
      <c r="X92" s="1" t="s">
        <v>311</v>
      </c>
      <c r="Y92" s="1" t="s">
        <v>411</v>
      </c>
      <c r="Z92" s="1" t="str">
        <f>IF('HR Quick View'!$C$9="","",IF(COUNTIFS('Competency Event Log'!$B$4:$B$803,'HR Quick View'!$C$9,'Competency Event Log'!$C$4:$C$803,W92,'Competency Event Log'!$T$4:$T$803,"Current")=0,"",SUMIFS('Competency Event Log'!$D$4:$D$803,'Competency Event Log'!$B$4:$B$803,'HR Quick View'!$C$9,'Competency Event Log'!$C$4:$C$803,W92,'Competency Event Log'!$T$4:$T$803,"Current")))</f>
        <v/>
      </c>
      <c r="AA92" s="1" t="str">
        <f>IF($Z92="","",IF('HR Quick View'!$B$10="Qualified only",IF($Z92=3,COUNTIF($Z$4:$Z92,3),""),IF('HR Quick View'!$B$10="Developing only",IF(OR($Z92=1,$Z92=2),COUNTIF($Z$4:$Z$108,"&gt;"&amp;$Z92)+COUNTIF($Z$4:$Z92,$Z92)-COUNTIF($Z$4:$Z$108,3),""),IF('HR Quick View'!$B$10="All scored",COUNTIF($Z$4:$Z$108,"&gt;"&amp;$Z92)+COUNTIF($Z$4:$Z92,$Z92),""))))</f>
        <v/>
      </c>
      <c r="AB92" s="1" t="str">
        <f>""</f>
        <v/>
      </c>
      <c r="AC92" s="1">
        <f t="shared" si="20"/>
        <v>0</v>
      </c>
      <c r="AD92" s="1">
        <f t="shared" si="21"/>
        <v>0</v>
      </c>
      <c r="AE92" s="1">
        <f t="shared" si="22"/>
        <v>0</v>
      </c>
      <c r="AF92" s="1" t="str">
        <f>IFERROR(IF(Lists!$B92="","",Lists!$B92),"")</f>
        <v/>
      </c>
      <c r="AG92" s="1" t="str">
        <f>IFERROR(IF(Lists!$B92="","",Lists!$C92),"")</f>
        <v/>
      </c>
      <c r="AH92" s="1" t="str">
        <f>IFERROR(IF(Lists!$B92="","",Lists!$D92),"")</f>
        <v/>
      </c>
      <c r="AI92" s="1" t="str">
        <f>IF(AF92="","",IFERROR(INDEX('Skills Matrix'!$G$6:$DE$205,MATCH(AF92,'Skills Matrix'!$B$6:$B$205,0),MATCH('HR Quick View'!$J$9,'Skills Matrix'!$G$5:$DE$5,0)),""))</f>
        <v/>
      </c>
      <c r="AJ92" s="1" t="str">
        <f t="shared" si="23"/>
        <v/>
      </c>
      <c r="AK92" s="1" t="str">
        <f>IFERROR(IF(Lists!$B92="","",Lists!$E92),"")</f>
        <v/>
      </c>
      <c r="AL92" s="1" t="str">
        <f>IF(AND(OR('HR Quick View'!$L$10="All Shifts",AH92='HR Quick View'!$L$10),OR(AND('HR Quick View'!$I$10="Qualified only",AI92=3),AND('HR Quick View'!$I$10="All trained",AI92&gt;0))),IF('HR Quick View'!$L$10="All Shifts",COUNTIF($AI$4:$AI$203,"&gt;"&amp;AI92)+COUNTIF($AI$4:AI92,AI92),COUNTIFS($AI$4:$AI$203,"&gt;"&amp;AI92,$AH$4:$AH$203,'HR Quick View'!$L$10)+COUNTIFS($AI$4:AI92,AI92,$AH$4:AH92,'HR Quick View'!$L$10)),"")</f>
        <v/>
      </c>
      <c r="AP92" s="17" t="str">
        <f>IFERROR(IF(Lists!$J92="","",Lists!$J92),"")</f>
        <v>Log Correlation</v>
      </c>
      <c r="AQ92" s="17" t="str">
        <f>IFERROR(IF(Lists!$J92="","",Lists!$K92),"")</f>
        <v>Cybersecurity</v>
      </c>
      <c r="AR92" s="17" t="str">
        <f>IFERROR(IF(Lists!$J92="","",Lists!$L92),"")</f>
        <v>No</v>
      </c>
      <c r="AS92" s="17">
        <f>IFERROR(IF(Lists!$J92="","",Lists!$M92),0)</f>
        <v>4</v>
      </c>
      <c r="AT92" s="17">
        <f>IF(AP92="","",COUNTIF('Skills Matrix'!$CQ$6:$CQ$205,3))</f>
        <v>0</v>
      </c>
      <c r="AU92" s="17">
        <f>IF(AP92="","",COUNTIF('Skills Matrix'!$CQ$6:$CQ$205,2))</f>
        <v>0</v>
      </c>
      <c r="AV92" s="17">
        <f t="shared" si="24"/>
        <v>4</v>
      </c>
      <c r="AW92" s="17">
        <f>IF(OR(AP92="",AS92&lt;=0,AV92&lt;=0,AND('Skill Management'!$D$4&lt;&gt;"All Departments",AQ92&lt;&gt;'Skill Management'!$D$4)),"",IF(AT92=0,100000,0)+IF(AR92="Yes",10000,0)+AV92*100+AU92)</f>
        <v>100400</v>
      </c>
      <c r="AX92" s="17">
        <f>IF(AW92="","",COUNTIF($AW$4:$AW$106,"&gt;"&amp;AW92)+COUNTIF($AW$4:AW92,AW92))</f>
        <v>16</v>
      </c>
      <c r="AY92" s="17" t="str">
        <f>IFERROR(IF(Lists!$J92="","",Lists!$N92),"")</f>
        <v>Yes</v>
      </c>
      <c r="BA92" s="17" t="str">
        <f>IFERROR(IF('Training Plan'!$A93="","",'Training Plan'!$A93),"")</f>
        <v/>
      </c>
      <c r="BB92" s="17" t="str">
        <f>IFERROR(IF('Training Plan'!$A93="","",'Training Plan'!$B93),"")</f>
        <v/>
      </c>
      <c r="BC92" s="17" t="str">
        <f>IFERROR(IF('Training Plan'!$A93="","",'Training Plan'!$C93),"")</f>
        <v/>
      </c>
      <c r="BD92" s="17" t="str">
        <f>IFERROR(IF('Training Plan'!$A93="","",'Training Plan'!$D93),"")</f>
        <v/>
      </c>
      <c r="BE92" s="17" t="str">
        <f>IFERROR(IF('Training Plan'!$A93="","",'Training Plan'!$E93),"")</f>
        <v/>
      </c>
      <c r="BF92" s="17" t="str">
        <f>IFERROR(IF('Training Plan'!$A93="","",'Training Plan'!$F93),"")</f>
        <v/>
      </c>
      <c r="BG92" s="17" t="str">
        <f>IFERROR(IF('Training Plan'!$A93="","",'Training Plan'!$G93),"")</f>
        <v/>
      </c>
      <c r="BH92" s="17" t="str">
        <f>IFERROR(IF('Training Plan'!$A93="","",'Training Plan'!$H93),"")</f>
        <v/>
      </c>
      <c r="BI92" s="17" t="str">
        <f>IF(OR(BA92="",BF92="Complete",AND('Skill Management'!$D$4&lt;&gt;"All Departments",BB92&lt;&gt;'Skill Management'!$D$4)),"",IF(BF92="Blocked",100000,IF(BF92="In Progress",200000,300000))+IF(BE92="",99999,BE92))</f>
        <v/>
      </c>
      <c r="BJ92" s="17" t="str">
        <f>IF(BI92="","",COUNTIFS($BI$4:$BI$203,"&gt;0",$BI$4:$BI$203,"&lt;"&amp;BI92)+COUNTIF($BI$4:BI92,BI92))</f>
        <v/>
      </c>
      <c r="BT92" t="str">
        <f t="shared" si="25"/>
        <v>Log Correlation</v>
      </c>
      <c r="BU92" t="str">
        <f t="shared" si="26"/>
        <v>Cybersecurity</v>
      </c>
      <c r="BV92" t="str">
        <f>IF(BT92="","",IFERROR(INDEX('Skills Matrix'!$G$6:$DE$205,MATCH('Employee Transcript'!$C$4,'Skills Matrix'!$B$6:$B$205,0),MATCH(BT92,'Skills Matrix'!$G$5:$DE$5,0)),""))</f>
        <v/>
      </c>
      <c r="BW92" t="str">
        <f>IF(BT92="","",IFERROR(INDEX('Competency Event Log'!$E$4:$E$803,MATCH('Employee Transcript'!$C$4&amp;"|"&amp;BT92,'Competency Event Log'!$U$4:$U$803,0)),""))</f>
        <v/>
      </c>
      <c r="BX92" t="str">
        <f>IF(BT92="","",IF(BU92='Employee Transcript'!$B$7,"Home Department","Cross-Trained"))</f>
        <v>Cross-Trained</v>
      </c>
      <c r="BY92" t="str">
        <f t="shared" si="27"/>
        <v>No</v>
      </c>
      <c r="BZ92" t="str">
        <f>IF(BT92="","",IFERROR(INDEX('Competency Event Log'!$L$4:$L$803,MATCH('Employee Transcript'!$C$4&amp;"|"&amp;BT92,'Competency Event Log'!$U$4:$U$803,0)),""))</f>
        <v/>
      </c>
      <c r="CA92" t="str">
        <f>IF(N(BV92)&gt;0,COUNTIF($BV$4:BV92,"&gt;0"),"")</f>
        <v/>
      </c>
      <c r="CB92" t="str">
        <f>IF(AND('Competency Event Log'!$B92='Employee Transcript'!$C$4,'Competency Event Log'!$I92&lt;&gt;"Yes"),'Competency Event Log'!$K92,"")</f>
        <v/>
      </c>
      <c r="CC92" t="str">
        <f t="shared" si="28"/>
        <v/>
      </c>
      <c r="CD92" t="str">
        <f>IF(Certifications!$A92='Employee Transcript'!$C$4,92,"")</f>
        <v/>
      </c>
      <c r="CE92" t="str">
        <f>IF(CD92="","",COUNTIF($CD$4:CD92,"&gt;0"))</f>
        <v/>
      </c>
      <c r="CF92" t="str">
        <f>IF(AND('Training Plan'!$A93='Employee Transcript'!$C$4,'Training Plan'!$F93&lt;&gt;"Complete"),93,"")</f>
        <v/>
      </c>
      <c r="CG92" t="str">
        <f>IF(CF92="","",COUNTIF($CF$4:CF92,"&gt;0"))</f>
        <v/>
      </c>
    </row>
    <row r="93" spans="1:85">
      <c r="A93" s="2"/>
      <c r="B93" s="1"/>
      <c r="C93" s="1"/>
      <c r="D93" s="1"/>
      <c r="E93" s="1"/>
      <c r="F93" s="3"/>
      <c r="G93" s="1"/>
      <c r="H93" s="4"/>
      <c r="I93" s="1" t="s">
        <v>1275</v>
      </c>
      <c r="J93" s="1" t="s">
        <v>1198</v>
      </c>
      <c r="K93" s="1" t="s">
        <v>311</v>
      </c>
      <c r="L93" s="1" t="s">
        <v>411</v>
      </c>
      <c r="M93" s="1">
        <v>4</v>
      </c>
      <c r="N93" s="1" t="s">
        <v>27</v>
      </c>
      <c r="P93" s="1" t="s">
        <v>1198</v>
      </c>
      <c r="Q93" s="1" t="s">
        <v>311</v>
      </c>
      <c r="R93" s="1">
        <v>0</v>
      </c>
      <c r="S93" s="1">
        <f>COUNTIF('Skills Matrix'!$CR$6:$CR$205,3)</f>
        <v>0</v>
      </c>
      <c r="T93" s="1">
        <f t="shared" si="19"/>
        <v>0</v>
      </c>
      <c r="U93" s="1" t="str">
        <f>IF(AND(T93&gt;0,OR('HR Quick View'!$F$24="All Departments",Q93='HR Quick View'!$F$24)),COUNTIFS($T$4:$T$108,"&gt;"&amp;T93,$Q$4:$Q$108,IF('HR Quick View'!$F$24="All Departments","*",'HR Quick View'!$F$24))+COUNTIFS($T$4:T93,T93,$Q$4:Q93,IF('HR Quick View'!$F$24="All Departments","*",'HR Quick View'!$F$24)),"")</f>
        <v/>
      </c>
      <c r="W93" s="1" t="s">
        <v>1198</v>
      </c>
      <c r="X93" s="1" t="s">
        <v>311</v>
      </c>
      <c r="Y93" s="1" t="s">
        <v>411</v>
      </c>
      <c r="Z93" s="1" t="str">
        <f>IF('HR Quick View'!$C$9="","",IF(COUNTIFS('Competency Event Log'!$B$4:$B$803,'HR Quick View'!$C$9,'Competency Event Log'!$C$4:$C$803,W93,'Competency Event Log'!$T$4:$T$803,"Current")=0,"",SUMIFS('Competency Event Log'!$D$4:$D$803,'Competency Event Log'!$B$4:$B$803,'HR Quick View'!$C$9,'Competency Event Log'!$C$4:$C$803,W93,'Competency Event Log'!$T$4:$T$803,"Current")))</f>
        <v/>
      </c>
      <c r="AA93" s="1" t="str">
        <f>IF($Z93="","",IF('HR Quick View'!$B$10="Qualified only",IF($Z93=3,COUNTIF($Z$4:$Z93,3),""),IF('HR Quick View'!$B$10="Developing only",IF(OR($Z93=1,$Z93=2),COUNTIF($Z$4:$Z$108,"&gt;"&amp;$Z93)+COUNTIF($Z$4:$Z93,$Z93)-COUNTIF($Z$4:$Z$108,3),""),IF('HR Quick View'!$B$10="All scored",COUNTIF($Z$4:$Z$108,"&gt;"&amp;$Z93)+COUNTIF($Z$4:$Z93,$Z93),""))))</f>
        <v/>
      </c>
      <c r="AB93" s="1" t="str">
        <f>""</f>
        <v/>
      </c>
      <c r="AC93" s="1">
        <f t="shared" si="20"/>
        <v>0</v>
      </c>
      <c r="AD93" s="1">
        <f t="shared" si="21"/>
        <v>0</v>
      </c>
      <c r="AE93" s="1">
        <f t="shared" si="22"/>
        <v>0</v>
      </c>
      <c r="AF93" s="1" t="str">
        <f>IFERROR(IF(Lists!$B93="","",Lists!$B93),"")</f>
        <v/>
      </c>
      <c r="AG93" s="1" t="str">
        <f>IFERROR(IF(Lists!$B93="","",Lists!$C93),"")</f>
        <v/>
      </c>
      <c r="AH93" s="1" t="str">
        <f>IFERROR(IF(Lists!$B93="","",Lists!$D93),"")</f>
        <v/>
      </c>
      <c r="AI93" s="1" t="str">
        <f>IF(AF93="","",IFERROR(INDEX('Skills Matrix'!$G$6:$DE$205,MATCH(AF93,'Skills Matrix'!$B$6:$B$205,0),MATCH('HR Quick View'!$J$9,'Skills Matrix'!$G$5:$DE$5,0)),""))</f>
        <v/>
      </c>
      <c r="AJ93" s="1" t="str">
        <f t="shared" si="23"/>
        <v/>
      </c>
      <c r="AK93" s="1" t="str">
        <f>IFERROR(IF(Lists!$B93="","",Lists!$E93),"")</f>
        <v/>
      </c>
      <c r="AL93" s="1" t="str">
        <f>IF(AND(OR('HR Quick View'!$L$10="All Shifts",AH93='HR Quick View'!$L$10),OR(AND('HR Quick View'!$I$10="Qualified only",AI93=3),AND('HR Quick View'!$I$10="All trained",AI93&gt;0))),IF('HR Quick View'!$L$10="All Shifts",COUNTIF($AI$4:$AI$203,"&gt;"&amp;AI93)+COUNTIF($AI$4:AI93,AI93),COUNTIFS($AI$4:$AI$203,"&gt;"&amp;AI93,$AH$4:$AH$203,'HR Quick View'!$L$10)+COUNTIFS($AI$4:AI93,AI93,$AH$4:AH93,'HR Quick View'!$L$10)),"")</f>
        <v/>
      </c>
      <c r="AP93" s="17" t="str">
        <f>IFERROR(IF(Lists!$J93="","",Lists!$J93),"")</f>
        <v>Threat Hunting</v>
      </c>
      <c r="AQ93" s="17" t="str">
        <f>IFERROR(IF(Lists!$J93="","",Lists!$K93),"")</f>
        <v>Cybersecurity</v>
      </c>
      <c r="AR93" s="17" t="str">
        <f>IFERROR(IF(Lists!$J93="","",Lists!$L93),"")</f>
        <v>No</v>
      </c>
      <c r="AS93" s="17">
        <f>IFERROR(IF(Lists!$J93="","",Lists!$M93),0)</f>
        <v>4</v>
      </c>
      <c r="AT93" s="17">
        <f>IF(AP93="","",COUNTIF('Skills Matrix'!$CR$6:$CR$205,3))</f>
        <v>0</v>
      </c>
      <c r="AU93" s="17">
        <f>IF(AP93="","",COUNTIF('Skills Matrix'!$CR$6:$CR$205,2))</f>
        <v>0</v>
      </c>
      <c r="AV93" s="17">
        <f t="shared" si="24"/>
        <v>4</v>
      </c>
      <c r="AW93" s="17">
        <f>IF(OR(AP93="",AS93&lt;=0,AV93&lt;=0,AND('Skill Management'!$D$4&lt;&gt;"All Departments",AQ93&lt;&gt;'Skill Management'!$D$4)),"",IF(AT93=0,100000,0)+IF(AR93="Yes",10000,0)+AV93*100+AU93)</f>
        <v>100400</v>
      </c>
      <c r="AX93" s="17">
        <f>IF(AW93="","",COUNTIF($AW$4:$AW$106,"&gt;"&amp;AW93)+COUNTIF($AW$4:AW93,AW93))</f>
        <v>17</v>
      </c>
      <c r="AY93" s="17" t="str">
        <f>IFERROR(IF(Lists!$J93="","",Lists!$N93),"")</f>
        <v>Yes</v>
      </c>
      <c r="BA93" s="17" t="str">
        <f>IFERROR(IF('Training Plan'!$A94="","",'Training Plan'!$A94),"")</f>
        <v/>
      </c>
      <c r="BB93" s="17" t="str">
        <f>IFERROR(IF('Training Plan'!$A94="","",'Training Plan'!$B94),"")</f>
        <v/>
      </c>
      <c r="BC93" s="17" t="str">
        <f>IFERROR(IF('Training Plan'!$A94="","",'Training Plan'!$C94),"")</f>
        <v/>
      </c>
      <c r="BD93" s="17" t="str">
        <f>IFERROR(IF('Training Plan'!$A94="","",'Training Plan'!$D94),"")</f>
        <v/>
      </c>
      <c r="BE93" s="17" t="str">
        <f>IFERROR(IF('Training Plan'!$A94="","",'Training Plan'!$E94),"")</f>
        <v/>
      </c>
      <c r="BF93" s="17" t="str">
        <f>IFERROR(IF('Training Plan'!$A94="","",'Training Plan'!$F94),"")</f>
        <v/>
      </c>
      <c r="BG93" s="17" t="str">
        <f>IFERROR(IF('Training Plan'!$A94="","",'Training Plan'!$G94),"")</f>
        <v/>
      </c>
      <c r="BH93" s="17" t="str">
        <f>IFERROR(IF('Training Plan'!$A94="","",'Training Plan'!$H94),"")</f>
        <v/>
      </c>
      <c r="BI93" s="17" t="str">
        <f>IF(OR(BA93="",BF93="Complete",AND('Skill Management'!$D$4&lt;&gt;"All Departments",BB93&lt;&gt;'Skill Management'!$D$4)),"",IF(BF93="Blocked",100000,IF(BF93="In Progress",200000,300000))+IF(BE93="",99999,BE93))</f>
        <v/>
      </c>
      <c r="BJ93" s="17" t="str">
        <f>IF(BI93="","",COUNTIFS($BI$4:$BI$203,"&gt;0",$BI$4:$BI$203,"&lt;"&amp;BI93)+COUNTIF($BI$4:BI93,BI93))</f>
        <v/>
      </c>
      <c r="BT93" t="str">
        <f t="shared" si="25"/>
        <v>Threat Hunting</v>
      </c>
      <c r="BU93" t="str">
        <f t="shared" si="26"/>
        <v>Cybersecurity</v>
      </c>
      <c r="BV93" t="str">
        <f>IF(BT93="","",IFERROR(INDEX('Skills Matrix'!$G$6:$DE$205,MATCH('Employee Transcript'!$C$4,'Skills Matrix'!$B$6:$B$205,0),MATCH(BT93,'Skills Matrix'!$G$5:$DE$5,0)),""))</f>
        <v/>
      </c>
      <c r="BW93" t="str">
        <f>IF(BT93="","",IFERROR(INDEX('Competency Event Log'!$E$4:$E$803,MATCH('Employee Transcript'!$C$4&amp;"|"&amp;BT93,'Competency Event Log'!$U$4:$U$803,0)),""))</f>
        <v/>
      </c>
      <c r="BX93" t="str">
        <f>IF(BT93="","",IF(BU93='Employee Transcript'!$B$7,"Home Department","Cross-Trained"))</f>
        <v>Cross-Trained</v>
      </c>
      <c r="BY93" t="str">
        <f t="shared" si="27"/>
        <v>No</v>
      </c>
      <c r="BZ93" t="str">
        <f>IF(BT93="","",IFERROR(INDEX('Competency Event Log'!$L$4:$L$803,MATCH('Employee Transcript'!$C$4&amp;"|"&amp;BT93,'Competency Event Log'!$U$4:$U$803,0)),""))</f>
        <v/>
      </c>
      <c r="CA93" t="str">
        <f>IF(N(BV93)&gt;0,COUNTIF($BV$4:BV93,"&gt;0"),"")</f>
        <v/>
      </c>
      <c r="CB93" t="str">
        <f>IF(AND('Competency Event Log'!$B93='Employee Transcript'!$C$4,'Competency Event Log'!$I93&lt;&gt;"Yes"),'Competency Event Log'!$K93,"")</f>
        <v/>
      </c>
      <c r="CC93" t="str">
        <f t="shared" si="28"/>
        <v/>
      </c>
      <c r="CD93" t="str">
        <f>IF(Certifications!$A93='Employee Transcript'!$C$4,93,"")</f>
        <v/>
      </c>
      <c r="CE93" t="str">
        <f>IF(CD93="","",COUNTIF($CD$4:CD93,"&gt;0"))</f>
        <v/>
      </c>
      <c r="CF93" t="str">
        <f>IF(AND('Training Plan'!$A94='Employee Transcript'!$C$4,'Training Plan'!$F94&lt;&gt;"Complete"),94,"")</f>
        <v/>
      </c>
      <c r="CG93" t="str">
        <f>IF(CF93="","",COUNTIF($CF$4:CF93,"&gt;0"))</f>
        <v/>
      </c>
    </row>
    <row r="94" spans="1:85">
      <c r="A94" s="2"/>
      <c r="B94" s="1"/>
      <c r="C94" s="1"/>
      <c r="D94" s="1"/>
      <c r="E94" s="1"/>
      <c r="F94" s="3"/>
      <c r="G94" s="1"/>
      <c r="H94" s="4"/>
      <c r="I94" s="1" t="s">
        <v>1119</v>
      </c>
      <c r="J94" s="1" t="s">
        <v>1117</v>
      </c>
      <c r="K94" s="1" t="s">
        <v>311</v>
      </c>
      <c r="L94" s="1" t="s">
        <v>411</v>
      </c>
      <c r="M94" s="1">
        <v>3</v>
      </c>
      <c r="N94" s="1" t="s">
        <v>27</v>
      </c>
      <c r="P94" s="1" t="s">
        <v>1117</v>
      </c>
      <c r="Q94" s="1" t="s">
        <v>311</v>
      </c>
      <c r="R94" s="1">
        <v>0</v>
      </c>
      <c r="S94" s="1">
        <f>COUNTIF('Skills Matrix'!$CS$6:$CS$205,3)</f>
        <v>0</v>
      </c>
      <c r="T94" s="1">
        <f t="shared" si="19"/>
        <v>0</v>
      </c>
      <c r="U94" s="1" t="str">
        <f>IF(AND(T94&gt;0,OR('HR Quick View'!$F$24="All Departments",Q94='HR Quick View'!$F$24)),COUNTIFS($T$4:$T$108,"&gt;"&amp;T94,$Q$4:$Q$108,IF('HR Quick View'!$F$24="All Departments","*",'HR Quick View'!$F$24))+COUNTIFS($T$4:T94,T94,$Q$4:Q94,IF('HR Quick View'!$F$24="All Departments","*",'HR Quick View'!$F$24)),"")</f>
        <v/>
      </c>
      <c r="W94" s="1" t="s">
        <v>1117</v>
      </c>
      <c r="X94" s="1" t="s">
        <v>311</v>
      </c>
      <c r="Y94" s="1" t="s">
        <v>411</v>
      </c>
      <c r="Z94" s="1" t="str">
        <f>IF('HR Quick View'!$C$9="","",IF(COUNTIFS('Competency Event Log'!$B$4:$B$803,'HR Quick View'!$C$9,'Competency Event Log'!$C$4:$C$803,W94,'Competency Event Log'!$T$4:$T$803,"Current")=0,"",SUMIFS('Competency Event Log'!$D$4:$D$803,'Competency Event Log'!$B$4:$B$803,'HR Quick View'!$C$9,'Competency Event Log'!$C$4:$C$803,W94,'Competency Event Log'!$T$4:$T$803,"Current")))</f>
        <v/>
      </c>
      <c r="AA94" s="1" t="str">
        <f>IF($Z94="","",IF('HR Quick View'!$B$10="Qualified only",IF($Z94=3,COUNTIF($Z$4:$Z94,3),""),IF('HR Quick View'!$B$10="Developing only",IF(OR($Z94=1,$Z94=2),COUNTIF($Z$4:$Z$108,"&gt;"&amp;$Z94)+COUNTIF($Z$4:$Z94,$Z94)-COUNTIF($Z$4:$Z$108,3),""),IF('HR Quick View'!$B$10="All scored",COUNTIF($Z$4:$Z$108,"&gt;"&amp;$Z94)+COUNTIF($Z$4:$Z94,$Z94),""))))</f>
        <v/>
      </c>
      <c r="AB94" s="1" t="str">
        <f>""</f>
        <v/>
      </c>
      <c r="AC94" s="1">
        <f t="shared" si="20"/>
        <v>0</v>
      </c>
      <c r="AD94" s="1">
        <f t="shared" si="21"/>
        <v>0</v>
      </c>
      <c r="AE94" s="1">
        <f t="shared" si="22"/>
        <v>0</v>
      </c>
      <c r="AF94" s="1" t="str">
        <f>IFERROR(IF(Lists!$B94="","",Lists!$B94),"")</f>
        <v/>
      </c>
      <c r="AG94" s="1" t="str">
        <f>IFERROR(IF(Lists!$B94="","",Lists!$C94),"")</f>
        <v/>
      </c>
      <c r="AH94" s="1" t="str">
        <f>IFERROR(IF(Lists!$B94="","",Lists!$D94),"")</f>
        <v/>
      </c>
      <c r="AI94" s="1" t="str">
        <f>IF(AF94="","",IFERROR(INDEX('Skills Matrix'!$G$6:$DE$205,MATCH(AF94,'Skills Matrix'!$B$6:$B$205,0),MATCH('HR Quick View'!$J$9,'Skills Matrix'!$G$5:$DE$5,0)),""))</f>
        <v/>
      </c>
      <c r="AJ94" s="1" t="str">
        <f t="shared" si="23"/>
        <v/>
      </c>
      <c r="AK94" s="1" t="str">
        <f>IFERROR(IF(Lists!$B94="","",Lists!$E94),"")</f>
        <v/>
      </c>
      <c r="AL94" s="1" t="str">
        <f>IF(AND(OR('HR Quick View'!$L$10="All Shifts",AH94='HR Quick View'!$L$10),OR(AND('HR Quick View'!$I$10="Qualified only",AI94=3),AND('HR Quick View'!$I$10="All trained",AI94&gt;0))),IF('HR Quick View'!$L$10="All Shifts",COUNTIF($AI$4:$AI$203,"&gt;"&amp;AI94)+COUNTIF($AI$4:AI94,AI94),COUNTIFS($AI$4:$AI$203,"&gt;"&amp;AI94,$AH$4:$AH$203,'HR Quick View'!$L$10)+COUNTIFS($AI$4:AI94,AI94,$AH$4:AH94,'HR Quick View'!$L$10)),"")</f>
        <v/>
      </c>
      <c r="AP94" s="17" t="str">
        <f>IFERROR(IF(Lists!$J94="","",Lists!$J94),"")</f>
        <v>Incident Containment</v>
      </c>
      <c r="AQ94" s="17" t="str">
        <f>IFERROR(IF(Lists!$J94="","",Lists!$K94),"")</f>
        <v>Cybersecurity</v>
      </c>
      <c r="AR94" s="17" t="str">
        <f>IFERROR(IF(Lists!$J94="","",Lists!$L94),"")</f>
        <v>No</v>
      </c>
      <c r="AS94" s="17">
        <f>IFERROR(IF(Lists!$J94="","",Lists!$M94),0)</f>
        <v>3</v>
      </c>
      <c r="AT94" s="17">
        <f>IF(AP94="","",COUNTIF('Skills Matrix'!$CS$6:$CS$205,3))</f>
        <v>0</v>
      </c>
      <c r="AU94" s="17">
        <f>IF(AP94="","",COUNTIF('Skills Matrix'!$CS$6:$CS$205,2))</f>
        <v>0</v>
      </c>
      <c r="AV94" s="17">
        <f t="shared" si="24"/>
        <v>3</v>
      </c>
      <c r="AW94" s="17">
        <f>IF(OR(AP94="",AS94&lt;=0,AV94&lt;=0,AND('Skill Management'!$D$4&lt;&gt;"All Departments",AQ94&lt;&gt;'Skill Management'!$D$4)),"",IF(AT94=0,100000,0)+IF(AR94="Yes",10000,0)+AV94*100+AU94)</f>
        <v>100300</v>
      </c>
      <c r="AX94" s="17">
        <f>IF(AW94="","",COUNTIF($AW$4:$AW$106,"&gt;"&amp;AW94)+COUNTIF($AW$4:AW94,AW94))</f>
        <v>26</v>
      </c>
      <c r="AY94" s="17" t="str">
        <f>IFERROR(IF(Lists!$J94="","",Lists!$N94),"")</f>
        <v>Yes</v>
      </c>
      <c r="BA94" s="17" t="str">
        <f>IFERROR(IF('Training Plan'!$A95="","",'Training Plan'!$A95),"")</f>
        <v/>
      </c>
      <c r="BB94" s="17" t="str">
        <f>IFERROR(IF('Training Plan'!$A95="","",'Training Plan'!$B95),"")</f>
        <v/>
      </c>
      <c r="BC94" s="17" t="str">
        <f>IFERROR(IF('Training Plan'!$A95="","",'Training Plan'!$C95),"")</f>
        <v/>
      </c>
      <c r="BD94" s="17" t="str">
        <f>IFERROR(IF('Training Plan'!$A95="","",'Training Plan'!$D95),"")</f>
        <v/>
      </c>
      <c r="BE94" s="17" t="str">
        <f>IFERROR(IF('Training Plan'!$A95="","",'Training Plan'!$E95),"")</f>
        <v/>
      </c>
      <c r="BF94" s="17" t="str">
        <f>IFERROR(IF('Training Plan'!$A95="","",'Training Plan'!$F95),"")</f>
        <v/>
      </c>
      <c r="BG94" s="17" t="str">
        <f>IFERROR(IF('Training Plan'!$A95="","",'Training Plan'!$G95),"")</f>
        <v/>
      </c>
      <c r="BH94" s="17" t="str">
        <f>IFERROR(IF('Training Plan'!$A95="","",'Training Plan'!$H95),"")</f>
        <v/>
      </c>
      <c r="BI94" s="17" t="str">
        <f>IF(OR(BA94="",BF94="Complete",AND('Skill Management'!$D$4&lt;&gt;"All Departments",BB94&lt;&gt;'Skill Management'!$D$4)),"",IF(BF94="Blocked",100000,IF(BF94="In Progress",200000,300000))+IF(BE94="",99999,BE94))</f>
        <v/>
      </c>
      <c r="BJ94" s="17" t="str">
        <f>IF(BI94="","",COUNTIFS($BI$4:$BI$203,"&gt;0",$BI$4:$BI$203,"&lt;"&amp;BI94)+COUNTIF($BI$4:BI94,BI94))</f>
        <v/>
      </c>
      <c r="BT94" t="str">
        <f t="shared" si="25"/>
        <v>Incident Containment</v>
      </c>
      <c r="BU94" t="str">
        <f t="shared" si="26"/>
        <v>Cybersecurity</v>
      </c>
      <c r="BV94" t="str">
        <f>IF(BT94="","",IFERROR(INDEX('Skills Matrix'!$G$6:$DE$205,MATCH('Employee Transcript'!$C$4,'Skills Matrix'!$B$6:$B$205,0),MATCH(BT94,'Skills Matrix'!$G$5:$DE$5,0)),""))</f>
        <v/>
      </c>
      <c r="BW94" t="str">
        <f>IF(BT94="","",IFERROR(INDEX('Competency Event Log'!$E$4:$E$803,MATCH('Employee Transcript'!$C$4&amp;"|"&amp;BT94,'Competency Event Log'!$U$4:$U$803,0)),""))</f>
        <v/>
      </c>
      <c r="BX94" t="str">
        <f>IF(BT94="","",IF(BU94='Employee Transcript'!$B$7,"Home Department","Cross-Trained"))</f>
        <v>Cross-Trained</v>
      </c>
      <c r="BY94" t="str">
        <f t="shared" si="27"/>
        <v>No</v>
      </c>
      <c r="BZ94" t="str">
        <f>IF(BT94="","",IFERROR(INDEX('Competency Event Log'!$L$4:$L$803,MATCH('Employee Transcript'!$C$4&amp;"|"&amp;BT94,'Competency Event Log'!$U$4:$U$803,0)),""))</f>
        <v/>
      </c>
      <c r="CA94" t="str">
        <f>IF(N(BV94)&gt;0,COUNTIF($BV$4:BV94,"&gt;0"),"")</f>
        <v/>
      </c>
      <c r="CB94" t="str">
        <f>IF(AND('Competency Event Log'!$B94='Employee Transcript'!$C$4,'Competency Event Log'!$I94&lt;&gt;"Yes"),'Competency Event Log'!$K94,"")</f>
        <v/>
      </c>
      <c r="CC94" t="str">
        <f t="shared" si="28"/>
        <v/>
      </c>
      <c r="CD94" t="str">
        <f>IF(Certifications!$A94='Employee Transcript'!$C$4,94,"")</f>
        <v/>
      </c>
      <c r="CE94" t="str">
        <f>IF(CD94="","",COUNTIF($CD$4:CD94,"&gt;0"))</f>
        <v/>
      </c>
      <c r="CF94" t="str">
        <f>IF(AND('Training Plan'!$A95='Employee Transcript'!$C$4,'Training Plan'!$F95&lt;&gt;"Complete"),95,"")</f>
        <v/>
      </c>
      <c r="CG94" t="str">
        <f>IF(CF94="","",COUNTIF($CF$4:CF94,"&gt;0"))</f>
        <v/>
      </c>
    </row>
    <row r="95" spans="1:85">
      <c r="A95" s="2"/>
      <c r="B95" s="1"/>
      <c r="C95" s="1"/>
      <c r="D95" s="1"/>
      <c r="E95" s="1"/>
      <c r="F95" s="3"/>
      <c r="G95" s="1"/>
      <c r="H95" s="4"/>
      <c r="I95" s="1" t="s">
        <v>1276</v>
      </c>
      <c r="J95" s="1" t="s">
        <v>1199</v>
      </c>
      <c r="K95" s="1" t="s">
        <v>311</v>
      </c>
      <c r="L95" s="1" t="s">
        <v>411</v>
      </c>
      <c r="M95" s="1">
        <v>3</v>
      </c>
      <c r="N95" s="1" t="s">
        <v>27</v>
      </c>
      <c r="P95" s="1" t="s">
        <v>1199</v>
      </c>
      <c r="Q95" s="1" t="s">
        <v>311</v>
      </c>
      <c r="R95" s="1">
        <v>0</v>
      </c>
      <c r="S95" s="1">
        <f>COUNTIF('Skills Matrix'!$CT$6:$CT$205,3)</f>
        <v>0</v>
      </c>
      <c r="T95" s="1">
        <f t="shared" si="19"/>
        <v>0</v>
      </c>
      <c r="U95" s="1" t="str">
        <f>IF(AND(T95&gt;0,OR('HR Quick View'!$F$24="All Departments",Q95='HR Quick View'!$F$24)),COUNTIFS($T$4:$T$108,"&gt;"&amp;T95,$Q$4:$Q$108,IF('HR Quick View'!$F$24="All Departments","*",'HR Quick View'!$F$24))+COUNTIFS($T$4:T95,T95,$Q$4:Q95,IF('HR Quick View'!$F$24="All Departments","*",'HR Quick View'!$F$24)),"")</f>
        <v/>
      </c>
      <c r="W95" s="1" t="s">
        <v>1199</v>
      </c>
      <c r="X95" s="1" t="s">
        <v>311</v>
      </c>
      <c r="Y95" s="1" t="s">
        <v>411</v>
      </c>
      <c r="Z95" s="1" t="str">
        <f>IF('HR Quick View'!$C$9="","",IF(COUNTIFS('Competency Event Log'!$B$4:$B$803,'HR Quick View'!$C$9,'Competency Event Log'!$C$4:$C$803,W95,'Competency Event Log'!$T$4:$T$803,"Current")=0,"",SUMIFS('Competency Event Log'!$D$4:$D$803,'Competency Event Log'!$B$4:$B$803,'HR Quick View'!$C$9,'Competency Event Log'!$C$4:$C$803,W95,'Competency Event Log'!$T$4:$T$803,"Current")))</f>
        <v/>
      </c>
      <c r="AA95" s="1" t="str">
        <f>IF($Z95="","",IF('HR Quick View'!$B$10="Qualified only",IF($Z95=3,COUNTIF($Z$4:$Z95,3),""),IF('HR Quick View'!$B$10="Developing only",IF(OR($Z95=1,$Z95=2),COUNTIF($Z$4:$Z$108,"&gt;"&amp;$Z95)+COUNTIF($Z$4:$Z95,$Z95)-COUNTIF($Z$4:$Z$108,3),""),IF('HR Quick View'!$B$10="All scored",COUNTIF($Z$4:$Z$108,"&gt;"&amp;$Z95)+COUNTIF($Z$4:$Z95,$Z95),""))))</f>
        <v/>
      </c>
      <c r="AB95" s="1" t="str">
        <f>""</f>
        <v/>
      </c>
      <c r="AC95" s="1">
        <f t="shared" si="20"/>
        <v>0</v>
      </c>
      <c r="AD95" s="1">
        <f t="shared" si="21"/>
        <v>0</v>
      </c>
      <c r="AE95" s="1">
        <f t="shared" si="22"/>
        <v>0</v>
      </c>
      <c r="AF95" s="1" t="str">
        <f>IFERROR(IF(Lists!$B95="","",Lists!$B95),"")</f>
        <v/>
      </c>
      <c r="AG95" s="1" t="str">
        <f>IFERROR(IF(Lists!$B95="","",Lists!$C95),"")</f>
        <v/>
      </c>
      <c r="AH95" s="1" t="str">
        <f>IFERROR(IF(Lists!$B95="","",Lists!$D95),"")</f>
        <v/>
      </c>
      <c r="AI95" s="1" t="str">
        <f>IF(AF95="","",IFERROR(INDEX('Skills Matrix'!$G$6:$DE$205,MATCH(AF95,'Skills Matrix'!$B$6:$B$205,0),MATCH('HR Quick View'!$J$9,'Skills Matrix'!$G$5:$DE$5,0)),""))</f>
        <v/>
      </c>
      <c r="AJ95" s="1" t="str">
        <f t="shared" si="23"/>
        <v/>
      </c>
      <c r="AK95" s="1" t="str">
        <f>IFERROR(IF(Lists!$B95="","",Lists!$E95),"")</f>
        <v/>
      </c>
      <c r="AL95" s="1" t="str">
        <f>IF(AND(OR('HR Quick View'!$L$10="All Shifts",AH95='HR Quick View'!$L$10),OR(AND('HR Quick View'!$I$10="Qualified only",AI95=3),AND('HR Quick View'!$I$10="All trained",AI95&gt;0))),IF('HR Quick View'!$L$10="All Shifts",COUNTIF($AI$4:$AI$203,"&gt;"&amp;AI95)+COUNTIF($AI$4:AI95,AI95),COUNTIFS($AI$4:$AI$203,"&gt;"&amp;AI95,$AH$4:$AH$203,'HR Quick View'!$L$10)+COUNTIFS($AI$4:AI95,AI95,$AH$4:AH95,'HR Quick View'!$L$10)),"")</f>
        <v/>
      </c>
      <c r="AP95" s="17" t="str">
        <f>IFERROR(IF(Lists!$J95="","",Lists!$J95),"")</f>
        <v>Forensic Collection</v>
      </c>
      <c r="AQ95" s="17" t="str">
        <f>IFERROR(IF(Lists!$J95="","",Lists!$K95),"")</f>
        <v>Cybersecurity</v>
      </c>
      <c r="AR95" s="17" t="str">
        <f>IFERROR(IF(Lists!$J95="","",Lists!$L95),"")</f>
        <v>No</v>
      </c>
      <c r="AS95" s="17">
        <f>IFERROR(IF(Lists!$J95="","",Lists!$M95),0)</f>
        <v>3</v>
      </c>
      <c r="AT95" s="17">
        <f>IF(AP95="","",COUNTIF('Skills Matrix'!$CT$6:$CT$205,3))</f>
        <v>0</v>
      </c>
      <c r="AU95" s="17">
        <f>IF(AP95="","",COUNTIF('Skills Matrix'!$CT$6:$CT$205,2))</f>
        <v>0</v>
      </c>
      <c r="AV95" s="17">
        <f t="shared" si="24"/>
        <v>3</v>
      </c>
      <c r="AW95" s="17">
        <f>IF(OR(AP95="",AS95&lt;=0,AV95&lt;=0,AND('Skill Management'!$D$4&lt;&gt;"All Departments",AQ95&lt;&gt;'Skill Management'!$D$4)),"",IF(AT95=0,100000,0)+IF(AR95="Yes",10000,0)+AV95*100+AU95)</f>
        <v>100300</v>
      </c>
      <c r="AX95" s="17">
        <f>IF(AW95="","",COUNTIF($AW$4:$AW$106,"&gt;"&amp;AW95)+COUNTIF($AW$4:AW95,AW95))</f>
        <v>27</v>
      </c>
      <c r="AY95" s="17" t="str">
        <f>IFERROR(IF(Lists!$J95="","",Lists!$N95),"")</f>
        <v>Yes</v>
      </c>
      <c r="BA95" s="17" t="str">
        <f>IFERROR(IF('Training Plan'!$A96="","",'Training Plan'!$A96),"")</f>
        <v/>
      </c>
      <c r="BB95" s="17" t="str">
        <f>IFERROR(IF('Training Plan'!$A96="","",'Training Plan'!$B96),"")</f>
        <v/>
      </c>
      <c r="BC95" s="17" t="str">
        <f>IFERROR(IF('Training Plan'!$A96="","",'Training Plan'!$C96),"")</f>
        <v/>
      </c>
      <c r="BD95" s="17" t="str">
        <f>IFERROR(IF('Training Plan'!$A96="","",'Training Plan'!$D96),"")</f>
        <v/>
      </c>
      <c r="BE95" s="17" t="str">
        <f>IFERROR(IF('Training Plan'!$A96="","",'Training Plan'!$E96),"")</f>
        <v/>
      </c>
      <c r="BF95" s="17" t="str">
        <f>IFERROR(IF('Training Plan'!$A96="","",'Training Plan'!$F96),"")</f>
        <v/>
      </c>
      <c r="BG95" s="17" t="str">
        <f>IFERROR(IF('Training Plan'!$A96="","",'Training Plan'!$G96),"")</f>
        <v/>
      </c>
      <c r="BH95" s="17" t="str">
        <f>IFERROR(IF('Training Plan'!$A96="","",'Training Plan'!$H96),"")</f>
        <v/>
      </c>
      <c r="BI95" s="17" t="str">
        <f>IF(OR(BA95="",BF95="Complete",AND('Skill Management'!$D$4&lt;&gt;"All Departments",BB95&lt;&gt;'Skill Management'!$D$4)),"",IF(BF95="Blocked",100000,IF(BF95="In Progress",200000,300000))+IF(BE95="",99999,BE95))</f>
        <v/>
      </c>
      <c r="BJ95" s="17" t="str">
        <f>IF(BI95="","",COUNTIFS($BI$4:$BI$203,"&gt;0",$BI$4:$BI$203,"&lt;"&amp;BI95)+COUNTIF($BI$4:BI95,BI95))</f>
        <v/>
      </c>
      <c r="BT95" t="str">
        <f t="shared" si="25"/>
        <v>Forensic Collection</v>
      </c>
      <c r="BU95" t="str">
        <f t="shared" si="26"/>
        <v>Cybersecurity</v>
      </c>
      <c r="BV95" t="str">
        <f>IF(BT95="","",IFERROR(INDEX('Skills Matrix'!$G$6:$DE$205,MATCH('Employee Transcript'!$C$4,'Skills Matrix'!$B$6:$B$205,0),MATCH(BT95,'Skills Matrix'!$G$5:$DE$5,0)),""))</f>
        <v/>
      </c>
      <c r="BW95" t="str">
        <f>IF(BT95="","",IFERROR(INDEX('Competency Event Log'!$E$4:$E$803,MATCH('Employee Transcript'!$C$4&amp;"|"&amp;BT95,'Competency Event Log'!$U$4:$U$803,0)),""))</f>
        <v/>
      </c>
      <c r="BX95" t="str">
        <f>IF(BT95="","",IF(BU95='Employee Transcript'!$B$7,"Home Department","Cross-Trained"))</f>
        <v>Cross-Trained</v>
      </c>
      <c r="BY95" t="str">
        <f t="shared" si="27"/>
        <v>No</v>
      </c>
      <c r="BZ95" t="str">
        <f>IF(BT95="","",IFERROR(INDEX('Competency Event Log'!$L$4:$L$803,MATCH('Employee Transcript'!$C$4&amp;"|"&amp;BT95,'Competency Event Log'!$U$4:$U$803,0)),""))</f>
        <v/>
      </c>
      <c r="CA95" t="str">
        <f>IF(N(BV95)&gt;0,COUNTIF($BV$4:BV95,"&gt;0"),"")</f>
        <v/>
      </c>
      <c r="CB95" t="str">
        <f>IF(AND('Competency Event Log'!$B95='Employee Transcript'!$C$4,'Competency Event Log'!$I95&lt;&gt;"Yes"),'Competency Event Log'!$K95,"")</f>
        <v/>
      </c>
      <c r="CC95" t="str">
        <f t="shared" si="28"/>
        <v/>
      </c>
      <c r="CD95" t="str">
        <f>IF(Certifications!$A95='Employee Transcript'!$C$4,95,"")</f>
        <v/>
      </c>
      <c r="CE95" t="str">
        <f>IF(CD95="","",COUNTIF($CD$4:CD95,"&gt;0"))</f>
        <v/>
      </c>
      <c r="CF95" t="str">
        <f>IF(AND('Training Plan'!$A96='Employee Transcript'!$C$4,'Training Plan'!$F96&lt;&gt;"Complete"),96,"")</f>
        <v/>
      </c>
      <c r="CG95" t="str">
        <f>IF(CF95="","",COUNTIF($CF$4:CF95,"&gt;0"))</f>
        <v/>
      </c>
    </row>
    <row r="96" spans="1:85">
      <c r="A96" s="2"/>
      <c r="B96" s="1"/>
      <c r="C96" s="1"/>
      <c r="D96" s="1"/>
      <c r="E96" s="1"/>
      <c r="F96" s="3"/>
      <c r="G96" s="1"/>
      <c r="H96" s="4"/>
      <c r="I96" s="1" t="s">
        <v>467</v>
      </c>
      <c r="J96" s="1" t="s">
        <v>465</v>
      </c>
      <c r="K96" s="1" t="s">
        <v>311</v>
      </c>
      <c r="L96" s="1" t="s">
        <v>411</v>
      </c>
      <c r="M96" s="1">
        <v>3</v>
      </c>
      <c r="N96" s="1" t="s">
        <v>27</v>
      </c>
      <c r="P96" s="1" t="s">
        <v>465</v>
      </c>
      <c r="Q96" s="1" t="s">
        <v>311</v>
      </c>
      <c r="R96" s="1">
        <v>0</v>
      </c>
      <c r="S96" s="1">
        <f>COUNTIF('Skills Matrix'!$CU$6:$CU$205,3)</f>
        <v>1</v>
      </c>
      <c r="T96" s="1">
        <f t="shared" si="19"/>
        <v>0</v>
      </c>
      <c r="U96" s="1" t="str">
        <f>IF(AND(T96&gt;0,OR('HR Quick View'!$F$24="All Departments",Q96='HR Quick View'!$F$24)),COUNTIFS($T$4:$T$108,"&gt;"&amp;T96,$Q$4:$Q$108,IF('HR Quick View'!$F$24="All Departments","*",'HR Quick View'!$F$24))+COUNTIFS($T$4:T96,T96,$Q$4:Q96,IF('HR Quick View'!$F$24="All Departments","*",'HR Quick View'!$F$24)),"")</f>
        <v/>
      </c>
      <c r="W96" s="1" t="s">
        <v>465</v>
      </c>
      <c r="X96" s="1" t="s">
        <v>311</v>
      </c>
      <c r="Y96" s="1" t="s">
        <v>411</v>
      </c>
      <c r="Z96" s="1" t="str">
        <f>IF('HR Quick View'!$C$9="","",IF(COUNTIFS('Competency Event Log'!$B$4:$B$803,'HR Quick View'!$C$9,'Competency Event Log'!$C$4:$C$803,W96,'Competency Event Log'!$T$4:$T$803,"Current")=0,"",SUMIFS('Competency Event Log'!$D$4:$D$803,'Competency Event Log'!$B$4:$B$803,'HR Quick View'!$C$9,'Competency Event Log'!$C$4:$C$803,W96,'Competency Event Log'!$T$4:$T$803,"Current")))</f>
        <v/>
      </c>
      <c r="AA96" s="1" t="str">
        <f>IF($Z96="","",IF('HR Quick View'!$B$10="Qualified only",IF($Z96=3,COUNTIF($Z$4:$Z96,3),""),IF('HR Quick View'!$B$10="Developing only",IF(OR($Z96=1,$Z96=2),COUNTIF($Z$4:$Z$108,"&gt;"&amp;$Z96)+COUNTIF($Z$4:$Z96,$Z96)-COUNTIF($Z$4:$Z$108,3),""),IF('HR Quick View'!$B$10="All scored",COUNTIF($Z$4:$Z$108,"&gt;"&amp;$Z96)+COUNTIF($Z$4:$Z96,$Z96),""))))</f>
        <v/>
      </c>
      <c r="AB96" s="1" t="str">
        <f>""</f>
        <v/>
      </c>
      <c r="AC96" s="1">
        <f t="shared" si="20"/>
        <v>0</v>
      </c>
      <c r="AD96" s="1">
        <f t="shared" si="21"/>
        <v>1</v>
      </c>
      <c r="AE96" s="1">
        <f t="shared" si="22"/>
        <v>0</v>
      </c>
      <c r="AF96" s="1" t="str">
        <f>IFERROR(IF(Lists!$B96="","",Lists!$B96),"")</f>
        <v/>
      </c>
      <c r="AG96" s="1" t="str">
        <f>IFERROR(IF(Lists!$B96="","",Lists!$C96),"")</f>
        <v/>
      </c>
      <c r="AH96" s="1" t="str">
        <f>IFERROR(IF(Lists!$B96="","",Lists!$D96),"")</f>
        <v/>
      </c>
      <c r="AI96" s="1" t="str">
        <f>IF(AF96="","",IFERROR(INDEX('Skills Matrix'!$G$6:$DE$205,MATCH(AF96,'Skills Matrix'!$B$6:$B$205,0),MATCH('HR Quick View'!$J$9,'Skills Matrix'!$G$5:$DE$5,0)),""))</f>
        <v/>
      </c>
      <c r="AJ96" s="1" t="str">
        <f t="shared" si="23"/>
        <v/>
      </c>
      <c r="AK96" s="1" t="str">
        <f>IFERROR(IF(Lists!$B96="","",Lists!$E96),"")</f>
        <v/>
      </c>
      <c r="AL96" s="1" t="str">
        <f>IF(AND(OR('HR Quick View'!$L$10="All Shifts",AH96='HR Quick View'!$L$10),OR(AND('HR Quick View'!$I$10="Qualified only",AI96=3),AND('HR Quick View'!$I$10="All trained",AI96&gt;0))),IF('HR Quick View'!$L$10="All Shifts",COUNTIF($AI$4:$AI$203,"&gt;"&amp;AI96)+COUNTIF($AI$4:AI96,AI96),COUNTIFS($AI$4:$AI$203,"&gt;"&amp;AI96,$AH$4:$AH$203,'HR Quick View'!$L$10)+COUNTIFS($AI$4:AI96,AI96,$AH$4:AH96,'HR Quick View'!$L$10)),"")</f>
        <v/>
      </c>
      <c r="AP96" s="17" t="str">
        <f>IFERROR(IF(Lists!$J96="","",Lists!$J96),"")</f>
        <v>Malware Triage</v>
      </c>
      <c r="AQ96" s="17" t="str">
        <f>IFERROR(IF(Lists!$J96="","",Lists!$K96),"")</f>
        <v>Cybersecurity</v>
      </c>
      <c r="AR96" s="17" t="str">
        <f>IFERROR(IF(Lists!$J96="","",Lists!$L96),"")</f>
        <v>No</v>
      </c>
      <c r="AS96" s="17">
        <f>IFERROR(IF(Lists!$J96="","",Lists!$M96),0)</f>
        <v>3</v>
      </c>
      <c r="AT96" s="17">
        <f>IF(AP96="","",COUNTIF('Skills Matrix'!$CU$6:$CU$205,3))</f>
        <v>1</v>
      </c>
      <c r="AU96" s="17">
        <f>IF(AP96="","",COUNTIF('Skills Matrix'!$CU$6:$CU$205,2))</f>
        <v>1</v>
      </c>
      <c r="AV96" s="17">
        <f t="shared" si="24"/>
        <v>2</v>
      </c>
      <c r="AW96" s="17">
        <f>IF(OR(AP96="",AS96&lt;=0,AV96&lt;=0,AND('Skill Management'!$D$4&lt;&gt;"All Departments",AQ96&lt;&gt;'Skill Management'!$D$4)),"",IF(AT96=0,100000,0)+IF(AR96="Yes",10000,0)+AV96*100+AU96)</f>
        <v>201</v>
      </c>
      <c r="AX96" s="17">
        <f>IF(AW96="","",COUNTIF($AW$4:$AW$106,"&gt;"&amp;AW96)+COUNTIF($AW$4:AW96,AW96))</f>
        <v>74</v>
      </c>
      <c r="AY96" s="17" t="str">
        <f>IFERROR(IF(Lists!$J96="","",Lists!$N96),"")</f>
        <v>Yes</v>
      </c>
      <c r="BA96" s="17" t="str">
        <f>IFERROR(IF('Training Plan'!$A97="","",'Training Plan'!$A97),"")</f>
        <v/>
      </c>
      <c r="BB96" s="17" t="str">
        <f>IFERROR(IF('Training Plan'!$A97="","",'Training Plan'!$B97),"")</f>
        <v/>
      </c>
      <c r="BC96" s="17" t="str">
        <f>IFERROR(IF('Training Plan'!$A97="","",'Training Plan'!$C97),"")</f>
        <v/>
      </c>
      <c r="BD96" s="17" t="str">
        <f>IFERROR(IF('Training Plan'!$A97="","",'Training Plan'!$D97),"")</f>
        <v/>
      </c>
      <c r="BE96" s="17" t="str">
        <f>IFERROR(IF('Training Plan'!$A97="","",'Training Plan'!$E97),"")</f>
        <v/>
      </c>
      <c r="BF96" s="17" t="str">
        <f>IFERROR(IF('Training Plan'!$A97="","",'Training Plan'!$F97),"")</f>
        <v/>
      </c>
      <c r="BG96" s="17" t="str">
        <f>IFERROR(IF('Training Plan'!$A97="","",'Training Plan'!$G97),"")</f>
        <v/>
      </c>
      <c r="BH96" s="17" t="str">
        <f>IFERROR(IF('Training Plan'!$A97="","",'Training Plan'!$H97),"")</f>
        <v/>
      </c>
      <c r="BI96" s="17" t="str">
        <f>IF(OR(BA96="",BF96="Complete",AND('Skill Management'!$D$4&lt;&gt;"All Departments",BB96&lt;&gt;'Skill Management'!$D$4)),"",IF(BF96="Blocked",100000,IF(BF96="In Progress",200000,300000))+IF(BE96="",99999,BE96))</f>
        <v/>
      </c>
      <c r="BJ96" s="17" t="str">
        <f>IF(BI96="","",COUNTIFS($BI$4:$BI$203,"&gt;0",$BI$4:$BI$203,"&lt;"&amp;BI96)+COUNTIF($BI$4:BI96,BI96))</f>
        <v/>
      </c>
      <c r="BT96" t="str">
        <f t="shared" si="25"/>
        <v>Malware Triage</v>
      </c>
      <c r="BU96" t="str">
        <f t="shared" si="26"/>
        <v>Cybersecurity</v>
      </c>
      <c r="BV96" t="str">
        <f>IF(BT96="","",IFERROR(INDEX('Skills Matrix'!$G$6:$DE$205,MATCH('Employee Transcript'!$C$4,'Skills Matrix'!$B$6:$B$205,0),MATCH(BT96,'Skills Matrix'!$G$5:$DE$5,0)),""))</f>
        <v/>
      </c>
      <c r="BW96" t="str">
        <f>IF(BT96="","",IFERROR(INDEX('Competency Event Log'!$E$4:$E$803,MATCH('Employee Transcript'!$C$4&amp;"|"&amp;BT96,'Competency Event Log'!$U$4:$U$803,0)),""))</f>
        <v/>
      </c>
      <c r="BX96" t="str">
        <f>IF(BT96="","",IF(BU96='Employee Transcript'!$B$7,"Home Department","Cross-Trained"))</f>
        <v>Cross-Trained</v>
      </c>
      <c r="BY96" t="str">
        <f t="shared" si="27"/>
        <v>No</v>
      </c>
      <c r="BZ96" t="str">
        <f>IF(BT96="","",IFERROR(INDEX('Competency Event Log'!$L$4:$L$803,MATCH('Employee Transcript'!$C$4&amp;"|"&amp;BT96,'Competency Event Log'!$U$4:$U$803,0)),""))</f>
        <v/>
      </c>
      <c r="CA96" t="str">
        <f>IF(N(BV96)&gt;0,COUNTIF($BV$4:BV96,"&gt;0"),"")</f>
        <v/>
      </c>
      <c r="CB96" t="str">
        <f>IF(AND('Competency Event Log'!$B96='Employee Transcript'!$C$4,'Competency Event Log'!$I96&lt;&gt;"Yes"),'Competency Event Log'!$K96,"")</f>
        <v/>
      </c>
      <c r="CC96" t="str">
        <f t="shared" si="28"/>
        <v/>
      </c>
      <c r="CD96" t="str">
        <f>IF(Certifications!$A96='Employee Transcript'!$C$4,96,"")</f>
        <v/>
      </c>
      <c r="CE96" t="str">
        <f>IF(CD96="","",COUNTIF($CD$4:CD96,"&gt;0"))</f>
        <v/>
      </c>
      <c r="CF96" t="str">
        <f>IF(AND('Training Plan'!$A97='Employee Transcript'!$C$4,'Training Plan'!$F97&lt;&gt;"Complete"),97,"")</f>
        <v/>
      </c>
      <c r="CG96" t="str">
        <f>IF(CF96="","",COUNTIF($CF$4:CF96,"&gt;0"))</f>
        <v/>
      </c>
    </row>
    <row r="97" spans="1:85">
      <c r="A97" s="2"/>
      <c r="B97" s="1"/>
      <c r="C97" s="1"/>
      <c r="D97" s="1"/>
      <c r="E97" s="1"/>
      <c r="F97" s="3"/>
      <c r="G97" s="1"/>
      <c r="H97" s="4"/>
      <c r="I97" s="1" t="s">
        <v>732</v>
      </c>
      <c r="J97" s="1" t="s">
        <v>730</v>
      </c>
      <c r="K97" s="1" t="s">
        <v>311</v>
      </c>
      <c r="L97" s="1" t="s">
        <v>411</v>
      </c>
      <c r="M97" s="1">
        <v>3</v>
      </c>
      <c r="N97" s="1" t="s">
        <v>27</v>
      </c>
      <c r="P97" s="1" t="s">
        <v>730</v>
      </c>
      <c r="Q97" s="1" t="s">
        <v>311</v>
      </c>
      <c r="R97" s="1">
        <v>0</v>
      </c>
      <c r="S97" s="1">
        <f>COUNTIF('Skills Matrix'!$CV$6:$CV$205,3)</f>
        <v>0</v>
      </c>
      <c r="T97" s="1">
        <f t="shared" si="19"/>
        <v>0</v>
      </c>
      <c r="U97" s="1" t="str">
        <f>IF(AND(T97&gt;0,OR('HR Quick View'!$F$24="All Departments",Q97='HR Quick View'!$F$24)),COUNTIFS($T$4:$T$108,"&gt;"&amp;T97,$Q$4:$Q$108,IF('HR Quick View'!$F$24="All Departments","*",'HR Quick View'!$F$24))+COUNTIFS($T$4:T97,T97,$Q$4:Q97,IF('HR Quick View'!$F$24="All Departments","*",'HR Quick View'!$F$24)),"")</f>
        <v/>
      </c>
      <c r="W97" s="1" t="s">
        <v>730</v>
      </c>
      <c r="X97" s="1" t="s">
        <v>311</v>
      </c>
      <c r="Y97" s="1" t="s">
        <v>411</v>
      </c>
      <c r="Z97" s="1" t="str">
        <f>IF('HR Quick View'!$C$9="","",IF(COUNTIFS('Competency Event Log'!$B$4:$B$803,'HR Quick View'!$C$9,'Competency Event Log'!$C$4:$C$803,W97,'Competency Event Log'!$T$4:$T$803,"Current")=0,"",SUMIFS('Competency Event Log'!$D$4:$D$803,'Competency Event Log'!$B$4:$B$803,'HR Quick View'!$C$9,'Competency Event Log'!$C$4:$C$803,W97,'Competency Event Log'!$T$4:$T$803,"Current")))</f>
        <v/>
      </c>
      <c r="AA97" s="1" t="str">
        <f>IF($Z97="","",IF('HR Quick View'!$B$10="Qualified only",IF($Z97=3,COUNTIF($Z$4:$Z97,3),""),IF('HR Quick View'!$B$10="Developing only",IF(OR($Z97=1,$Z97=2),COUNTIF($Z$4:$Z$108,"&gt;"&amp;$Z97)+COUNTIF($Z$4:$Z97,$Z97)-COUNTIF($Z$4:$Z$108,3),""),IF('HR Quick View'!$B$10="All scored",COUNTIF($Z$4:$Z$108,"&gt;"&amp;$Z97)+COUNTIF($Z$4:$Z97,$Z97),""))))</f>
        <v/>
      </c>
      <c r="AB97" s="1" t="str">
        <f>""</f>
        <v/>
      </c>
      <c r="AC97" s="1">
        <f t="shared" si="20"/>
        <v>0</v>
      </c>
      <c r="AD97" s="1">
        <f t="shared" si="21"/>
        <v>0</v>
      </c>
      <c r="AE97" s="1">
        <f t="shared" si="22"/>
        <v>0</v>
      </c>
      <c r="AF97" s="1" t="str">
        <f>IFERROR(IF(Lists!$B97="","",Lists!$B97),"")</f>
        <v/>
      </c>
      <c r="AG97" s="1" t="str">
        <f>IFERROR(IF(Lists!$B97="","",Lists!$C97),"")</f>
        <v/>
      </c>
      <c r="AH97" s="1" t="str">
        <f>IFERROR(IF(Lists!$B97="","",Lists!$D97),"")</f>
        <v/>
      </c>
      <c r="AI97" s="1" t="str">
        <f>IF(AF97="","",IFERROR(INDEX('Skills Matrix'!$G$6:$DE$205,MATCH(AF97,'Skills Matrix'!$B$6:$B$205,0),MATCH('HR Quick View'!$J$9,'Skills Matrix'!$G$5:$DE$5,0)),""))</f>
        <v/>
      </c>
      <c r="AJ97" s="1" t="str">
        <f t="shared" si="23"/>
        <v/>
      </c>
      <c r="AK97" s="1" t="str">
        <f>IFERROR(IF(Lists!$B97="","",Lists!$E97),"")</f>
        <v/>
      </c>
      <c r="AL97" s="1" t="str">
        <f>IF(AND(OR('HR Quick View'!$L$10="All Shifts",AH97='HR Quick View'!$L$10),OR(AND('HR Quick View'!$I$10="Qualified only",AI97=3),AND('HR Quick View'!$I$10="All trained",AI97&gt;0))),IF('HR Quick View'!$L$10="All Shifts",COUNTIF($AI$4:$AI$203,"&gt;"&amp;AI97)+COUNTIF($AI$4:AI97,AI97),COUNTIFS($AI$4:$AI$203,"&gt;"&amp;AI97,$AH$4:$AH$203,'HR Quick View'!$L$10)+COUNTIFS($AI$4:AI97,AI97,$AH$4:AH97,'HR Quick View'!$L$10)),"")</f>
        <v/>
      </c>
      <c r="AP97" s="17" t="str">
        <f>IFERROR(IF(Lists!$J97="","",Lists!$J97),"")</f>
        <v>Security Case Documentation</v>
      </c>
      <c r="AQ97" s="17" t="str">
        <f>IFERROR(IF(Lists!$J97="","",Lists!$K97),"")</f>
        <v>Cybersecurity</v>
      </c>
      <c r="AR97" s="17" t="str">
        <f>IFERROR(IF(Lists!$J97="","",Lists!$L97),"")</f>
        <v>No</v>
      </c>
      <c r="AS97" s="17">
        <f>IFERROR(IF(Lists!$J97="","",Lists!$M97),0)</f>
        <v>3</v>
      </c>
      <c r="AT97" s="17">
        <f>IF(AP97="","",COUNTIF('Skills Matrix'!$CV$6:$CV$205,3))</f>
        <v>0</v>
      </c>
      <c r="AU97" s="17">
        <f>IF(AP97="","",COUNTIF('Skills Matrix'!$CV$6:$CV$205,2))</f>
        <v>0</v>
      </c>
      <c r="AV97" s="17">
        <f t="shared" si="24"/>
        <v>3</v>
      </c>
      <c r="AW97" s="17">
        <f>IF(OR(AP97="",AS97&lt;=0,AV97&lt;=0,AND('Skill Management'!$D$4&lt;&gt;"All Departments",AQ97&lt;&gt;'Skill Management'!$D$4)),"",IF(AT97=0,100000,0)+IF(AR97="Yes",10000,0)+AV97*100+AU97)</f>
        <v>100300</v>
      </c>
      <c r="AX97" s="17">
        <f>IF(AW97="","",COUNTIF($AW$4:$AW$106,"&gt;"&amp;AW97)+COUNTIF($AW$4:AW97,AW97))</f>
        <v>28</v>
      </c>
      <c r="AY97" s="17" t="str">
        <f>IFERROR(IF(Lists!$J97="","",Lists!$N97),"")</f>
        <v>Yes</v>
      </c>
      <c r="BA97" s="17" t="str">
        <f>IFERROR(IF('Training Plan'!$A98="","",'Training Plan'!$A98),"")</f>
        <v/>
      </c>
      <c r="BB97" s="17" t="str">
        <f>IFERROR(IF('Training Plan'!$A98="","",'Training Plan'!$B98),"")</f>
        <v/>
      </c>
      <c r="BC97" s="17" t="str">
        <f>IFERROR(IF('Training Plan'!$A98="","",'Training Plan'!$C98),"")</f>
        <v/>
      </c>
      <c r="BD97" s="17" t="str">
        <f>IFERROR(IF('Training Plan'!$A98="","",'Training Plan'!$D98),"")</f>
        <v/>
      </c>
      <c r="BE97" s="17" t="str">
        <f>IFERROR(IF('Training Plan'!$A98="","",'Training Plan'!$E98),"")</f>
        <v/>
      </c>
      <c r="BF97" s="17" t="str">
        <f>IFERROR(IF('Training Plan'!$A98="","",'Training Plan'!$F98),"")</f>
        <v/>
      </c>
      <c r="BG97" s="17" t="str">
        <f>IFERROR(IF('Training Plan'!$A98="","",'Training Plan'!$G98),"")</f>
        <v/>
      </c>
      <c r="BH97" s="17" t="str">
        <f>IFERROR(IF('Training Plan'!$A98="","",'Training Plan'!$H98),"")</f>
        <v/>
      </c>
      <c r="BI97" s="17" t="str">
        <f>IF(OR(BA97="",BF97="Complete",AND('Skill Management'!$D$4&lt;&gt;"All Departments",BB97&lt;&gt;'Skill Management'!$D$4)),"",IF(BF97="Blocked",100000,IF(BF97="In Progress",200000,300000))+IF(BE97="",99999,BE97))</f>
        <v/>
      </c>
      <c r="BJ97" s="17" t="str">
        <f>IF(BI97="","",COUNTIFS($BI$4:$BI$203,"&gt;0",$BI$4:$BI$203,"&lt;"&amp;BI97)+COUNTIF($BI$4:BI97,BI97))</f>
        <v/>
      </c>
      <c r="BT97" t="str">
        <f t="shared" si="25"/>
        <v>Security Case Documentation</v>
      </c>
      <c r="BU97" t="str">
        <f t="shared" si="26"/>
        <v>Cybersecurity</v>
      </c>
      <c r="BV97" t="str">
        <f>IF(BT97="","",IFERROR(INDEX('Skills Matrix'!$G$6:$DE$205,MATCH('Employee Transcript'!$C$4,'Skills Matrix'!$B$6:$B$205,0),MATCH(BT97,'Skills Matrix'!$G$5:$DE$5,0)),""))</f>
        <v/>
      </c>
      <c r="BW97" t="str">
        <f>IF(BT97="","",IFERROR(INDEX('Competency Event Log'!$E$4:$E$803,MATCH('Employee Transcript'!$C$4&amp;"|"&amp;BT97,'Competency Event Log'!$U$4:$U$803,0)),""))</f>
        <v/>
      </c>
      <c r="BX97" t="str">
        <f>IF(BT97="","",IF(BU97='Employee Transcript'!$B$7,"Home Department","Cross-Trained"))</f>
        <v>Cross-Trained</v>
      </c>
      <c r="BY97" t="str">
        <f t="shared" si="27"/>
        <v>No</v>
      </c>
      <c r="BZ97" t="str">
        <f>IF(BT97="","",IFERROR(INDEX('Competency Event Log'!$L$4:$L$803,MATCH('Employee Transcript'!$C$4&amp;"|"&amp;BT97,'Competency Event Log'!$U$4:$U$803,0)),""))</f>
        <v/>
      </c>
      <c r="CA97" t="str">
        <f>IF(N(BV97)&gt;0,COUNTIF($BV$4:BV97,"&gt;0"),"")</f>
        <v/>
      </c>
      <c r="CB97" t="str">
        <f>IF(AND('Competency Event Log'!$B97='Employee Transcript'!$C$4,'Competency Event Log'!$I97&lt;&gt;"Yes"),'Competency Event Log'!$K97,"")</f>
        <v/>
      </c>
      <c r="CC97" t="str">
        <f t="shared" si="28"/>
        <v/>
      </c>
      <c r="CD97" t="str">
        <f>IF(Certifications!$A97='Employee Transcript'!$C$4,97,"")</f>
        <v/>
      </c>
      <c r="CE97" t="str">
        <f>IF(CD97="","",COUNTIF($CD$4:CD97,"&gt;0"))</f>
        <v/>
      </c>
      <c r="CF97" t="str">
        <f>IF(AND('Training Plan'!$A98='Employee Transcript'!$C$4,'Training Plan'!$F98&lt;&gt;"Complete"),98,"")</f>
        <v/>
      </c>
      <c r="CG97" t="str">
        <f>IF(CF97="","",COUNTIF($CF$4:CF97,"&gt;0"))</f>
        <v/>
      </c>
    </row>
    <row r="98" spans="1:85">
      <c r="A98" s="2"/>
      <c r="B98" s="1"/>
      <c r="C98" s="1"/>
      <c r="D98" s="1"/>
      <c r="E98" s="1"/>
      <c r="F98" s="3"/>
      <c r="G98" s="1"/>
      <c r="H98" s="4"/>
      <c r="I98" s="1" t="s">
        <v>1033</v>
      </c>
      <c r="J98" s="1" t="s">
        <v>1031</v>
      </c>
      <c r="K98" s="1" t="s">
        <v>311</v>
      </c>
      <c r="L98" s="1" t="s">
        <v>411</v>
      </c>
      <c r="M98" s="1">
        <v>3</v>
      </c>
      <c r="N98" s="1" t="s">
        <v>27</v>
      </c>
      <c r="P98" s="1" t="s">
        <v>1031</v>
      </c>
      <c r="Q98" s="1" t="s">
        <v>311</v>
      </c>
      <c r="R98" s="1">
        <v>0</v>
      </c>
      <c r="S98" s="1">
        <f>COUNTIF('Skills Matrix'!$CW$6:$CW$205,3)</f>
        <v>1</v>
      </c>
      <c r="T98" s="1">
        <f t="shared" si="19"/>
        <v>0</v>
      </c>
      <c r="U98" s="1" t="str">
        <f>IF(AND(T98&gt;0,OR('HR Quick View'!$F$24="All Departments",Q98='HR Quick View'!$F$24)),COUNTIFS($T$4:$T$108,"&gt;"&amp;T98,$Q$4:$Q$108,IF('HR Quick View'!$F$24="All Departments","*",'HR Quick View'!$F$24))+COUNTIFS($T$4:T98,T98,$Q$4:Q98,IF('HR Quick View'!$F$24="All Departments","*",'HR Quick View'!$F$24)),"")</f>
        <v/>
      </c>
      <c r="W98" s="1" t="s">
        <v>1031</v>
      </c>
      <c r="X98" s="1" t="s">
        <v>311</v>
      </c>
      <c r="Y98" s="1" t="s">
        <v>411</v>
      </c>
      <c r="Z98" s="1" t="str">
        <f>IF('HR Quick View'!$C$9="","",IF(COUNTIFS('Competency Event Log'!$B$4:$B$803,'HR Quick View'!$C$9,'Competency Event Log'!$C$4:$C$803,W98,'Competency Event Log'!$T$4:$T$803,"Current")=0,"",SUMIFS('Competency Event Log'!$D$4:$D$803,'Competency Event Log'!$B$4:$B$803,'HR Quick View'!$C$9,'Competency Event Log'!$C$4:$C$803,W98,'Competency Event Log'!$T$4:$T$803,"Current")))</f>
        <v/>
      </c>
      <c r="AA98" s="1" t="str">
        <f>IF($Z98="","",IF('HR Quick View'!$B$10="Qualified only",IF($Z98=3,COUNTIF($Z$4:$Z98,3),""),IF('HR Quick View'!$B$10="Developing only",IF(OR($Z98=1,$Z98=2),COUNTIF($Z$4:$Z$108,"&gt;"&amp;$Z98)+COUNTIF($Z$4:$Z98,$Z98)-COUNTIF($Z$4:$Z$108,3),""),IF('HR Quick View'!$B$10="All scored",COUNTIF($Z$4:$Z$108,"&gt;"&amp;$Z98)+COUNTIF($Z$4:$Z98,$Z98),""))))</f>
        <v/>
      </c>
      <c r="AB98" s="1" t="str">
        <f>""</f>
        <v/>
      </c>
      <c r="AC98" s="1">
        <f t="shared" si="20"/>
        <v>0</v>
      </c>
      <c r="AD98" s="1">
        <f t="shared" si="21"/>
        <v>1</v>
      </c>
      <c r="AE98" s="1">
        <f t="shared" si="22"/>
        <v>0</v>
      </c>
      <c r="AF98" s="1" t="str">
        <f>IFERROR(IF(Lists!$B98="","",Lists!$B98),"")</f>
        <v/>
      </c>
      <c r="AG98" s="1" t="str">
        <f>IFERROR(IF(Lists!$B98="","",Lists!$C98),"")</f>
        <v/>
      </c>
      <c r="AH98" s="1" t="str">
        <f>IFERROR(IF(Lists!$B98="","",Lists!$D98),"")</f>
        <v/>
      </c>
      <c r="AI98" s="1" t="str">
        <f>IF(AF98="","",IFERROR(INDEX('Skills Matrix'!$G$6:$DE$205,MATCH(AF98,'Skills Matrix'!$B$6:$B$205,0),MATCH('HR Quick View'!$J$9,'Skills Matrix'!$G$5:$DE$5,0)),""))</f>
        <v/>
      </c>
      <c r="AJ98" s="1" t="str">
        <f t="shared" si="23"/>
        <v/>
      </c>
      <c r="AK98" s="1" t="str">
        <f>IFERROR(IF(Lists!$B98="","",Lists!$E98),"")</f>
        <v/>
      </c>
      <c r="AL98" s="1" t="str">
        <f>IF(AND(OR('HR Quick View'!$L$10="All Shifts",AH98='HR Quick View'!$L$10),OR(AND('HR Quick View'!$I$10="Qualified only",AI98=3),AND('HR Quick View'!$I$10="All trained",AI98&gt;0))),IF('HR Quick View'!$L$10="All Shifts",COUNTIF($AI$4:$AI$203,"&gt;"&amp;AI98)+COUNTIF($AI$4:AI98,AI98),COUNTIFS($AI$4:$AI$203,"&gt;"&amp;AI98,$AH$4:$AH$203,'HR Quick View'!$L$10)+COUNTIFS($AI$4:AI98,AI98,$AH$4:AH98,'HR Quick View'!$L$10)),"")</f>
        <v/>
      </c>
      <c r="AP98" s="17" t="str">
        <f>IFERROR(IF(Lists!$J98="","",Lists!$J98),"")</f>
        <v>Cloud Security Monitoring</v>
      </c>
      <c r="AQ98" s="17" t="str">
        <f>IFERROR(IF(Lists!$J98="","",Lists!$K98),"")</f>
        <v>Cybersecurity</v>
      </c>
      <c r="AR98" s="17" t="str">
        <f>IFERROR(IF(Lists!$J98="","",Lists!$L98),"")</f>
        <v>No</v>
      </c>
      <c r="AS98" s="17">
        <f>IFERROR(IF(Lists!$J98="","",Lists!$M98),0)</f>
        <v>3</v>
      </c>
      <c r="AT98" s="17">
        <f>IF(AP98="","",COUNTIF('Skills Matrix'!$CW$6:$CW$205,3))</f>
        <v>1</v>
      </c>
      <c r="AU98" s="17">
        <f>IF(AP98="","",COUNTIF('Skills Matrix'!$CW$6:$CW$205,2))</f>
        <v>0</v>
      </c>
      <c r="AV98" s="17">
        <f t="shared" si="24"/>
        <v>2</v>
      </c>
      <c r="AW98" s="17">
        <f>IF(OR(AP98="",AS98&lt;=0,AV98&lt;=0,AND('Skill Management'!$D$4&lt;&gt;"All Departments",AQ98&lt;&gt;'Skill Management'!$D$4)),"",IF(AT98=0,100000,0)+IF(AR98="Yes",10000,0)+AV98*100+AU98)</f>
        <v>200</v>
      </c>
      <c r="AX98" s="17">
        <f>IF(AW98="","",COUNTIF($AW$4:$AW$106,"&gt;"&amp;AW98)+COUNTIF($AW$4:AW98,AW98))</f>
        <v>77</v>
      </c>
      <c r="AY98" s="17" t="str">
        <f>IFERROR(IF(Lists!$J98="","",Lists!$N98),"")</f>
        <v>Yes</v>
      </c>
      <c r="BA98" s="17" t="str">
        <f>IFERROR(IF('Training Plan'!$A99="","",'Training Plan'!$A99),"")</f>
        <v/>
      </c>
      <c r="BB98" s="17" t="str">
        <f>IFERROR(IF('Training Plan'!$A99="","",'Training Plan'!$B99),"")</f>
        <v/>
      </c>
      <c r="BC98" s="17" t="str">
        <f>IFERROR(IF('Training Plan'!$A99="","",'Training Plan'!$C99),"")</f>
        <v/>
      </c>
      <c r="BD98" s="17" t="str">
        <f>IFERROR(IF('Training Plan'!$A99="","",'Training Plan'!$D99),"")</f>
        <v/>
      </c>
      <c r="BE98" s="17" t="str">
        <f>IFERROR(IF('Training Plan'!$A99="","",'Training Plan'!$E99),"")</f>
        <v/>
      </c>
      <c r="BF98" s="17" t="str">
        <f>IFERROR(IF('Training Plan'!$A99="","",'Training Plan'!$F99),"")</f>
        <v/>
      </c>
      <c r="BG98" s="17" t="str">
        <f>IFERROR(IF('Training Plan'!$A99="","",'Training Plan'!$G99),"")</f>
        <v/>
      </c>
      <c r="BH98" s="17" t="str">
        <f>IFERROR(IF('Training Plan'!$A99="","",'Training Plan'!$H99),"")</f>
        <v/>
      </c>
      <c r="BI98" s="17" t="str">
        <f>IF(OR(BA98="",BF98="Complete",AND('Skill Management'!$D$4&lt;&gt;"All Departments",BB98&lt;&gt;'Skill Management'!$D$4)),"",IF(BF98="Blocked",100000,IF(BF98="In Progress",200000,300000))+IF(BE98="",99999,BE98))</f>
        <v/>
      </c>
      <c r="BJ98" s="17" t="str">
        <f>IF(BI98="","",COUNTIFS($BI$4:$BI$203,"&gt;0",$BI$4:$BI$203,"&lt;"&amp;BI98)+COUNTIF($BI$4:BI98,BI98))</f>
        <v/>
      </c>
      <c r="BT98" t="str">
        <f t="shared" si="25"/>
        <v>Cloud Security Monitoring</v>
      </c>
      <c r="BU98" t="str">
        <f t="shared" si="26"/>
        <v>Cybersecurity</v>
      </c>
      <c r="BV98" t="str">
        <f>IF(BT98="","",IFERROR(INDEX('Skills Matrix'!$G$6:$DE$205,MATCH('Employee Transcript'!$C$4,'Skills Matrix'!$B$6:$B$205,0),MATCH(BT98,'Skills Matrix'!$G$5:$DE$5,0)),""))</f>
        <v/>
      </c>
      <c r="BW98" t="str">
        <f>IF(BT98="","",IFERROR(INDEX('Competency Event Log'!$E$4:$E$803,MATCH('Employee Transcript'!$C$4&amp;"|"&amp;BT98,'Competency Event Log'!$U$4:$U$803,0)),""))</f>
        <v/>
      </c>
      <c r="BX98" t="str">
        <f>IF(BT98="","",IF(BU98='Employee Transcript'!$B$7,"Home Department","Cross-Trained"))</f>
        <v>Cross-Trained</v>
      </c>
      <c r="BY98" t="str">
        <f t="shared" si="27"/>
        <v>No</v>
      </c>
      <c r="BZ98" t="str">
        <f>IF(BT98="","",IFERROR(INDEX('Competency Event Log'!$L$4:$L$803,MATCH('Employee Transcript'!$C$4&amp;"|"&amp;BT98,'Competency Event Log'!$U$4:$U$803,0)),""))</f>
        <v/>
      </c>
      <c r="CA98" t="str">
        <f>IF(N(BV98)&gt;0,COUNTIF($BV$4:BV98,"&gt;0"),"")</f>
        <v/>
      </c>
      <c r="CB98" t="str">
        <f>IF(AND('Competency Event Log'!$B98='Employee Transcript'!$C$4,'Competency Event Log'!$I98&lt;&gt;"Yes"),'Competency Event Log'!$K98,"")</f>
        <v/>
      </c>
      <c r="CC98" t="str">
        <f t="shared" si="28"/>
        <v/>
      </c>
      <c r="CD98" t="str">
        <f>IF(Certifications!$A98='Employee Transcript'!$C$4,98,"")</f>
        <v/>
      </c>
      <c r="CE98" t="str">
        <f>IF(CD98="","",COUNTIF($CD$4:CD98,"&gt;0"))</f>
        <v/>
      </c>
      <c r="CF98" t="str">
        <f>IF(AND('Training Plan'!$A99='Employee Transcript'!$C$4,'Training Plan'!$F99&lt;&gt;"Complete"),99,"")</f>
        <v/>
      </c>
      <c r="CG98" t="str">
        <f>IF(CF98="","",COUNTIF($CF$4:CF98,"&gt;0"))</f>
        <v/>
      </c>
    </row>
    <row r="99" spans="1:85">
      <c r="A99" s="2"/>
      <c r="B99" s="1"/>
      <c r="C99" s="1"/>
      <c r="D99" s="1"/>
      <c r="E99" s="1"/>
      <c r="F99" s="3"/>
      <c r="G99" s="1"/>
      <c r="H99" s="4"/>
      <c r="I99" s="1" t="s">
        <v>1277</v>
      </c>
      <c r="J99" s="1" t="s">
        <v>1200</v>
      </c>
      <c r="K99" s="1" t="s">
        <v>311</v>
      </c>
      <c r="L99" s="1" t="s">
        <v>411</v>
      </c>
      <c r="M99" s="1">
        <v>4</v>
      </c>
      <c r="N99" s="1" t="s">
        <v>27</v>
      </c>
      <c r="P99" s="1" t="s">
        <v>1200</v>
      </c>
      <c r="Q99" s="1" t="s">
        <v>311</v>
      </c>
      <c r="R99" s="1">
        <v>0</v>
      </c>
      <c r="S99" s="1">
        <f>COUNTIF('Skills Matrix'!$CX$6:$CX$205,3)</f>
        <v>0</v>
      </c>
      <c r="T99" s="1">
        <f t="shared" si="19"/>
        <v>0</v>
      </c>
      <c r="U99" s="1" t="str">
        <f>IF(AND(T99&gt;0,OR('HR Quick View'!$F$24="All Departments",Q99='HR Quick View'!$F$24)),COUNTIFS($T$4:$T$108,"&gt;"&amp;T99,$Q$4:$Q$108,IF('HR Quick View'!$F$24="All Departments","*",'HR Quick View'!$F$24))+COUNTIFS($T$4:T99,T99,$Q$4:Q99,IF('HR Quick View'!$F$24="All Departments","*",'HR Quick View'!$F$24)),"")</f>
        <v/>
      </c>
      <c r="W99" s="1" t="s">
        <v>1200</v>
      </c>
      <c r="X99" s="1" t="s">
        <v>311</v>
      </c>
      <c r="Y99" s="1" t="s">
        <v>411</v>
      </c>
      <c r="Z99" s="1" t="str">
        <f>IF('HR Quick View'!$C$9="","",IF(COUNTIFS('Competency Event Log'!$B$4:$B$803,'HR Quick View'!$C$9,'Competency Event Log'!$C$4:$C$803,W99,'Competency Event Log'!$T$4:$T$803,"Current")=0,"",SUMIFS('Competency Event Log'!$D$4:$D$803,'Competency Event Log'!$B$4:$B$803,'HR Quick View'!$C$9,'Competency Event Log'!$C$4:$C$803,W99,'Competency Event Log'!$T$4:$T$803,"Current")))</f>
        <v/>
      </c>
      <c r="AA99" s="1" t="str">
        <f>IF($Z99="","",IF('HR Quick View'!$B$10="Qualified only",IF($Z99=3,COUNTIF($Z$4:$Z99,3),""),IF('HR Quick View'!$B$10="Developing only",IF(OR($Z99=1,$Z99=2),COUNTIF($Z$4:$Z$108,"&gt;"&amp;$Z99)+COUNTIF($Z$4:$Z99,$Z99)-COUNTIF($Z$4:$Z$108,3),""),IF('HR Quick View'!$B$10="All scored",COUNTIF($Z$4:$Z$108,"&gt;"&amp;$Z99)+COUNTIF($Z$4:$Z99,$Z99),""))))</f>
        <v/>
      </c>
      <c r="AB99" s="1" t="str">
        <f>""</f>
        <v/>
      </c>
      <c r="AC99" s="1">
        <f t="shared" si="20"/>
        <v>0</v>
      </c>
      <c r="AD99" s="1">
        <f t="shared" si="21"/>
        <v>0</v>
      </c>
      <c r="AE99" s="1">
        <f t="shared" si="22"/>
        <v>0</v>
      </c>
      <c r="AF99" s="1" t="str">
        <f>IFERROR(IF(Lists!$B99="","",Lists!$B99),"")</f>
        <v/>
      </c>
      <c r="AG99" s="1" t="str">
        <f>IFERROR(IF(Lists!$B99="","",Lists!$C99),"")</f>
        <v/>
      </c>
      <c r="AH99" s="1" t="str">
        <f>IFERROR(IF(Lists!$B99="","",Lists!$D99),"")</f>
        <v/>
      </c>
      <c r="AI99" s="1" t="str">
        <f>IF(AF99="","",IFERROR(INDEX('Skills Matrix'!$G$6:$DE$205,MATCH(AF99,'Skills Matrix'!$B$6:$B$205,0),MATCH('HR Quick View'!$J$9,'Skills Matrix'!$G$5:$DE$5,0)),""))</f>
        <v/>
      </c>
      <c r="AJ99" s="1" t="str">
        <f t="shared" si="23"/>
        <v/>
      </c>
      <c r="AK99" s="1" t="str">
        <f>IFERROR(IF(Lists!$B99="","",Lists!$E99),"")</f>
        <v/>
      </c>
      <c r="AL99" s="1" t="str">
        <f>IF(AND(OR('HR Quick View'!$L$10="All Shifts",AH99='HR Quick View'!$L$10),OR(AND('HR Quick View'!$I$10="Qualified only",AI99=3),AND('HR Quick View'!$I$10="All trained",AI99&gt;0))),IF('HR Quick View'!$L$10="All Shifts",COUNTIF($AI$4:$AI$203,"&gt;"&amp;AI99)+COUNTIF($AI$4:AI99,AI99),COUNTIFS($AI$4:$AI$203,"&gt;"&amp;AI99,$AH$4:$AH$203,'HR Quick View'!$L$10)+COUNTIFS($AI$4:AI99,AI99,$AH$4:AH99,'HR Quick View'!$L$10)),"")</f>
        <v/>
      </c>
      <c r="AP99" s="17" t="str">
        <f>IFERROR(IF(Lists!$J99="","",Lists!$J99),"")</f>
        <v>Network Security Monitoring</v>
      </c>
      <c r="AQ99" s="17" t="str">
        <f>IFERROR(IF(Lists!$J99="","",Lists!$K99),"")</f>
        <v>Cybersecurity</v>
      </c>
      <c r="AR99" s="17" t="str">
        <f>IFERROR(IF(Lists!$J99="","",Lists!$L99),"")</f>
        <v>No</v>
      </c>
      <c r="AS99" s="17">
        <f>IFERROR(IF(Lists!$J99="","",Lists!$M99),0)</f>
        <v>4</v>
      </c>
      <c r="AT99" s="17">
        <f>IF(AP99="","",COUNTIF('Skills Matrix'!$CX$6:$CX$205,3))</f>
        <v>0</v>
      </c>
      <c r="AU99" s="17">
        <f>IF(AP99="","",COUNTIF('Skills Matrix'!$CX$6:$CX$205,2))</f>
        <v>0</v>
      </c>
      <c r="AV99" s="17">
        <f t="shared" si="24"/>
        <v>4</v>
      </c>
      <c r="AW99" s="17">
        <f>IF(OR(AP99="",AS99&lt;=0,AV99&lt;=0,AND('Skill Management'!$D$4&lt;&gt;"All Departments",AQ99&lt;&gt;'Skill Management'!$D$4)),"",IF(AT99=0,100000,0)+IF(AR99="Yes",10000,0)+AV99*100+AU99)</f>
        <v>100400</v>
      </c>
      <c r="AX99" s="17">
        <f>IF(AW99="","",COUNTIF($AW$4:$AW$106,"&gt;"&amp;AW99)+COUNTIF($AW$4:AW99,AW99))</f>
        <v>18</v>
      </c>
      <c r="AY99" s="17" t="str">
        <f>IFERROR(IF(Lists!$J99="","",Lists!$N99),"")</f>
        <v>Yes</v>
      </c>
      <c r="BA99" s="17" t="str">
        <f>IFERROR(IF('Training Plan'!$A100="","",'Training Plan'!$A100),"")</f>
        <v/>
      </c>
      <c r="BB99" s="17" t="str">
        <f>IFERROR(IF('Training Plan'!$A100="","",'Training Plan'!$B100),"")</f>
        <v/>
      </c>
      <c r="BC99" s="17" t="str">
        <f>IFERROR(IF('Training Plan'!$A100="","",'Training Plan'!$C100),"")</f>
        <v/>
      </c>
      <c r="BD99" s="17" t="str">
        <f>IFERROR(IF('Training Plan'!$A100="","",'Training Plan'!$D100),"")</f>
        <v/>
      </c>
      <c r="BE99" s="17" t="str">
        <f>IFERROR(IF('Training Plan'!$A100="","",'Training Plan'!$E100),"")</f>
        <v/>
      </c>
      <c r="BF99" s="17" t="str">
        <f>IFERROR(IF('Training Plan'!$A100="","",'Training Plan'!$F100),"")</f>
        <v/>
      </c>
      <c r="BG99" s="17" t="str">
        <f>IFERROR(IF('Training Plan'!$A100="","",'Training Plan'!$G100),"")</f>
        <v/>
      </c>
      <c r="BH99" s="17" t="str">
        <f>IFERROR(IF('Training Plan'!$A100="","",'Training Plan'!$H100),"")</f>
        <v/>
      </c>
      <c r="BI99" s="17" t="str">
        <f>IF(OR(BA99="",BF99="Complete",AND('Skill Management'!$D$4&lt;&gt;"All Departments",BB99&lt;&gt;'Skill Management'!$D$4)),"",IF(BF99="Blocked",100000,IF(BF99="In Progress",200000,300000))+IF(BE99="",99999,BE99))</f>
        <v/>
      </c>
      <c r="BJ99" s="17" t="str">
        <f>IF(BI99="","",COUNTIFS($BI$4:$BI$203,"&gt;0",$BI$4:$BI$203,"&lt;"&amp;BI99)+COUNTIF($BI$4:BI99,BI99))</f>
        <v/>
      </c>
      <c r="BT99" t="str">
        <f t="shared" si="25"/>
        <v>Network Security Monitoring</v>
      </c>
      <c r="BU99" t="str">
        <f t="shared" si="26"/>
        <v>Cybersecurity</v>
      </c>
      <c r="BV99" t="str">
        <f>IF(BT99="","",IFERROR(INDEX('Skills Matrix'!$G$6:$DE$205,MATCH('Employee Transcript'!$C$4,'Skills Matrix'!$B$6:$B$205,0),MATCH(BT99,'Skills Matrix'!$G$5:$DE$5,0)),""))</f>
        <v/>
      </c>
      <c r="BW99" t="str">
        <f>IF(BT99="","",IFERROR(INDEX('Competency Event Log'!$E$4:$E$803,MATCH('Employee Transcript'!$C$4&amp;"|"&amp;BT99,'Competency Event Log'!$U$4:$U$803,0)),""))</f>
        <v/>
      </c>
      <c r="BX99" t="str">
        <f>IF(BT99="","",IF(BU99='Employee Transcript'!$B$7,"Home Department","Cross-Trained"))</f>
        <v>Cross-Trained</v>
      </c>
      <c r="BY99" t="str">
        <f t="shared" si="27"/>
        <v>No</v>
      </c>
      <c r="BZ99" t="str">
        <f>IF(BT99="","",IFERROR(INDEX('Competency Event Log'!$L$4:$L$803,MATCH('Employee Transcript'!$C$4&amp;"|"&amp;BT99,'Competency Event Log'!$U$4:$U$803,0)),""))</f>
        <v/>
      </c>
      <c r="CA99" t="str">
        <f>IF(N(BV99)&gt;0,COUNTIF($BV$4:BV99,"&gt;0"),"")</f>
        <v/>
      </c>
      <c r="CB99" t="str">
        <f>IF(AND('Competency Event Log'!$B99='Employee Transcript'!$C$4,'Competency Event Log'!$I99&lt;&gt;"Yes"),'Competency Event Log'!$K99,"")</f>
        <v/>
      </c>
      <c r="CC99" t="str">
        <f t="shared" si="28"/>
        <v/>
      </c>
      <c r="CD99" t="str">
        <f>IF(Certifications!$A99='Employee Transcript'!$C$4,99,"")</f>
        <v/>
      </c>
      <c r="CE99" t="str">
        <f>IF(CD99="","",COUNTIF($CD$4:CD99,"&gt;0"))</f>
        <v/>
      </c>
      <c r="CF99" t="str">
        <f>IF(AND('Training Plan'!$A100='Employee Transcript'!$C$4,'Training Plan'!$F100&lt;&gt;"Complete"),100,"")</f>
        <v/>
      </c>
      <c r="CG99" t="str">
        <f>IF(CF99="","",COUNTIF($CF$4:CF99,"&gt;0"))</f>
        <v/>
      </c>
    </row>
    <row r="100" spans="1:85">
      <c r="A100" s="2"/>
      <c r="B100" s="1"/>
      <c r="C100" s="1"/>
      <c r="D100" s="1"/>
      <c r="E100" s="1"/>
      <c r="F100" s="3"/>
      <c r="G100" s="1"/>
      <c r="H100" s="4"/>
      <c r="I100" s="1" t="s">
        <v>735</v>
      </c>
      <c r="J100" s="1" t="s">
        <v>733</v>
      </c>
      <c r="K100" s="1" t="s">
        <v>311</v>
      </c>
      <c r="L100" s="1" t="s">
        <v>411</v>
      </c>
      <c r="M100" s="1">
        <v>4</v>
      </c>
      <c r="N100" s="1" t="s">
        <v>27</v>
      </c>
      <c r="P100" s="1" t="s">
        <v>733</v>
      </c>
      <c r="Q100" s="1" t="s">
        <v>311</v>
      </c>
      <c r="R100" s="1">
        <v>0</v>
      </c>
      <c r="S100" s="1">
        <f>COUNTIF('Skills Matrix'!$CY$6:$CY$205,3)</f>
        <v>1</v>
      </c>
      <c r="T100" s="1">
        <f t="shared" ref="T100:T131" si="29">MAX(0,R100-S100)</f>
        <v>0</v>
      </c>
      <c r="U100" s="1" t="str">
        <f>IF(AND(T100&gt;0,OR('HR Quick View'!$F$24="All Departments",Q100='HR Quick View'!$F$24)),COUNTIFS($T$4:$T$108,"&gt;"&amp;T100,$Q$4:$Q$108,IF('HR Quick View'!$F$24="All Departments","*",'HR Quick View'!$F$24))+COUNTIFS($T$4:T100,T100,$Q$4:Q100,IF('HR Quick View'!$F$24="All Departments","*",'HR Quick View'!$F$24)),"")</f>
        <v/>
      </c>
      <c r="W100" s="1" t="s">
        <v>733</v>
      </c>
      <c r="X100" s="1" t="s">
        <v>311</v>
      </c>
      <c r="Y100" s="1" t="s">
        <v>411</v>
      </c>
      <c r="Z100" s="1" t="str">
        <f>IF('HR Quick View'!$C$9="","",IF(COUNTIFS('Competency Event Log'!$B$4:$B$803,'HR Quick View'!$C$9,'Competency Event Log'!$C$4:$C$803,W100,'Competency Event Log'!$T$4:$T$803,"Current")=0,"",SUMIFS('Competency Event Log'!$D$4:$D$803,'Competency Event Log'!$B$4:$B$803,'HR Quick View'!$C$9,'Competency Event Log'!$C$4:$C$803,W100,'Competency Event Log'!$T$4:$T$803,"Current")))</f>
        <v/>
      </c>
      <c r="AA100" s="1" t="str">
        <f>IF($Z100="","",IF('HR Quick View'!$B$10="Qualified only",IF($Z100=3,COUNTIF($Z$4:$Z100,3),""),IF('HR Quick View'!$B$10="Developing only",IF(OR($Z100=1,$Z100=2),COUNTIF($Z$4:$Z$108,"&gt;"&amp;$Z100)+COUNTIF($Z$4:$Z100,$Z100)-COUNTIF($Z$4:$Z$108,3),""),IF('HR Quick View'!$B$10="All scored",COUNTIF($Z$4:$Z$108,"&gt;"&amp;$Z100)+COUNTIF($Z$4:$Z100,$Z100),""))))</f>
        <v/>
      </c>
      <c r="AB100" s="1" t="str">
        <f>""</f>
        <v/>
      </c>
      <c r="AC100" s="1">
        <f t="shared" ref="AC100:AC106" si="30">R100</f>
        <v>0</v>
      </c>
      <c r="AD100" s="1">
        <f t="shared" ref="AD100:AD106" si="31">S100</f>
        <v>1</v>
      </c>
      <c r="AE100" s="1">
        <f t="shared" ref="AE100:AE106" si="32">T100</f>
        <v>0</v>
      </c>
      <c r="AF100" s="1" t="str">
        <f>IFERROR(IF(Lists!$B100="","",Lists!$B100),"")</f>
        <v/>
      </c>
      <c r="AG100" s="1" t="str">
        <f>IFERROR(IF(Lists!$B100="","",Lists!$C100),"")</f>
        <v/>
      </c>
      <c r="AH100" s="1" t="str">
        <f>IFERROR(IF(Lists!$B100="","",Lists!$D100),"")</f>
        <v/>
      </c>
      <c r="AI100" s="1" t="str">
        <f>IF(AF100="","",IFERROR(INDEX('Skills Matrix'!$G$6:$DE$205,MATCH(AF100,'Skills Matrix'!$B$6:$B$205,0),MATCH('HR Quick View'!$J$9,'Skills Matrix'!$G$5:$DE$5,0)),""))</f>
        <v/>
      </c>
      <c r="AJ100" s="1" t="str">
        <f t="shared" ref="AJ100:AJ131" si="33">IF(AI100=3,"Qualified",IF(AI100=2,"Developing",IF(AI100=1,"Needs Training","")))</f>
        <v/>
      </c>
      <c r="AK100" s="1" t="str">
        <f>IFERROR(IF(Lists!$B100="","",Lists!$E100),"")</f>
        <v/>
      </c>
      <c r="AL100" s="1" t="str">
        <f>IF(AND(OR('HR Quick View'!$L$10="All Shifts",AH100='HR Quick View'!$L$10),OR(AND('HR Quick View'!$I$10="Qualified only",AI100=3),AND('HR Quick View'!$I$10="All trained",AI100&gt;0))),IF('HR Quick View'!$L$10="All Shifts",COUNTIF($AI$4:$AI$203,"&gt;"&amp;AI100)+COUNTIF($AI$4:AI100,AI100),COUNTIFS($AI$4:$AI$203,"&gt;"&amp;AI100,$AH$4:$AH$203,'HR Quick View'!$L$10)+COUNTIFS($AI$4:AI100,AI100,$AH$4:AH100,'HR Quick View'!$L$10)),"")</f>
        <v/>
      </c>
      <c r="AP100" s="17" t="str">
        <f>IFERROR(IF(Lists!$J100="","",Lists!$J100),"")</f>
        <v>Web Application Security Review</v>
      </c>
      <c r="AQ100" s="17" t="str">
        <f>IFERROR(IF(Lists!$J100="","",Lists!$K100),"")</f>
        <v>Cybersecurity</v>
      </c>
      <c r="AR100" s="17" t="str">
        <f>IFERROR(IF(Lists!$J100="","",Lists!$L100),"")</f>
        <v>No</v>
      </c>
      <c r="AS100" s="17">
        <f>IFERROR(IF(Lists!$J100="","",Lists!$M100),0)</f>
        <v>4</v>
      </c>
      <c r="AT100" s="17">
        <f>IF(AP100="","",COUNTIF('Skills Matrix'!$CY$6:$CY$205,3))</f>
        <v>1</v>
      </c>
      <c r="AU100" s="17">
        <f>IF(AP100="","",COUNTIF('Skills Matrix'!$CY$6:$CY$205,2))</f>
        <v>0</v>
      </c>
      <c r="AV100" s="17">
        <f t="shared" ref="AV100:AV106" si="34">IF(OR(AP100="",AS100&lt;=0),"",MAX(0,AS100-AT100))</f>
        <v>3</v>
      </c>
      <c r="AW100" s="17">
        <f>IF(OR(AP100="",AS100&lt;=0,AV100&lt;=0,AND('Skill Management'!$D$4&lt;&gt;"All Departments",AQ100&lt;&gt;'Skill Management'!$D$4)),"",IF(AT100=0,100000,0)+IF(AR100="Yes",10000,0)+AV100*100+AU100)</f>
        <v>300</v>
      </c>
      <c r="AX100" s="17">
        <f>IF(AW100="","",COUNTIF($AW$4:$AW$106,"&gt;"&amp;AW100)+COUNTIF($AW$4:AW100,AW100))</f>
        <v>69</v>
      </c>
      <c r="AY100" s="17" t="str">
        <f>IFERROR(IF(Lists!$J100="","",Lists!$N100),"")</f>
        <v>Yes</v>
      </c>
      <c r="BA100" s="17" t="str">
        <f>IFERROR(IF('Training Plan'!$A101="","",'Training Plan'!$A101),"")</f>
        <v/>
      </c>
      <c r="BB100" s="17" t="str">
        <f>IFERROR(IF('Training Plan'!$A101="","",'Training Plan'!$B101),"")</f>
        <v/>
      </c>
      <c r="BC100" s="17" t="str">
        <f>IFERROR(IF('Training Plan'!$A101="","",'Training Plan'!$C101),"")</f>
        <v/>
      </c>
      <c r="BD100" s="17" t="str">
        <f>IFERROR(IF('Training Plan'!$A101="","",'Training Plan'!$D101),"")</f>
        <v/>
      </c>
      <c r="BE100" s="17" t="str">
        <f>IFERROR(IF('Training Plan'!$A101="","",'Training Plan'!$E101),"")</f>
        <v/>
      </c>
      <c r="BF100" s="17" t="str">
        <f>IFERROR(IF('Training Plan'!$A101="","",'Training Plan'!$F101),"")</f>
        <v/>
      </c>
      <c r="BG100" s="17" t="str">
        <f>IFERROR(IF('Training Plan'!$A101="","",'Training Plan'!$G101),"")</f>
        <v/>
      </c>
      <c r="BH100" s="17" t="str">
        <f>IFERROR(IF('Training Plan'!$A101="","",'Training Plan'!$H101),"")</f>
        <v/>
      </c>
      <c r="BI100" s="17" t="str">
        <f>IF(OR(BA100="",BF100="Complete",AND('Skill Management'!$D$4&lt;&gt;"All Departments",BB100&lt;&gt;'Skill Management'!$D$4)),"",IF(BF100="Blocked",100000,IF(BF100="In Progress",200000,300000))+IF(BE100="",99999,BE100))</f>
        <v/>
      </c>
      <c r="BJ100" s="17" t="str">
        <f>IF(BI100="","",COUNTIFS($BI$4:$BI$203,"&gt;0",$BI$4:$BI$203,"&lt;"&amp;BI100)+COUNTIF($BI$4:BI100,BI100))</f>
        <v/>
      </c>
      <c r="BT100" t="str">
        <f t="shared" ref="BT100:BT108" si="35">IF($J100="","",$J100)</f>
        <v>Web Application Security Review</v>
      </c>
      <c r="BU100" t="str">
        <f t="shared" ref="BU100:BU131" si="36">IF(BT100="","",$K100)</f>
        <v>Cybersecurity</v>
      </c>
      <c r="BV100" t="str">
        <f>IF(BT100="","",IFERROR(INDEX('Skills Matrix'!$G$6:$DE$205,MATCH('Employee Transcript'!$C$4,'Skills Matrix'!$B$6:$B$205,0),MATCH(BT100,'Skills Matrix'!$G$5:$DE$5,0)),""))</f>
        <v/>
      </c>
      <c r="BW100" t="str">
        <f>IF(BT100="","",IFERROR(INDEX('Competency Event Log'!$E$4:$E$803,MATCH('Employee Transcript'!$C$4&amp;"|"&amp;BT100,'Competency Event Log'!$U$4:$U$803,0)),""))</f>
        <v/>
      </c>
      <c r="BX100" t="str">
        <f>IF(BT100="","",IF(BU100='Employee Transcript'!$B$7,"Home Department","Cross-Trained"))</f>
        <v>Cross-Trained</v>
      </c>
      <c r="BY100" t="str">
        <f t="shared" ref="BY100:BY108" si="37">IF(BT100="","",$L100)</f>
        <v>No</v>
      </c>
      <c r="BZ100" t="str">
        <f>IF(BT100="","",IFERROR(INDEX('Competency Event Log'!$L$4:$L$803,MATCH('Employee Transcript'!$C$4&amp;"|"&amp;BT100,'Competency Event Log'!$U$4:$U$803,0)),""))</f>
        <v/>
      </c>
      <c r="CA100" t="str">
        <f>IF(N(BV100)&gt;0,COUNTIF($BV$4:BV100,"&gt;0"),"")</f>
        <v/>
      </c>
      <c r="CB100" t="str">
        <f>IF(AND('Competency Event Log'!$B100='Employee Transcript'!$C$4,'Competency Event Log'!$I100&lt;&gt;"Yes"),'Competency Event Log'!$K100,"")</f>
        <v/>
      </c>
      <c r="CC100" t="str">
        <f t="shared" si="28"/>
        <v/>
      </c>
      <c r="CD100" t="str">
        <f>IF(Certifications!$A100='Employee Transcript'!$C$4,100,"")</f>
        <v/>
      </c>
      <c r="CE100" t="str">
        <f>IF(CD100="","",COUNTIF($CD$4:CD100,"&gt;0"))</f>
        <v/>
      </c>
      <c r="CF100" t="str">
        <f>IF(AND('Training Plan'!$A101='Employee Transcript'!$C$4,'Training Plan'!$F101&lt;&gt;"Complete"),101,"")</f>
        <v/>
      </c>
      <c r="CG100" t="str">
        <f>IF(CF100="","",COUNTIF($CF$4:CF100,"&gt;0"))</f>
        <v/>
      </c>
    </row>
    <row r="101" spans="1:85">
      <c r="A101" s="2"/>
      <c r="B101" s="1"/>
      <c r="C101" s="1"/>
      <c r="D101" s="1"/>
      <c r="E101" s="1"/>
      <c r="F101" s="3"/>
      <c r="G101" s="1"/>
      <c r="H101" s="4"/>
      <c r="I101" s="1" t="s">
        <v>991</v>
      </c>
      <c r="J101" s="1" t="s">
        <v>989</v>
      </c>
      <c r="K101" s="1" t="s">
        <v>311</v>
      </c>
      <c r="L101" s="1" t="s">
        <v>411</v>
      </c>
      <c r="M101" s="1">
        <v>3</v>
      </c>
      <c r="N101" s="1" t="s">
        <v>27</v>
      </c>
      <c r="P101" s="1" t="s">
        <v>989</v>
      </c>
      <c r="Q101" s="1" t="s">
        <v>311</v>
      </c>
      <c r="R101" s="1">
        <v>0</v>
      </c>
      <c r="S101" s="1">
        <f>COUNTIF('Skills Matrix'!$CZ$6:$CZ$205,3)</f>
        <v>0</v>
      </c>
      <c r="T101" s="1">
        <f t="shared" si="29"/>
        <v>0</v>
      </c>
      <c r="U101" s="1" t="str">
        <f>IF(AND(T101&gt;0,OR('HR Quick View'!$F$24="All Departments",Q101='HR Quick View'!$F$24)),COUNTIFS($T$4:$T$108,"&gt;"&amp;T101,$Q$4:$Q$108,IF('HR Quick View'!$F$24="All Departments","*",'HR Quick View'!$F$24))+COUNTIFS($T$4:T101,T101,$Q$4:Q101,IF('HR Quick View'!$F$24="All Departments","*",'HR Quick View'!$F$24)),"")</f>
        <v/>
      </c>
      <c r="W101" s="1" t="s">
        <v>989</v>
      </c>
      <c r="X101" s="1" t="s">
        <v>311</v>
      </c>
      <c r="Y101" s="1" t="s">
        <v>411</v>
      </c>
      <c r="Z101" s="1" t="str">
        <f>IF('HR Quick View'!$C$9="","",IF(COUNTIFS('Competency Event Log'!$B$4:$B$803,'HR Quick View'!$C$9,'Competency Event Log'!$C$4:$C$803,W101,'Competency Event Log'!$T$4:$T$803,"Current")=0,"",SUMIFS('Competency Event Log'!$D$4:$D$803,'Competency Event Log'!$B$4:$B$803,'HR Quick View'!$C$9,'Competency Event Log'!$C$4:$C$803,W101,'Competency Event Log'!$T$4:$T$803,"Current")))</f>
        <v/>
      </c>
      <c r="AA101" s="1" t="str">
        <f>IF($Z101="","",IF('HR Quick View'!$B$10="Qualified only",IF($Z101=3,COUNTIF($Z$4:$Z101,3),""),IF('HR Quick View'!$B$10="Developing only",IF(OR($Z101=1,$Z101=2),COUNTIF($Z$4:$Z$108,"&gt;"&amp;$Z101)+COUNTIF($Z$4:$Z101,$Z101)-COUNTIF($Z$4:$Z$108,3),""),IF('HR Quick View'!$B$10="All scored",COUNTIF($Z$4:$Z$108,"&gt;"&amp;$Z101)+COUNTIF($Z$4:$Z101,$Z101),""))))</f>
        <v/>
      </c>
      <c r="AB101" s="1" t="str">
        <f>""</f>
        <v/>
      </c>
      <c r="AC101" s="1">
        <f t="shared" si="30"/>
        <v>0</v>
      </c>
      <c r="AD101" s="1">
        <f t="shared" si="31"/>
        <v>0</v>
      </c>
      <c r="AE101" s="1">
        <f t="shared" si="32"/>
        <v>0</v>
      </c>
      <c r="AF101" s="1" t="str">
        <f>IFERROR(IF(Lists!$B101="","",Lists!$B101),"")</f>
        <v/>
      </c>
      <c r="AG101" s="1" t="str">
        <f>IFERROR(IF(Lists!$B101="","",Lists!$C101),"")</f>
        <v/>
      </c>
      <c r="AH101" s="1" t="str">
        <f>IFERROR(IF(Lists!$B101="","",Lists!$D101),"")</f>
        <v/>
      </c>
      <c r="AI101" s="1" t="str">
        <f>IF(AF101="","",IFERROR(INDEX('Skills Matrix'!$G$6:$DE$205,MATCH(AF101,'Skills Matrix'!$B$6:$B$205,0),MATCH('HR Quick View'!$J$9,'Skills Matrix'!$G$5:$DE$5,0)),""))</f>
        <v/>
      </c>
      <c r="AJ101" s="1" t="str">
        <f t="shared" si="33"/>
        <v/>
      </c>
      <c r="AK101" s="1" t="str">
        <f>IFERROR(IF(Lists!$B101="","",Lists!$E101),"")</f>
        <v/>
      </c>
      <c r="AL101" s="1" t="str">
        <f>IF(AND(OR('HR Quick View'!$L$10="All Shifts",AH101='HR Quick View'!$L$10),OR(AND('HR Quick View'!$I$10="Qualified only",AI101=3),AND('HR Quick View'!$I$10="All trained",AI101&gt;0))),IF('HR Quick View'!$L$10="All Shifts",COUNTIF($AI$4:$AI$203,"&gt;"&amp;AI101)+COUNTIF($AI$4:AI101,AI101),COUNTIFS($AI$4:$AI$203,"&gt;"&amp;AI101,$AH$4:$AH$203,'HR Quick View'!$L$10)+COUNTIFS($AI$4:AI101,AI101,$AH$4:AH101,'HR Quick View'!$L$10)),"")</f>
        <v/>
      </c>
      <c r="AP101" s="17" t="str">
        <f>IFERROR(IF(Lists!$J101="","",Lists!$J101),"")</f>
        <v>Secure Configuration Review</v>
      </c>
      <c r="AQ101" s="17" t="str">
        <f>IFERROR(IF(Lists!$J101="","",Lists!$K101),"")</f>
        <v>Cybersecurity</v>
      </c>
      <c r="AR101" s="17" t="str">
        <f>IFERROR(IF(Lists!$J101="","",Lists!$L101),"")</f>
        <v>No</v>
      </c>
      <c r="AS101" s="17">
        <f>IFERROR(IF(Lists!$J101="","",Lists!$M101),0)</f>
        <v>3</v>
      </c>
      <c r="AT101" s="17">
        <f>IF(AP101="","",COUNTIF('Skills Matrix'!$CZ$6:$CZ$205,3))</f>
        <v>0</v>
      </c>
      <c r="AU101" s="17">
        <f>IF(AP101="","",COUNTIF('Skills Matrix'!$CZ$6:$CZ$205,2))</f>
        <v>1</v>
      </c>
      <c r="AV101" s="17">
        <f t="shared" si="34"/>
        <v>3</v>
      </c>
      <c r="AW101" s="17">
        <f>IF(OR(AP101="",AS101&lt;=0,AV101&lt;=0,AND('Skill Management'!$D$4&lt;&gt;"All Departments",AQ101&lt;&gt;'Skill Management'!$D$4)),"",IF(AT101=0,100000,0)+IF(AR101="Yes",10000,0)+AV101*100+AU101)</f>
        <v>100301</v>
      </c>
      <c r="AX101" s="17">
        <f>IF(AW101="","",COUNTIF($AW$4:$AW$106,"&gt;"&amp;AW101)+COUNTIF($AW$4:AW101,AW101))</f>
        <v>22</v>
      </c>
      <c r="AY101" s="17" t="str">
        <f>IFERROR(IF(Lists!$J101="","",Lists!$N101),"")</f>
        <v>Yes</v>
      </c>
      <c r="BA101" s="17" t="str">
        <f>IFERROR(IF('Training Plan'!$A102="","",'Training Plan'!$A102),"")</f>
        <v/>
      </c>
      <c r="BB101" s="17" t="str">
        <f>IFERROR(IF('Training Plan'!$A102="","",'Training Plan'!$B102),"")</f>
        <v/>
      </c>
      <c r="BC101" s="17" t="str">
        <f>IFERROR(IF('Training Plan'!$A102="","",'Training Plan'!$C102),"")</f>
        <v/>
      </c>
      <c r="BD101" s="17" t="str">
        <f>IFERROR(IF('Training Plan'!$A102="","",'Training Plan'!$D102),"")</f>
        <v/>
      </c>
      <c r="BE101" s="17" t="str">
        <f>IFERROR(IF('Training Plan'!$A102="","",'Training Plan'!$E102),"")</f>
        <v/>
      </c>
      <c r="BF101" s="17" t="str">
        <f>IFERROR(IF('Training Plan'!$A102="","",'Training Plan'!$F102),"")</f>
        <v/>
      </c>
      <c r="BG101" s="17" t="str">
        <f>IFERROR(IF('Training Plan'!$A102="","",'Training Plan'!$G102),"")</f>
        <v/>
      </c>
      <c r="BH101" s="17" t="str">
        <f>IFERROR(IF('Training Plan'!$A102="","",'Training Plan'!$H102),"")</f>
        <v/>
      </c>
      <c r="BI101" s="17" t="str">
        <f>IF(OR(BA101="",BF101="Complete",AND('Skill Management'!$D$4&lt;&gt;"All Departments",BB101&lt;&gt;'Skill Management'!$D$4)),"",IF(BF101="Blocked",100000,IF(BF101="In Progress",200000,300000))+IF(BE101="",99999,BE101))</f>
        <v/>
      </c>
      <c r="BJ101" s="17" t="str">
        <f>IF(BI101="","",COUNTIFS($BI$4:$BI$203,"&gt;0",$BI$4:$BI$203,"&lt;"&amp;BI101)+COUNTIF($BI$4:BI101,BI101))</f>
        <v/>
      </c>
      <c r="BT101" t="str">
        <f t="shared" si="35"/>
        <v>Secure Configuration Review</v>
      </c>
      <c r="BU101" t="str">
        <f t="shared" si="36"/>
        <v>Cybersecurity</v>
      </c>
      <c r="BV101" t="str">
        <f>IF(BT101="","",IFERROR(INDEX('Skills Matrix'!$G$6:$DE$205,MATCH('Employee Transcript'!$C$4,'Skills Matrix'!$B$6:$B$205,0),MATCH(BT101,'Skills Matrix'!$G$5:$DE$5,0)),""))</f>
        <v/>
      </c>
      <c r="BW101" t="str">
        <f>IF(BT101="","",IFERROR(INDEX('Competency Event Log'!$E$4:$E$803,MATCH('Employee Transcript'!$C$4&amp;"|"&amp;BT101,'Competency Event Log'!$U$4:$U$803,0)),""))</f>
        <v/>
      </c>
      <c r="BX101" t="str">
        <f>IF(BT101="","",IF(BU101='Employee Transcript'!$B$7,"Home Department","Cross-Trained"))</f>
        <v>Cross-Trained</v>
      </c>
      <c r="BY101" t="str">
        <f t="shared" si="37"/>
        <v>No</v>
      </c>
      <c r="BZ101" t="str">
        <f>IF(BT101="","",IFERROR(INDEX('Competency Event Log'!$L$4:$L$803,MATCH('Employee Transcript'!$C$4&amp;"|"&amp;BT101,'Competency Event Log'!$U$4:$U$803,0)),""))</f>
        <v/>
      </c>
      <c r="CA101" t="str">
        <f>IF(N(BV101)&gt;0,COUNTIF($BV$4:BV101,"&gt;0"),"")</f>
        <v/>
      </c>
      <c r="CB101" t="str">
        <f>IF(AND('Competency Event Log'!$B101='Employee Transcript'!$C$4,'Competency Event Log'!$I101&lt;&gt;"Yes"),'Competency Event Log'!$K101,"")</f>
        <v/>
      </c>
      <c r="CC101" t="str">
        <f t="shared" si="28"/>
        <v/>
      </c>
      <c r="CD101" t="str">
        <f>IF(Certifications!$A101='Employee Transcript'!$C$4,101,"")</f>
        <v/>
      </c>
      <c r="CE101" t="str">
        <f>IF(CD101="","",COUNTIF($CD$4:CD101,"&gt;0"))</f>
        <v/>
      </c>
      <c r="CF101" t="str">
        <f>IF(AND('Training Plan'!$A102='Employee Transcript'!$C$4,'Training Plan'!$F102&lt;&gt;"Complete"),102,"")</f>
        <v/>
      </c>
      <c r="CG101" t="str">
        <f>IF(CF101="","",COUNTIF($CF$4:CF101,"&gt;0"))</f>
        <v/>
      </c>
    </row>
    <row r="102" spans="1:85">
      <c r="A102" s="2"/>
      <c r="B102" s="1"/>
      <c r="C102" s="1"/>
      <c r="D102" s="1"/>
      <c r="E102" s="1"/>
      <c r="F102" s="3"/>
      <c r="G102" s="1"/>
      <c r="H102" s="4"/>
      <c r="I102" s="1" t="s">
        <v>958</v>
      </c>
      <c r="J102" s="1" t="s">
        <v>956</v>
      </c>
      <c r="K102" s="1" t="s">
        <v>311</v>
      </c>
      <c r="L102" s="1" t="s">
        <v>411</v>
      </c>
      <c r="M102" s="1">
        <v>3</v>
      </c>
      <c r="N102" s="1" t="s">
        <v>27</v>
      </c>
      <c r="P102" s="1" t="s">
        <v>956</v>
      </c>
      <c r="Q102" s="1" t="s">
        <v>311</v>
      </c>
      <c r="R102" s="1">
        <v>0</v>
      </c>
      <c r="S102" s="1">
        <f>COUNTIF('Skills Matrix'!$DA$6:$DA$205,3)</f>
        <v>1</v>
      </c>
      <c r="T102" s="1">
        <f t="shared" si="29"/>
        <v>0</v>
      </c>
      <c r="U102" s="1" t="str">
        <f>IF(AND(T102&gt;0,OR('HR Quick View'!$F$24="All Departments",Q102='HR Quick View'!$F$24)),COUNTIFS($T$4:$T$108,"&gt;"&amp;T102,$Q$4:$Q$108,IF('HR Quick View'!$F$24="All Departments","*",'HR Quick View'!$F$24))+COUNTIFS($T$4:T102,T102,$Q$4:Q102,IF('HR Quick View'!$F$24="All Departments","*",'HR Quick View'!$F$24)),"")</f>
        <v/>
      </c>
      <c r="W102" s="1" t="s">
        <v>956</v>
      </c>
      <c r="X102" s="1" t="s">
        <v>311</v>
      </c>
      <c r="Y102" s="1" t="s">
        <v>411</v>
      </c>
      <c r="Z102" s="1" t="str">
        <f>IF('HR Quick View'!$C$9="","",IF(COUNTIFS('Competency Event Log'!$B$4:$B$803,'HR Quick View'!$C$9,'Competency Event Log'!$C$4:$C$803,W102,'Competency Event Log'!$T$4:$T$803,"Current")=0,"",SUMIFS('Competency Event Log'!$D$4:$D$803,'Competency Event Log'!$B$4:$B$803,'HR Quick View'!$C$9,'Competency Event Log'!$C$4:$C$803,W102,'Competency Event Log'!$T$4:$T$803,"Current")))</f>
        <v/>
      </c>
      <c r="AA102" s="1" t="str">
        <f>IF($Z102="","",IF('HR Quick View'!$B$10="Qualified only",IF($Z102=3,COUNTIF($Z$4:$Z102,3),""),IF('HR Quick View'!$B$10="Developing only",IF(OR($Z102=1,$Z102=2),COUNTIF($Z$4:$Z$108,"&gt;"&amp;$Z102)+COUNTIF($Z$4:$Z102,$Z102)-COUNTIF($Z$4:$Z$108,3),""),IF('HR Quick View'!$B$10="All scored",COUNTIF($Z$4:$Z$108,"&gt;"&amp;$Z102)+COUNTIF($Z$4:$Z102,$Z102),""))))</f>
        <v/>
      </c>
      <c r="AB102" s="1" t="str">
        <f>""</f>
        <v/>
      </c>
      <c r="AC102" s="1">
        <f t="shared" si="30"/>
        <v>0</v>
      </c>
      <c r="AD102" s="1">
        <f t="shared" si="31"/>
        <v>1</v>
      </c>
      <c r="AE102" s="1">
        <f t="shared" si="32"/>
        <v>0</v>
      </c>
      <c r="AF102" s="1" t="str">
        <f>IFERROR(IF(Lists!$B102="","",Lists!$B102),"")</f>
        <v/>
      </c>
      <c r="AG102" s="1" t="str">
        <f>IFERROR(IF(Lists!$B102="","",Lists!$C102),"")</f>
        <v/>
      </c>
      <c r="AH102" s="1" t="str">
        <f>IFERROR(IF(Lists!$B102="","",Lists!$D102),"")</f>
        <v/>
      </c>
      <c r="AI102" s="1" t="str">
        <f>IF(AF102="","",IFERROR(INDEX('Skills Matrix'!$G$6:$DE$205,MATCH(AF102,'Skills Matrix'!$B$6:$B$205,0),MATCH('HR Quick View'!$J$9,'Skills Matrix'!$G$5:$DE$5,0)),""))</f>
        <v/>
      </c>
      <c r="AJ102" s="1" t="str">
        <f t="shared" si="33"/>
        <v/>
      </c>
      <c r="AK102" s="1" t="str">
        <f>IFERROR(IF(Lists!$B102="","",Lists!$E102),"")</f>
        <v/>
      </c>
      <c r="AL102" s="1" t="str">
        <f>IF(AND(OR('HR Quick View'!$L$10="All Shifts",AH102='HR Quick View'!$L$10),OR(AND('HR Quick View'!$I$10="Qualified only",AI102=3),AND('HR Quick View'!$I$10="All trained",AI102&gt;0))),IF('HR Quick View'!$L$10="All Shifts",COUNTIF($AI$4:$AI$203,"&gt;"&amp;AI102)+COUNTIF($AI$4:AI102,AI102),COUNTIFS($AI$4:$AI$203,"&gt;"&amp;AI102,$AH$4:$AH$203,'HR Quick View'!$L$10)+COUNTIFS($AI$4:AI102,AI102,$AH$4:AH102,'HR Quick View'!$L$10)),"")</f>
        <v/>
      </c>
      <c r="AP102" s="17" t="str">
        <f>IFERROR(IF(Lists!$J102="","",Lists!$J102),"")</f>
        <v>Risk Assessment</v>
      </c>
      <c r="AQ102" s="17" t="str">
        <f>IFERROR(IF(Lists!$J102="","",Lists!$K102),"")</f>
        <v>Cybersecurity</v>
      </c>
      <c r="AR102" s="17" t="str">
        <f>IFERROR(IF(Lists!$J102="","",Lists!$L102),"")</f>
        <v>No</v>
      </c>
      <c r="AS102" s="17">
        <f>IFERROR(IF(Lists!$J102="","",Lists!$M102),0)</f>
        <v>3</v>
      </c>
      <c r="AT102" s="17">
        <f>IF(AP102="","",COUNTIF('Skills Matrix'!$DA$6:$DA$205,3))</f>
        <v>1</v>
      </c>
      <c r="AU102" s="17">
        <f>IF(AP102="","",COUNTIF('Skills Matrix'!$DA$6:$DA$205,2))</f>
        <v>0</v>
      </c>
      <c r="AV102" s="17">
        <f t="shared" si="34"/>
        <v>2</v>
      </c>
      <c r="AW102" s="17">
        <f>IF(OR(AP102="",AS102&lt;=0,AV102&lt;=0,AND('Skill Management'!$D$4&lt;&gt;"All Departments",AQ102&lt;&gt;'Skill Management'!$D$4)),"",IF(AT102=0,100000,0)+IF(AR102="Yes",10000,0)+AV102*100+AU102)</f>
        <v>200</v>
      </c>
      <c r="AX102" s="17">
        <f>IF(AW102="","",COUNTIF($AW$4:$AW$106,"&gt;"&amp;AW102)+COUNTIF($AW$4:AW102,AW102))</f>
        <v>78</v>
      </c>
      <c r="AY102" s="17" t="str">
        <f>IFERROR(IF(Lists!$J102="","",Lists!$N102),"")</f>
        <v>Yes</v>
      </c>
      <c r="BA102" s="17" t="str">
        <f>IFERROR(IF('Training Plan'!$A103="","",'Training Plan'!$A103),"")</f>
        <v/>
      </c>
      <c r="BB102" s="17" t="str">
        <f>IFERROR(IF('Training Plan'!$A103="","",'Training Plan'!$B103),"")</f>
        <v/>
      </c>
      <c r="BC102" s="17" t="str">
        <f>IFERROR(IF('Training Plan'!$A103="","",'Training Plan'!$C103),"")</f>
        <v/>
      </c>
      <c r="BD102" s="17" t="str">
        <f>IFERROR(IF('Training Plan'!$A103="","",'Training Plan'!$D103),"")</f>
        <v/>
      </c>
      <c r="BE102" s="17" t="str">
        <f>IFERROR(IF('Training Plan'!$A103="","",'Training Plan'!$E103),"")</f>
        <v/>
      </c>
      <c r="BF102" s="17" t="str">
        <f>IFERROR(IF('Training Plan'!$A103="","",'Training Plan'!$F103),"")</f>
        <v/>
      </c>
      <c r="BG102" s="17" t="str">
        <f>IFERROR(IF('Training Plan'!$A103="","",'Training Plan'!$G103),"")</f>
        <v/>
      </c>
      <c r="BH102" s="17" t="str">
        <f>IFERROR(IF('Training Plan'!$A103="","",'Training Plan'!$H103),"")</f>
        <v/>
      </c>
      <c r="BI102" s="17" t="str">
        <f>IF(OR(BA102="",BF102="Complete",AND('Skill Management'!$D$4&lt;&gt;"All Departments",BB102&lt;&gt;'Skill Management'!$D$4)),"",IF(BF102="Blocked",100000,IF(BF102="In Progress",200000,300000))+IF(BE102="",99999,BE102))</f>
        <v/>
      </c>
      <c r="BJ102" s="17" t="str">
        <f>IF(BI102="","",COUNTIFS($BI$4:$BI$203,"&gt;0",$BI$4:$BI$203,"&lt;"&amp;BI102)+COUNTIF($BI$4:BI102,BI102))</f>
        <v/>
      </c>
      <c r="BT102" t="str">
        <f t="shared" si="35"/>
        <v>Risk Assessment</v>
      </c>
      <c r="BU102" t="str">
        <f t="shared" si="36"/>
        <v>Cybersecurity</v>
      </c>
      <c r="BV102" t="str">
        <f>IF(BT102="","",IFERROR(INDEX('Skills Matrix'!$G$6:$DE$205,MATCH('Employee Transcript'!$C$4,'Skills Matrix'!$B$6:$B$205,0),MATCH(BT102,'Skills Matrix'!$G$5:$DE$5,0)),""))</f>
        <v/>
      </c>
      <c r="BW102" t="str">
        <f>IF(BT102="","",IFERROR(INDEX('Competency Event Log'!$E$4:$E$803,MATCH('Employee Transcript'!$C$4&amp;"|"&amp;BT102,'Competency Event Log'!$U$4:$U$803,0)),""))</f>
        <v/>
      </c>
      <c r="BX102" t="str">
        <f>IF(BT102="","",IF(BU102='Employee Transcript'!$B$7,"Home Department","Cross-Trained"))</f>
        <v>Cross-Trained</v>
      </c>
      <c r="BY102" t="str">
        <f t="shared" si="37"/>
        <v>No</v>
      </c>
      <c r="BZ102" t="str">
        <f>IF(BT102="","",IFERROR(INDEX('Competency Event Log'!$L$4:$L$803,MATCH('Employee Transcript'!$C$4&amp;"|"&amp;BT102,'Competency Event Log'!$U$4:$U$803,0)),""))</f>
        <v/>
      </c>
      <c r="CA102" t="str">
        <f>IF(N(BV102)&gt;0,COUNTIF($BV$4:BV102,"&gt;0"),"")</f>
        <v/>
      </c>
      <c r="CB102" t="str">
        <f>IF(AND('Competency Event Log'!$B102='Employee Transcript'!$C$4,'Competency Event Log'!$I102&lt;&gt;"Yes"),'Competency Event Log'!$K102,"")</f>
        <v/>
      </c>
      <c r="CC102" t="str">
        <f t="shared" si="28"/>
        <v/>
      </c>
      <c r="CD102" t="str">
        <f>IF(Certifications!$A102='Employee Transcript'!$C$4,102,"")</f>
        <v/>
      </c>
      <c r="CE102" t="str">
        <f>IF(CD102="","",COUNTIF($CD$4:CD102,"&gt;0"))</f>
        <v/>
      </c>
      <c r="CF102" t="str">
        <f>IF(AND('Training Plan'!$A103='Employee Transcript'!$C$4,'Training Plan'!$F103&lt;&gt;"Complete"),103,"")</f>
        <v/>
      </c>
      <c r="CG102" t="str">
        <f>IF(CF102="","",COUNTIF($CF$4:CF102,"&gt;0"))</f>
        <v/>
      </c>
    </row>
    <row r="103" spans="1:85">
      <c r="A103" s="2"/>
      <c r="B103" s="1"/>
      <c r="C103" s="1"/>
      <c r="D103" s="1"/>
      <c r="E103" s="1"/>
      <c r="F103" s="3"/>
      <c r="G103" s="1"/>
      <c r="H103" s="4"/>
      <c r="I103" s="1" t="s">
        <v>1278</v>
      </c>
      <c r="J103" s="1" t="s">
        <v>1201</v>
      </c>
      <c r="K103" s="1" t="s">
        <v>311</v>
      </c>
      <c r="L103" s="1" t="s">
        <v>411</v>
      </c>
      <c r="M103" s="1">
        <v>3</v>
      </c>
      <c r="N103" s="1" t="s">
        <v>27</v>
      </c>
      <c r="P103" s="1" t="s">
        <v>1201</v>
      </c>
      <c r="Q103" s="1" t="s">
        <v>311</v>
      </c>
      <c r="R103" s="1">
        <v>0</v>
      </c>
      <c r="S103" s="1">
        <f>COUNTIF('Skills Matrix'!$DB$6:$DB$205,3)</f>
        <v>0</v>
      </c>
      <c r="T103" s="1">
        <f t="shared" si="29"/>
        <v>0</v>
      </c>
      <c r="U103" s="1" t="str">
        <f>IF(AND(T103&gt;0,OR('HR Quick View'!$F$24="All Departments",Q103='HR Quick View'!$F$24)),COUNTIFS($T$4:$T$108,"&gt;"&amp;T103,$Q$4:$Q$108,IF('HR Quick View'!$F$24="All Departments","*",'HR Quick View'!$F$24))+COUNTIFS($T$4:T103,T103,$Q$4:Q103,IF('HR Quick View'!$F$24="All Departments","*",'HR Quick View'!$F$24)),"")</f>
        <v/>
      </c>
      <c r="W103" s="1" t="s">
        <v>1201</v>
      </c>
      <c r="X103" s="1" t="s">
        <v>311</v>
      </c>
      <c r="Y103" s="1" t="s">
        <v>411</v>
      </c>
      <c r="Z103" s="1" t="str">
        <f>IF('HR Quick View'!$C$9="","",IF(COUNTIFS('Competency Event Log'!$B$4:$B$803,'HR Quick View'!$C$9,'Competency Event Log'!$C$4:$C$803,W103,'Competency Event Log'!$T$4:$T$803,"Current")=0,"",SUMIFS('Competency Event Log'!$D$4:$D$803,'Competency Event Log'!$B$4:$B$803,'HR Quick View'!$C$9,'Competency Event Log'!$C$4:$C$803,W103,'Competency Event Log'!$T$4:$T$803,"Current")))</f>
        <v/>
      </c>
      <c r="AA103" s="1" t="str">
        <f>IF($Z103="","",IF('HR Quick View'!$B$10="Qualified only",IF($Z103=3,COUNTIF($Z$4:$Z103,3),""),IF('HR Quick View'!$B$10="Developing only",IF(OR($Z103=1,$Z103=2),COUNTIF($Z$4:$Z$108,"&gt;"&amp;$Z103)+COUNTIF($Z$4:$Z103,$Z103)-COUNTIF($Z$4:$Z$108,3),""),IF('HR Quick View'!$B$10="All scored",COUNTIF($Z$4:$Z$108,"&gt;"&amp;$Z103)+COUNTIF($Z$4:$Z103,$Z103),""))))</f>
        <v/>
      </c>
      <c r="AB103" s="1" t="str">
        <f>""</f>
        <v/>
      </c>
      <c r="AC103" s="1">
        <f t="shared" si="30"/>
        <v>0</v>
      </c>
      <c r="AD103" s="1">
        <f t="shared" si="31"/>
        <v>0</v>
      </c>
      <c r="AE103" s="1">
        <f t="shared" si="32"/>
        <v>0</v>
      </c>
      <c r="AF103" s="1" t="str">
        <f>IFERROR(IF(Lists!$B103="","",Lists!$B103),"")</f>
        <v/>
      </c>
      <c r="AG103" s="1" t="str">
        <f>IFERROR(IF(Lists!$B103="","",Lists!$C103),"")</f>
        <v/>
      </c>
      <c r="AH103" s="1" t="str">
        <f>IFERROR(IF(Lists!$B103="","",Lists!$D103),"")</f>
        <v/>
      </c>
      <c r="AI103" s="1" t="str">
        <f>IF(AF103="","",IFERROR(INDEX('Skills Matrix'!$G$6:$DE$205,MATCH(AF103,'Skills Matrix'!$B$6:$B$205,0),MATCH('HR Quick View'!$J$9,'Skills Matrix'!$G$5:$DE$5,0)),""))</f>
        <v/>
      </c>
      <c r="AJ103" s="1" t="str">
        <f t="shared" si="33"/>
        <v/>
      </c>
      <c r="AK103" s="1" t="str">
        <f>IFERROR(IF(Lists!$B103="","",Lists!$E103),"")</f>
        <v/>
      </c>
      <c r="AL103" s="1" t="str">
        <f>IF(AND(OR('HR Quick View'!$L$10="All Shifts",AH103='HR Quick View'!$L$10),OR(AND('HR Quick View'!$I$10="Qualified only",AI103=3),AND('HR Quick View'!$I$10="All trained",AI103&gt;0))),IF('HR Quick View'!$L$10="All Shifts",COUNTIF($AI$4:$AI$203,"&gt;"&amp;AI103)+COUNTIF($AI$4:AI103,AI103),COUNTIFS($AI$4:$AI$203,"&gt;"&amp;AI103,$AH$4:$AH$203,'HR Quick View'!$L$10)+COUNTIFS($AI$4:AI103,AI103,$AH$4:AH103,'HR Quick View'!$L$10)),"")</f>
        <v/>
      </c>
      <c r="AP103" s="17" t="str">
        <f>IFERROR(IF(Lists!$J103="","",Lists!$J103),"")</f>
        <v>Third-Party Security Review</v>
      </c>
      <c r="AQ103" s="17" t="str">
        <f>IFERROR(IF(Lists!$J103="","",Lists!$K103),"")</f>
        <v>Cybersecurity</v>
      </c>
      <c r="AR103" s="17" t="str">
        <f>IFERROR(IF(Lists!$J103="","",Lists!$L103),"")</f>
        <v>No</v>
      </c>
      <c r="AS103" s="17">
        <f>IFERROR(IF(Lists!$J103="","",Lists!$M103),0)</f>
        <v>3</v>
      </c>
      <c r="AT103" s="17">
        <f>IF(AP103="","",COUNTIF('Skills Matrix'!$DB$6:$DB$205,3))</f>
        <v>0</v>
      </c>
      <c r="AU103" s="17">
        <f>IF(AP103="","",COUNTIF('Skills Matrix'!$DB$6:$DB$205,2))</f>
        <v>0</v>
      </c>
      <c r="AV103" s="17">
        <f t="shared" si="34"/>
        <v>3</v>
      </c>
      <c r="AW103" s="17">
        <f>IF(OR(AP103="",AS103&lt;=0,AV103&lt;=0,AND('Skill Management'!$D$4&lt;&gt;"All Departments",AQ103&lt;&gt;'Skill Management'!$D$4)),"",IF(AT103=0,100000,0)+IF(AR103="Yes",10000,0)+AV103*100+AU103)</f>
        <v>100300</v>
      </c>
      <c r="AX103" s="17">
        <f>IF(AW103="","",COUNTIF($AW$4:$AW$106,"&gt;"&amp;AW103)+COUNTIF($AW$4:AW103,AW103))</f>
        <v>29</v>
      </c>
      <c r="AY103" s="17" t="str">
        <f>IFERROR(IF(Lists!$J103="","",Lists!$N103),"")</f>
        <v>Yes</v>
      </c>
      <c r="BA103" s="17" t="str">
        <f>IFERROR(IF('Training Plan'!$A104="","",'Training Plan'!$A104),"")</f>
        <v/>
      </c>
      <c r="BB103" s="17" t="str">
        <f>IFERROR(IF('Training Plan'!$A104="","",'Training Plan'!$B104),"")</f>
        <v/>
      </c>
      <c r="BC103" s="17" t="str">
        <f>IFERROR(IF('Training Plan'!$A104="","",'Training Plan'!$C104),"")</f>
        <v/>
      </c>
      <c r="BD103" s="17" t="str">
        <f>IFERROR(IF('Training Plan'!$A104="","",'Training Plan'!$D104),"")</f>
        <v/>
      </c>
      <c r="BE103" s="17" t="str">
        <f>IFERROR(IF('Training Plan'!$A104="","",'Training Plan'!$E104),"")</f>
        <v/>
      </c>
      <c r="BF103" s="17" t="str">
        <f>IFERROR(IF('Training Plan'!$A104="","",'Training Plan'!$F104),"")</f>
        <v/>
      </c>
      <c r="BG103" s="17" t="str">
        <f>IFERROR(IF('Training Plan'!$A104="","",'Training Plan'!$G104),"")</f>
        <v/>
      </c>
      <c r="BH103" s="17" t="str">
        <f>IFERROR(IF('Training Plan'!$A104="","",'Training Plan'!$H104),"")</f>
        <v/>
      </c>
      <c r="BI103" s="17" t="str">
        <f>IF(OR(BA103="",BF103="Complete",AND('Skill Management'!$D$4&lt;&gt;"All Departments",BB103&lt;&gt;'Skill Management'!$D$4)),"",IF(BF103="Blocked",100000,IF(BF103="In Progress",200000,300000))+IF(BE103="",99999,BE103))</f>
        <v/>
      </c>
      <c r="BJ103" s="17" t="str">
        <f>IF(BI103="","",COUNTIFS($BI$4:$BI$203,"&gt;0",$BI$4:$BI$203,"&lt;"&amp;BI103)+COUNTIF($BI$4:BI103,BI103))</f>
        <v/>
      </c>
      <c r="BT103" t="str">
        <f t="shared" si="35"/>
        <v>Third-Party Security Review</v>
      </c>
      <c r="BU103" t="str">
        <f t="shared" si="36"/>
        <v>Cybersecurity</v>
      </c>
      <c r="BV103" t="str">
        <f>IF(BT103="","",IFERROR(INDEX('Skills Matrix'!$G$6:$DE$205,MATCH('Employee Transcript'!$C$4,'Skills Matrix'!$B$6:$B$205,0),MATCH(BT103,'Skills Matrix'!$G$5:$DE$5,0)),""))</f>
        <v/>
      </c>
      <c r="BW103" t="str">
        <f>IF(BT103="","",IFERROR(INDEX('Competency Event Log'!$E$4:$E$803,MATCH('Employee Transcript'!$C$4&amp;"|"&amp;BT103,'Competency Event Log'!$U$4:$U$803,0)),""))</f>
        <v/>
      </c>
      <c r="BX103" t="str">
        <f>IF(BT103="","",IF(BU103='Employee Transcript'!$B$7,"Home Department","Cross-Trained"))</f>
        <v>Cross-Trained</v>
      </c>
      <c r="BY103" t="str">
        <f t="shared" si="37"/>
        <v>No</v>
      </c>
      <c r="BZ103" t="str">
        <f>IF(BT103="","",IFERROR(INDEX('Competency Event Log'!$L$4:$L$803,MATCH('Employee Transcript'!$C$4&amp;"|"&amp;BT103,'Competency Event Log'!$U$4:$U$803,0)),""))</f>
        <v/>
      </c>
      <c r="CA103" t="str">
        <f>IF(N(BV103)&gt;0,COUNTIF($BV$4:BV103,"&gt;0"),"")</f>
        <v/>
      </c>
      <c r="CB103" t="str">
        <f>IF(AND('Competency Event Log'!$B103='Employee Transcript'!$C$4,'Competency Event Log'!$I103&lt;&gt;"Yes"),'Competency Event Log'!$K103,"")</f>
        <v/>
      </c>
      <c r="CC103" t="str">
        <f t="shared" si="28"/>
        <v/>
      </c>
      <c r="CD103" t="str">
        <f>IF(Certifications!$A103='Employee Transcript'!$C$4,103,"")</f>
        <v/>
      </c>
      <c r="CE103" t="str">
        <f>IF(CD103="","",COUNTIF($CD$4:CD103,"&gt;0"))</f>
        <v/>
      </c>
      <c r="CF103" t="str">
        <f>IF(AND('Training Plan'!$A104='Employee Transcript'!$C$4,'Training Plan'!$F104&lt;&gt;"Complete"),104,"")</f>
        <v/>
      </c>
      <c r="CG103" t="str">
        <f>IF(CF103="","",COUNTIF($CF$4:CF103,"&gt;0"))</f>
        <v/>
      </c>
    </row>
    <row r="104" spans="1:85">
      <c r="A104" s="2"/>
      <c r="B104" s="1"/>
      <c r="C104" s="1"/>
      <c r="D104" s="1"/>
      <c r="E104" s="1"/>
      <c r="F104" s="3"/>
      <c r="G104" s="1"/>
      <c r="H104" s="4"/>
      <c r="I104" s="1" t="s">
        <v>1158</v>
      </c>
      <c r="J104" s="1" t="s">
        <v>1156</v>
      </c>
      <c r="K104" s="1" t="s">
        <v>311</v>
      </c>
      <c r="L104" s="1" t="s">
        <v>411</v>
      </c>
      <c r="M104" s="1">
        <v>4</v>
      </c>
      <c r="N104" s="1" t="s">
        <v>27</v>
      </c>
      <c r="P104" s="1" t="s">
        <v>1156</v>
      </c>
      <c r="Q104" s="1" t="s">
        <v>311</v>
      </c>
      <c r="R104" s="1">
        <v>0</v>
      </c>
      <c r="S104" s="1">
        <f>COUNTIF('Skills Matrix'!$DC$6:$DC$205,3)</f>
        <v>0</v>
      </c>
      <c r="T104" s="1">
        <f t="shared" si="29"/>
        <v>0</v>
      </c>
      <c r="U104" s="1" t="str">
        <f>IF(AND(T104&gt;0,OR('HR Quick View'!$F$24="All Departments",Q104='HR Quick View'!$F$24)),COUNTIFS($T$4:$T$108,"&gt;"&amp;T104,$Q$4:$Q$108,IF('HR Quick View'!$F$24="All Departments","*",'HR Quick View'!$F$24))+COUNTIFS($T$4:T104,T104,$Q$4:Q104,IF('HR Quick View'!$F$24="All Departments","*",'HR Quick View'!$F$24)),"")</f>
        <v/>
      </c>
      <c r="W104" s="1" t="s">
        <v>1156</v>
      </c>
      <c r="X104" s="1" t="s">
        <v>311</v>
      </c>
      <c r="Y104" s="1" t="s">
        <v>411</v>
      </c>
      <c r="Z104" s="1" t="str">
        <f>IF('HR Quick View'!$C$9="","",IF(COUNTIFS('Competency Event Log'!$B$4:$B$803,'HR Quick View'!$C$9,'Competency Event Log'!$C$4:$C$803,W104,'Competency Event Log'!$T$4:$T$803,"Current")=0,"",SUMIFS('Competency Event Log'!$D$4:$D$803,'Competency Event Log'!$B$4:$B$803,'HR Quick View'!$C$9,'Competency Event Log'!$C$4:$C$803,W104,'Competency Event Log'!$T$4:$T$803,"Current")))</f>
        <v/>
      </c>
      <c r="AA104" s="1" t="str">
        <f>IF($Z104="","",IF('HR Quick View'!$B$10="Qualified only",IF($Z104=3,COUNTIF($Z$4:$Z104,3),""),IF('HR Quick View'!$B$10="Developing only",IF(OR($Z104=1,$Z104=2),COUNTIF($Z$4:$Z$108,"&gt;"&amp;$Z104)+COUNTIF($Z$4:$Z104,$Z104)-COUNTIF($Z$4:$Z$108,3),""),IF('HR Quick View'!$B$10="All scored",COUNTIF($Z$4:$Z$108,"&gt;"&amp;$Z104)+COUNTIF($Z$4:$Z104,$Z104),""))))</f>
        <v/>
      </c>
      <c r="AB104" s="1" t="str">
        <f>""</f>
        <v/>
      </c>
      <c r="AC104" s="1">
        <f t="shared" si="30"/>
        <v>0</v>
      </c>
      <c r="AD104" s="1">
        <f t="shared" si="31"/>
        <v>0</v>
      </c>
      <c r="AE104" s="1">
        <f t="shared" si="32"/>
        <v>0</v>
      </c>
      <c r="AF104" s="1" t="str">
        <f>IFERROR(IF(Lists!$B104="","",Lists!$B104),"")</f>
        <v/>
      </c>
      <c r="AG104" s="1" t="str">
        <f>IFERROR(IF(Lists!$B104="","",Lists!$C104),"")</f>
        <v/>
      </c>
      <c r="AH104" s="1" t="str">
        <f>IFERROR(IF(Lists!$B104="","",Lists!$D104),"")</f>
        <v/>
      </c>
      <c r="AI104" s="1" t="str">
        <f>IF(AF104="","",IFERROR(INDEX('Skills Matrix'!$G$6:$DE$205,MATCH(AF104,'Skills Matrix'!$B$6:$B$205,0),MATCH('HR Quick View'!$J$9,'Skills Matrix'!$G$5:$DE$5,0)),""))</f>
        <v/>
      </c>
      <c r="AJ104" s="1" t="str">
        <f t="shared" si="33"/>
        <v/>
      </c>
      <c r="AK104" s="1" t="str">
        <f>IFERROR(IF(Lists!$B104="","",Lists!$E104),"")</f>
        <v/>
      </c>
      <c r="AL104" s="1" t="str">
        <f>IF(AND(OR('HR Quick View'!$L$10="All Shifts",AH104='HR Quick View'!$L$10),OR(AND('HR Quick View'!$I$10="Qualified only",AI104=3),AND('HR Quick View'!$I$10="All trained",AI104&gt;0))),IF('HR Quick View'!$L$10="All Shifts",COUNTIF($AI$4:$AI$203,"&gt;"&amp;AI104)+COUNTIF($AI$4:AI104,AI104),COUNTIFS($AI$4:$AI$203,"&gt;"&amp;AI104,$AH$4:$AH$203,'HR Quick View'!$L$10)+COUNTIFS($AI$4:AI104,AI104,$AH$4:AH104,'HR Quick View'!$L$10)),"")</f>
        <v/>
      </c>
      <c r="AP104" s="17" t="str">
        <f>IFERROR(IF(Lists!$J104="","",Lists!$J104),"")</f>
        <v>Security Control Testing</v>
      </c>
      <c r="AQ104" s="17" t="str">
        <f>IFERROR(IF(Lists!$J104="","",Lists!$K104),"")</f>
        <v>Cybersecurity</v>
      </c>
      <c r="AR104" s="17" t="str">
        <f>IFERROR(IF(Lists!$J104="","",Lists!$L104),"")</f>
        <v>No</v>
      </c>
      <c r="AS104" s="17">
        <f>IFERROR(IF(Lists!$J104="","",Lists!$M104),0)</f>
        <v>4</v>
      </c>
      <c r="AT104" s="17">
        <f>IF(AP104="","",COUNTIF('Skills Matrix'!$DC$6:$DC$205,3))</f>
        <v>0</v>
      </c>
      <c r="AU104" s="17">
        <f>IF(AP104="","",COUNTIF('Skills Matrix'!$DC$6:$DC$205,2))</f>
        <v>0</v>
      </c>
      <c r="AV104" s="17">
        <f t="shared" si="34"/>
        <v>4</v>
      </c>
      <c r="AW104" s="17">
        <f>IF(OR(AP104="",AS104&lt;=0,AV104&lt;=0,AND('Skill Management'!$D$4&lt;&gt;"All Departments",AQ104&lt;&gt;'Skill Management'!$D$4)),"",IF(AT104=0,100000,0)+IF(AR104="Yes",10000,0)+AV104*100+AU104)</f>
        <v>100400</v>
      </c>
      <c r="AX104" s="17">
        <f>IF(AW104="","",COUNTIF($AW$4:$AW$106,"&gt;"&amp;AW104)+COUNTIF($AW$4:AW104,AW104))</f>
        <v>19</v>
      </c>
      <c r="AY104" s="17" t="str">
        <f>IFERROR(IF(Lists!$J104="","",Lists!$N104),"")</f>
        <v>Yes</v>
      </c>
      <c r="BA104" s="17" t="str">
        <f>IFERROR(IF('Training Plan'!$A105="","",'Training Plan'!$A105),"")</f>
        <v/>
      </c>
      <c r="BB104" s="17" t="str">
        <f>IFERROR(IF('Training Plan'!$A105="","",'Training Plan'!$B105),"")</f>
        <v/>
      </c>
      <c r="BC104" s="17" t="str">
        <f>IFERROR(IF('Training Plan'!$A105="","",'Training Plan'!$C105),"")</f>
        <v/>
      </c>
      <c r="BD104" s="17" t="str">
        <f>IFERROR(IF('Training Plan'!$A105="","",'Training Plan'!$D105),"")</f>
        <v/>
      </c>
      <c r="BE104" s="17" t="str">
        <f>IFERROR(IF('Training Plan'!$A105="","",'Training Plan'!$E105),"")</f>
        <v/>
      </c>
      <c r="BF104" s="17" t="str">
        <f>IFERROR(IF('Training Plan'!$A105="","",'Training Plan'!$F105),"")</f>
        <v/>
      </c>
      <c r="BG104" s="17" t="str">
        <f>IFERROR(IF('Training Plan'!$A105="","",'Training Plan'!$G105),"")</f>
        <v/>
      </c>
      <c r="BH104" s="17" t="str">
        <f>IFERROR(IF('Training Plan'!$A105="","",'Training Plan'!$H105),"")</f>
        <v/>
      </c>
      <c r="BI104" s="17" t="str">
        <f>IF(OR(BA104="",BF104="Complete",AND('Skill Management'!$D$4&lt;&gt;"All Departments",BB104&lt;&gt;'Skill Management'!$D$4)),"",IF(BF104="Blocked",100000,IF(BF104="In Progress",200000,300000))+IF(BE104="",99999,BE104))</f>
        <v/>
      </c>
      <c r="BJ104" s="17" t="str">
        <f>IF(BI104="","",COUNTIFS($BI$4:$BI$203,"&gt;0",$BI$4:$BI$203,"&lt;"&amp;BI104)+COUNTIF($BI$4:BI104,BI104))</f>
        <v/>
      </c>
      <c r="BT104" t="str">
        <f t="shared" si="35"/>
        <v>Security Control Testing</v>
      </c>
      <c r="BU104" t="str">
        <f t="shared" si="36"/>
        <v>Cybersecurity</v>
      </c>
      <c r="BV104" t="str">
        <f>IF(BT104="","",IFERROR(INDEX('Skills Matrix'!$G$6:$DE$205,MATCH('Employee Transcript'!$C$4,'Skills Matrix'!$B$6:$B$205,0),MATCH(BT104,'Skills Matrix'!$G$5:$DE$5,0)),""))</f>
        <v/>
      </c>
      <c r="BW104" t="str">
        <f>IF(BT104="","",IFERROR(INDEX('Competency Event Log'!$E$4:$E$803,MATCH('Employee Transcript'!$C$4&amp;"|"&amp;BT104,'Competency Event Log'!$U$4:$U$803,0)),""))</f>
        <v/>
      </c>
      <c r="BX104" t="str">
        <f>IF(BT104="","",IF(BU104='Employee Transcript'!$B$7,"Home Department","Cross-Trained"))</f>
        <v>Cross-Trained</v>
      </c>
      <c r="BY104" t="str">
        <f t="shared" si="37"/>
        <v>No</v>
      </c>
      <c r="BZ104" t="str">
        <f>IF(BT104="","",IFERROR(INDEX('Competency Event Log'!$L$4:$L$803,MATCH('Employee Transcript'!$C$4&amp;"|"&amp;BT104,'Competency Event Log'!$U$4:$U$803,0)),""))</f>
        <v/>
      </c>
      <c r="CA104" t="str">
        <f>IF(N(BV104)&gt;0,COUNTIF($BV$4:BV104,"&gt;0"),"")</f>
        <v/>
      </c>
      <c r="CB104" t="str">
        <f>IF(AND('Competency Event Log'!$B104='Employee Transcript'!$C$4,'Competency Event Log'!$I104&lt;&gt;"Yes"),'Competency Event Log'!$K104,"")</f>
        <v/>
      </c>
      <c r="CC104" t="str">
        <f t="shared" si="28"/>
        <v/>
      </c>
      <c r="CD104" t="str">
        <f>IF(Certifications!$A104='Employee Transcript'!$C$4,104,"")</f>
        <v/>
      </c>
      <c r="CE104" t="str">
        <f>IF(CD104="","",COUNTIF($CD$4:CD104,"&gt;0"))</f>
        <v/>
      </c>
      <c r="CF104" t="str">
        <f>IF(AND('Training Plan'!$A105='Employee Transcript'!$C$4,'Training Plan'!$F105&lt;&gt;"Complete"),105,"")</f>
        <v/>
      </c>
      <c r="CG104" t="str">
        <f>IF(CF104="","",COUNTIF($CF$4:CF104,"&gt;0"))</f>
        <v/>
      </c>
    </row>
    <row r="105" spans="1:85">
      <c r="A105" s="2"/>
      <c r="B105" s="1"/>
      <c r="C105" s="1"/>
      <c r="D105" s="1"/>
      <c r="E105" s="1"/>
      <c r="F105" s="3"/>
      <c r="G105" s="1"/>
      <c r="H105" s="4"/>
      <c r="I105" s="1" t="s">
        <v>440</v>
      </c>
      <c r="J105" s="1" t="s">
        <v>438</v>
      </c>
      <c r="K105" s="1" t="s">
        <v>213</v>
      </c>
      <c r="L105" s="1" t="s">
        <v>27</v>
      </c>
      <c r="M105" s="1">
        <v>4</v>
      </c>
      <c r="N105" s="1" t="s">
        <v>27</v>
      </c>
      <c r="P105" s="1" t="s">
        <v>438</v>
      </c>
      <c r="Q105" s="1" t="s">
        <v>213</v>
      </c>
      <c r="R105" s="1">
        <v>15</v>
      </c>
      <c r="S105" s="1">
        <f>COUNTIF('Skills Matrix'!$DD$6:$DD$205,3)</f>
        <v>5</v>
      </c>
      <c r="T105" s="1">
        <f t="shared" si="29"/>
        <v>10</v>
      </c>
      <c r="U105" s="1">
        <f>IF(AND(T105&gt;0,OR('HR Quick View'!$F$24="All Departments",Q105='HR Quick View'!$F$24)),COUNTIFS($T$4:$T$108,"&gt;"&amp;T105,$Q$4:$Q$108,IF('HR Quick View'!$F$24="All Departments","*",'HR Quick View'!$F$24))+COUNTIFS($T$4:T105,T105,$Q$4:Q105,IF('HR Quick View'!$F$24="All Departments","*",'HR Quick View'!$F$24)),"")</f>
        <v>5</v>
      </c>
      <c r="W105" s="1" t="s">
        <v>438</v>
      </c>
      <c r="X105" s="1" t="s">
        <v>213</v>
      </c>
      <c r="Y105" s="1" t="s">
        <v>27</v>
      </c>
      <c r="Z105" s="1">
        <f>IF('HR Quick View'!$C$9="","",IF(COUNTIFS('Competency Event Log'!$B$4:$B$803,'HR Quick View'!$C$9,'Competency Event Log'!$C$4:$C$803,W105,'Competency Event Log'!$T$4:$T$803,"Current")=0,"",SUMIFS('Competency Event Log'!$D$4:$D$803,'Competency Event Log'!$B$4:$B$803,'HR Quick View'!$C$9,'Competency Event Log'!$C$4:$C$803,W105,'Competency Event Log'!$T$4:$T$803,"Current")))</f>
        <v>3</v>
      </c>
      <c r="AA105" s="1">
        <f>IF($Z105="","",IF('HR Quick View'!$B$10="Qualified only",IF($Z105=3,COUNTIF($Z$4:$Z105,3),""),IF('HR Quick View'!$B$10="Developing only",IF(OR($Z105=1,$Z105=2),COUNTIF($Z$4:$Z$108,"&gt;"&amp;$Z105)+COUNTIF($Z$4:$Z105,$Z105)-COUNTIF($Z$4:$Z$108,3),""),IF('HR Quick View'!$B$10="All scored",COUNTIF($Z$4:$Z$108,"&gt;"&amp;$Z105)+COUNTIF($Z$4:$Z105,$Z105),""))))</f>
        <v>7</v>
      </c>
      <c r="AB105" s="1" t="str">
        <f>""</f>
        <v/>
      </c>
      <c r="AC105" s="1">
        <f t="shared" si="30"/>
        <v>15</v>
      </c>
      <c r="AD105" s="1">
        <f t="shared" si="31"/>
        <v>5</v>
      </c>
      <c r="AE105" s="1">
        <f t="shared" si="32"/>
        <v>10</v>
      </c>
      <c r="AF105" s="1" t="str">
        <f>IFERROR(IF(Lists!$B105="","",Lists!$B105),"")</f>
        <v/>
      </c>
      <c r="AG105" s="1" t="str">
        <f>IFERROR(IF(Lists!$B105="","",Lists!$C105),"")</f>
        <v/>
      </c>
      <c r="AH105" s="1" t="str">
        <f>IFERROR(IF(Lists!$B105="","",Lists!$D105),"")</f>
        <v/>
      </c>
      <c r="AI105" s="1" t="str">
        <f>IF(AF105="","",IFERROR(INDEX('Skills Matrix'!$G$6:$DE$205,MATCH(AF105,'Skills Matrix'!$B$6:$B$205,0),MATCH('HR Quick View'!$J$9,'Skills Matrix'!$G$5:$DE$5,0)),""))</f>
        <v/>
      </c>
      <c r="AJ105" s="1" t="str">
        <f t="shared" si="33"/>
        <v/>
      </c>
      <c r="AK105" s="1" t="str">
        <f>IFERROR(IF(Lists!$B105="","",Lists!$E105),"")</f>
        <v/>
      </c>
      <c r="AL105" s="1" t="str">
        <f>IF(AND(OR('HR Quick View'!$L$10="All Shifts",AH105='HR Quick View'!$L$10),OR(AND('HR Quick View'!$I$10="Qualified only",AI105=3),AND('HR Quick View'!$I$10="All trained",AI105&gt;0))),IF('HR Quick View'!$L$10="All Shifts",COUNTIF($AI$4:$AI$203,"&gt;"&amp;AI105)+COUNTIF($AI$4:AI105,AI105),COUNTIFS($AI$4:$AI$203,"&gt;"&amp;AI105,$AH$4:$AH$203,'HR Quick View'!$L$10)+COUNTIFS($AI$4:AI105,AI105,$AH$4:AH105,'HR Quick View'!$L$10)),"")</f>
        <v/>
      </c>
      <c r="AP105" s="17" t="str">
        <f>IFERROR(IF(Lists!$J105="","",Lists!$J105),"")</f>
        <v>Data Privacy &amp; Acceptable Use</v>
      </c>
      <c r="AQ105" s="17" t="str">
        <f>IFERROR(IF(Lists!$J105="","",Lists!$K105),"")</f>
        <v>Compliance &amp; Core Training</v>
      </c>
      <c r="AR105" s="17" t="str">
        <f>IFERROR(IF(Lists!$J105="","",Lists!$L105),"")</f>
        <v>Yes</v>
      </c>
      <c r="AS105" s="17">
        <f>IFERROR(IF(Lists!$J105="","",Lists!$M105),0)</f>
        <v>4</v>
      </c>
      <c r="AT105" s="17">
        <f>IF(AP105="","",COUNTIF('Skills Matrix'!$DD$6:$DD$205,3))</f>
        <v>5</v>
      </c>
      <c r="AU105" s="17">
        <f>IF(AP105="","",COUNTIF('Skills Matrix'!$DD$6:$DD$205,2))</f>
        <v>3</v>
      </c>
      <c r="AV105" s="17">
        <f t="shared" si="34"/>
        <v>0</v>
      </c>
      <c r="AW105" s="17" t="str">
        <f>IF(OR(AP105="",AS105&lt;=0,AV105&lt;=0,AND('Skill Management'!$D$4&lt;&gt;"All Departments",AQ105&lt;&gt;'Skill Management'!$D$4)),"",IF(AT105=0,100000,0)+IF(AR105="Yes",10000,0)+AV105*100+AU105)</f>
        <v/>
      </c>
      <c r="AX105" s="17" t="str">
        <f>IF(AW105="","",COUNTIF($AW$4:$AW$106,"&gt;"&amp;AW105)+COUNTIF($AW$4:AW105,AW105))</f>
        <v/>
      </c>
      <c r="AY105" s="17" t="str">
        <f>IFERROR(IF(Lists!$J105="","",Lists!$N105),"")</f>
        <v>Yes</v>
      </c>
      <c r="BA105" s="17" t="str">
        <f>IFERROR(IF('Training Plan'!$A106="","",'Training Plan'!$A106),"")</f>
        <v/>
      </c>
      <c r="BB105" s="17" t="str">
        <f>IFERROR(IF('Training Plan'!$A106="","",'Training Plan'!$B106),"")</f>
        <v/>
      </c>
      <c r="BC105" s="17" t="str">
        <f>IFERROR(IF('Training Plan'!$A106="","",'Training Plan'!$C106),"")</f>
        <v/>
      </c>
      <c r="BD105" s="17" t="str">
        <f>IFERROR(IF('Training Plan'!$A106="","",'Training Plan'!$D106),"")</f>
        <v/>
      </c>
      <c r="BE105" s="17" t="str">
        <f>IFERROR(IF('Training Plan'!$A106="","",'Training Plan'!$E106),"")</f>
        <v/>
      </c>
      <c r="BF105" s="17" t="str">
        <f>IFERROR(IF('Training Plan'!$A106="","",'Training Plan'!$F106),"")</f>
        <v/>
      </c>
      <c r="BG105" s="17" t="str">
        <f>IFERROR(IF('Training Plan'!$A106="","",'Training Plan'!$G106),"")</f>
        <v/>
      </c>
      <c r="BH105" s="17" t="str">
        <f>IFERROR(IF('Training Plan'!$A106="","",'Training Plan'!$H106),"")</f>
        <v/>
      </c>
      <c r="BI105" s="17" t="str">
        <f>IF(OR(BA105="",BF105="Complete",AND('Skill Management'!$D$4&lt;&gt;"All Departments",BB105&lt;&gt;'Skill Management'!$D$4)),"",IF(BF105="Blocked",100000,IF(BF105="In Progress",200000,300000))+IF(BE105="",99999,BE105))</f>
        <v/>
      </c>
      <c r="BJ105" s="17" t="str">
        <f>IF(BI105="","",COUNTIFS($BI$4:$BI$203,"&gt;0",$BI$4:$BI$203,"&lt;"&amp;BI105)+COUNTIF($BI$4:BI105,BI105))</f>
        <v/>
      </c>
      <c r="BT105" t="str">
        <f t="shared" si="35"/>
        <v>Data Privacy &amp; Acceptable Use</v>
      </c>
      <c r="BU105" t="str">
        <f t="shared" si="36"/>
        <v>Compliance &amp; Core Training</v>
      </c>
      <c r="BV105">
        <f>IF(BT105="","",IFERROR(INDEX('Skills Matrix'!$G$6:$DE$205,MATCH('Employee Transcript'!$C$4,'Skills Matrix'!$B$6:$B$205,0),MATCH(BT105,'Skills Matrix'!$G$5:$DE$5,0)),""))</f>
        <v>3</v>
      </c>
      <c r="BW105">
        <f>IF(BT105="","",IFERROR(INDEX('Competency Event Log'!$E$4:$E$803,MATCH('Employee Transcript'!$C$4&amp;"|"&amp;BT105,'Competency Event Log'!$U$4:$U$803,0)),""))</f>
        <v>45868</v>
      </c>
      <c r="BX105" t="str">
        <f>IF(BT105="","",IF(BU105='Employee Transcript'!$B$7,"Home Department","Cross-Trained"))</f>
        <v>Cross-Trained</v>
      </c>
      <c r="BY105" t="str">
        <f t="shared" si="37"/>
        <v>Yes</v>
      </c>
      <c r="BZ105" t="str">
        <f>IF(BT105="","",IFERROR(INDEX('Competency Event Log'!$L$4:$L$803,MATCH('Employee Transcript'!$C$4&amp;"|"&amp;BT105,'Competency Event Log'!$U$4:$U$803,0)),""))</f>
        <v>DEMO-00013</v>
      </c>
      <c r="CA105">
        <f>IF(N(BV105)&gt;0,COUNTIF($BV$4:BV105,"&gt;0"),"")</f>
        <v>7</v>
      </c>
      <c r="CB105" t="str">
        <f>IF(AND('Competency Event Log'!$B105='Employee Transcript'!$C$4,'Competency Event Log'!$I105&lt;&gt;"Yes"),'Competency Event Log'!$K105,"")</f>
        <v/>
      </c>
      <c r="CC105" t="str">
        <f t="shared" si="28"/>
        <v/>
      </c>
      <c r="CD105" t="str">
        <f>IF(Certifications!$A105='Employee Transcript'!$C$4,105,"")</f>
        <v/>
      </c>
      <c r="CE105" t="str">
        <f>IF(CD105="","",COUNTIF($CD$4:CD105,"&gt;0"))</f>
        <v/>
      </c>
      <c r="CF105" t="str">
        <f>IF(AND('Training Plan'!$A106='Employee Transcript'!$C$4,'Training Plan'!$F106&lt;&gt;"Complete"),106,"")</f>
        <v/>
      </c>
      <c r="CG105" t="str">
        <f>IF(CF105="","",COUNTIF($CF$4:CF105,"&gt;0"))</f>
        <v/>
      </c>
    </row>
    <row r="106" spans="1:85">
      <c r="A106" s="2"/>
      <c r="B106" s="1"/>
      <c r="C106" s="1"/>
      <c r="D106" s="1"/>
      <c r="E106" s="1"/>
      <c r="F106" s="3"/>
      <c r="G106" s="1"/>
      <c r="H106" s="4"/>
      <c r="I106" s="1" t="s">
        <v>470</v>
      </c>
      <c r="J106" s="1" t="s">
        <v>468</v>
      </c>
      <c r="K106" s="1" t="s">
        <v>213</v>
      </c>
      <c r="L106" s="1" t="s">
        <v>27</v>
      </c>
      <c r="M106" s="1">
        <v>4</v>
      </c>
      <c r="N106" s="1" t="s">
        <v>27</v>
      </c>
      <c r="P106" s="1" t="s">
        <v>468</v>
      </c>
      <c r="Q106" s="1" t="s">
        <v>213</v>
      </c>
      <c r="R106" s="1">
        <v>15</v>
      </c>
      <c r="S106" s="1">
        <f>COUNTIF('Skills Matrix'!$DE$6:$DE$205,3)</f>
        <v>7</v>
      </c>
      <c r="T106" s="1">
        <f t="shared" si="29"/>
        <v>8</v>
      </c>
      <c r="U106" s="1">
        <f>IF(AND(T106&gt;0,OR('HR Quick View'!$F$24="All Departments",Q106='HR Quick View'!$F$24)),COUNTIFS($T$4:$T$108,"&gt;"&amp;T106,$Q$4:$Q$108,IF('HR Quick View'!$F$24="All Departments","*",'HR Quick View'!$F$24))+COUNTIFS($T$4:T106,T106,$Q$4:Q106,IF('HR Quick View'!$F$24="All Departments","*",'HR Quick View'!$F$24)),"")</f>
        <v>8</v>
      </c>
      <c r="W106" s="1" t="s">
        <v>468</v>
      </c>
      <c r="X106" s="1" t="s">
        <v>213</v>
      </c>
      <c r="Y106" s="1" t="s">
        <v>27</v>
      </c>
      <c r="Z106" s="1" t="str">
        <f>IF('HR Quick View'!$C$9="","",IF(COUNTIFS('Competency Event Log'!$B$4:$B$803,'HR Quick View'!$C$9,'Competency Event Log'!$C$4:$C$803,W106,'Competency Event Log'!$T$4:$T$803,"Current")=0,"",SUMIFS('Competency Event Log'!$D$4:$D$803,'Competency Event Log'!$B$4:$B$803,'HR Quick View'!$C$9,'Competency Event Log'!$C$4:$C$803,W106,'Competency Event Log'!$T$4:$T$803,"Current")))</f>
        <v/>
      </c>
      <c r="AA106" s="1" t="str">
        <f>IF($Z106="","",IF('HR Quick View'!$B$10="Qualified only",IF($Z106=3,COUNTIF($Z$4:$Z106,3),""),IF('HR Quick View'!$B$10="Developing only",IF(OR($Z106=1,$Z106=2),COUNTIF($Z$4:$Z$108,"&gt;"&amp;$Z106)+COUNTIF($Z$4:$Z106,$Z106)-COUNTIF($Z$4:$Z$108,3),""),IF('HR Quick View'!$B$10="All scored",COUNTIF($Z$4:$Z$108,"&gt;"&amp;$Z106)+COUNTIF($Z$4:$Z106,$Z106),""))))</f>
        <v/>
      </c>
      <c r="AB106" s="1" t="str">
        <f>""</f>
        <v/>
      </c>
      <c r="AC106" s="1">
        <f t="shared" si="30"/>
        <v>15</v>
      </c>
      <c r="AD106" s="1">
        <f t="shared" si="31"/>
        <v>7</v>
      </c>
      <c r="AE106" s="1">
        <f t="shared" si="32"/>
        <v>8</v>
      </c>
      <c r="AF106" s="1" t="str">
        <f>IFERROR(IF(Lists!$B106="","",Lists!$B106),"")</f>
        <v/>
      </c>
      <c r="AG106" s="1" t="str">
        <f>IFERROR(IF(Lists!$B106="","",Lists!$C106),"")</f>
        <v/>
      </c>
      <c r="AH106" s="1" t="str">
        <f>IFERROR(IF(Lists!$B106="","",Lists!$D106),"")</f>
        <v/>
      </c>
      <c r="AI106" s="1" t="str">
        <f>IF(AF106="","",IFERROR(INDEX('Skills Matrix'!$G$6:$DE$205,MATCH(AF106,'Skills Matrix'!$B$6:$B$205,0),MATCH('HR Quick View'!$J$9,'Skills Matrix'!$G$5:$DE$5,0)),""))</f>
        <v/>
      </c>
      <c r="AJ106" s="1" t="str">
        <f t="shared" si="33"/>
        <v/>
      </c>
      <c r="AK106" s="1" t="str">
        <f>IFERROR(IF(Lists!$B106="","",Lists!$E106),"")</f>
        <v/>
      </c>
      <c r="AL106" s="1" t="str">
        <f>IF(AND(OR('HR Quick View'!$L$10="All Shifts",AH106='HR Quick View'!$L$10),OR(AND('HR Quick View'!$I$10="Qualified only",AI106=3),AND('HR Quick View'!$I$10="All trained",AI106&gt;0))),IF('HR Quick View'!$L$10="All Shifts",COUNTIF($AI$4:$AI$203,"&gt;"&amp;AI106)+COUNTIF($AI$4:AI106,AI106),COUNTIFS($AI$4:$AI$203,"&gt;"&amp;AI106,$AH$4:$AH$203,'HR Quick View'!$L$10)+COUNTIFS($AI$4:AI106,AI106,$AH$4:AH106,'HR Quick View'!$L$10)),"")</f>
        <v/>
      </c>
      <c r="AP106" s="17" t="str">
        <f>IFERROR(IF(Lists!$J106="","",Lists!$J106),"")</f>
        <v>Business Continuity Basics</v>
      </c>
      <c r="AQ106" s="17" t="str">
        <f>IFERROR(IF(Lists!$J106="","",Lists!$K106),"")</f>
        <v>Compliance &amp; Core Training</v>
      </c>
      <c r="AR106" s="17" t="str">
        <f>IFERROR(IF(Lists!$J106="","",Lists!$L106),"")</f>
        <v>Yes</v>
      </c>
      <c r="AS106" s="17">
        <f>IFERROR(IF(Lists!$J106="","",Lists!$M106),0)</f>
        <v>4</v>
      </c>
      <c r="AT106" s="17">
        <f>IF(AP106="","",COUNTIF('Skills Matrix'!$DE$6:$DE$205,3))</f>
        <v>7</v>
      </c>
      <c r="AU106" s="17">
        <f>IF(AP106="","",COUNTIF('Skills Matrix'!$DE$6:$DE$205,2))</f>
        <v>3</v>
      </c>
      <c r="AV106" s="17">
        <f t="shared" si="34"/>
        <v>0</v>
      </c>
      <c r="AW106" s="17" t="str">
        <f>IF(OR(AP106="",AS106&lt;=0,AV106&lt;=0,AND('Skill Management'!$D$4&lt;&gt;"All Departments",AQ106&lt;&gt;'Skill Management'!$D$4)),"",IF(AT106=0,100000,0)+IF(AR106="Yes",10000,0)+AV106*100+AU106)</f>
        <v/>
      </c>
      <c r="AX106" s="17" t="str">
        <f>IF(AW106="","",COUNTIF($AW$4:$AW$106,"&gt;"&amp;AW106)+COUNTIF($AW$4:AW106,AW106))</f>
        <v/>
      </c>
      <c r="AY106" s="17" t="str">
        <f>IFERROR(IF(Lists!$J106="","",Lists!$N106),"")</f>
        <v>Yes</v>
      </c>
      <c r="BA106" s="17" t="str">
        <f>IFERROR(IF('Training Plan'!$A107="","",'Training Plan'!$A107),"")</f>
        <v/>
      </c>
      <c r="BB106" s="17" t="str">
        <f>IFERROR(IF('Training Plan'!$A107="","",'Training Plan'!$B107),"")</f>
        <v/>
      </c>
      <c r="BC106" s="17" t="str">
        <f>IFERROR(IF('Training Plan'!$A107="","",'Training Plan'!$C107),"")</f>
        <v/>
      </c>
      <c r="BD106" s="17" t="str">
        <f>IFERROR(IF('Training Plan'!$A107="","",'Training Plan'!$D107),"")</f>
        <v/>
      </c>
      <c r="BE106" s="17" t="str">
        <f>IFERROR(IF('Training Plan'!$A107="","",'Training Plan'!$E107),"")</f>
        <v/>
      </c>
      <c r="BF106" s="17" t="str">
        <f>IFERROR(IF('Training Plan'!$A107="","",'Training Plan'!$F107),"")</f>
        <v/>
      </c>
      <c r="BG106" s="17" t="str">
        <f>IFERROR(IF('Training Plan'!$A107="","",'Training Plan'!$G107),"")</f>
        <v/>
      </c>
      <c r="BH106" s="17" t="str">
        <f>IFERROR(IF('Training Plan'!$A107="","",'Training Plan'!$H107),"")</f>
        <v/>
      </c>
      <c r="BI106" s="17" t="str">
        <f>IF(OR(BA106="",BF106="Complete",AND('Skill Management'!$D$4&lt;&gt;"All Departments",BB106&lt;&gt;'Skill Management'!$D$4)),"",IF(BF106="Blocked",100000,IF(BF106="In Progress",200000,300000))+IF(BE106="",99999,BE106))</f>
        <v/>
      </c>
      <c r="BJ106" s="17" t="str">
        <f>IF(BI106="","",COUNTIFS($BI$4:$BI$203,"&gt;0",$BI$4:$BI$203,"&lt;"&amp;BI106)+COUNTIF($BI$4:BI106,BI106))</f>
        <v/>
      </c>
      <c r="BT106" t="str">
        <f t="shared" si="35"/>
        <v>Business Continuity Basics</v>
      </c>
      <c r="BU106" t="str">
        <f t="shared" si="36"/>
        <v>Compliance &amp; Core Training</v>
      </c>
      <c r="BV106" t="str">
        <f>IF(BT106="","",IFERROR(INDEX('Skills Matrix'!$G$6:$DE$205,MATCH('Employee Transcript'!$C$4,'Skills Matrix'!$B$6:$B$205,0),MATCH(BT106,'Skills Matrix'!$G$5:$DE$5,0)),""))</f>
        <v/>
      </c>
      <c r="BW106" t="str">
        <f>IF(BT106="","",IFERROR(INDEX('Competency Event Log'!$E$4:$E$803,MATCH('Employee Transcript'!$C$4&amp;"|"&amp;BT106,'Competency Event Log'!$U$4:$U$803,0)),""))</f>
        <v/>
      </c>
      <c r="BX106" t="str">
        <f>IF(BT106="","",IF(BU106='Employee Transcript'!$B$7,"Home Department","Cross-Trained"))</f>
        <v>Cross-Trained</v>
      </c>
      <c r="BY106" t="str">
        <f t="shared" si="37"/>
        <v>Yes</v>
      </c>
      <c r="BZ106" t="str">
        <f>IF(BT106="","",IFERROR(INDEX('Competency Event Log'!$L$4:$L$803,MATCH('Employee Transcript'!$C$4&amp;"|"&amp;BT106,'Competency Event Log'!$U$4:$U$803,0)),""))</f>
        <v/>
      </c>
      <c r="CA106" t="str">
        <f>IF(N(BV106)&gt;0,COUNTIF($BV$4:BV106,"&gt;0"),"")</f>
        <v/>
      </c>
      <c r="CB106" t="str">
        <f>IF(AND('Competency Event Log'!$B106='Employee Transcript'!$C$4,'Competency Event Log'!$I106&lt;&gt;"Yes"),'Competency Event Log'!$K106,"")</f>
        <v/>
      </c>
      <c r="CC106" t="str">
        <f t="shared" si="28"/>
        <v/>
      </c>
      <c r="CD106" t="str">
        <f>IF(Certifications!$A106='Employee Transcript'!$C$4,106,"")</f>
        <v/>
      </c>
      <c r="CE106" t="str">
        <f>IF(CD106="","",COUNTIF($CD$4:CD106,"&gt;0"))</f>
        <v/>
      </c>
      <c r="CF106" t="str">
        <f>IF(AND('Training Plan'!$A107='Employee Transcript'!$C$4,'Training Plan'!$F107&lt;&gt;"Complete"),107,"")</f>
        <v/>
      </c>
      <c r="CG106" t="str">
        <f>IF(CF106="","",COUNTIF($CF$4:CF106,"&gt;0"))</f>
        <v/>
      </c>
    </row>
    <row r="107" spans="1:85">
      <c r="A107" s="2"/>
      <c r="B107" s="1"/>
      <c r="C107" s="1"/>
      <c r="D107" s="1"/>
      <c r="E107" s="1"/>
      <c r="F107" s="3"/>
      <c r="G107" s="1"/>
      <c r="H107" s="4"/>
      <c r="I107" s="1" t="s">
        <v>816</v>
      </c>
      <c r="J107" s="1" t="s">
        <v>811</v>
      </c>
      <c r="K107" s="1" t="s">
        <v>307</v>
      </c>
      <c r="L107" s="1" t="s">
        <v>411</v>
      </c>
      <c r="M107" s="1">
        <v>2</v>
      </c>
      <c r="N107" s="1"/>
      <c r="W107" s="1" t="str">
        <f t="shared" ref="W107:Y108" si="38">J107</f>
        <v>IT Service Desk Escalation</v>
      </c>
      <c r="X107" s="1" t="str">
        <f t="shared" si="38"/>
        <v>IT Operations</v>
      </c>
      <c r="Y107" s="1" t="str">
        <f t="shared" si="38"/>
        <v>No</v>
      </c>
      <c r="Z107" s="1" t="str">
        <f>IF('HR Quick View'!$C$9="","",IF(COUNTIFS('Competency Event Log'!$B$4:$B$803,'HR Quick View'!$C$9,'Competency Event Log'!$C$4:$C$803,W107,'Competency Event Log'!$T$4:$T$803,"Current")=0,"",SUMIFS('Competency Event Log'!$D$4:$D$803,'Competency Event Log'!$B$4:$B$803,'HR Quick View'!$C$9,'Competency Event Log'!$C$4:$C$803,W107,'Competency Event Log'!$T$4:$T$803,"Current")))</f>
        <v/>
      </c>
      <c r="AA107" s="1" t="str">
        <f>IF($Z107="","",IF('HR Quick View'!$B$10="Qualified only",IF($Z107=3,COUNTIF($Z$4:$Z107,3),""),IF('HR Quick View'!$B$10="Developing only",IF(OR($Z107=1,$Z107=2),COUNTIF($Z$4:$Z$108,"&gt;"&amp;$Z107)+COUNTIF($Z$4:$Z107,$Z107)-COUNTIF($Z$4:$Z$108,3),""),IF('HR Quick View'!$B$10="All scored",COUNTIF($Z$4:$Z$108,"&gt;"&amp;$Z107)+COUNTIF($Z$4:$Z107,$Z107),""))))</f>
        <v/>
      </c>
      <c r="AB107" s="1" t="str">
        <f>""</f>
        <v/>
      </c>
      <c r="AC107" s="1">
        <f>0</f>
        <v>0</v>
      </c>
      <c r="AD107" s="1">
        <f>0</f>
        <v>0</v>
      </c>
      <c r="AE107" s="1">
        <f>0</f>
        <v>0</v>
      </c>
      <c r="AF107" s="1" t="str">
        <f>IFERROR(IF(Lists!$B107="","",Lists!$B107),"")</f>
        <v/>
      </c>
      <c r="AG107" s="1" t="str">
        <f>IFERROR(IF(Lists!$B107="","",Lists!$C107),"")</f>
        <v/>
      </c>
      <c r="AH107" s="1" t="str">
        <f>IFERROR(IF(Lists!$B107="","",Lists!$D107),"")</f>
        <v/>
      </c>
      <c r="AI107" s="1" t="str">
        <f>IF(AF107="","",IFERROR(INDEX('Skills Matrix'!$G$6:$DE$205,MATCH(AF107,'Skills Matrix'!$B$6:$B$205,0),MATCH('HR Quick View'!$J$9,'Skills Matrix'!$G$5:$DE$5,0)),""))</f>
        <v/>
      </c>
      <c r="AJ107" s="1" t="str">
        <f t="shared" si="33"/>
        <v/>
      </c>
      <c r="AK107" s="1" t="str">
        <f>IFERROR(IF(Lists!$B107="","",Lists!$E107),"")</f>
        <v/>
      </c>
      <c r="AL107" s="1" t="str">
        <f>IF(AND(OR('HR Quick View'!$L$10="All Shifts",AH107='HR Quick View'!$L$10),OR(AND('HR Quick View'!$I$10="Qualified only",AI107=3),AND('HR Quick View'!$I$10="All trained",AI107&gt;0))),IF('HR Quick View'!$L$10="All Shifts",COUNTIF($AI$4:$AI$203,"&gt;"&amp;AI107)+COUNTIF($AI$4:AI107,AI107),COUNTIFS($AI$4:$AI$203,"&gt;"&amp;AI107,$AH$4:$AH$203,'HR Quick View'!$L$10)+COUNTIFS($AI$4:AI107,AI107,$AH$4:AH107,'HR Quick View'!$L$10)),"")</f>
        <v/>
      </c>
      <c r="BA107" s="17" t="str">
        <f>IFERROR(IF('Training Plan'!$A108="","",'Training Plan'!$A108),"")</f>
        <v/>
      </c>
      <c r="BB107" s="17" t="str">
        <f>IFERROR(IF('Training Plan'!$A108="","",'Training Plan'!$B108),"")</f>
        <v/>
      </c>
      <c r="BC107" s="17" t="str">
        <f>IFERROR(IF('Training Plan'!$A108="","",'Training Plan'!$C108),"")</f>
        <v/>
      </c>
      <c r="BD107" s="17" t="str">
        <f>IFERROR(IF('Training Plan'!$A108="","",'Training Plan'!$D108),"")</f>
        <v/>
      </c>
      <c r="BE107" s="17" t="str">
        <f>IFERROR(IF('Training Plan'!$A108="","",'Training Plan'!$E108),"")</f>
        <v/>
      </c>
      <c r="BF107" s="17" t="str">
        <f>IFERROR(IF('Training Plan'!$A108="","",'Training Plan'!$F108),"")</f>
        <v/>
      </c>
      <c r="BG107" s="17" t="str">
        <f>IFERROR(IF('Training Plan'!$A108="","",'Training Plan'!$G108),"")</f>
        <v/>
      </c>
      <c r="BH107" s="17" t="str">
        <f>IFERROR(IF('Training Plan'!$A108="","",'Training Plan'!$H108),"")</f>
        <v/>
      </c>
      <c r="BI107" s="17" t="str">
        <f>IF(OR(BA107="",BF107="Complete",AND('Skill Management'!$D$4&lt;&gt;"All Departments",BB107&lt;&gt;'Skill Management'!$D$4)),"",IF(BF107="Blocked",100000,IF(BF107="In Progress",200000,300000))+IF(BE107="",99999,BE107))</f>
        <v/>
      </c>
      <c r="BJ107" s="17" t="str">
        <f>IF(BI107="","",COUNTIFS($BI$4:$BI$203,"&gt;0",$BI$4:$BI$203,"&lt;"&amp;BI107)+COUNTIF($BI$4:BI107,BI107))</f>
        <v/>
      </c>
      <c r="BT107" t="str">
        <f t="shared" si="35"/>
        <v>IT Service Desk Escalation</v>
      </c>
      <c r="BU107" t="str">
        <f t="shared" si="36"/>
        <v>IT Operations</v>
      </c>
      <c r="BV107" t="str">
        <f>IF(BT107="","",IFERROR(INDEX('Skills Matrix'!$G$6:$DE$205,MATCH('Employee Transcript'!$C$4,'Skills Matrix'!$B$6:$B$205,0),MATCH(BT107,'Skills Matrix'!$G$5:$DE$5,0)),""))</f>
        <v/>
      </c>
      <c r="BW107" t="str">
        <f>IF(BT107="","",IFERROR(INDEX('Competency Event Log'!$E$4:$E$803,MATCH('Employee Transcript'!$C$4&amp;"|"&amp;BT107,'Competency Event Log'!$U$4:$U$803,0)),""))</f>
        <v/>
      </c>
      <c r="BX107" t="str">
        <f>IF(BT107="","",IF(BU107='Employee Transcript'!$B$7,"Home Department","Cross-Trained"))</f>
        <v>Cross-Trained</v>
      </c>
      <c r="BY107" t="str">
        <f t="shared" si="37"/>
        <v>No</v>
      </c>
      <c r="BZ107" t="str">
        <f>IF(BT107="","",IFERROR(INDEX('Competency Event Log'!$L$4:$L$803,MATCH('Employee Transcript'!$C$4&amp;"|"&amp;BT107,'Competency Event Log'!$U$4:$U$803,0)),""))</f>
        <v/>
      </c>
      <c r="CA107" t="str">
        <f>IF(N(BV107)&gt;0,COUNTIF($BV$4:BV107,"&gt;0"),"")</f>
        <v/>
      </c>
      <c r="CB107" t="str">
        <f>IF(AND('Competency Event Log'!$B107='Employee Transcript'!$C$4,'Competency Event Log'!$I107&lt;&gt;"Yes"),'Competency Event Log'!$K107,"")</f>
        <v/>
      </c>
      <c r="CC107" t="str">
        <f t="shared" si="28"/>
        <v/>
      </c>
      <c r="CD107" t="str">
        <f>IF(Certifications!$A107='Employee Transcript'!$C$4,107,"")</f>
        <v/>
      </c>
      <c r="CE107" t="str">
        <f>IF(CD107="","",COUNTIF($CD$4:CD107,"&gt;0"))</f>
        <v/>
      </c>
      <c r="CF107" t="str">
        <f>IF(AND('Training Plan'!$A108='Employee Transcript'!$C$4,'Training Plan'!$F108&lt;&gt;"Complete"),108,"")</f>
        <v/>
      </c>
      <c r="CG107" t="str">
        <f>IF(CF107="","",COUNTIF($CF$4:CF107,"&gt;0"))</f>
        <v/>
      </c>
    </row>
    <row r="108" spans="1:85">
      <c r="A108" s="2"/>
      <c r="B108" s="1"/>
      <c r="C108" s="1"/>
      <c r="D108" s="1"/>
      <c r="E108" s="1"/>
      <c r="F108" s="3"/>
      <c r="G108" s="1"/>
      <c r="H108" s="4"/>
      <c r="I108" s="1" t="s">
        <v>1279</v>
      </c>
      <c r="J108" s="1" t="s">
        <v>1232</v>
      </c>
      <c r="K108" s="1" t="s">
        <v>311</v>
      </c>
      <c r="L108" s="1" t="s">
        <v>411</v>
      </c>
      <c r="M108" s="1">
        <v>2</v>
      </c>
      <c r="N108" s="1"/>
      <c r="W108" s="1" t="str">
        <f t="shared" si="38"/>
        <v>Security Incident Escalation</v>
      </c>
      <c r="X108" s="1" t="str">
        <f t="shared" si="38"/>
        <v>Cybersecurity</v>
      </c>
      <c r="Y108" s="1" t="str">
        <f t="shared" si="38"/>
        <v>No</v>
      </c>
      <c r="Z108" s="1" t="str">
        <f>IF('HR Quick View'!$C$9="","",IF(COUNTIFS('Competency Event Log'!$B$4:$B$803,'HR Quick View'!$C$9,'Competency Event Log'!$C$4:$C$803,W108,'Competency Event Log'!$T$4:$T$803,"Current")=0,"",SUMIFS('Competency Event Log'!$D$4:$D$803,'Competency Event Log'!$B$4:$B$803,'HR Quick View'!$C$9,'Competency Event Log'!$C$4:$C$803,W108,'Competency Event Log'!$T$4:$T$803,"Current")))</f>
        <v/>
      </c>
      <c r="AA108" s="1" t="str">
        <f>IF($Z108="","",IF('HR Quick View'!$B$10="Qualified only",IF($Z108=3,COUNTIF($Z$4:$Z108,3),""),IF('HR Quick View'!$B$10="Developing only",IF(OR($Z108=1,$Z108=2),COUNTIF($Z$4:$Z$108,"&gt;"&amp;$Z108)+COUNTIF($Z$4:$Z108,$Z108)-COUNTIF($Z$4:$Z$108,3),""),IF('HR Quick View'!$B$10="All scored",COUNTIF($Z$4:$Z$108,"&gt;"&amp;$Z108)+COUNTIF($Z$4:$Z108,$Z108),""))))</f>
        <v/>
      </c>
      <c r="AB108" s="1" t="str">
        <f>""</f>
        <v/>
      </c>
      <c r="AC108" s="1">
        <f>0</f>
        <v>0</v>
      </c>
      <c r="AD108" s="1">
        <f>0</f>
        <v>0</v>
      </c>
      <c r="AE108" s="1">
        <f>0</f>
        <v>0</v>
      </c>
      <c r="AF108" s="1" t="str">
        <f>IFERROR(IF(Lists!$B108="","",Lists!$B108),"")</f>
        <v/>
      </c>
      <c r="AG108" s="1" t="str">
        <f>IFERROR(IF(Lists!$B108="","",Lists!$C108),"")</f>
        <v/>
      </c>
      <c r="AH108" s="1" t="str">
        <f>IFERROR(IF(Lists!$B108="","",Lists!$D108),"")</f>
        <v/>
      </c>
      <c r="AI108" s="1" t="str">
        <f>IF(AF108="","",IFERROR(INDEX('Skills Matrix'!$G$6:$DE$205,MATCH(AF108,'Skills Matrix'!$B$6:$B$205,0),MATCH('HR Quick View'!$J$9,'Skills Matrix'!$G$5:$DE$5,0)),""))</f>
        <v/>
      </c>
      <c r="AJ108" s="1" t="str">
        <f t="shared" si="33"/>
        <v/>
      </c>
      <c r="AK108" s="1" t="str">
        <f>IFERROR(IF(Lists!$B108="","",Lists!$E108),"")</f>
        <v/>
      </c>
      <c r="AL108" s="1" t="str">
        <f>IF(AND(OR('HR Quick View'!$L$10="All Shifts",AH108='HR Quick View'!$L$10),OR(AND('HR Quick View'!$I$10="Qualified only",AI108=3),AND('HR Quick View'!$I$10="All trained",AI108&gt;0))),IF('HR Quick View'!$L$10="All Shifts",COUNTIF($AI$4:$AI$203,"&gt;"&amp;AI108)+COUNTIF($AI$4:AI108,AI108),COUNTIFS($AI$4:$AI$203,"&gt;"&amp;AI108,$AH$4:$AH$203,'HR Quick View'!$L$10)+COUNTIFS($AI$4:AI108,AI108,$AH$4:AH108,'HR Quick View'!$L$10)),"")</f>
        <v/>
      </c>
      <c r="BA108" s="17" t="str">
        <f>IFERROR(IF('Training Plan'!$A109="","",'Training Plan'!$A109),"")</f>
        <v/>
      </c>
      <c r="BB108" s="17" t="str">
        <f>IFERROR(IF('Training Plan'!$A109="","",'Training Plan'!$B109),"")</f>
        <v/>
      </c>
      <c r="BC108" s="17" t="str">
        <f>IFERROR(IF('Training Plan'!$A109="","",'Training Plan'!$C109),"")</f>
        <v/>
      </c>
      <c r="BD108" s="17" t="str">
        <f>IFERROR(IF('Training Plan'!$A109="","",'Training Plan'!$D109),"")</f>
        <v/>
      </c>
      <c r="BE108" s="17" t="str">
        <f>IFERROR(IF('Training Plan'!$A109="","",'Training Plan'!$E109),"")</f>
        <v/>
      </c>
      <c r="BF108" s="17" t="str">
        <f>IFERROR(IF('Training Plan'!$A109="","",'Training Plan'!$F109),"")</f>
        <v/>
      </c>
      <c r="BG108" s="17" t="str">
        <f>IFERROR(IF('Training Plan'!$A109="","",'Training Plan'!$G109),"")</f>
        <v/>
      </c>
      <c r="BH108" s="17" t="str">
        <f>IFERROR(IF('Training Plan'!$A109="","",'Training Plan'!$H109),"")</f>
        <v/>
      </c>
      <c r="BI108" s="17" t="str">
        <f>IF(OR(BA108="",BF108="Complete",AND('Skill Management'!$D$4&lt;&gt;"All Departments",BB108&lt;&gt;'Skill Management'!$D$4)),"",IF(BF108="Blocked",100000,IF(BF108="In Progress",200000,300000))+IF(BE108="",99999,BE108))</f>
        <v/>
      </c>
      <c r="BJ108" s="17" t="str">
        <f>IF(BI108="","",COUNTIFS($BI$4:$BI$203,"&gt;0",$BI$4:$BI$203,"&lt;"&amp;BI108)+COUNTIF($BI$4:BI108,BI108))</f>
        <v/>
      </c>
      <c r="BT108" t="str">
        <f t="shared" si="35"/>
        <v>Security Incident Escalation</v>
      </c>
      <c r="BU108" t="str">
        <f t="shared" si="36"/>
        <v>Cybersecurity</v>
      </c>
      <c r="BV108" t="str">
        <f>IF(BT108="","",IFERROR(INDEX('Skills Matrix'!$G$6:$DE$205,MATCH('Employee Transcript'!$C$4,'Skills Matrix'!$B$6:$B$205,0),MATCH(BT108,'Skills Matrix'!$G$5:$DE$5,0)),""))</f>
        <v/>
      </c>
      <c r="BW108" t="str">
        <f>IF(BT108="","",IFERROR(INDEX('Competency Event Log'!$E$4:$E$803,MATCH('Employee Transcript'!$C$4&amp;"|"&amp;BT108,'Competency Event Log'!$U$4:$U$803,0)),""))</f>
        <v/>
      </c>
      <c r="BX108" t="str">
        <f>IF(BT108="","",IF(BU108='Employee Transcript'!$B$7,"Home Department","Cross-Trained"))</f>
        <v>Cross-Trained</v>
      </c>
      <c r="BY108" t="str">
        <f t="shared" si="37"/>
        <v>No</v>
      </c>
      <c r="BZ108" t="str">
        <f>IF(BT108="","",IFERROR(INDEX('Competency Event Log'!$L$4:$L$803,MATCH('Employee Transcript'!$C$4&amp;"|"&amp;BT108,'Competency Event Log'!$U$4:$U$803,0)),""))</f>
        <v/>
      </c>
      <c r="CA108" t="str">
        <f>IF(N(BV108)&gt;0,COUNTIF($BV$4:BV108,"&gt;0"),"")</f>
        <v/>
      </c>
      <c r="CB108" t="str">
        <f>IF(AND('Competency Event Log'!$B108='Employee Transcript'!$C$4,'Competency Event Log'!$I108&lt;&gt;"Yes"),'Competency Event Log'!$K108,"")</f>
        <v/>
      </c>
      <c r="CC108" t="str">
        <f t="shared" si="28"/>
        <v/>
      </c>
      <c r="CD108" t="str">
        <f>IF(Certifications!$A108='Employee Transcript'!$C$4,108,"")</f>
        <v/>
      </c>
      <c r="CE108" t="str">
        <f>IF(CD108="","",COUNTIF($CD$4:CD108,"&gt;0"))</f>
        <v/>
      </c>
      <c r="CF108" t="str">
        <f>IF(AND('Training Plan'!$A109='Employee Transcript'!$C$4,'Training Plan'!$F109&lt;&gt;"Complete"),109,"")</f>
        <v/>
      </c>
      <c r="CG108" t="str">
        <f>IF(CF108="","",COUNTIF($CF$4:CF108,"&gt;0"))</f>
        <v/>
      </c>
    </row>
    <row r="109" spans="1:85">
      <c r="A109" s="2"/>
      <c r="B109" s="1"/>
      <c r="C109" s="1"/>
      <c r="D109" s="1"/>
      <c r="E109" s="1"/>
      <c r="F109" s="3"/>
      <c r="G109" s="1"/>
      <c r="H109" s="4"/>
      <c r="I109" s="1"/>
      <c r="J109" s="1"/>
      <c r="K109" s="1"/>
      <c r="L109" s="1"/>
      <c r="M109" s="1"/>
      <c r="N109" s="1"/>
      <c r="AF109" s="1" t="str">
        <f>IFERROR(IF(Lists!$B109="","",Lists!$B109),"")</f>
        <v/>
      </c>
      <c r="AG109" s="1" t="str">
        <f>IFERROR(IF(Lists!$B109="","",Lists!$C109),"")</f>
        <v/>
      </c>
      <c r="AH109" s="1" t="str">
        <f>IFERROR(IF(Lists!$B109="","",Lists!$D109),"")</f>
        <v/>
      </c>
      <c r="AI109" s="1" t="str">
        <f>IF(AF109="","",IFERROR(INDEX('Skills Matrix'!$G$6:$DE$205,MATCH(AF109,'Skills Matrix'!$B$6:$B$205,0),MATCH('HR Quick View'!$J$9,'Skills Matrix'!$G$5:$DE$5,0)),""))</f>
        <v/>
      </c>
      <c r="AJ109" s="1" t="str">
        <f t="shared" si="33"/>
        <v/>
      </c>
      <c r="AK109" s="1" t="str">
        <f>IFERROR(IF(Lists!$B109="","",Lists!$E109),"")</f>
        <v/>
      </c>
      <c r="AL109" s="1" t="str">
        <f>IF(AND(OR('HR Quick View'!$L$10="All Shifts",AH109='HR Quick View'!$L$10),OR(AND('HR Quick View'!$I$10="Qualified only",AI109=3),AND('HR Quick View'!$I$10="All trained",AI109&gt;0))),IF('HR Quick View'!$L$10="All Shifts",COUNTIF($AI$4:$AI$203,"&gt;"&amp;AI109)+COUNTIF($AI$4:AI109,AI109),COUNTIFS($AI$4:$AI$203,"&gt;"&amp;AI109,$AH$4:$AH$203,'HR Quick View'!$L$10)+COUNTIFS($AI$4:AI109,AI109,$AH$4:AH109,'HR Quick View'!$L$10)),"")</f>
        <v/>
      </c>
      <c r="BA109" s="17" t="str">
        <f>IFERROR(IF('Training Plan'!$A110="","",'Training Plan'!$A110),"")</f>
        <v/>
      </c>
      <c r="BB109" s="17" t="str">
        <f>IFERROR(IF('Training Plan'!$A110="","",'Training Plan'!$B110),"")</f>
        <v/>
      </c>
      <c r="BC109" s="17" t="str">
        <f>IFERROR(IF('Training Plan'!$A110="","",'Training Plan'!$C110),"")</f>
        <v/>
      </c>
      <c r="BD109" s="17" t="str">
        <f>IFERROR(IF('Training Plan'!$A110="","",'Training Plan'!$D110),"")</f>
        <v/>
      </c>
      <c r="BE109" s="17" t="str">
        <f>IFERROR(IF('Training Plan'!$A110="","",'Training Plan'!$E110),"")</f>
        <v/>
      </c>
      <c r="BF109" s="17" t="str">
        <f>IFERROR(IF('Training Plan'!$A110="","",'Training Plan'!$F110),"")</f>
        <v/>
      </c>
      <c r="BG109" s="17" t="str">
        <f>IFERROR(IF('Training Plan'!$A110="","",'Training Plan'!$G110),"")</f>
        <v/>
      </c>
      <c r="BH109" s="17" t="str">
        <f>IFERROR(IF('Training Plan'!$A110="","",'Training Plan'!$H110),"")</f>
        <v/>
      </c>
      <c r="BI109" s="17" t="str">
        <f>IF(OR(BA109="",BF109="Complete",AND('Skill Management'!$D$4&lt;&gt;"All Departments",BB109&lt;&gt;'Skill Management'!$D$4)),"",IF(BF109="Blocked",100000,IF(BF109="In Progress",200000,300000))+IF(BE109="",99999,BE109))</f>
        <v/>
      </c>
      <c r="BJ109" s="17" t="str">
        <f>IF(BI109="","",COUNTIFS($BI$4:$BI$203,"&gt;0",$BI$4:$BI$203,"&lt;"&amp;BI109)+COUNTIF($BI$4:BI109,BI109))</f>
        <v/>
      </c>
      <c r="CB109" t="str">
        <f>IF(AND('Competency Event Log'!$B109='Employee Transcript'!$C$4,'Competency Event Log'!$I109&lt;&gt;"Yes"),'Competency Event Log'!$K109,"")</f>
        <v/>
      </c>
      <c r="CC109" t="str">
        <f t="shared" si="28"/>
        <v/>
      </c>
      <c r="CD109" t="str">
        <f>IF(Certifications!$A109='Employee Transcript'!$C$4,109,"")</f>
        <v/>
      </c>
      <c r="CE109" t="str">
        <f>IF(CD109="","",COUNTIF($CD$4:CD109,"&gt;0"))</f>
        <v/>
      </c>
      <c r="CF109" t="str">
        <f>IF(AND('Training Plan'!$A110='Employee Transcript'!$C$4,'Training Plan'!$F110&lt;&gt;"Complete"),110,"")</f>
        <v/>
      </c>
      <c r="CG109" t="str">
        <f>IF(CF109="","",COUNTIF($CF$4:CF109,"&gt;0"))</f>
        <v/>
      </c>
    </row>
    <row r="110" spans="1:85">
      <c r="A110" s="2"/>
      <c r="B110" s="1"/>
      <c r="C110" s="1"/>
      <c r="D110" s="1"/>
      <c r="E110" s="1"/>
      <c r="F110" s="3"/>
      <c r="G110" s="1"/>
      <c r="H110" s="4"/>
      <c r="I110" s="1"/>
      <c r="J110" s="1"/>
      <c r="K110" s="1"/>
      <c r="L110" s="1"/>
      <c r="M110" s="1"/>
      <c r="N110" s="1"/>
      <c r="AF110" s="1" t="str">
        <f>IFERROR(IF(Lists!$B110="","",Lists!$B110),"")</f>
        <v/>
      </c>
      <c r="AG110" s="1" t="str">
        <f>IFERROR(IF(Lists!$B110="","",Lists!$C110),"")</f>
        <v/>
      </c>
      <c r="AH110" s="1" t="str">
        <f>IFERROR(IF(Lists!$B110="","",Lists!$D110),"")</f>
        <v/>
      </c>
      <c r="AI110" s="1" t="str">
        <f>IF(AF110="","",IFERROR(INDEX('Skills Matrix'!$G$6:$DE$205,MATCH(AF110,'Skills Matrix'!$B$6:$B$205,0),MATCH('HR Quick View'!$J$9,'Skills Matrix'!$G$5:$DE$5,0)),""))</f>
        <v/>
      </c>
      <c r="AJ110" s="1" t="str">
        <f t="shared" si="33"/>
        <v/>
      </c>
      <c r="AK110" s="1" t="str">
        <f>IFERROR(IF(Lists!$B110="","",Lists!$E110),"")</f>
        <v/>
      </c>
      <c r="AL110" s="1" t="str">
        <f>IF(AND(OR('HR Quick View'!$L$10="All Shifts",AH110='HR Quick View'!$L$10),OR(AND('HR Quick View'!$I$10="Qualified only",AI110=3),AND('HR Quick View'!$I$10="All trained",AI110&gt;0))),IF('HR Quick View'!$L$10="All Shifts",COUNTIF($AI$4:$AI$203,"&gt;"&amp;AI110)+COUNTIF($AI$4:AI110,AI110),COUNTIFS($AI$4:$AI$203,"&gt;"&amp;AI110,$AH$4:$AH$203,'HR Quick View'!$L$10)+COUNTIFS($AI$4:AI110,AI110,$AH$4:AH110,'HR Quick View'!$L$10)),"")</f>
        <v/>
      </c>
      <c r="BA110" s="17" t="str">
        <f>IFERROR(IF('Training Plan'!$A111="","",'Training Plan'!$A111),"")</f>
        <v/>
      </c>
      <c r="BB110" s="17" t="str">
        <f>IFERROR(IF('Training Plan'!$A111="","",'Training Plan'!$B111),"")</f>
        <v/>
      </c>
      <c r="BC110" s="17" t="str">
        <f>IFERROR(IF('Training Plan'!$A111="","",'Training Plan'!$C111),"")</f>
        <v/>
      </c>
      <c r="BD110" s="17" t="str">
        <f>IFERROR(IF('Training Plan'!$A111="","",'Training Plan'!$D111),"")</f>
        <v/>
      </c>
      <c r="BE110" s="17" t="str">
        <f>IFERROR(IF('Training Plan'!$A111="","",'Training Plan'!$E111),"")</f>
        <v/>
      </c>
      <c r="BF110" s="17" t="str">
        <f>IFERROR(IF('Training Plan'!$A111="","",'Training Plan'!$F111),"")</f>
        <v/>
      </c>
      <c r="BG110" s="17" t="str">
        <f>IFERROR(IF('Training Plan'!$A111="","",'Training Plan'!$G111),"")</f>
        <v/>
      </c>
      <c r="BH110" s="17" t="str">
        <f>IFERROR(IF('Training Plan'!$A111="","",'Training Plan'!$H111),"")</f>
        <v/>
      </c>
      <c r="BI110" s="17" t="str">
        <f>IF(OR(BA110="",BF110="Complete",AND('Skill Management'!$D$4&lt;&gt;"All Departments",BB110&lt;&gt;'Skill Management'!$D$4)),"",IF(BF110="Blocked",100000,IF(BF110="In Progress",200000,300000))+IF(BE110="",99999,BE110))</f>
        <v/>
      </c>
      <c r="BJ110" s="17" t="str">
        <f>IF(BI110="","",COUNTIFS($BI$4:$BI$203,"&gt;0",$BI$4:$BI$203,"&lt;"&amp;BI110)+COUNTIF($BI$4:BI110,BI110))</f>
        <v/>
      </c>
      <c r="CB110" t="str">
        <f>IF(AND('Competency Event Log'!$B110='Employee Transcript'!$C$4,'Competency Event Log'!$I110&lt;&gt;"Yes"),'Competency Event Log'!$K110,"")</f>
        <v/>
      </c>
      <c r="CC110" t="str">
        <f t="shared" si="28"/>
        <v/>
      </c>
      <c r="CD110" t="str">
        <f>IF(Certifications!$A110='Employee Transcript'!$C$4,110,"")</f>
        <v/>
      </c>
      <c r="CE110" t="str">
        <f>IF(CD110="","",COUNTIF($CD$4:CD110,"&gt;0"))</f>
        <v/>
      </c>
      <c r="CF110" t="str">
        <f>IF(AND('Training Plan'!$A111='Employee Transcript'!$C$4,'Training Plan'!$F111&lt;&gt;"Complete"),111,"")</f>
        <v/>
      </c>
      <c r="CG110" t="str">
        <f>IF(CF110="","",COUNTIF($CF$4:CF110,"&gt;0"))</f>
        <v/>
      </c>
    </row>
    <row r="111" spans="1:85">
      <c r="A111" s="2"/>
      <c r="B111" s="1"/>
      <c r="C111" s="1"/>
      <c r="D111" s="1"/>
      <c r="E111" s="1"/>
      <c r="F111" s="3"/>
      <c r="G111" s="1"/>
      <c r="H111" s="4"/>
      <c r="I111" s="1"/>
      <c r="J111" s="1"/>
      <c r="K111" s="1"/>
      <c r="L111" s="1"/>
      <c r="M111" s="1"/>
      <c r="N111" s="1"/>
      <c r="AF111" s="1" t="str">
        <f>IFERROR(IF(Lists!$B111="","",Lists!$B111),"")</f>
        <v/>
      </c>
      <c r="AG111" s="1" t="str">
        <f>IFERROR(IF(Lists!$B111="","",Lists!$C111),"")</f>
        <v/>
      </c>
      <c r="AH111" s="1" t="str">
        <f>IFERROR(IF(Lists!$B111="","",Lists!$D111),"")</f>
        <v/>
      </c>
      <c r="AI111" s="1" t="str">
        <f>IF(AF111="","",IFERROR(INDEX('Skills Matrix'!$G$6:$DE$205,MATCH(AF111,'Skills Matrix'!$B$6:$B$205,0),MATCH('HR Quick View'!$J$9,'Skills Matrix'!$G$5:$DE$5,0)),""))</f>
        <v/>
      </c>
      <c r="AJ111" s="1" t="str">
        <f t="shared" si="33"/>
        <v/>
      </c>
      <c r="AK111" s="1" t="str">
        <f>IFERROR(IF(Lists!$B111="","",Lists!$E111),"")</f>
        <v/>
      </c>
      <c r="AL111" s="1" t="str">
        <f>IF(AND(OR('HR Quick View'!$L$10="All Shifts",AH111='HR Quick View'!$L$10),OR(AND('HR Quick View'!$I$10="Qualified only",AI111=3),AND('HR Quick View'!$I$10="All trained",AI111&gt;0))),IF('HR Quick View'!$L$10="All Shifts",COUNTIF($AI$4:$AI$203,"&gt;"&amp;AI111)+COUNTIF($AI$4:AI111,AI111),COUNTIFS($AI$4:$AI$203,"&gt;"&amp;AI111,$AH$4:$AH$203,'HR Quick View'!$L$10)+COUNTIFS($AI$4:AI111,AI111,$AH$4:AH111,'HR Quick View'!$L$10)),"")</f>
        <v/>
      </c>
      <c r="BA111" s="17" t="str">
        <f>IFERROR(IF('Training Plan'!$A112="","",'Training Plan'!$A112),"")</f>
        <v/>
      </c>
      <c r="BB111" s="17" t="str">
        <f>IFERROR(IF('Training Plan'!$A112="","",'Training Plan'!$B112),"")</f>
        <v/>
      </c>
      <c r="BC111" s="17" t="str">
        <f>IFERROR(IF('Training Plan'!$A112="","",'Training Plan'!$C112),"")</f>
        <v/>
      </c>
      <c r="BD111" s="17" t="str">
        <f>IFERROR(IF('Training Plan'!$A112="","",'Training Plan'!$D112),"")</f>
        <v/>
      </c>
      <c r="BE111" s="17" t="str">
        <f>IFERROR(IF('Training Plan'!$A112="","",'Training Plan'!$E112),"")</f>
        <v/>
      </c>
      <c r="BF111" s="17" t="str">
        <f>IFERROR(IF('Training Plan'!$A112="","",'Training Plan'!$F112),"")</f>
        <v/>
      </c>
      <c r="BG111" s="17" t="str">
        <f>IFERROR(IF('Training Plan'!$A112="","",'Training Plan'!$G112),"")</f>
        <v/>
      </c>
      <c r="BH111" s="17" t="str">
        <f>IFERROR(IF('Training Plan'!$A112="","",'Training Plan'!$H112),"")</f>
        <v/>
      </c>
      <c r="BI111" s="17" t="str">
        <f>IF(OR(BA111="",BF111="Complete",AND('Skill Management'!$D$4&lt;&gt;"All Departments",BB111&lt;&gt;'Skill Management'!$D$4)),"",IF(BF111="Blocked",100000,IF(BF111="In Progress",200000,300000))+IF(BE111="",99999,BE111))</f>
        <v/>
      </c>
      <c r="BJ111" s="17" t="str">
        <f>IF(BI111="","",COUNTIFS($BI$4:$BI$203,"&gt;0",$BI$4:$BI$203,"&lt;"&amp;BI111)+COUNTIF($BI$4:BI111,BI111))</f>
        <v/>
      </c>
      <c r="CB111" t="str">
        <f>IF(AND('Competency Event Log'!$B111='Employee Transcript'!$C$4,'Competency Event Log'!$I111&lt;&gt;"Yes"),'Competency Event Log'!$K111,"")</f>
        <v/>
      </c>
      <c r="CC111" t="str">
        <f t="shared" si="28"/>
        <v/>
      </c>
      <c r="CD111" t="str">
        <f>IF(Certifications!$A111='Employee Transcript'!$C$4,111,"")</f>
        <v/>
      </c>
      <c r="CE111" t="str">
        <f>IF(CD111="","",COUNTIF($CD$4:CD111,"&gt;0"))</f>
        <v/>
      </c>
      <c r="CF111" t="str">
        <f>IF(AND('Training Plan'!$A112='Employee Transcript'!$C$4,'Training Plan'!$F112&lt;&gt;"Complete"),112,"")</f>
        <v/>
      </c>
      <c r="CG111" t="str">
        <f>IF(CF111="","",COUNTIF($CF$4:CF111,"&gt;0"))</f>
        <v/>
      </c>
    </row>
    <row r="112" spans="1:85">
      <c r="A112" s="2"/>
      <c r="B112" s="1"/>
      <c r="C112" s="1"/>
      <c r="D112" s="1"/>
      <c r="E112" s="1"/>
      <c r="F112" s="3"/>
      <c r="G112" s="1"/>
      <c r="H112" s="4"/>
      <c r="I112" s="1"/>
      <c r="J112" s="1"/>
      <c r="K112" s="1"/>
      <c r="L112" s="1"/>
      <c r="M112" s="1"/>
      <c r="N112" s="1"/>
      <c r="AF112" s="1" t="str">
        <f>IFERROR(IF(Lists!$B112="","",Lists!$B112),"")</f>
        <v/>
      </c>
      <c r="AG112" s="1" t="str">
        <f>IFERROR(IF(Lists!$B112="","",Lists!$C112),"")</f>
        <v/>
      </c>
      <c r="AH112" s="1" t="str">
        <f>IFERROR(IF(Lists!$B112="","",Lists!$D112),"")</f>
        <v/>
      </c>
      <c r="AI112" s="1" t="str">
        <f>IF(AF112="","",IFERROR(INDEX('Skills Matrix'!$G$6:$DE$205,MATCH(AF112,'Skills Matrix'!$B$6:$B$205,0),MATCH('HR Quick View'!$J$9,'Skills Matrix'!$G$5:$DE$5,0)),""))</f>
        <v/>
      </c>
      <c r="AJ112" s="1" t="str">
        <f t="shared" si="33"/>
        <v/>
      </c>
      <c r="AK112" s="1" t="str">
        <f>IFERROR(IF(Lists!$B112="","",Lists!$E112),"")</f>
        <v/>
      </c>
      <c r="AL112" s="1" t="str">
        <f>IF(AND(OR('HR Quick View'!$L$10="All Shifts",AH112='HR Quick View'!$L$10),OR(AND('HR Quick View'!$I$10="Qualified only",AI112=3),AND('HR Quick View'!$I$10="All trained",AI112&gt;0))),IF('HR Quick View'!$L$10="All Shifts",COUNTIF($AI$4:$AI$203,"&gt;"&amp;AI112)+COUNTIF($AI$4:AI112,AI112),COUNTIFS($AI$4:$AI$203,"&gt;"&amp;AI112,$AH$4:$AH$203,'HR Quick View'!$L$10)+COUNTIFS($AI$4:AI112,AI112,$AH$4:AH112,'HR Quick View'!$L$10)),"")</f>
        <v/>
      </c>
      <c r="BA112" s="17" t="str">
        <f>IFERROR(IF('Training Plan'!$A113="","",'Training Plan'!$A113),"")</f>
        <v/>
      </c>
      <c r="BB112" s="17" t="str">
        <f>IFERROR(IF('Training Plan'!$A113="","",'Training Plan'!$B113),"")</f>
        <v/>
      </c>
      <c r="BC112" s="17" t="str">
        <f>IFERROR(IF('Training Plan'!$A113="","",'Training Plan'!$C113),"")</f>
        <v/>
      </c>
      <c r="BD112" s="17" t="str">
        <f>IFERROR(IF('Training Plan'!$A113="","",'Training Plan'!$D113),"")</f>
        <v/>
      </c>
      <c r="BE112" s="17" t="str">
        <f>IFERROR(IF('Training Plan'!$A113="","",'Training Plan'!$E113),"")</f>
        <v/>
      </c>
      <c r="BF112" s="17" t="str">
        <f>IFERROR(IF('Training Plan'!$A113="","",'Training Plan'!$F113),"")</f>
        <v/>
      </c>
      <c r="BG112" s="17" t="str">
        <f>IFERROR(IF('Training Plan'!$A113="","",'Training Plan'!$G113),"")</f>
        <v/>
      </c>
      <c r="BH112" s="17" t="str">
        <f>IFERROR(IF('Training Plan'!$A113="","",'Training Plan'!$H113),"")</f>
        <v/>
      </c>
      <c r="BI112" s="17" t="str">
        <f>IF(OR(BA112="",BF112="Complete",AND('Skill Management'!$D$4&lt;&gt;"All Departments",BB112&lt;&gt;'Skill Management'!$D$4)),"",IF(BF112="Blocked",100000,IF(BF112="In Progress",200000,300000))+IF(BE112="",99999,BE112))</f>
        <v/>
      </c>
      <c r="BJ112" s="17" t="str">
        <f>IF(BI112="","",COUNTIFS($BI$4:$BI$203,"&gt;0",$BI$4:$BI$203,"&lt;"&amp;BI112)+COUNTIF($BI$4:BI112,BI112))</f>
        <v/>
      </c>
      <c r="CB112" t="str">
        <f>IF(AND('Competency Event Log'!$B112='Employee Transcript'!$C$4,'Competency Event Log'!$I112&lt;&gt;"Yes"),'Competency Event Log'!$K112,"")</f>
        <v/>
      </c>
      <c r="CC112" t="str">
        <f t="shared" si="28"/>
        <v/>
      </c>
      <c r="CD112" t="str">
        <f>IF(Certifications!$A112='Employee Transcript'!$C$4,112,"")</f>
        <v/>
      </c>
      <c r="CE112" t="str">
        <f>IF(CD112="","",COUNTIF($CD$4:CD112,"&gt;0"))</f>
        <v/>
      </c>
      <c r="CF112" t="str">
        <f>IF(AND('Training Plan'!$A113='Employee Transcript'!$C$4,'Training Plan'!$F113&lt;&gt;"Complete"),113,"")</f>
        <v/>
      </c>
      <c r="CG112" t="str">
        <f>IF(CF112="","",COUNTIF($CF$4:CF112,"&gt;0"))</f>
        <v/>
      </c>
    </row>
    <row r="113" spans="1:85">
      <c r="A113" s="2"/>
      <c r="B113" s="1"/>
      <c r="C113" s="1"/>
      <c r="D113" s="1"/>
      <c r="E113" s="1"/>
      <c r="F113" s="3"/>
      <c r="G113" s="1"/>
      <c r="H113" s="4"/>
      <c r="I113" s="1"/>
      <c r="J113" s="1"/>
      <c r="K113" s="1"/>
      <c r="L113" s="1"/>
      <c r="M113" s="1"/>
      <c r="N113" s="1"/>
      <c r="AF113" s="1" t="str">
        <f>IFERROR(IF(Lists!$B113="","",Lists!$B113),"")</f>
        <v/>
      </c>
      <c r="AG113" s="1" t="str">
        <f>IFERROR(IF(Lists!$B113="","",Lists!$C113),"")</f>
        <v/>
      </c>
      <c r="AH113" s="1" t="str">
        <f>IFERROR(IF(Lists!$B113="","",Lists!$D113),"")</f>
        <v/>
      </c>
      <c r="AI113" s="1" t="str">
        <f>IF(AF113="","",IFERROR(INDEX('Skills Matrix'!$G$6:$DE$205,MATCH(AF113,'Skills Matrix'!$B$6:$B$205,0),MATCH('HR Quick View'!$J$9,'Skills Matrix'!$G$5:$DE$5,0)),""))</f>
        <v/>
      </c>
      <c r="AJ113" s="1" t="str">
        <f t="shared" si="33"/>
        <v/>
      </c>
      <c r="AK113" s="1" t="str">
        <f>IFERROR(IF(Lists!$B113="","",Lists!$E113),"")</f>
        <v/>
      </c>
      <c r="AL113" s="1" t="str">
        <f>IF(AND(OR('HR Quick View'!$L$10="All Shifts",AH113='HR Quick View'!$L$10),OR(AND('HR Quick View'!$I$10="Qualified only",AI113=3),AND('HR Quick View'!$I$10="All trained",AI113&gt;0))),IF('HR Quick View'!$L$10="All Shifts",COUNTIF($AI$4:$AI$203,"&gt;"&amp;AI113)+COUNTIF($AI$4:AI113,AI113),COUNTIFS($AI$4:$AI$203,"&gt;"&amp;AI113,$AH$4:$AH$203,'HR Quick View'!$L$10)+COUNTIFS($AI$4:AI113,AI113,$AH$4:AH113,'HR Quick View'!$L$10)),"")</f>
        <v/>
      </c>
      <c r="BA113" s="17" t="str">
        <f>IFERROR(IF('Training Plan'!$A114="","",'Training Plan'!$A114),"")</f>
        <v/>
      </c>
      <c r="BB113" s="17" t="str">
        <f>IFERROR(IF('Training Plan'!$A114="","",'Training Plan'!$B114),"")</f>
        <v/>
      </c>
      <c r="BC113" s="17" t="str">
        <f>IFERROR(IF('Training Plan'!$A114="","",'Training Plan'!$C114),"")</f>
        <v/>
      </c>
      <c r="BD113" s="17" t="str">
        <f>IFERROR(IF('Training Plan'!$A114="","",'Training Plan'!$D114),"")</f>
        <v/>
      </c>
      <c r="BE113" s="17" t="str">
        <f>IFERROR(IF('Training Plan'!$A114="","",'Training Plan'!$E114),"")</f>
        <v/>
      </c>
      <c r="BF113" s="17" t="str">
        <f>IFERROR(IF('Training Plan'!$A114="","",'Training Plan'!$F114),"")</f>
        <v/>
      </c>
      <c r="BG113" s="17" t="str">
        <f>IFERROR(IF('Training Plan'!$A114="","",'Training Plan'!$G114),"")</f>
        <v/>
      </c>
      <c r="BH113" s="17" t="str">
        <f>IFERROR(IF('Training Plan'!$A114="","",'Training Plan'!$H114),"")</f>
        <v/>
      </c>
      <c r="BI113" s="17" t="str">
        <f>IF(OR(BA113="",BF113="Complete",AND('Skill Management'!$D$4&lt;&gt;"All Departments",BB113&lt;&gt;'Skill Management'!$D$4)),"",IF(BF113="Blocked",100000,IF(BF113="In Progress",200000,300000))+IF(BE113="",99999,BE113))</f>
        <v/>
      </c>
      <c r="BJ113" s="17" t="str">
        <f>IF(BI113="","",COUNTIFS($BI$4:$BI$203,"&gt;0",$BI$4:$BI$203,"&lt;"&amp;BI113)+COUNTIF($BI$4:BI113,BI113))</f>
        <v/>
      </c>
      <c r="CB113" t="str">
        <f>IF(AND('Competency Event Log'!$B113='Employee Transcript'!$C$4,'Competency Event Log'!$I113&lt;&gt;"Yes"),'Competency Event Log'!$K113,"")</f>
        <v/>
      </c>
      <c r="CC113" t="str">
        <f t="shared" si="28"/>
        <v/>
      </c>
      <c r="CD113" t="str">
        <f>IF(Certifications!$A113='Employee Transcript'!$C$4,113,"")</f>
        <v/>
      </c>
      <c r="CE113" t="str">
        <f>IF(CD113="","",COUNTIF($CD$4:CD113,"&gt;0"))</f>
        <v/>
      </c>
      <c r="CF113" t="str">
        <f>IF(AND('Training Plan'!$A114='Employee Transcript'!$C$4,'Training Plan'!$F114&lt;&gt;"Complete"),114,"")</f>
        <v/>
      </c>
      <c r="CG113" t="str">
        <f>IF(CF113="","",COUNTIF($CF$4:CF113,"&gt;0"))</f>
        <v/>
      </c>
    </row>
    <row r="114" spans="1:85">
      <c r="A114" s="2"/>
      <c r="B114" s="1"/>
      <c r="C114" s="1"/>
      <c r="D114" s="1"/>
      <c r="E114" s="1"/>
      <c r="F114" s="3"/>
      <c r="G114" s="1"/>
      <c r="H114" s="4"/>
      <c r="I114" s="1"/>
      <c r="J114" s="1"/>
      <c r="K114" s="1"/>
      <c r="L114" s="1"/>
      <c r="M114" s="1"/>
      <c r="N114" s="1"/>
      <c r="AF114" s="1" t="str">
        <f>IFERROR(IF(Lists!$B114="","",Lists!$B114),"")</f>
        <v/>
      </c>
      <c r="AG114" s="1" t="str">
        <f>IFERROR(IF(Lists!$B114="","",Lists!$C114),"")</f>
        <v/>
      </c>
      <c r="AH114" s="1" t="str">
        <f>IFERROR(IF(Lists!$B114="","",Lists!$D114),"")</f>
        <v/>
      </c>
      <c r="AI114" s="1" t="str">
        <f>IF(AF114="","",IFERROR(INDEX('Skills Matrix'!$G$6:$DE$205,MATCH(AF114,'Skills Matrix'!$B$6:$B$205,0),MATCH('HR Quick View'!$J$9,'Skills Matrix'!$G$5:$DE$5,0)),""))</f>
        <v/>
      </c>
      <c r="AJ114" s="1" t="str">
        <f t="shared" si="33"/>
        <v/>
      </c>
      <c r="AK114" s="1" t="str">
        <f>IFERROR(IF(Lists!$B114="","",Lists!$E114),"")</f>
        <v/>
      </c>
      <c r="AL114" s="1" t="str">
        <f>IF(AND(OR('HR Quick View'!$L$10="All Shifts",AH114='HR Quick View'!$L$10),OR(AND('HR Quick View'!$I$10="Qualified only",AI114=3),AND('HR Quick View'!$I$10="All trained",AI114&gt;0))),IF('HR Quick View'!$L$10="All Shifts",COUNTIF($AI$4:$AI$203,"&gt;"&amp;AI114)+COUNTIF($AI$4:AI114,AI114),COUNTIFS($AI$4:$AI$203,"&gt;"&amp;AI114,$AH$4:$AH$203,'HR Quick View'!$L$10)+COUNTIFS($AI$4:AI114,AI114,$AH$4:AH114,'HR Quick View'!$L$10)),"")</f>
        <v/>
      </c>
      <c r="BA114" s="17" t="str">
        <f>IFERROR(IF('Training Plan'!$A115="","",'Training Plan'!$A115),"")</f>
        <v/>
      </c>
      <c r="BB114" s="17" t="str">
        <f>IFERROR(IF('Training Plan'!$A115="","",'Training Plan'!$B115),"")</f>
        <v/>
      </c>
      <c r="BC114" s="17" t="str">
        <f>IFERROR(IF('Training Plan'!$A115="","",'Training Plan'!$C115),"")</f>
        <v/>
      </c>
      <c r="BD114" s="17" t="str">
        <f>IFERROR(IF('Training Plan'!$A115="","",'Training Plan'!$D115),"")</f>
        <v/>
      </c>
      <c r="BE114" s="17" t="str">
        <f>IFERROR(IF('Training Plan'!$A115="","",'Training Plan'!$E115),"")</f>
        <v/>
      </c>
      <c r="BF114" s="17" t="str">
        <f>IFERROR(IF('Training Plan'!$A115="","",'Training Plan'!$F115),"")</f>
        <v/>
      </c>
      <c r="BG114" s="17" t="str">
        <f>IFERROR(IF('Training Plan'!$A115="","",'Training Plan'!$G115),"")</f>
        <v/>
      </c>
      <c r="BH114" s="17" t="str">
        <f>IFERROR(IF('Training Plan'!$A115="","",'Training Plan'!$H115),"")</f>
        <v/>
      </c>
      <c r="BI114" s="17" t="str">
        <f>IF(OR(BA114="",BF114="Complete",AND('Skill Management'!$D$4&lt;&gt;"All Departments",BB114&lt;&gt;'Skill Management'!$D$4)),"",IF(BF114="Blocked",100000,IF(BF114="In Progress",200000,300000))+IF(BE114="",99999,BE114))</f>
        <v/>
      </c>
      <c r="BJ114" s="17" t="str">
        <f>IF(BI114="","",COUNTIFS($BI$4:$BI$203,"&gt;0",$BI$4:$BI$203,"&lt;"&amp;BI114)+COUNTIF($BI$4:BI114,BI114))</f>
        <v/>
      </c>
      <c r="CB114" t="str">
        <f>IF(AND('Competency Event Log'!$B114='Employee Transcript'!$C$4,'Competency Event Log'!$I114&lt;&gt;"Yes"),'Competency Event Log'!$K114,"")</f>
        <v/>
      </c>
      <c r="CC114" t="str">
        <f t="shared" si="28"/>
        <v/>
      </c>
      <c r="CD114" t="str">
        <f>IF(Certifications!$A114='Employee Transcript'!$C$4,114,"")</f>
        <v/>
      </c>
      <c r="CE114" t="str">
        <f>IF(CD114="","",COUNTIF($CD$4:CD114,"&gt;0"))</f>
        <v/>
      </c>
      <c r="CF114" t="str">
        <f>IF(AND('Training Plan'!$A115='Employee Transcript'!$C$4,'Training Plan'!$F115&lt;&gt;"Complete"),115,"")</f>
        <v/>
      </c>
      <c r="CG114" t="str">
        <f>IF(CF114="","",COUNTIF($CF$4:CF114,"&gt;0"))</f>
        <v/>
      </c>
    </row>
    <row r="115" spans="1:85">
      <c r="A115" s="2"/>
      <c r="B115" s="1"/>
      <c r="C115" s="1"/>
      <c r="D115" s="1"/>
      <c r="E115" s="1"/>
      <c r="F115" s="3"/>
      <c r="G115" s="1"/>
      <c r="H115" s="4"/>
      <c r="I115" s="1"/>
      <c r="J115" s="1"/>
      <c r="K115" s="1"/>
      <c r="L115" s="1"/>
      <c r="M115" s="1"/>
      <c r="N115" s="1"/>
      <c r="AF115" s="1" t="str">
        <f>IFERROR(IF(Lists!$B115="","",Lists!$B115),"")</f>
        <v/>
      </c>
      <c r="AG115" s="1" t="str">
        <f>IFERROR(IF(Lists!$B115="","",Lists!$C115),"")</f>
        <v/>
      </c>
      <c r="AH115" s="1" t="str">
        <f>IFERROR(IF(Lists!$B115="","",Lists!$D115),"")</f>
        <v/>
      </c>
      <c r="AI115" s="1" t="str">
        <f>IF(AF115="","",IFERROR(INDEX('Skills Matrix'!$G$6:$DE$205,MATCH(AF115,'Skills Matrix'!$B$6:$B$205,0),MATCH('HR Quick View'!$J$9,'Skills Matrix'!$G$5:$DE$5,0)),""))</f>
        <v/>
      </c>
      <c r="AJ115" s="1" t="str">
        <f t="shared" si="33"/>
        <v/>
      </c>
      <c r="AK115" s="1" t="str">
        <f>IFERROR(IF(Lists!$B115="","",Lists!$E115),"")</f>
        <v/>
      </c>
      <c r="AL115" s="1" t="str">
        <f>IF(AND(OR('HR Quick View'!$L$10="All Shifts",AH115='HR Quick View'!$L$10),OR(AND('HR Quick View'!$I$10="Qualified only",AI115=3),AND('HR Quick View'!$I$10="All trained",AI115&gt;0))),IF('HR Quick View'!$L$10="All Shifts",COUNTIF($AI$4:$AI$203,"&gt;"&amp;AI115)+COUNTIF($AI$4:AI115,AI115),COUNTIFS($AI$4:$AI$203,"&gt;"&amp;AI115,$AH$4:$AH$203,'HR Quick View'!$L$10)+COUNTIFS($AI$4:AI115,AI115,$AH$4:AH115,'HR Quick View'!$L$10)),"")</f>
        <v/>
      </c>
      <c r="BA115" s="17" t="str">
        <f>IFERROR(IF('Training Plan'!$A116="","",'Training Plan'!$A116),"")</f>
        <v/>
      </c>
      <c r="BB115" s="17" t="str">
        <f>IFERROR(IF('Training Plan'!$A116="","",'Training Plan'!$B116),"")</f>
        <v/>
      </c>
      <c r="BC115" s="17" t="str">
        <f>IFERROR(IF('Training Plan'!$A116="","",'Training Plan'!$C116),"")</f>
        <v/>
      </c>
      <c r="BD115" s="17" t="str">
        <f>IFERROR(IF('Training Plan'!$A116="","",'Training Plan'!$D116),"")</f>
        <v/>
      </c>
      <c r="BE115" s="17" t="str">
        <f>IFERROR(IF('Training Plan'!$A116="","",'Training Plan'!$E116),"")</f>
        <v/>
      </c>
      <c r="BF115" s="17" t="str">
        <f>IFERROR(IF('Training Plan'!$A116="","",'Training Plan'!$F116),"")</f>
        <v/>
      </c>
      <c r="BG115" s="17" t="str">
        <f>IFERROR(IF('Training Plan'!$A116="","",'Training Plan'!$G116),"")</f>
        <v/>
      </c>
      <c r="BH115" s="17" t="str">
        <f>IFERROR(IF('Training Plan'!$A116="","",'Training Plan'!$H116),"")</f>
        <v/>
      </c>
      <c r="BI115" s="17" t="str">
        <f>IF(OR(BA115="",BF115="Complete",AND('Skill Management'!$D$4&lt;&gt;"All Departments",BB115&lt;&gt;'Skill Management'!$D$4)),"",IF(BF115="Blocked",100000,IF(BF115="In Progress",200000,300000))+IF(BE115="",99999,BE115))</f>
        <v/>
      </c>
      <c r="BJ115" s="17" t="str">
        <f>IF(BI115="","",COUNTIFS($BI$4:$BI$203,"&gt;0",$BI$4:$BI$203,"&lt;"&amp;BI115)+COUNTIF($BI$4:BI115,BI115))</f>
        <v/>
      </c>
      <c r="CB115" t="str">
        <f>IF(AND('Competency Event Log'!$B115='Employee Transcript'!$C$4,'Competency Event Log'!$I115&lt;&gt;"Yes"),'Competency Event Log'!$K115,"")</f>
        <v/>
      </c>
      <c r="CC115" t="str">
        <f t="shared" si="28"/>
        <v/>
      </c>
      <c r="CD115" t="str">
        <f>IF(Certifications!$A115='Employee Transcript'!$C$4,115,"")</f>
        <v/>
      </c>
      <c r="CE115" t="str">
        <f>IF(CD115="","",COUNTIF($CD$4:CD115,"&gt;0"))</f>
        <v/>
      </c>
      <c r="CF115" t="str">
        <f>IF(AND('Training Plan'!$A116='Employee Transcript'!$C$4,'Training Plan'!$F116&lt;&gt;"Complete"),116,"")</f>
        <v/>
      </c>
      <c r="CG115" t="str">
        <f>IF(CF115="","",COUNTIF($CF$4:CF115,"&gt;0"))</f>
        <v/>
      </c>
    </row>
    <row r="116" spans="1:85">
      <c r="A116" s="2"/>
      <c r="B116" s="1"/>
      <c r="C116" s="1"/>
      <c r="D116" s="1"/>
      <c r="E116" s="1"/>
      <c r="F116" s="3"/>
      <c r="G116" s="1"/>
      <c r="H116" s="4"/>
      <c r="I116" s="1"/>
      <c r="J116" s="1"/>
      <c r="K116" s="1"/>
      <c r="L116" s="1"/>
      <c r="M116" s="1"/>
      <c r="N116" s="1"/>
      <c r="AF116" s="1" t="str">
        <f>IFERROR(IF(Lists!$B116="","",Lists!$B116),"")</f>
        <v/>
      </c>
      <c r="AG116" s="1" t="str">
        <f>IFERROR(IF(Lists!$B116="","",Lists!$C116),"")</f>
        <v/>
      </c>
      <c r="AH116" s="1" t="str">
        <f>IFERROR(IF(Lists!$B116="","",Lists!$D116),"")</f>
        <v/>
      </c>
      <c r="AI116" s="1" t="str">
        <f>IF(AF116="","",IFERROR(INDEX('Skills Matrix'!$G$6:$DE$205,MATCH(AF116,'Skills Matrix'!$B$6:$B$205,0),MATCH('HR Quick View'!$J$9,'Skills Matrix'!$G$5:$DE$5,0)),""))</f>
        <v/>
      </c>
      <c r="AJ116" s="1" t="str">
        <f t="shared" si="33"/>
        <v/>
      </c>
      <c r="AK116" s="1" t="str">
        <f>IFERROR(IF(Lists!$B116="","",Lists!$E116),"")</f>
        <v/>
      </c>
      <c r="AL116" s="1" t="str">
        <f>IF(AND(OR('HR Quick View'!$L$10="All Shifts",AH116='HR Quick View'!$L$10),OR(AND('HR Quick View'!$I$10="Qualified only",AI116=3),AND('HR Quick View'!$I$10="All trained",AI116&gt;0))),IF('HR Quick View'!$L$10="All Shifts",COUNTIF($AI$4:$AI$203,"&gt;"&amp;AI116)+COUNTIF($AI$4:AI116,AI116),COUNTIFS($AI$4:$AI$203,"&gt;"&amp;AI116,$AH$4:$AH$203,'HR Quick View'!$L$10)+COUNTIFS($AI$4:AI116,AI116,$AH$4:AH116,'HR Quick View'!$L$10)),"")</f>
        <v/>
      </c>
      <c r="BA116" s="17" t="str">
        <f>IFERROR(IF('Training Plan'!$A117="","",'Training Plan'!$A117),"")</f>
        <v/>
      </c>
      <c r="BB116" s="17" t="str">
        <f>IFERROR(IF('Training Plan'!$A117="","",'Training Plan'!$B117),"")</f>
        <v/>
      </c>
      <c r="BC116" s="17" t="str">
        <f>IFERROR(IF('Training Plan'!$A117="","",'Training Plan'!$C117),"")</f>
        <v/>
      </c>
      <c r="BD116" s="17" t="str">
        <f>IFERROR(IF('Training Plan'!$A117="","",'Training Plan'!$D117),"")</f>
        <v/>
      </c>
      <c r="BE116" s="17" t="str">
        <f>IFERROR(IF('Training Plan'!$A117="","",'Training Plan'!$E117),"")</f>
        <v/>
      </c>
      <c r="BF116" s="17" t="str">
        <f>IFERROR(IF('Training Plan'!$A117="","",'Training Plan'!$F117),"")</f>
        <v/>
      </c>
      <c r="BG116" s="17" t="str">
        <f>IFERROR(IF('Training Plan'!$A117="","",'Training Plan'!$G117),"")</f>
        <v/>
      </c>
      <c r="BH116" s="17" t="str">
        <f>IFERROR(IF('Training Plan'!$A117="","",'Training Plan'!$H117),"")</f>
        <v/>
      </c>
      <c r="BI116" s="17" t="str">
        <f>IF(OR(BA116="",BF116="Complete",AND('Skill Management'!$D$4&lt;&gt;"All Departments",BB116&lt;&gt;'Skill Management'!$D$4)),"",IF(BF116="Blocked",100000,IF(BF116="In Progress",200000,300000))+IF(BE116="",99999,BE116))</f>
        <v/>
      </c>
      <c r="BJ116" s="17" t="str">
        <f>IF(BI116="","",COUNTIFS($BI$4:$BI$203,"&gt;0",$BI$4:$BI$203,"&lt;"&amp;BI116)+COUNTIF($BI$4:BI116,BI116))</f>
        <v/>
      </c>
      <c r="CB116" t="str">
        <f>IF(AND('Competency Event Log'!$B116='Employee Transcript'!$C$4,'Competency Event Log'!$I116&lt;&gt;"Yes"),'Competency Event Log'!$K116,"")</f>
        <v/>
      </c>
      <c r="CC116" t="str">
        <f t="shared" si="28"/>
        <v/>
      </c>
      <c r="CD116" t="str">
        <f>IF(Certifications!$A116='Employee Transcript'!$C$4,116,"")</f>
        <v/>
      </c>
      <c r="CE116" t="str">
        <f>IF(CD116="","",COUNTIF($CD$4:CD116,"&gt;0"))</f>
        <v/>
      </c>
      <c r="CF116" t="str">
        <f>IF(AND('Training Plan'!$A117='Employee Transcript'!$C$4,'Training Plan'!$F117&lt;&gt;"Complete"),117,"")</f>
        <v/>
      </c>
      <c r="CG116" t="str">
        <f>IF(CF116="","",COUNTIF($CF$4:CF116,"&gt;0"))</f>
        <v/>
      </c>
    </row>
    <row r="117" spans="1:85">
      <c r="A117" s="2"/>
      <c r="B117" s="1"/>
      <c r="C117" s="1"/>
      <c r="D117" s="1"/>
      <c r="E117" s="1"/>
      <c r="F117" s="3"/>
      <c r="G117" s="1"/>
      <c r="H117" s="4"/>
      <c r="I117" s="1"/>
      <c r="J117" s="1"/>
      <c r="K117" s="1"/>
      <c r="L117" s="1"/>
      <c r="M117" s="1"/>
      <c r="N117" s="1"/>
      <c r="AF117" s="1" t="str">
        <f>IFERROR(IF(Lists!$B117="","",Lists!$B117),"")</f>
        <v/>
      </c>
      <c r="AG117" s="1" t="str">
        <f>IFERROR(IF(Lists!$B117="","",Lists!$C117),"")</f>
        <v/>
      </c>
      <c r="AH117" s="1" t="str">
        <f>IFERROR(IF(Lists!$B117="","",Lists!$D117),"")</f>
        <v/>
      </c>
      <c r="AI117" s="1" t="str">
        <f>IF(AF117="","",IFERROR(INDEX('Skills Matrix'!$G$6:$DE$205,MATCH(AF117,'Skills Matrix'!$B$6:$B$205,0),MATCH('HR Quick View'!$J$9,'Skills Matrix'!$G$5:$DE$5,0)),""))</f>
        <v/>
      </c>
      <c r="AJ117" s="1" t="str">
        <f t="shared" si="33"/>
        <v/>
      </c>
      <c r="AK117" s="1" t="str">
        <f>IFERROR(IF(Lists!$B117="","",Lists!$E117),"")</f>
        <v/>
      </c>
      <c r="AL117" s="1" t="str">
        <f>IF(AND(OR('HR Quick View'!$L$10="All Shifts",AH117='HR Quick View'!$L$10),OR(AND('HR Quick View'!$I$10="Qualified only",AI117=3),AND('HR Quick View'!$I$10="All trained",AI117&gt;0))),IF('HR Quick View'!$L$10="All Shifts",COUNTIF($AI$4:$AI$203,"&gt;"&amp;AI117)+COUNTIF($AI$4:AI117,AI117),COUNTIFS($AI$4:$AI$203,"&gt;"&amp;AI117,$AH$4:$AH$203,'HR Quick View'!$L$10)+COUNTIFS($AI$4:AI117,AI117,$AH$4:AH117,'HR Quick View'!$L$10)),"")</f>
        <v/>
      </c>
      <c r="BA117" s="17" t="str">
        <f>IFERROR(IF('Training Plan'!$A118="","",'Training Plan'!$A118),"")</f>
        <v/>
      </c>
      <c r="BB117" s="17" t="str">
        <f>IFERROR(IF('Training Plan'!$A118="","",'Training Plan'!$B118),"")</f>
        <v/>
      </c>
      <c r="BC117" s="17" t="str">
        <f>IFERROR(IF('Training Plan'!$A118="","",'Training Plan'!$C118),"")</f>
        <v/>
      </c>
      <c r="BD117" s="17" t="str">
        <f>IFERROR(IF('Training Plan'!$A118="","",'Training Plan'!$D118),"")</f>
        <v/>
      </c>
      <c r="BE117" s="17" t="str">
        <f>IFERROR(IF('Training Plan'!$A118="","",'Training Plan'!$E118),"")</f>
        <v/>
      </c>
      <c r="BF117" s="17" t="str">
        <f>IFERROR(IF('Training Plan'!$A118="","",'Training Plan'!$F118),"")</f>
        <v/>
      </c>
      <c r="BG117" s="17" t="str">
        <f>IFERROR(IF('Training Plan'!$A118="","",'Training Plan'!$G118),"")</f>
        <v/>
      </c>
      <c r="BH117" s="17" t="str">
        <f>IFERROR(IF('Training Plan'!$A118="","",'Training Plan'!$H118),"")</f>
        <v/>
      </c>
      <c r="BI117" s="17" t="str">
        <f>IF(OR(BA117="",BF117="Complete",AND('Skill Management'!$D$4&lt;&gt;"All Departments",BB117&lt;&gt;'Skill Management'!$D$4)),"",IF(BF117="Blocked",100000,IF(BF117="In Progress",200000,300000))+IF(BE117="",99999,BE117))</f>
        <v/>
      </c>
      <c r="BJ117" s="17" t="str">
        <f>IF(BI117="","",COUNTIFS($BI$4:$BI$203,"&gt;0",$BI$4:$BI$203,"&lt;"&amp;BI117)+COUNTIF($BI$4:BI117,BI117))</f>
        <v/>
      </c>
      <c r="CB117" t="str">
        <f>IF(AND('Competency Event Log'!$B117='Employee Transcript'!$C$4,'Competency Event Log'!$I117&lt;&gt;"Yes"),'Competency Event Log'!$K117,"")</f>
        <v/>
      </c>
      <c r="CC117" t="str">
        <f t="shared" si="28"/>
        <v/>
      </c>
      <c r="CD117" t="str">
        <f>IF(Certifications!$A117='Employee Transcript'!$C$4,117,"")</f>
        <v/>
      </c>
      <c r="CE117" t="str">
        <f>IF(CD117="","",COUNTIF($CD$4:CD117,"&gt;0"))</f>
        <v/>
      </c>
      <c r="CF117" t="str">
        <f>IF(AND('Training Plan'!$A118='Employee Transcript'!$C$4,'Training Plan'!$F118&lt;&gt;"Complete"),118,"")</f>
        <v/>
      </c>
      <c r="CG117" t="str">
        <f>IF(CF117="","",COUNTIF($CF$4:CF117,"&gt;0"))</f>
        <v/>
      </c>
    </row>
    <row r="118" spans="1:85">
      <c r="A118" s="2"/>
      <c r="B118" s="1"/>
      <c r="C118" s="1"/>
      <c r="D118" s="1"/>
      <c r="E118" s="1"/>
      <c r="F118" s="3"/>
      <c r="G118" s="1"/>
      <c r="H118" s="4"/>
      <c r="I118" s="1"/>
      <c r="J118" s="1"/>
      <c r="K118" s="1"/>
      <c r="L118" s="1"/>
      <c r="M118" s="1"/>
      <c r="N118" s="1"/>
      <c r="AF118" s="1" t="str">
        <f>IFERROR(IF(Lists!$B118="","",Lists!$B118),"")</f>
        <v/>
      </c>
      <c r="AG118" s="1" t="str">
        <f>IFERROR(IF(Lists!$B118="","",Lists!$C118),"")</f>
        <v/>
      </c>
      <c r="AH118" s="1" t="str">
        <f>IFERROR(IF(Lists!$B118="","",Lists!$D118),"")</f>
        <v/>
      </c>
      <c r="AI118" s="1" t="str">
        <f>IF(AF118="","",IFERROR(INDEX('Skills Matrix'!$G$6:$DE$205,MATCH(AF118,'Skills Matrix'!$B$6:$B$205,0),MATCH('HR Quick View'!$J$9,'Skills Matrix'!$G$5:$DE$5,0)),""))</f>
        <v/>
      </c>
      <c r="AJ118" s="1" t="str">
        <f t="shared" si="33"/>
        <v/>
      </c>
      <c r="AK118" s="1" t="str">
        <f>IFERROR(IF(Lists!$B118="","",Lists!$E118),"")</f>
        <v/>
      </c>
      <c r="AL118" s="1" t="str">
        <f>IF(AND(OR('HR Quick View'!$L$10="All Shifts",AH118='HR Quick View'!$L$10),OR(AND('HR Quick View'!$I$10="Qualified only",AI118=3),AND('HR Quick View'!$I$10="All trained",AI118&gt;0))),IF('HR Quick View'!$L$10="All Shifts",COUNTIF($AI$4:$AI$203,"&gt;"&amp;AI118)+COUNTIF($AI$4:AI118,AI118),COUNTIFS($AI$4:$AI$203,"&gt;"&amp;AI118,$AH$4:$AH$203,'HR Quick View'!$L$10)+COUNTIFS($AI$4:AI118,AI118,$AH$4:AH118,'HR Quick View'!$L$10)),"")</f>
        <v/>
      </c>
      <c r="BA118" s="17" t="str">
        <f>IFERROR(IF('Training Plan'!$A119="","",'Training Plan'!$A119),"")</f>
        <v/>
      </c>
      <c r="BB118" s="17" t="str">
        <f>IFERROR(IF('Training Plan'!$A119="","",'Training Plan'!$B119),"")</f>
        <v/>
      </c>
      <c r="BC118" s="17" t="str">
        <f>IFERROR(IF('Training Plan'!$A119="","",'Training Plan'!$C119),"")</f>
        <v/>
      </c>
      <c r="BD118" s="17" t="str">
        <f>IFERROR(IF('Training Plan'!$A119="","",'Training Plan'!$D119),"")</f>
        <v/>
      </c>
      <c r="BE118" s="17" t="str">
        <f>IFERROR(IF('Training Plan'!$A119="","",'Training Plan'!$E119),"")</f>
        <v/>
      </c>
      <c r="BF118" s="17" t="str">
        <f>IFERROR(IF('Training Plan'!$A119="","",'Training Plan'!$F119),"")</f>
        <v/>
      </c>
      <c r="BG118" s="17" t="str">
        <f>IFERROR(IF('Training Plan'!$A119="","",'Training Plan'!$G119),"")</f>
        <v/>
      </c>
      <c r="BH118" s="17" t="str">
        <f>IFERROR(IF('Training Plan'!$A119="","",'Training Plan'!$H119),"")</f>
        <v/>
      </c>
      <c r="BI118" s="17" t="str">
        <f>IF(OR(BA118="",BF118="Complete",AND('Skill Management'!$D$4&lt;&gt;"All Departments",BB118&lt;&gt;'Skill Management'!$D$4)),"",IF(BF118="Blocked",100000,IF(BF118="In Progress",200000,300000))+IF(BE118="",99999,BE118))</f>
        <v/>
      </c>
      <c r="BJ118" s="17" t="str">
        <f>IF(BI118="","",COUNTIFS($BI$4:$BI$203,"&gt;0",$BI$4:$BI$203,"&lt;"&amp;BI118)+COUNTIF($BI$4:BI118,BI118))</f>
        <v/>
      </c>
      <c r="CB118" t="str">
        <f>IF(AND('Competency Event Log'!$B118='Employee Transcript'!$C$4,'Competency Event Log'!$I118&lt;&gt;"Yes"),'Competency Event Log'!$K118,"")</f>
        <v/>
      </c>
      <c r="CC118" t="str">
        <f t="shared" si="28"/>
        <v/>
      </c>
      <c r="CD118" t="str">
        <f>IF(Certifications!$A118='Employee Transcript'!$C$4,118,"")</f>
        <v/>
      </c>
      <c r="CE118" t="str">
        <f>IF(CD118="","",COUNTIF($CD$4:CD118,"&gt;0"))</f>
        <v/>
      </c>
      <c r="CF118" t="str">
        <f>IF(AND('Training Plan'!$A119='Employee Transcript'!$C$4,'Training Plan'!$F119&lt;&gt;"Complete"),119,"")</f>
        <v/>
      </c>
      <c r="CG118" t="str">
        <f>IF(CF118="","",COUNTIF($CF$4:CF118,"&gt;0"))</f>
        <v/>
      </c>
    </row>
    <row r="119" spans="1:85">
      <c r="A119" s="2"/>
      <c r="B119" s="1"/>
      <c r="C119" s="1"/>
      <c r="D119" s="1"/>
      <c r="E119" s="1"/>
      <c r="F119" s="3"/>
      <c r="G119" s="1"/>
      <c r="H119" s="4"/>
      <c r="I119" s="1"/>
      <c r="J119" s="1"/>
      <c r="K119" s="1"/>
      <c r="L119" s="1"/>
      <c r="M119" s="1"/>
      <c r="N119" s="1"/>
      <c r="AF119" s="1" t="str">
        <f>IFERROR(IF(Lists!$B119="","",Lists!$B119),"")</f>
        <v/>
      </c>
      <c r="AG119" s="1" t="str">
        <f>IFERROR(IF(Lists!$B119="","",Lists!$C119),"")</f>
        <v/>
      </c>
      <c r="AH119" s="1" t="str">
        <f>IFERROR(IF(Lists!$B119="","",Lists!$D119),"")</f>
        <v/>
      </c>
      <c r="AI119" s="1" t="str">
        <f>IF(AF119="","",IFERROR(INDEX('Skills Matrix'!$G$6:$DE$205,MATCH(AF119,'Skills Matrix'!$B$6:$B$205,0),MATCH('HR Quick View'!$J$9,'Skills Matrix'!$G$5:$DE$5,0)),""))</f>
        <v/>
      </c>
      <c r="AJ119" s="1" t="str">
        <f t="shared" si="33"/>
        <v/>
      </c>
      <c r="AK119" s="1" t="str">
        <f>IFERROR(IF(Lists!$B119="","",Lists!$E119),"")</f>
        <v/>
      </c>
      <c r="AL119" s="1" t="str">
        <f>IF(AND(OR('HR Quick View'!$L$10="All Shifts",AH119='HR Quick View'!$L$10),OR(AND('HR Quick View'!$I$10="Qualified only",AI119=3),AND('HR Quick View'!$I$10="All trained",AI119&gt;0))),IF('HR Quick View'!$L$10="All Shifts",COUNTIF($AI$4:$AI$203,"&gt;"&amp;AI119)+COUNTIF($AI$4:AI119,AI119),COUNTIFS($AI$4:$AI$203,"&gt;"&amp;AI119,$AH$4:$AH$203,'HR Quick View'!$L$10)+COUNTIFS($AI$4:AI119,AI119,$AH$4:AH119,'HR Quick View'!$L$10)),"")</f>
        <v/>
      </c>
      <c r="BA119" s="17" t="str">
        <f>IFERROR(IF('Training Plan'!$A120="","",'Training Plan'!$A120),"")</f>
        <v/>
      </c>
      <c r="BB119" s="17" t="str">
        <f>IFERROR(IF('Training Plan'!$A120="","",'Training Plan'!$B120),"")</f>
        <v/>
      </c>
      <c r="BC119" s="17" t="str">
        <f>IFERROR(IF('Training Plan'!$A120="","",'Training Plan'!$C120),"")</f>
        <v/>
      </c>
      <c r="BD119" s="17" t="str">
        <f>IFERROR(IF('Training Plan'!$A120="","",'Training Plan'!$D120),"")</f>
        <v/>
      </c>
      <c r="BE119" s="17" t="str">
        <f>IFERROR(IF('Training Plan'!$A120="","",'Training Plan'!$E120),"")</f>
        <v/>
      </c>
      <c r="BF119" s="17" t="str">
        <f>IFERROR(IF('Training Plan'!$A120="","",'Training Plan'!$F120),"")</f>
        <v/>
      </c>
      <c r="BG119" s="17" t="str">
        <f>IFERROR(IF('Training Plan'!$A120="","",'Training Plan'!$G120),"")</f>
        <v/>
      </c>
      <c r="BH119" s="17" t="str">
        <f>IFERROR(IF('Training Plan'!$A120="","",'Training Plan'!$H120),"")</f>
        <v/>
      </c>
      <c r="BI119" s="17" t="str">
        <f>IF(OR(BA119="",BF119="Complete",AND('Skill Management'!$D$4&lt;&gt;"All Departments",BB119&lt;&gt;'Skill Management'!$D$4)),"",IF(BF119="Blocked",100000,IF(BF119="In Progress",200000,300000))+IF(BE119="",99999,BE119))</f>
        <v/>
      </c>
      <c r="BJ119" s="17" t="str">
        <f>IF(BI119="","",COUNTIFS($BI$4:$BI$203,"&gt;0",$BI$4:$BI$203,"&lt;"&amp;BI119)+COUNTIF($BI$4:BI119,BI119))</f>
        <v/>
      </c>
      <c r="CB119" t="str">
        <f>IF(AND('Competency Event Log'!$B119='Employee Transcript'!$C$4,'Competency Event Log'!$I119&lt;&gt;"Yes"),'Competency Event Log'!$K119,"")</f>
        <v/>
      </c>
      <c r="CC119" t="str">
        <f t="shared" si="28"/>
        <v/>
      </c>
      <c r="CD119" t="str">
        <f>IF(Certifications!$A119='Employee Transcript'!$C$4,119,"")</f>
        <v/>
      </c>
      <c r="CE119" t="str">
        <f>IF(CD119="","",COUNTIF($CD$4:CD119,"&gt;0"))</f>
        <v/>
      </c>
      <c r="CF119" t="str">
        <f>IF(AND('Training Plan'!$A120='Employee Transcript'!$C$4,'Training Plan'!$F120&lt;&gt;"Complete"),120,"")</f>
        <v/>
      </c>
      <c r="CG119" t="str">
        <f>IF(CF119="","",COUNTIF($CF$4:CF119,"&gt;0"))</f>
        <v/>
      </c>
    </row>
    <row r="120" spans="1:85">
      <c r="A120" s="2"/>
      <c r="B120" s="1"/>
      <c r="C120" s="1"/>
      <c r="D120" s="1"/>
      <c r="E120" s="1"/>
      <c r="F120" s="3"/>
      <c r="G120" s="1"/>
      <c r="H120" s="4"/>
      <c r="I120" s="1"/>
      <c r="J120" s="1"/>
      <c r="K120" s="1"/>
      <c r="L120" s="1"/>
      <c r="M120" s="1"/>
      <c r="N120" s="1"/>
      <c r="AF120" s="1" t="str">
        <f>IFERROR(IF(Lists!$B120="","",Lists!$B120),"")</f>
        <v/>
      </c>
      <c r="AG120" s="1" t="str">
        <f>IFERROR(IF(Lists!$B120="","",Lists!$C120),"")</f>
        <v/>
      </c>
      <c r="AH120" s="1" t="str">
        <f>IFERROR(IF(Lists!$B120="","",Lists!$D120),"")</f>
        <v/>
      </c>
      <c r="AI120" s="1" t="str">
        <f>IF(AF120="","",IFERROR(INDEX('Skills Matrix'!$G$6:$DE$205,MATCH(AF120,'Skills Matrix'!$B$6:$B$205,0),MATCH('HR Quick View'!$J$9,'Skills Matrix'!$G$5:$DE$5,0)),""))</f>
        <v/>
      </c>
      <c r="AJ120" s="1" t="str">
        <f t="shared" si="33"/>
        <v/>
      </c>
      <c r="AK120" s="1" t="str">
        <f>IFERROR(IF(Lists!$B120="","",Lists!$E120),"")</f>
        <v/>
      </c>
      <c r="AL120" s="1" t="str">
        <f>IF(AND(OR('HR Quick View'!$L$10="All Shifts",AH120='HR Quick View'!$L$10),OR(AND('HR Quick View'!$I$10="Qualified only",AI120=3),AND('HR Quick View'!$I$10="All trained",AI120&gt;0))),IF('HR Quick View'!$L$10="All Shifts",COUNTIF($AI$4:$AI$203,"&gt;"&amp;AI120)+COUNTIF($AI$4:AI120,AI120),COUNTIFS($AI$4:$AI$203,"&gt;"&amp;AI120,$AH$4:$AH$203,'HR Quick View'!$L$10)+COUNTIFS($AI$4:AI120,AI120,$AH$4:AH120,'HR Quick View'!$L$10)),"")</f>
        <v/>
      </c>
      <c r="BA120" s="17" t="str">
        <f>IFERROR(IF('Training Plan'!$A121="","",'Training Plan'!$A121),"")</f>
        <v/>
      </c>
      <c r="BB120" s="17" t="str">
        <f>IFERROR(IF('Training Plan'!$A121="","",'Training Plan'!$B121),"")</f>
        <v/>
      </c>
      <c r="BC120" s="17" t="str">
        <f>IFERROR(IF('Training Plan'!$A121="","",'Training Plan'!$C121),"")</f>
        <v/>
      </c>
      <c r="BD120" s="17" t="str">
        <f>IFERROR(IF('Training Plan'!$A121="","",'Training Plan'!$D121),"")</f>
        <v/>
      </c>
      <c r="BE120" s="17" t="str">
        <f>IFERROR(IF('Training Plan'!$A121="","",'Training Plan'!$E121),"")</f>
        <v/>
      </c>
      <c r="BF120" s="17" t="str">
        <f>IFERROR(IF('Training Plan'!$A121="","",'Training Plan'!$F121),"")</f>
        <v/>
      </c>
      <c r="BG120" s="17" t="str">
        <f>IFERROR(IF('Training Plan'!$A121="","",'Training Plan'!$G121),"")</f>
        <v/>
      </c>
      <c r="BH120" s="17" t="str">
        <f>IFERROR(IF('Training Plan'!$A121="","",'Training Plan'!$H121),"")</f>
        <v/>
      </c>
      <c r="BI120" s="17" t="str">
        <f>IF(OR(BA120="",BF120="Complete",AND('Skill Management'!$D$4&lt;&gt;"All Departments",BB120&lt;&gt;'Skill Management'!$D$4)),"",IF(BF120="Blocked",100000,IF(BF120="In Progress",200000,300000))+IF(BE120="",99999,BE120))</f>
        <v/>
      </c>
      <c r="BJ120" s="17" t="str">
        <f>IF(BI120="","",COUNTIFS($BI$4:$BI$203,"&gt;0",$BI$4:$BI$203,"&lt;"&amp;BI120)+COUNTIF($BI$4:BI120,BI120))</f>
        <v/>
      </c>
      <c r="CB120" t="str">
        <f>IF(AND('Competency Event Log'!$B120='Employee Transcript'!$C$4,'Competency Event Log'!$I120&lt;&gt;"Yes"),'Competency Event Log'!$K120,"")</f>
        <v/>
      </c>
      <c r="CC120" t="str">
        <f t="shared" si="28"/>
        <v/>
      </c>
      <c r="CD120" t="str">
        <f>IF(Certifications!$A120='Employee Transcript'!$C$4,120,"")</f>
        <v/>
      </c>
      <c r="CE120" t="str">
        <f>IF(CD120="","",COUNTIF($CD$4:CD120,"&gt;0"))</f>
        <v/>
      </c>
      <c r="CF120" t="str">
        <f>IF(AND('Training Plan'!$A121='Employee Transcript'!$C$4,'Training Plan'!$F121&lt;&gt;"Complete"),121,"")</f>
        <v/>
      </c>
      <c r="CG120" t="str">
        <f>IF(CF120="","",COUNTIF($CF$4:CF120,"&gt;0"))</f>
        <v/>
      </c>
    </row>
    <row r="121" spans="1:85">
      <c r="A121" s="2"/>
      <c r="B121" s="1"/>
      <c r="C121" s="1"/>
      <c r="D121" s="1"/>
      <c r="E121" s="1"/>
      <c r="F121" s="3"/>
      <c r="G121" s="1"/>
      <c r="H121" s="4"/>
      <c r="I121" s="1"/>
      <c r="J121" s="1"/>
      <c r="K121" s="1"/>
      <c r="L121" s="1"/>
      <c r="M121" s="1"/>
      <c r="N121" s="1"/>
      <c r="AF121" s="1" t="str">
        <f>IFERROR(IF(Lists!$B121="","",Lists!$B121),"")</f>
        <v/>
      </c>
      <c r="AG121" s="1" t="str">
        <f>IFERROR(IF(Lists!$B121="","",Lists!$C121),"")</f>
        <v/>
      </c>
      <c r="AH121" s="1" t="str">
        <f>IFERROR(IF(Lists!$B121="","",Lists!$D121),"")</f>
        <v/>
      </c>
      <c r="AI121" s="1" t="str">
        <f>IF(AF121="","",IFERROR(INDEX('Skills Matrix'!$G$6:$DE$205,MATCH(AF121,'Skills Matrix'!$B$6:$B$205,0),MATCH('HR Quick View'!$J$9,'Skills Matrix'!$G$5:$DE$5,0)),""))</f>
        <v/>
      </c>
      <c r="AJ121" s="1" t="str">
        <f t="shared" si="33"/>
        <v/>
      </c>
      <c r="AK121" s="1" t="str">
        <f>IFERROR(IF(Lists!$B121="","",Lists!$E121),"")</f>
        <v/>
      </c>
      <c r="AL121" s="1" t="str">
        <f>IF(AND(OR('HR Quick View'!$L$10="All Shifts",AH121='HR Quick View'!$L$10),OR(AND('HR Quick View'!$I$10="Qualified only",AI121=3),AND('HR Quick View'!$I$10="All trained",AI121&gt;0))),IF('HR Quick View'!$L$10="All Shifts",COUNTIF($AI$4:$AI$203,"&gt;"&amp;AI121)+COUNTIF($AI$4:AI121,AI121),COUNTIFS($AI$4:$AI$203,"&gt;"&amp;AI121,$AH$4:$AH$203,'HR Quick View'!$L$10)+COUNTIFS($AI$4:AI121,AI121,$AH$4:AH121,'HR Quick View'!$L$10)),"")</f>
        <v/>
      </c>
      <c r="BA121" s="17" t="str">
        <f>IFERROR(IF('Training Plan'!$A122="","",'Training Plan'!$A122),"")</f>
        <v/>
      </c>
      <c r="BB121" s="17" t="str">
        <f>IFERROR(IF('Training Plan'!$A122="","",'Training Plan'!$B122),"")</f>
        <v/>
      </c>
      <c r="BC121" s="17" t="str">
        <f>IFERROR(IF('Training Plan'!$A122="","",'Training Plan'!$C122),"")</f>
        <v/>
      </c>
      <c r="BD121" s="17" t="str">
        <f>IFERROR(IF('Training Plan'!$A122="","",'Training Plan'!$D122),"")</f>
        <v/>
      </c>
      <c r="BE121" s="17" t="str">
        <f>IFERROR(IF('Training Plan'!$A122="","",'Training Plan'!$E122),"")</f>
        <v/>
      </c>
      <c r="BF121" s="17" t="str">
        <f>IFERROR(IF('Training Plan'!$A122="","",'Training Plan'!$F122),"")</f>
        <v/>
      </c>
      <c r="BG121" s="17" t="str">
        <f>IFERROR(IF('Training Plan'!$A122="","",'Training Plan'!$G122),"")</f>
        <v/>
      </c>
      <c r="BH121" s="17" t="str">
        <f>IFERROR(IF('Training Plan'!$A122="","",'Training Plan'!$H122),"")</f>
        <v/>
      </c>
      <c r="BI121" s="17" t="str">
        <f>IF(OR(BA121="",BF121="Complete",AND('Skill Management'!$D$4&lt;&gt;"All Departments",BB121&lt;&gt;'Skill Management'!$D$4)),"",IF(BF121="Blocked",100000,IF(BF121="In Progress",200000,300000))+IF(BE121="",99999,BE121))</f>
        <v/>
      </c>
      <c r="BJ121" s="17" t="str">
        <f>IF(BI121="","",COUNTIFS($BI$4:$BI$203,"&gt;0",$BI$4:$BI$203,"&lt;"&amp;BI121)+COUNTIF($BI$4:BI121,BI121))</f>
        <v/>
      </c>
      <c r="CB121" t="str">
        <f>IF(AND('Competency Event Log'!$B121='Employee Transcript'!$C$4,'Competency Event Log'!$I121&lt;&gt;"Yes"),'Competency Event Log'!$K121,"")</f>
        <v/>
      </c>
      <c r="CC121" t="str">
        <f t="shared" si="28"/>
        <v/>
      </c>
      <c r="CD121" t="str">
        <f>IF(Certifications!$A121='Employee Transcript'!$C$4,121,"")</f>
        <v/>
      </c>
      <c r="CE121" t="str">
        <f>IF(CD121="","",COUNTIF($CD$4:CD121,"&gt;0"))</f>
        <v/>
      </c>
      <c r="CF121" t="str">
        <f>IF(AND('Training Plan'!$A122='Employee Transcript'!$C$4,'Training Plan'!$F122&lt;&gt;"Complete"),122,"")</f>
        <v/>
      </c>
      <c r="CG121" t="str">
        <f>IF(CF121="","",COUNTIF($CF$4:CF121,"&gt;0"))</f>
        <v/>
      </c>
    </row>
    <row r="122" spans="1:85">
      <c r="A122" s="2"/>
      <c r="B122" s="1"/>
      <c r="C122" s="1"/>
      <c r="D122" s="1"/>
      <c r="E122" s="1"/>
      <c r="F122" s="3"/>
      <c r="G122" s="1"/>
      <c r="H122" s="4"/>
      <c r="I122" s="1"/>
      <c r="J122" s="1"/>
      <c r="K122" s="1"/>
      <c r="L122" s="1"/>
      <c r="M122" s="1"/>
      <c r="N122" s="1"/>
      <c r="AF122" s="1" t="str">
        <f>IFERROR(IF(Lists!$B122="","",Lists!$B122),"")</f>
        <v/>
      </c>
      <c r="AG122" s="1" t="str">
        <f>IFERROR(IF(Lists!$B122="","",Lists!$C122),"")</f>
        <v/>
      </c>
      <c r="AH122" s="1" t="str">
        <f>IFERROR(IF(Lists!$B122="","",Lists!$D122),"")</f>
        <v/>
      </c>
      <c r="AI122" s="1" t="str">
        <f>IF(AF122="","",IFERROR(INDEX('Skills Matrix'!$G$6:$DE$205,MATCH(AF122,'Skills Matrix'!$B$6:$B$205,0),MATCH('HR Quick View'!$J$9,'Skills Matrix'!$G$5:$DE$5,0)),""))</f>
        <v/>
      </c>
      <c r="AJ122" s="1" t="str">
        <f t="shared" si="33"/>
        <v/>
      </c>
      <c r="AK122" s="1" t="str">
        <f>IFERROR(IF(Lists!$B122="","",Lists!$E122),"")</f>
        <v/>
      </c>
      <c r="AL122" s="1" t="str">
        <f>IF(AND(OR('HR Quick View'!$L$10="All Shifts",AH122='HR Quick View'!$L$10),OR(AND('HR Quick View'!$I$10="Qualified only",AI122=3),AND('HR Quick View'!$I$10="All trained",AI122&gt;0))),IF('HR Quick View'!$L$10="All Shifts",COUNTIF($AI$4:$AI$203,"&gt;"&amp;AI122)+COUNTIF($AI$4:AI122,AI122),COUNTIFS($AI$4:$AI$203,"&gt;"&amp;AI122,$AH$4:$AH$203,'HR Quick View'!$L$10)+COUNTIFS($AI$4:AI122,AI122,$AH$4:AH122,'HR Quick View'!$L$10)),"")</f>
        <v/>
      </c>
      <c r="BA122" s="17" t="str">
        <f>IFERROR(IF('Training Plan'!$A123="","",'Training Plan'!$A123),"")</f>
        <v/>
      </c>
      <c r="BB122" s="17" t="str">
        <f>IFERROR(IF('Training Plan'!$A123="","",'Training Plan'!$B123),"")</f>
        <v/>
      </c>
      <c r="BC122" s="17" t="str">
        <f>IFERROR(IF('Training Plan'!$A123="","",'Training Plan'!$C123),"")</f>
        <v/>
      </c>
      <c r="BD122" s="17" t="str">
        <f>IFERROR(IF('Training Plan'!$A123="","",'Training Plan'!$D123),"")</f>
        <v/>
      </c>
      <c r="BE122" s="17" t="str">
        <f>IFERROR(IF('Training Plan'!$A123="","",'Training Plan'!$E123),"")</f>
        <v/>
      </c>
      <c r="BF122" s="17" t="str">
        <f>IFERROR(IF('Training Plan'!$A123="","",'Training Plan'!$F123),"")</f>
        <v/>
      </c>
      <c r="BG122" s="17" t="str">
        <f>IFERROR(IF('Training Plan'!$A123="","",'Training Plan'!$G123),"")</f>
        <v/>
      </c>
      <c r="BH122" s="17" t="str">
        <f>IFERROR(IF('Training Plan'!$A123="","",'Training Plan'!$H123),"")</f>
        <v/>
      </c>
      <c r="BI122" s="17" t="str">
        <f>IF(OR(BA122="",BF122="Complete",AND('Skill Management'!$D$4&lt;&gt;"All Departments",BB122&lt;&gt;'Skill Management'!$D$4)),"",IF(BF122="Blocked",100000,IF(BF122="In Progress",200000,300000))+IF(BE122="",99999,BE122))</f>
        <v/>
      </c>
      <c r="BJ122" s="17" t="str">
        <f>IF(BI122="","",COUNTIFS($BI$4:$BI$203,"&gt;0",$BI$4:$BI$203,"&lt;"&amp;BI122)+COUNTIF($BI$4:BI122,BI122))</f>
        <v/>
      </c>
      <c r="CB122" t="str">
        <f>IF(AND('Competency Event Log'!$B122='Employee Transcript'!$C$4,'Competency Event Log'!$I122&lt;&gt;"Yes"),'Competency Event Log'!$K122,"")</f>
        <v/>
      </c>
      <c r="CC122" t="str">
        <f t="shared" si="28"/>
        <v/>
      </c>
      <c r="CD122" t="str">
        <f>IF(Certifications!$A122='Employee Transcript'!$C$4,122,"")</f>
        <v/>
      </c>
      <c r="CE122" t="str">
        <f>IF(CD122="","",COUNTIF($CD$4:CD122,"&gt;0"))</f>
        <v/>
      </c>
      <c r="CF122" t="str">
        <f>IF(AND('Training Plan'!$A123='Employee Transcript'!$C$4,'Training Plan'!$F123&lt;&gt;"Complete"),123,"")</f>
        <v/>
      </c>
      <c r="CG122" t="str">
        <f>IF(CF122="","",COUNTIF($CF$4:CF122,"&gt;0"))</f>
        <v/>
      </c>
    </row>
    <row r="123" spans="1:85">
      <c r="A123" s="2"/>
      <c r="B123" s="1"/>
      <c r="C123" s="1"/>
      <c r="D123" s="1"/>
      <c r="E123" s="1"/>
      <c r="F123" s="3"/>
      <c r="G123" s="1"/>
      <c r="H123" s="4"/>
      <c r="I123" s="1"/>
      <c r="J123" s="1"/>
      <c r="K123" s="1"/>
      <c r="L123" s="1"/>
      <c r="M123" s="1"/>
      <c r="N123" s="1"/>
      <c r="AF123" s="1" t="str">
        <f>IFERROR(IF(Lists!$B123="","",Lists!$B123),"")</f>
        <v/>
      </c>
      <c r="AG123" s="1" t="str">
        <f>IFERROR(IF(Lists!$B123="","",Lists!$C123),"")</f>
        <v/>
      </c>
      <c r="AH123" s="1" t="str">
        <f>IFERROR(IF(Lists!$B123="","",Lists!$D123),"")</f>
        <v/>
      </c>
      <c r="AI123" s="1" t="str">
        <f>IF(AF123="","",IFERROR(INDEX('Skills Matrix'!$G$6:$DE$205,MATCH(AF123,'Skills Matrix'!$B$6:$B$205,0),MATCH('HR Quick View'!$J$9,'Skills Matrix'!$G$5:$DE$5,0)),""))</f>
        <v/>
      </c>
      <c r="AJ123" s="1" t="str">
        <f t="shared" si="33"/>
        <v/>
      </c>
      <c r="AK123" s="1" t="str">
        <f>IFERROR(IF(Lists!$B123="","",Lists!$E123),"")</f>
        <v/>
      </c>
      <c r="AL123" s="1" t="str">
        <f>IF(AND(OR('HR Quick View'!$L$10="All Shifts",AH123='HR Quick View'!$L$10),OR(AND('HR Quick View'!$I$10="Qualified only",AI123=3),AND('HR Quick View'!$I$10="All trained",AI123&gt;0))),IF('HR Quick View'!$L$10="All Shifts",COUNTIF($AI$4:$AI$203,"&gt;"&amp;AI123)+COUNTIF($AI$4:AI123,AI123),COUNTIFS($AI$4:$AI$203,"&gt;"&amp;AI123,$AH$4:$AH$203,'HR Quick View'!$L$10)+COUNTIFS($AI$4:AI123,AI123,$AH$4:AH123,'HR Quick View'!$L$10)),"")</f>
        <v/>
      </c>
      <c r="BA123" s="17" t="str">
        <f>IFERROR(IF('Training Plan'!$A124="","",'Training Plan'!$A124),"")</f>
        <v/>
      </c>
      <c r="BB123" s="17" t="str">
        <f>IFERROR(IF('Training Plan'!$A124="","",'Training Plan'!$B124),"")</f>
        <v/>
      </c>
      <c r="BC123" s="17" t="str">
        <f>IFERROR(IF('Training Plan'!$A124="","",'Training Plan'!$C124),"")</f>
        <v/>
      </c>
      <c r="BD123" s="17" t="str">
        <f>IFERROR(IF('Training Plan'!$A124="","",'Training Plan'!$D124),"")</f>
        <v/>
      </c>
      <c r="BE123" s="17" t="str">
        <f>IFERROR(IF('Training Plan'!$A124="","",'Training Plan'!$E124),"")</f>
        <v/>
      </c>
      <c r="BF123" s="17" t="str">
        <f>IFERROR(IF('Training Plan'!$A124="","",'Training Plan'!$F124),"")</f>
        <v/>
      </c>
      <c r="BG123" s="17" t="str">
        <f>IFERROR(IF('Training Plan'!$A124="","",'Training Plan'!$G124),"")</f>
        <v/>
      </c>
      <c r="BH123" s="17" t="str">
        <f>IFERROR(IF('Training Plan'!$A124="","",'Training Plan'!$H124),"")</f>
        <v/>
      </c>
      <c r="BI123" s="17" t="str">
        <f>IF(OR(BA123="",BF123="Complete",AND('Skill Management'!$D$4&lt;&gt;"All Departments",BB123&lt;&gt;'Skill Management'!$D$4)),"",IF(BF123="Blocked",100000,IF(BF123="In Progress",200000,300000))+IF(BE123="",99999,BE123))</f>
        <v/>
      </c>
      <c r="BJ123" s="17" t="str">
        <f>IF(BI123="","",COUNTIFS($BI$4:$BI$203,"&gt;0",$BI$4:$BI$203,"&lt;"&amp;BI123)+COUNTIF($BI$4:BI123,BI123))</f>
        <v/>
      </c>
      <c r="CB123" t="str">
        <f>IF(AND('Competency Event Log'!$B123='Employee Transcript'!$C$4,'Competency Event Log'!$I123&lt;&gt;"Yes"),'Competency Event Log'!$K123,"")</f>
        <v/>
      </c>
      <c r="CC123" t="str">
        <f t="shared" si="28"/>
        <v/>
      </c>
      <c r="CD123" t="str">
        <f>IF(Certifications!$A123='Employee Transcript'!$C$4,123,"")</f>
        <v/>
      </c>
      <c r="CE123" t="str">
        <f>IF(CD123="","",COUNTIF($CD$4:CD123,"&gt;0"))</f>
        <v/>
      </c>
      <c r="CF123" t="str">
        <f>IF(AND('Training Plan'!$A124='Employee Transcript'!$C$4,'Training Plan'!$F124&lt;&gt;"Complete"),124,"")</f>
        <v/>
      </c>
      <c r="CG123" t="str">
        <f>IF(CF123="","",COUNTIF($CF$4:CF123,"&gt;0"))</f>
        <v/>
      </c>
    </row>
    <row r="124" spans="1:85">
      <c r="A124" s="2"/>
      <c r="B124" s="1"/>
      <c r="C124" s="1"/>
      <c r="D124" s="1"/>
      <c r="E124" s="1"/>
      <c r="F124" s="3"/>
      <c r="G124" s="1"/>
      <c r="H124" s="4"/>
      <c r="I124" s="1"/>
      <c r="J124" s="1"/>
      <c r="K124" s="1"/>
      <c r="L124" s="1"/>
      <c r="M124" s="1"/>
      <c r="N124" s="1"/>
      <c r="AF124" s="1" t="str">
        <f>IFERROR(IF(Lists!$B124="","",Lists!$B124),"")</f>
        <v/>
      </c>
      <c r="AG124" s="1" t="str">
        <f>IFERROR(IF(Lists!$B124="","",Lists!$C124),"")</f>
        <v/>
      </c>
      <c r="AH124" s="1" t="str">
        <f>IFERROR(IF(Lists!$B124="","",Lists!$D124),"")</f>
        <v/>
      </c>
      <c r="AI124" s="1" t="str">
        <f>IF(AF124="","",IFERROR(INDEX('Skills Matrix'!$G$6:$DE$205,MATCH(AF124,'Skills Matrix'!$B$6:$B$205,0),MATCH('HR Quick View'!$J$9,'Skills Matrix'!$G$5:$DE$5,0)),""))</f>
        <v/>
      </c>
      <c r="AJ124" s="1" t="str">
        <f t="shared" si="33"/>
        <v/>
      </c>
      <c r="AK124" s="1" t="str">
        <f>IFERROR(IF(Lists!$B124="","",Lists!$E124),"")</f>
        <v/>
      </c>
      <c r="AL124" s="1" t="str">
        <f>IF(AND(OR('HR Quick View'!$L$10="All Shifts",AH124='HR Quick View'!$L$10),OR(AND('HR Quick View'!$I$10="Qualified only",AI124=3),AND('HR Quick View'!$I$10="All trained",AI124&gt;0))),IF('HR Quick View'!$L$10="All Shifts",COUNTIF($AI$4:$AI$203,"&gt;"&amp;AI124)+COUNTIF($AI$4:AI124,AI124),COUNTIFS($AI$4:$AI$203,"&gt;"&amp;AI124,$AH$4:$AH$203,'HR Quick View'!$L$10)+COUNTIFS($AI$4:AI124,AI124,$AH$4:AH124,'HR Quick View'!$L$10)),"")</f>
        <v/>
      </c>
      <c r="BA124" s="17" t="str">
        <f>IFERROR(IF('Training Plan'!$A125="","",'Training Plan'!$A125),"")</f>
        <v/>
      </c>
      <c r="BB124" s="17" t="str">
        <f>IFERROR(IF('Training Plan'!$A125="","",'Training Plan'!$B125),"")</f>
        <v/>
      </c>
      <c r="BC124" s="17" t="str">
        <f>IFERROR(IF('Training Plan'!$A125="","",'Training Plan'!$C125),"")</f>
        <v/>
      </c>
      <c r="BD124" s="17" t="str">
        <f>IFERROR(IF('Training Plan'!$A125="","",'Training Plan'!$D125),"")</f>
        <v/>
      </c>
      <c r="BE124" s="17" t="str">
        <f>IFERROR(IF('Training Plan'!$A125="","",'Training Plan'!$E125),"")</f>
        <v/>
      </c>
      <c r="BF124" s="17" t="str">
        <f>IFERROR(IF('Training Plan'!$A125="","",'Training Plan'!$F125),"")</f>
        <v/>
      </c>
      <c r="BG124" s="17" t="str">
        <f>IFERROR(IF('Training Plan'!$A125="","",'Training Plan'!$G125),"")</f>
        <v/>
      </c>
      <c r="BH124" s="17" t="str">
        <f>IFERROR(IF('Training Plan'!$A125="","",'Training Plan'!$H125),"")</f>
        <v/>
      </c>
      <c r="BI124" s="17" t="str">
        <f>IF(OR(BA124="",BF124="Complete",AND('Skill Management'!$D$4&lt;&gt;"All Departments",BB124&lt;&gt;'Skill Management'!$D$4)),"",IF(BF124="Blocked",100000,IF(BF124="In Progress",200000,300000))+IF(BE124="",99999,BE124))</f>
        <v/>
      </c>
      <c r="BJ124" s="17" t="str">
        <f>IF(BI124="","",COUNTIFS($BI$4:$BI$203,"&gt;0",$BI$4:$BI$203,"&lt;"&amp;BI124)+COUNTIF($BI$4:BI124,BI124))</f>
        <v/>
      </c>
      <c r="CB124" t="str">
        <f>IF(AND('Competency Event Log'!$B124='Employee Transcript'!$C$4,'Competency Event Log'!$I124&lt;&gt;"Yes"),'Competency Event Log'!$K124,"")</f>
        <v/>
      </c>
      <c r="CC124" t="str">
        <f t="shared" si="28"/>
        <v/>
      </c>
      <c r="CD124" t="str">
        <f>IF(Certifications!$A124='Employee Transcript'!$C$4,124,"")</f>
        <v/>
      </c>
      <c r="CE124" t="str">
        <f>IF(CD124="","",COUNTIF($CD$4:CD124,"&gt;0"))</f>
        <v/>
      </c>
      <c r="CF124" t="str">
        <f>IF(AND('Training Plan'!$A125='Employee Transcript'!$C$4,'Training Plan'!$F125&lt;&gt;"Complete"),125,"")</f>
        <v/>
      </c>
      <c r="CG124" t="str">
        <f>IF(CF124="","",COUNTIF($CF$4:CF124,"&gt;0"))</f>
        <v/>
      </c>
    </row>
    <row r="125" spans="1:85">
      <c r="A125" s="2"/>
      <c r="B125" s="1"/>
      <c r="C125" s="1"/>
      <c r="D125" s="1"/>
      <c r="E125" s="1"/>
      <c r="F125" s="3"/>
      <c r="G125" s="1"/>
      <c r="H125" s="4"/>
      <c r="I125" s="1"/>
      <c r="J125" s="1"/>
      <c r="K125" s="1"/>
      <c r="L125" s="1"/>
      <c r="M125" s="1"/>
      <c r="N125" s="1"/>
      <c r="AF125" s="1" t="str">
        <f>IFERROR(IF(Lists!$B125="","",Lists!$B125),"")</f>
        <v/>
      </c>
      <c r="AG125" s="1" t="str">
        <f>IFERROR(IF(Lists!$B125="","",Lists!$C125),"")</f>
        <v/>
      </c>
      <c r="AH125" s="1" t="str">
        <f>IFERROR(IF(Lists!$B125="","",Lists!$D125),"")</f>
        <v/>
      </c>
      <c r="AI125" s="1" t="str">
        <f>IF(AF125="","",IFERROR(INDEX('Skills Matrix'!$G$6:$DE$205,MATCH(AF125,'Skills Matrix'!$B$6:$B$205,0),MATCH('HR Quick View'!$J$9,'Skills Matrix'!$G$5:$DE$5,0)),""))</f>
        <v/>
      </c>
      <c r="AJ125" s="1" t="str">
        <f t="shared" si="33"/>
        <v/>
      </c>
      <c r="AK125" s="1" t="str">
        <f>IFERROR(IF(Lists!$B125="","",Lists!$E125),"")</f>
        <v/>
      </c>
      <c r="AL125" s="1" t="str">
        <f>IF(AND(OR('HR Quick View'!$L$10="All Shifts",AH125='HR Quick View'!$L$10),OR(AND('HR Quick View'!$I$10="Qualified only",AI125=3),AND('HR Quick View'!$I$10="All trained",AI125&gt;0))),IF('HR Quick View'!$L$10="All Shifts",COUNTIF($AI$4:$AI$203,"&gt;"&amp;AI125)+COUNTIF($AI$4:AI125,AI125),COUNTIFS($AI$4:$AI$203,"&gt;"&amp;AI125,$AH$4:$AH$203,'HR Quick View'!$L$10)+COUNTIFS($AI$4:AI125,AI125,$AH$4:AH125,'HR Quick View'!$L$10)),"")</f>
        <v/>
      </c>
      <c r="BA125" s="17" t="str">
        <f>IFERROR(IF('Training Plan'!$A126="","",'Training Plan'!$A126),"")</f>
        <v/>
      </c>
      <c r="BB125" s="17" t="str">
        <f>IFERROR(IF('Training Plan'!$A126="","",'Training Plan'!$B126),"")</f>
        <v/>
      </c>
      <c r="BC125" s="17" t="str">
        <f>IFERROR(IF('Training Plan'!$A126="","",'Training Plan'!$C126),"")</f>
        <v/>
      </c>
      <c r="BD125" s="17" t="str">
        <f>IFERROR(IF('Training Plan'!$A126="","",'Training Plan'!$D126),"")</f>
        <v/>
      </c>
      <c r="BE125" s="17" t="str">
        <f>IFERROR(IF('Training Plan'!$A126="","",'Training Plan'!$E126),"")</f>
        <v/>
      </c>
      <c r="BF125" s="17" t="str">
        <f>IFERROR(IF('Training Plan'!$A126="","",'Training Plan'!$F126),"")</f>
        <v/>
      </c>
      <c r="BG125" s="17" t="str">
        <f>IFERROR(IF('Training Plan'!$A126="","",'Training Plan'!$G126),"")</f>
        <v/>
      </c>
      <c r="BH125" s="17" t="str">
        <f>IFERROR(IF('Training Plan'!$A126="","",'Training Plan'!$H126),"")</f>
        <v/>
      </c>
      <c r="BI125" s="17" t="str">
        <f>IF(OR(BA125="",BF125="Complete",AND('Skill Management'!$D$4&lt;&gt;"All Departments",BB125&lt;&gt;'Skill Management'!$D$4)),"",IF(BF125="Blocked",100000,IF(BF125="In Progress",200000,300000))+IF(BE125="",99999,BE125))</f>
        <v/>
      </c>
      <c r="BJ125" s="17" t="str">
        <f>IF(BI125="","",COUNTIFS($BI$4:$BI$203,"&gt;0",$BI$4:$BI$203,"&lt;"&amp;BI125)+COUNTIF($BI$4:BI125,BI125))</f>
        <v/>
      </c>
      <c r="CB125" t="str">
        <f>IF(AND('Competency Event Log'!$B125='Employee Transcript'!$C$4,'Competency Event Log'!$I125&lt;&gt;"Yes"),'Competency Event Log'!$K125,"")</f>
        <v/>
      </c>
      <c r="CC125" t="str">
        <f t="shared" si="28"/>
        <v/>
      </c>
      <c r="CD125" t="str">
        <f>IF(Certifications!$A125='Employee Transcript'!$C$4,125,"")</f>
        <v/>
      </c>
      <c r="CE125" t="str">
        <f>IF(CD125="","",COUNTIF($CD$4:CD125,"&gt;0"))</f>
        <v/>
      </c>
      <c r="CF125" t="str">
        <f>IF(AND('Training Plan'!$A126='Employee Transcript'!$C$4,'Training Plan'!$F126&lt;&gt;"Complete"),126,"")</f>
        <v/>
      </c>
      <c r="CG125" t="str">
        <f>IF(CF125="","",COUNTIF($CF$4:CF125,"&gt;0"))</f>
        <v/>
      </c>
    </row>
    <row r="126" spans="1:85">
      <c r="A126" s="2"/>
      <c r="B126" s="1"/>
      <c r="C126" s="1"/>
      <c r="D126" s="1"/>
      <c r="E126" s="1"/>
      <c r="F126" s="3"/>
      <c r="G126" s="1"/>
      <c r="H126" s="4"/>
      <c r="I126" s="1"/>
      <c r="J126" s="1"/>
      <c r="K126" s="1"/>
      <c r="L126" s="1"/>
      <c r="M126" s="1"/>
      <c r="N126" s="1"/>
      <c r="AF126" s="1" t="str">
        <f>IFERROR(IF(Lists!$B126="","",Lists!$B126),"")</f>
        <v/>
      </c>
      <c r="AG126" s="1" t="str">
        <f>IFERROR(IF(Lists!$B126="","",Lists!$C126),"")</f>
        <v/>
      </c>
      <c r="AH126" s="1" t="str">
        <f>IFERROR(IF(Lists!$B126="","",Lists!$D126),"")</f>
        <v/>
      </c>
      <c r="AI126" s="1" t="str">
        <f>IF(AF126="","",IFERROR(INDEX('Skills Matrix'!$G$6:$DE$205,MATCH(AF126,'Skills Matrix'!$B$6:$B$205,0),MATCH('HR Quick View'!$J$9,'Skills Matrix'!$G$5:$DE$5,0)),""))</f>
        <v/>
      </c>
      <c r="AJ126" s="1" t="str">
        <f t="shared" si="33"/>
        <v/>
      </c>
      <c r="AK126" s="1" t="str">
        <f>IFERROR(IF(Lists!$B126="","",Lists!$E126),"")</f>
        <v/>
      </c>
      <c r="AL126" s="1" t="str">
        <f>IF(AND(OR('HR Quick View'!$L$10="All Shifts",AH126='HR Quick View'!$L$10),OR(AND('HR Quick View'!$I$10="Qualified only",AI126=3),AND('HR Quick View'!$I$10="All trained",AI126&gt;0))),IF('HR Quick View'!$L$10="All Shifts",COUNTIF($AI$4:$AI$203,"&gt;"&amp;AI126)+COUNTIF($AI$4:AI126,AI126),COUNTIFS($AI$4:$AI$203,"&gt;"&amp;AI126,$AH$4:$AH$203,'HR Quick View'!$L$10)+COUNTIFS($AI$4:AI126,AI126,$AH$4:AH126,'HR Quick View'!$L$10)),"")</f>
        <v/>
      </c>
      <c r="BA126" s="17" t="str">
        <f>IFERROR(IF('Training Plan'!$A127="","",'Training Plan'!$A127),"")</f>
        <v/>
      </c>
      <c r="BB126" s="17" t="str">
        <f>IFERROR(IF('Training Plan'!$A127="","",'Training Plan'!$B127),"")</f>
        <v/>
      </c>
      <c r="BC126" s="17" t="str">
        <f>IFERROR(IF('Training Plan'!$A127="","",'Training Plan'!$C127),"")</f>
        <v/>
      </c>
      <c r="BD126" s="17" t="str">
        <f>IFERROR(IF('Training Plan'!$A127="","",'Training Plan'!$D127),"")</f>
        <v/>
      </c>
      <c r="BE126" s="17" t="str">
        <f>IFERROR(IF('Training Plan'!$A127="","",'Training Plan'!$E127),"")</f>
        <v/>
      </c>
      <c r="BF126" s="17" t="str">
        <f>IFERROR(IF('Training Plan'!$A127="","",'Training Plan'!$F127),"")</f>
        <v/>
      </c>
      <c r="BG126" s="17" t="str">
        <f>IFERROR(IF('Training Plan'!$A127="","",'Training Plan'!$G127),"")</f>
        <v/>
      </c>
      <c r="BH126" s="17" t="str">
        <f>IFERROR(IF('Training Plan'!$A127="","",'Training Plan'!$H127),"")</f>
        <v/>
      </c>
      <c r="BI126" s="17" t="str">
        <f>IF(OR(BA126="",BF126="Complete",AND('Skill Management'!$D$4&lt;&gt;"All Departments",BB126&lt;&gt;'Skill Management'!$D$4)),"",IF(BF126="Blocked",100000,IF(BF126="In Progress",200000,300000))+IF(BE126="",99999,BE126))</f>
        <v/>
      </c>
      <c r="BJ126" s="17" t="str">
        <f>IF(BI126="","",COUNTIFS($BI$4:$BI$203,"&gt;0",$BI$4:$BI$203,"&lt;"&amp;BI126)+COUNTIF($BI$4:BI126,BI126))</f>
        <v/>
      </c>
      <c r="CB126" t="str">
        <f>IF(AND('Competency Event Log'!$B126='Employee Transcript'!$C$4,'Competency Event Log'!$I126&lt;&gt;"Yes"),'Competency Event Log'!$K126,"")</f>
        <v/>
      </c>
      <c r="CC126" t="str">
        <f t="shared" si="28"/>
        <v/>
      </c>
      <c r="CD126" t="str">
        <f>IF(Certifications!$A126='Employee Transcript'!$C$4,126,"")</f>
        <v/>
      </c>
      <c r="CE126" t="str">
        <f>IF(CD126="","",COUNTIF($CD$4:CD126,"&gt;0"))</f>
        <v/>
      </c>
      <c r="CF126" t="str">
        <f>IF(AND('Training Plan'!$A127='Employee Transcript'!$C$4,'Training Plan'!$F127&lt;&gt;"Complete"),127,"")</f>
        <v/>
      </c>
      <c r="CG126" t="str">
        <f>IF(CF126="","",COUNTIF($CF$4:CF126,"&gt;0"))</f>
        <v/>
      </c>
    </row>
    <row r="127" spans="1:85">
      <c r="A127" s="2"/>
      <c r="B127" s="1"/>
      <c r="C127" s="1"/>
      <c r="D127" s="1"/>
      <c r="E127" s="1"/>
      <c r="F127" s="3"/>
      <c r="G127" s="1"/>
      <c r="H127" s="4"/>
      <c r="I127" s="1"/>
      <c r="J127" s="1"/>
      <c r="K127" s="1"/>
      <c r="L127" s="1"/>
      <c r="M127" s="1"/>
      <c r="N127" s="1"/>
      <c r="AF127" s="1" t="str">
        <f>IFERROR(IF(Lists!$B127="","",Lists!$B127),"")</f>
        <v/>
      </c>
      <c r="AG127" s="1" t="str">
        <f>IFERROR(IF(Lists!$B127="","",Lists!$C127),"")</f>
        <v/>
      </c>
      <c r="AH127" s="1" t="str">
        <f>IFERROR(IF(Lists!$B127="","",Lists!$D127),"")</f>
        <v/>
      </c>
      <c r="AI127" s="1" t="str">
        <f>IF(AF127="","",IFERROR(INDEX('Skills Matrix'!$G$6:$DE$205,MATCH(AF127,'Skills Matrix'!$B$6:$B$205,0),MATCH('HR Quick View'!$J$9,'Skills Matrix'!$G$5:$DE$5,0)),""))</f>
        <v/>
      </c>
      <c r="AJ127" s="1" t="str">
        <f t="shared" si="33"/>
        <v/>
      </c>
      <c r="AK127" s="1" t="str">
        <f>IFERROR(IF(Lists!$B127="","",Lists!$E127),"")</f>
        <v/>
      </c>
      <c r="AL127" s="1" t="str">
        <f>IF(AND(OR('HR Quick View'!$L$10="All Shifts",AH127='HR Quick View'!$L$10),OR(AND('HR Quick View'!$I$10="Qualified only",AI127=3),AND('HR Quick View'!$I$10="All trained",AI127&gt;0))),IF('HR Quick View'!$L$10="All Shifts",COUNTIF($AI$4:$AI$203,"&gt;"&amp;AI127)+COUNTIF($AI$4:AI127,AI127),COUNTIFS($AI$4:$AI$203,"&gt;"&amp;AI127,$AH$4:$AH$203,'HR Quick View'!$L$10)+COUNTIFS($AI$4:AI127,AI127,$AH$4:AH127,'HR Quick View'!$L$10)),"")</f>
        <v/>
      </c>
      <c r="BA127" s="17" t="str">
        <f>IFERROR(IF('Training Plan'!$A128="","",'Training Plan'!$A128),"")</f>
        <v/>
      </c>
      <c r="BB127" s="17" t="str">
        <f>IFERROR(IF('Training Plan'!$A128="","",'Training Plan'!$B128),"")</f>
        <v/>
      </c>
      <c r="BC127" s="17" t="str">
        <f>IFERROR(IF('Training Plan'!$A128="","",'Training Plan'!$C128),"")</f>
        <v/>
      </c>
      <c r="BD127" s="17" t="str">
        <f>IFERROR(IF('Training Plan'!$A128="","",'Training Plan'!$D128),"")</f>
        <v/>
      </c>
      <c r="BE127" s="17" t="str">
        <f>IFERROR(IF('Training Plan'!$A128="","",'Training Plan'!$E128),"")</f>
        <v/>
      </c>
      <c r="BF127" s="17" t="str">
        <f>IFERROR(IF('Training Plan'!$A128="","",'Training Plan'!$F128),"")</f>
        <v/>
      </c>
      <c r="BG127" s="17" t="str">
        <f>IFERROR(IF('Training Plan'!$A128="","",'Training Plan'!$G128),"")</f>
        <v/>
      </c>
      <c r="BH127" s="17" t="str">
        <f>IFERROR(IF('Training Plan'!$A128="","",'Training Plan'!$H128),"")</f>
        <v/>
      </c>
      <c r="BI127" s="17" t="str">
        <f>IF(OR(BA127="",BF127="Complete",AND('Skill Management'!$D$4&lt;&gt;"All Departments",BB127&lt;&gt;'Skill Management'!$D$4)),"",IF(BF127="Blocked",100000,IF(BF127="In Progress",200000,300000))+IF(BE127="",99999,BE127))</f>
        <v/>
      </c>
      <c r="BJ127" s="17" t="str">
        <f>IF(BI127="","",COUNTIFS($BI$4:$BI$203,"&gt;0",$BI$4:$BI$203,"&lt;"&amp;BI127)+COUNTIF($BI$4:BI127,BI127))</f>
        <v/>
      </c>
      <c r="CB127" t="str">
        <f>IF(AND('Competency Event Log'!$B127='Employee Transcript'!$C$4,'Competency Event Log'!$I127&lt;&gt;"Yes"),'Competency Event Log'!$K127,"")</f>
        <v/>
      </c>
      <c r="CC127" t="str">
        <f t="shared" si="28"/>
        <v/>
      </c>
      <c r="CD127" t="str">
        <f>IF(Certifications!$A127='Employee Transcript'!$C$4,127,"")</f>
        <v/>
      </c>
      <c r="CE127" t="str">
        <f>IF(CD127="","",COUNTIF($CD$4:CD127,"&gt;0"))</f>
        <v/>
      </c>
      <c r="CF127" t="str">
        <f>IF(AND('Training Plan'!$A128='Employee Transcript'!$C$4,'Training Plan'!$F128&lt;&gt;"Complete"),128,"")</f>
        <v/>
      </c>
      <c r="CG127" t="str">
        <f>IF(CF127="","",COUNTIF($CF$4:CF127,"&gt;0"))</f>
        <v/>
      </c>
    </row>
    <row r="128" spans="1:85">
      <c r="A128" s="2"/>
      <c r="B128" s="1"/>
      <c r="C128" s="1"/>
      <c r="D128" s="1"/>
      <c r="E128" s="1"/>
      <c r="F128" s="3"/>
      <c r="G128" s="1"/>
      <c r="H128" s="4"/>
      <c r="I128" s="1"/>
      <c r="J128" s="1"/>
      <c r="K128" s="1"/>
      <c r="L128" s="1"/>
      <c r="M128" s="1"/>
      <c r="N128" s="1"/>
      <c r="AF128" s="1" t="str">
        <f>IFERROR(IF(Lists!$B128="","",Lists!$B128),"")</f>
        <v/>
      </c>
      <c r="AG128" s="1" t="str">
        <f>IFERROR(IF(Lists!$B128="","",Lists!$C128),"")</f>
        <v/>
      </c>
      <c r="AH128" s="1" t="str">
        <f>IFERROR(IF(Lists!$B128="","",Lists!$D128),"")</f>
        <v/>
      </c>
      <c r="AI128" s="1" t="str">
        <f>IF(AF128="","",IFERROR(INDEX('Skills Matrix'!$G$6:$DE$205,MATCH(AF128,'Skills Matrix'!$B$6:$B$205,0),MATCH('HR Quick View'!$J$9,'Skills Matrix'!$G$5:$DE$5,0)),""))</f>
        <v/>
      </c>
      <c r="AJ128" s="1" t="str">
        <f t="shared" si="33"/>
        <v/>
      </c>
      <c r="AK128" s="1" t="str">
        <f>IFERROR(IF(Lists!$B128="","",Lists!$E128),"")</f>
        <v/>
      </c>
      <c r="AL128" s="1" t="str">
        <f>IF(AND(OR('HR Quick View'!$L$10="All Shifts",AH128='HR Quick View'!$L$10),OR(AND('HR Quick View'!$I$10="Qualified only",AI128=3),AND('HR Quick View'!$I$10="All trained",AI128&gt;0))),IF('HR Quick View'!$L$10="All Shifts",COUNTIF($AI$4:$AI$203,"&gt;"&amp;AI128)+COUNTIF($AI$4:AI128,AI128),COUNTIFS($AI$4:$AI$203,"&gt;"&amp;AI128,$AH$4:$AH$203,'HR Quick View'!$L$10)+COUNTIFS($AI$4:AI128,AI128,$AH$4:AH128,'HR Quick View'!$L$10)),"")</f>
        <v/>
      </c>
      <c r="BA128" s="17" t="str">
        <f>IFERROR(IF('Training Plan'!$A129="","",'Training Plan'!$A129),"")</f>
        <v/>
      </c>
      <c r="BB128" s="17" t="str">
        <f>IFERROR(IF('Training Plan'!$A129="","",'Training Plan'!$B129),"")</f>
        <v/>
      </c>
      <c r="BC128" s="17" t="str">
        <f>IFERROR(IF('Training Plan'!$A129="","",'Training Plan'!$C129),"")</f>
        <v/>
      </c>
      <c r="BD128" s="17" t="str">
        <f>IFERROR(IF('Training Plan'!$A129="","",'Training Plan'!$D129),"")</f>
        <v/>
      </c>
      <c r="BE128" s="17" t="str">
        <f>IFERROR(IF('Training Plan'!$A129="","",'Training Plan'!$E129),"")</f>
        <v/>
      </c>
      <c r="BF128" s="17" t="str">
        <f>IFERROR(IF('Training Plan'!$A129="","",'Training Plan'!$F129),"")</f>
        <v/>
      </c>
      <c r="BG128" s="17" t="str">
        <f>IFERROR(IF('Training Plan'!$A129="","",'Training Plan'!$G129),"")</f>
        <v/>
      </c>
      <c r="BH128" s="17" t="str">
        <f>IFERROR(IF('Training Plan'!$A129="","",'Training Plan'!$H129),"")</f>
        <v/>
      </c>
      <c r="BI128" s="17" t="str">
        <f>IF(OR(BA128="",BF128="Complete",AND('Skill Management'!$D$4&lt;&gt;"All Departments",BB128&lt;&gt;'Skill Management'!$D$4)),"",IF(BF128="Blocked",100000,IF(BF128="In Progress",200000,300000))+IF(BE128="",99999,BE128))</f>
        <v/>
      </c>
      <c r="BJ128" s="17" t="str">
        <f>IF(BI128="","",COUNTIFS($BI$4:$BI$203,"&gt;0",$BI$4:$BI$203,"&lt;"&amp;BI128)+COUNTIF($BI$4:BI128,BI128))</f>
        <v/>
      </c>
      <c r="CB128" t="str">
        <f>IF(AND('Competency Event Log'!$B128='Employee Transcript'!$C$4,'Competency Event Log'!$I128&lt;&gt;"Yes"),'Competency Event Log'!$K128,"")</f>
        <v/>
      </c>
      <c r="CC128" t="str">
        <f t="shared" si="28"/>
        <v/>
      </c>
      <c r="CD128" t="str">
        <f>IF(Certifications!$A128='Employee Transcript'!$C$4,128,"")</f>
        <v/>
      </c>
      <c r="CE128" t="str">
        <f>IF(CD128="","",COUNTIF($CD$4:CD128,"&gt;0"))</f>
        <v/>
      </c>
      <c r="CF128" t="str">
        <f>IF(AND('Training Plan'!$A129='Employee Transcript'!$C$4,'Training Plan'!$F129&lt;&gt;"Complete"),129,"")</f>
        <v/>
      </c>
      <c r="CG128" t="str">
        <f>IF(CF128="","",COUNTIF($CF$4:CF128,"&gt;0"))</f>
        <v/>
      </c>
    </row>
    <row r="129" spans="1:85">
      <c r="A129" s="2"/>
      <c r="B129" s="1"/>
      <c r="C129" s="1"/>
      <c r="D129" s="1"/>
      <c r="E129" s="1"/>
      <c r="F129" s="3"/>
      <c r="G129" s="1"/>
      <c r="H129" s="4"/>
      <c r="I129" s="1"/>
      <c r="J129" s="1"/>
      <c r="K129" s="1"/>
      <c r="L129" s="1"/>
      <c r="M129" s="1"/>
      <c r="N129" s="1"/>
      <c r="AF129" s="1" t="str">
        <f>IFERROR(IF(Lists!$B129="","",Lists!$B129),"")</f>
        <v/>
      </c>
      <c r="AG129" s="1" t="str">
        <f>IFERROR(IF(Lists!$B129="","",Lists!$C129),"")</f>
        <v/>
      </c>
      <c r="AH129" s="1" t="str">
        <f>IFERROR(IF(Lists!$B129="","",Lists!$D129),"")</f>
        <v/>
      </c>
      <c r="AI129" s="1" t="str">
        <f>IF(AF129="","",IFERROR(INDEX('Skills Matrix'!$G$6:$DE$205,MATCH(AF129,'Skills Matrix'!$B$6:$B$205,0),MATCH('HR Quick View'!$J$9,'Skills Matrix'!$G$5:$DE$5,0)),""))</f>
        <v/>
      </c>
      <c r="AJ129" s="1" t="str">
        <f t="shared" si="33"/>
        <v/>
      </c>
      <c r="AK129" s="1" t="str">
        <f>IFERROR(IF(Lists!$B129="","",Lists!$E129),"")</f>
        <v/>
      </c>
      <c r="AL129" s="1" t="str">
        <f>IF(AND(OR('HR Quick View'!$L$10="All Shifts",AH129='HR Quick View'!$L$10),OR(AND('HR Quick View'!$I$10="Qualified only",AI129=3),AND('HR Quick View'!$I$10="All trained",AI129&gt;0))),IF('HR Quick View'!$L$10="All Shifts",COUNTIF($AI$4:$AI$203,"&gt;"&amp;AI129)+COUNTIF($AI$4:AI129,AI129),COUNTIFS($AI$4:$AI$203,"&gt;"&amp;AI129,$AH$4:$AH$203,'HR Quick View'!$L$10)+COUNTIFS($AI$4:AI129,AI129,$AH$4:AH129,'HR Quick View'!$L$10)),"")</f>
        <v/>
      </c>
      <c r="BA129" s="17" t="str">
        <f>IFERROR(IF('Training Plan'!$A130="","",'Training Plan'!$A130),"")</f>
        <v/>
      </c>
      <c r="BB129" s="17" t="str">
        <f>IFERROR(IF('Training Plan'!$A130="","",'Training Plan'!$B130),"")</f>
        <v/>
      </c>
      <c r="BC129" s="17" t="str">
        <f>IFERROR(IF('Training Plan'!$A130="","",'Training Plan'!$C130),"")</f>
        <v/>
      </c>
      <c r="BD129" s="17" t="str">
        <f>IFERROR(IF('Training Plan'!$A130="","",'Training Plan'!$D130),"")</f>
        <v/>
      </c>
      <c r="BE129" s="17" t="str">
        <f>IFERROR(IF('Training Plan'!$A130="","",'Training Plan'!$E130),"")</f>
        <v/>
      </c>
      <c r="BF129" s="17" t="str">
        <f>IFERROR(IF('Training Plan'!$A130="","",'Training Plan'!$F130),"")</f>
        <v/>
      </c>
      <c r="BG129" s="17" t="str">
        <f>IFERROR(IF('Training Plan'!$A130="","",'Training Plan'!$G130),"")</f>
        <v/>
      </c>
      <c r="BH129" s="17" t="str">
        <f>IFERROR(IF('Training Plan'!$A130="","",'Training Plan'!$H130),"")</f>
        <v/>
      </c>
      <c r="BI129" s="17" t="str">
        <f>IF(OR(BA129="",BF129="Complete",AND('Skill Management'!$D$4&lt;&gt;"All Departments",BB129&lt;&gt;'Skill Management'!$D$4)),"",IF(BF129="Blocked",100000,IF(BF129="In Progress",200000,300000))+IF(BE129="",99999,BE129))</f>
        <v/>
      </c>
      <c r="BJ129" s="17" t="str">
        <f>IF(BI129="","",COUNTIFS($BI$4:$BI$203,"&gt;0",$BI$4:$BI$203,"&lt;"&amp;BI129)+COUNTIF($BI$4:BI129,BI129))</f>
        <v/>
      </c>
      <c r="CB129" t="str">
        <f>IF(AND('Competency Event Log'!$B129='Employee Transcript'!$C$4,'Competency Event Log'!$I129&lt;&gt;"Yes"),'Competency Event Log'!$K129,"")</f>
        <v/>
      </c>
      <c r="CC129" t="str">
        <f t="shared" si="28"/>
        <v/>
      </c>
      <c r="CD129" t="str">
        <f>IF(Certifications!$A129='Employee Transcript'!$C$4,129,"")</f>
        <v/>
      </c>
      <c r="CE129" t="str">
        <f>IF(CD129="","",COUNTIF($CD$4:CD129,"&gt;0"))</f>
        <v/>
      </c>
      <c r="CF129" t="str">
        <f>IF(AND('Training Plan'!$A130='Employee Transcript'!$C$4,'Training Plan'!$F130&lt;&gt;"Complete"),130,"")</f>
        <v/>
      </c>
      <c r="CG129" t="str">
        <f>IF(CF129="","",COUNTIF($CF$4:CF129,"&gt;0"))</f>
        <v/>
      </c>
    </row>
    <row r="130" spans="1:85">
      <c r="A130" s="2"/>
      <c r="B130" s="1"/>
      <c r="C130" s="1"/>
      <c r="D130" s="1"/>
      <c r="E130" s="1"/>
      <c r="F130" s="3"/>
      <c r="G130" s="1"/>
      <c r="H130" s="4"/>
      <c r="I130" s="1"/>
      <c r="J130" s="1"/>
      <c r="K130" s="1"/>
      <c r="L130" s="1"/>
      <c r="M130" s="1"/>
      <c r="N130" s="1"/>
      <c r="AF130" s="1" t="str">
        <f>IFERROR(IF(Lists!$B130="","",Lists!$B130),"")</f>
        <v/>
      </c>
      <c r="AG130" s="1" t="str">
        <f>IFERROR(IF(Lists!$B130="","",Lists!$C130),"")</f>
        <v/>
      </c>
      <c r="AH130" s="1" t="str">
        <f>IFERROR(IF(Lists!$B130="","",Lists!$D130),"")</f>
        <v/>
      </c>
      <c r="AI130" s="1" t="str">
        <f>IF(AF130="","",IFERROR(INDEX('Skills Matrix'!$G$6:$DE$205,MATCH(AF130,'Skills Matrix'!$B$6:$B$205,0),MATCH('HR Quick View'!$J$9,'Skills Matrix'!$G$5:$DE$5,0)),""))</f>
        <v/>
      </c>
      <c r="AJ130" s="1" t="str">
        <f t="shared" si="33"/>
        <v/>
      </c>
      <c r="AK130" s="1" t="str">
        <f>IFERROR(IF(Lists!$B130="","",Lists!$E130),"")</f>
        <v/>
      </c>
      <c r="AL130" s="1" t="str">
        <f>IF(AND(OR('HR Quick View'!$L$10="All Shifts",AH130='HR Quick View'!$L$10),OR(AND('HR Quick View'!$I$10="Qualified only",AI130=3),AND('HR Quick View'!$I$10="All trained",AI130&gt;0))),IF('HR Quick View'!$L$10="All Shifts",COUNTIF($AI$4:$AI$203,"&gt;"&amp;AI130)+COUNTIF($AI$4:AI130,AI130),COUNTIFS($AI$4:$AI$203,"&gt;"&amp;AI130,$AH$4:$AH$203,'HR Quick View'!$L$10)+COUNTIFS($AI$4:AI130,AI130,$AH$4:AH130,'HR Quick View'!$L$10)),"")</f>
        <v/>
      </c>
      <c r="BA130" s="17" t="str">
        <f>IFERROR(IF('Training Plan'!$A131="","",'Training Plan'!$A131),"")</f>
        <v/>
      </c>
      <c r="BB130" s="17" t="str">
        <f>IFERROR(IF('Training Plan'!$A131="","",'Training Plan'!$B131),"")</f>
        <v/>
      </c>
      <c r="BC130" s="17" t="str">
        <f>IFERROR(IF('Training Plan'!$A131="","",'Training Plan'!$C131),"")</f>
        <v/>
      </c>
      <c r="BD130" s="17" t="str">
        <f>IFERROR(IF('Training Plan'!$A131="","",'Training Plan'!$D131),"")</f>
        <v/>
      </c>
      <c r="BE130" s="17" t="str">
        <f>IFERROR(IF('Training Plan'!$A131="","",'Training Plan'!$E131),"")</f>
        <v/>
      </c>
      <c r="BF130" s="17" t="str">
        <f>IFERROR(IF('Training Plan'!$A131="","",'Training Plan'!$F131),"")</f>
        <v/>
      </c>
      <c r="BG130" s="17" t="str">
        <f>IFERROR(IF('Training Plan'!$A131="","",'Training Plan'!$G131),"")</f>
        <v/>
      </c>
      <c r="BH130" s="17" t="str">
        <f>IFERROR(IF('Training Plan'!$A131="","",'Training Plan'!$H131),"")</f>
        <v/>
      </c>
      <c r="BI130" s="17" t="str">
        <f>IF(OR(BA130="",BF130="Complete",AND('Skill Management'!$D$4&lt;&gt;"All Departments",BB130&lt;&gt;'Skill Management'!$D$4)),"",IF(BF130="Blocked",100000,IF(BF130="In Progress",200000,300000))+IF(BE130="",99999,BE130))</f>
        <v/>
      </c>
      <c r="BJ130" s="17" t="str">
        <f>IF(BI130="","",COUNTIFS($BI$4:$BI$203,"&gt;0",$BI$4:$BI$203,"&lt;"&amp;BI130)+COUNTIF($BI$4:BI130,BI130))</f>
        <v/>
      </c>
      <c r="CB130" t="str">
        <f>IF(AND('Competency Event Log'!$B130='Employee Transcript'!$C$4,'Competency Event Log'!$I130&lt;&gt;"Yes"),'Competency Event Log'!$K130,"")</f>
        <v/>
      </c>
      <c r="CC130" t="str">
        <f t="shared" si="28"/>
        <v/>
      </c>
      <c r="CD130" t="str">
        <f>IF(Certifications!$A130='Employee Transcript'!$C$4,130,"")</f>
        <v/>
      </c>
      <c r="CE130" t="str">
        <f>IF(CD130="","",COUNTIF($CD$4:CD130,"&gt;0"))</f>
        <v/>
      </c>
      <c r="CF130" t="str">
        <f>IF(AND('Training Plan'!$A131='Employee Transcript'!$C$4,'Training Plan'!$F131&lt;&gt;"Complete"),131,"")</f>
        <v/>
      </c>
      <c r="CG130" t="str">
        <f>IF(CF130="","",COUNTIF($CF$4:CF130,"&gt;0"))</f>
        <v/>
      </c>
    </row>
    <row r="131" spans="1:85">
      <c r="A131" s="2"/>
      <c r="B131" s="1"/>
      <c r="C131" s="1"/>
      <c r="D131" s="1"/>
      <c r="E131" s="1"/>
      <c r="F131" s="3"/>
      <c r="G131" s="1"/>
      <c r="H131" s="4"/>
      <c r="I131" s="1"/>
      <c r="J131" s="1"/>
      <c r="K131" s="1"/>
      <c r="L131" s="1"/>
      <c r="M131" s="1"/>
      <c r="N131" s="1"/>
      <c r="AF131" s="1" t="str">
        <f>IFERROR(IF(Lists!$B131="","",Lists!$B131),"")</f>
        <v/>
      </c>
      <c r="AG131" s="1" t="str">
        <f>IFERROR(IF(Lists!$B131="","",Lists!$C131),"")</f>
        <v/>
      </c>
      <c r="AH131" s="1" t="str">
        <f>IFERROR(IF(Lists!$B131="","",Lists!$D131),"")</f>
        <v/>
      </c>
      <c r="AI131" s="1" t="str">
        <f>IF(AF131="","",IFERROR(INDEX('Skills Matrix'!$G$6:$DE$205,MATCH(AF131,'Skills Matrix'!$B$6:$B$205,0),MATCH('HR Quick View'!$J$9,'Skills Matrix'!$G$5:$DE$5,0)),""))</f>
        <v/>
      </c>
      <c r="AJ131" s="1" t="str">
        <f t="shared" si="33"/>
        <v/>
      </c>
      <c r="AK131" s="1" t="str">
        <f>IFERROR(IF(Lists!$B131="","",Lists!$E131),"")</f>
        <v/>
      </c>
      <c r="AL131" s="1" t="str">
        <f>IF(AND(OR('HR Quick View'!$L$10="All Shifts",AH131='HR Quick View'!$L$10),OR(AND('HR Quick View'!$I$10="Qualified only",AI131=3),AND('HR Quick View'!$I$10="All trained",AI131&gt;0))),IF('HR Quick View'!$L$10="All Shifts",COUNTIF($AI$4:$AI$203,"&gt;"&amp;AI131)+COUNTIF($AI$4:AI131,AI131),COUNTIFS($AI$4:$AI$203,"&gt;"&amp;AI131,$AH$4:$AH$203,'HR Quick View'!$L$10)+COUNTIFS($AI$4:AI131,AI131,$AH$4:AH131,'HR Quick View'!$L$10)),"")</f>
        <v/>
      </c>
      <c r="BA131" s="17" t="str">
        <f>IFERROR(IF('Training Plan'!$A132="","",'Training Plan'!$A132),"")</f>
        <v/>
      </c>
      <c r="BB131" s="17" t="str">
        <f>IFERROR(IF('Training Plan'!$A132="","",'Training Plan'!$B132),"")</f>
        <v/>
      </c>
      <c r="BC131" s="17" t="str">
        <f>IFERROR(IF('Training Plan'!$A132="","",'Training Plan'!$C132),"")</f>
        <v/>
      </c>
      <c r="BD131" s="17" t="str">
        <f>IFERROR(IF('Training Plan'!$A132="","",'Training Plan'!$D132),"")</f>
        <v/>
      </c>
      <c r="BE131" s="17" t="str">
        <f>IFERROR(IF('Training Plan'!$A132="","",'Training Plan'!$E132),"")</f>
        <v/>
      </c>
      <c r="BF131" s="17" t="str">
        <f>IFERROR(IF('Training Plan'!$A132="","",'Training Plan'!$F132),"")</f>
        <v/>
      </c>
      <c r="BG131" s="17" t="str">
        <f>IFERROR(IF('Training Plan'!$A132="","",'Training Plan'!$G132),"")</f>
        <v/>
      </c>
      <c r="BH131" s="17" t="str">
        <f>IFERROR(IF('Training Plan'!$A132="","",'Training Plan'!$H132),"")</f>
        <v/>
      </c>
      <c r="BI131" s="17" t="str">
        <f>IF(OR(BA131="",BF131="Complete",AND('Skill Management'!$D$4&lt;&gt;"All Departments",BB131&lt;&gt;'Skill Management'!$D$4)),"",IF(BF131="Blocked",100000,IF(BF131="In Progress",200000,300000))+IF(BE131="",99999,BE131))</f>
        <v/>
      </c>
      <c r="BJ131" s="17" t="str">
        <f>IF(BI131="","",COUNTIFS($BI$4:$BI$203,"&gt;0",$BI$4:$BI$203,"&lt;"&amp;BI131)+COUNTIF($BI$4:BI131,BI131))</f>
        <v/>
      </c>
      <c r="CB131" t="str">
        <f>IF(AND('Competency Event Log'!$B131='Employee Transcript'!$C$4,'Competency Event Log'!$I131&lt;&gt;"Yes"),'Competency Event Log'!$K131,"")</f>
        <v/>
      </c>
      <c r="CC131" t="str">
        <f t="shared" si="28"/>
        <v/>
      </c>
      <c r="CD131" t="str">
        <f>IF(Certifications!$A131='Employee Transcript'!$C$4,131,"")</f>
        <v/>
      </c>
      <c r="CE131" t="str">
        <f>IF(CD131="","",COUNTIF($CD$4:CD131,"&gt;0"))</f>
        <v/>
      </c>
      <c r="CF131" t="str">
        <f>IF(AND('Training Plan'!$A132='Employee Transcript'!$C$4,'Training Plan'!$F132&lt;&gt;"Complete"),132,"")</f>
        <v/>
      </c>
      <c r="CG131" t="str">
        <f>IF(CF131="","",COUNTIF($CF$4:CF131,"&gt;0"))</f>
        <v/>
      </c>
    </row>
    <row r="132" spans="1:85">
      <c r="A132" s="2"/>
      <c r="B132" s="1"/>
      <c r="C132" s="1"/>
      <c r="D132" s="1"/>
      <c r="E132" s="1"/>
      <c r="F132" s="3"/>
      <c r="G132" s="1"/>
      <c r="H132" s="4"/>
      <c r="I132" s="1"/>
      <c r="J132" s="1"/>
      <c r="K132" s="1"/>
      <c r="L132" s="1"/>
      <c r="M132" s="1"/>
      <c r="N132" s="1"/>
      <c r="AF132" s="1" t="str">
        <f>IFERROR(IF(Lists!$B132="","",Lists!$B132),"")</f>
        <v/>
      </c>
      <c r="AG132" s="1" t="str">
        <f>IFERROR(IF(Lists!$B132="","",Lists!$C132),"")</f>
        <v/>
      </c>
      <c r="AH132" s="1" t="str">
        <f>IFERROR(IF(Lists!$B132="","",Lists!$D132),"")</f>
        <v/>
      </c>
      <c r="AI132" s="1" t="str">
        <f>IF(AF132="","",IFERROR(INDEX('Skills Matrix'!$G$6:$DE$205,MATCH(AF132,'Skills Matrix'!$B$6:$B$205,0),MATCH('HR Quick View'!$J$9,'Skills Matrix'!$G$5:$DE$5,0)),""))</f>
        <v/>
      </c>
      <c r="AJ132" s="1" t="str">
        <f t="shared" ref="AJ132:AJ163" si="39">IF(AI132=3,"Qualified",IF(AI132=2,"Developing",IF(AI132=1,"Needs Training","")))</f>
        <v/>
      </c>
      <c r="AK132" s="1" t="str">
        <f>IFERROR(IF(Lists!$B132="","",Lists!$E132),"")</f>
        <v/>
      </c>
      <c r="AL132" s="1" t="str">
        <f>IF(AND(OR('HR Quick View'!$L$10="All Shifts",AH132='HR Quick View'!$L$10),OR(AND('HR Quick View'!$I$10="Qualified only",AI132=3),AND('HR Quick View'!$I$10="All trained",AI132&gt;0))),IF('HR Quick View'!$L$10="All Shifts",COUNTIF($AI$4:$AI$203,"&gt;"&amp;AI132)+COUNTIF($AI$4:AI132,AI132),COUNTIFS($AI$4:$AI$203,"&gt;"&amp;AI132,$AH$4:$AH$203,'HR Quick View'!$L$10)+COUNTIFS($AI$4:AI132,AI132,$AH$4:AH132,'HR Quick View'!$L$10)),"")</f>
        <v/>
      </c>
      <c r="BA132" s="17" t="str">
        <f>IFERROR(IF('Training Plan'!$A133="","",'Training Plan'!$A133),"")</f>
        <v/>
      </c>
      <c r="BB132" s="17" t="str">
        <f>IFERROR(IF('Training Plan'!$A133="","",'Training Plan'!$B133),"")</f>
        <v/>
      </c>
      <c r="BC132" s="17" t="str">
        <f>IFERROR(IF('Training Plan'!$A133="","",'Training Plan'!$C133),"")</f>
        <v/>
      </c>
      <c r="BD132" s="17" t="str">
        <f>IFERROR(IF('Training Plan'!$A133="","",'Training Plan'!$D133),"")</f>
        <v/>
      </c>
      <c r="BE132" s="17" t="str">
        <f>IFERROR(IF('Training Plan'!$A133="","",'Training Plan'!$E133),"")</f>
        <v/>
      </c>
      <c r="BF132" s="17" t="str">
        <f>IFERROR(IF('Training Plan'!$A133="","",'Training Plan'!$F133),"")</f>
        <v/>
      </c>
      <c r="BG132" s="17" t="str">
        <f>IFERROR(IF('Training Plan'!$A133="","",'Training Plan'!$G133),"")</f>
        <v/>
      </c>
      <c r="BH132" s="17" t="str">
        <f>IFERROR(IF('Training Plan'!$A133="","",'Training Plan'!$H133),"")</f>
        <v/>
      </c>
      <c r="BI132" s="17" t="str">
        <f>IF(OR(BA132="",BF132="Complete",AND('Skill Management'!$D$4&lt;&gt;"All Departments",BB132&lt;&gt;'Skill Management'!$D$4)),"",IF(BF132="Blocked",100000,IF(BF132="In Progress",200000,300000))+IF(BE132="",99999,BE132))</f>
        <v/>
      </c>
      <c r="BJ132" s="17" t="str">
        <f>IF(BI132="","",COUNTIFS($BI$4:$BI$203,"&gt;0",$BI$4:$BI$203,"&lt;"&amp;BI132)+COUNTIF($BI$4:BI132,BI132))</f>
        <v/>
      </c>
      <c r="CB132" t="str">
        <f>IF(AND('Competency Event Log'!$B132='Employee Transcript'!$C$4,'Competency Event Log'!$I132&lt;&gt;"Yes"),'Competency Event Log'!$K132,"")</f>
        <v/>
      </c>
      <c r="CC132" t="str">
        <f t="shared" ref="CC132:CC195" si="40">IF(CB132="","",COUNTIF($CB$4:$CB$803,"&gt;"&amp;CB132)+1)</f>
        <v/>
      </c>
      <c r="CD132" t="str">
        <f>IF(Certifications!$A132='Employee Transcript'!$C$4,132,"")</f>
        <v/>
      </c>
      <c r="CE132" t="str">
        <f>IF(CD132="","",COUNTIF($CD$4:CD132,"&gt;0"))</f>
        <v/>
      </c>
      <c r="CF132" t="str">
        <f>IF(AND('Training Plan'!$A133='Employee Transcript'!$C$4,'Training Plan'!$F133&lt;&gt;"Complete"),133,"")</f>
        <v/>
      </c>
      <c r="CG132" t="str">
        <f>IF(CF132="","",COUNTIF($CF$4:CF132,"&gt;0"))</f>
        <v/>
      </c>
    </row>
    <row r="133" spans="1:85">
      <c r="A133" s="2"/>
      <c r="B133" s="1"/>
      <c r="C133" s="1"/>
      <c r="D133" s="1"/>
      <c r="E133" s="1"/>
      <c r="F133" s="3"/>
      <c r="G133" s="1"/>
      <c r="H133" s="4"/>
      <c r="I133" s="1"/>
      <c r="J133" s="1"/>
      <c r="K133" s="1"/>
      <c r="L133" s="1"/>
      <c r="M133" s="1"/>
      <c r="N133" s="1"/>
      <c r="AF133" s="1" t="str">
        <f>IFERROR(IF(Lists!$B133="","",Lists!$B133),"")</f>
        <v/>
      </c>
      <c r="AG133" s="1" t="str">
        <f>IFERROR(IF(Lists!$B133="","",Lists!$C133),"")</f>
        <v/>
      </c>
      <c r="AH133" s="1" t="str">
        <f>IFERROR(IF(Lists!$B133="","",Lists!$D133),"")</f>
        <v/>
      </c>
      <c r="AI133" s="1" t="str">
        <f>IF(AF133="","",IFERROR(INDEX('Skills Matrix'!$G$6:$DE$205,MATCH(AF133,'Skills Matrix'!$B$6:$B$205,0),MATCH('HR Quick View'!$J$9,'Skills Matrix'!$G$5:$DE$5,0)),""))</f>
        <v/>
      </c>
      <c r="AJ133" s="1" t="str">
        <f t="shared" si="39"/>
        <v/>
      </c>
      <c r="AK133" s="1" t="str">
        <f>IFERROR(IF(Lists!$B133="","",Lists!$E133),"")</f>
        <v/>
      </c>
      <c r="AL133" s="1" t="str">
        <f>IF(AND(OR('HR Quick View'!$L$10="All Shifts",AH133='HR Quick View'!$L$10),OR(AND('HR Quick View'!$I$10="Qualified only",AI133=3),AND('HR Quick View'!$I$10="All trained",AI133&gt;0))),IF('HR Quick View'!$L$10="All Shifts",COUNTIF($AI$4:$AI$203,"&gt;"&amp;AI133)+COUNTIF($AI$4:AI133,AI133),COUNTIFS($AI$4:$AI$203,"&gt;"&amp;AI133,$AH$4:$AH$203,'HR Quick View'!$L$10)+COUNTIFS($AI$4:AI133,AI133,$AH$4:AH133,'HR Quick View'!$L$10)),"")</f>
        <v/>
      </c>
      <c r="BA133" s="17" t="str">
        <f>IFERROR(IF('Training Plan'!$A134="","",'Training Plan'!$A134),"")</f>
        <v/>
      </c>
      <c r="BB133" s="17" t="str">
        <f>IFERROR(IF('Training Plan'!$A134="","",'Training Plan'!$B134),"")</f>
        <v/>
      </c>
      <c r="BC133" s="17" t="str">
        <f>IFERROR(IF('Training Plan'!$A134="","",'Training Plan'!$C134),"")</f>
        <v/>
      </c>
      <c r="BD133" s="17" t="str">
        <f>IFERROR(IF('Training Plan'!$A134="","",'Training Plan'!$D134),"")</f>
        <v/>
      </c>
      <c r="BE133" s="17" t="str">
        <f>IFERROR(IF('Training Plan'!$A134="","",'Training Plan'!$E134),"")</f>
        <v/>
      </c>
      <c r="BF133" s="17" t="str">
        <f>IFERROR(IF('Training Plan'!$A134="","",'Training Plan'!$F134),"")</f>
        <v/>
      </c>
      <c r="BG133" s="17" t="str">
        <f>IFERROR(IF('Training Plan'!$A134="","",'Training Plan'!$G134),"")</f>
        <v/>
      </c>
      <c r="BH133" s="17" t="str">
        <f>IFERROR(IF('Training Plan'!$A134="","",'Training Plan'!$H134),"")</f>
        <v/>
      </c>
      <c r="BI133" s="17" t="str">
        <f>IF(OR(BA133="",BF133="Complete",AND('Skill Management'!$D$4&lt;&gt;"All Departments",BB133&lt;&gt;'Skill Management'!$D$4)),"",IF(BF133="Blocked",100000,IF(BF133="In Progress",200000,300000))+IF(BE133="",99999,BE133))</f>
        <v/>
      </c>
      <c r="BJ133" s="17" t="str">
        <f>IF(BI133="","",COUNTIFS($BI$4:$BI$203,"&gt;0",$BI$4:$BI$203,"&lt;"&amp;BI133)+COUNTIF($BI$4:BI133,BI133))</f>
        <v/>
      </c>
      <c r="CB133" t="str">
        <f>IF(AND('Competency Event Log'!$B133='Employee Transcript'!$C$4,'Competency Event Log'!$I133&lt;&gt;"Yes"),'Competency Event Log'!$K133,"")</f>
        <v/>
      </c>
      <c r="CC133" t="str">
        <f t="shared" si="40"/>
        <v/>
      </c>
      <c r="CD133" t="str">
        <f>IF(Certifications!$A133='Employee Transcript'!$C$4,133,"")</f>
        <v/>
      </c>
      <c r="CE133" t="str">
        <f>IF(CD133="","",COUNTIF($CD$4:CD133,"&gt;0"))</f>
        <v/>
      </c>
      <c r="CF133" t="str">
        <f>IF(AND('Training Plan'!$A134='Employee Transcript'!$C$4,'Training Plan'!$F134&lt;&gt;"Complete"),134,"")</f>
        <v/>
      </c>
      <c r="CG133" t="str">
        <f>IF(CF133="","",COUNTIF($CF$4:CF133,"&gt;0"))</f>
        <v/>
      </c>
    </row>
    <row r="134" spans="1:85">
      <c r="A134" s="2"/>
      <c r="B134" s="1"/>
      <c r="C134" s="1"/>
      <c r="D134" s="1"/>
      <c r="E134" s="1"/>
      <c r="F134" s="3"/>
      <c r="G134" s="1"/>
      <c r="H134" s="4"/>
      <c r="I134" s="1"/>
      <c r="J134" s="1"/>
      <c r="K134" s="1"/>
      <c r="L134" s="1"/>
      <c r="M134" s="1"/>
      <c r="N134" s="1"/>
      <c r="AF134" s="1" t="str">
        <f>IFERROR(IF(Lists!$B134="","",Lists!$B134),"")</f>
        <v/>
      </c>
      <c r="AG134" s="1" t="str">
        <f>IFERROR(IF(Lists!$B134="","",Lists!$C134),"")</f>
        <v/>
      </c>
      <c r="AH134" s="1" t="str">
        <f>IFERROR(IF(Lists!$B134="","",Lists!$D134),"")</f>
        <v/>
      </c>
      <c r="AI134" s="1" t="str">
        <f>IF(AF134="","",IFERROR(INDEX('Skills Matrix'!$G$6:$DE$205,MATCH(AF134,'Skills Matrix'!$B$6:$B$205,0),MATCH('HR Quick View'!$J$9,'Skills Matrix'!$G$5:$DE$5,0)),""))</f>
        <v/>
      </c>
      <c r="AJ134" s="1" t="str">
        <f t="shared" si="39"/>
        <v/>
      </c>
      <c r="AK134" s="1" t="str">
        <f>IFERROR(IF(Lists!$B134="","",Lists!$E134),"")</f>
        <v/>
      </c>
      <c r="AL134" s="1" t="str">
        <f>IF(AND(OR('HR Quick View'!$L$10="All Shifts",AH134='HR Quick View'!$L$10),OR(AND('HR Quick View'!$I$10="Qualified only",AI134=3),AND('HR Quick View'!$I$10="All trained",AI134&gt;0))),IF('HR Quick View'!$L$10="All Shifts",COUNTIF($AI$4:$AI$203,"&gt;"&amp;AI134)+COUNTIF($AI$4:AI134,AI134),COUNTIFS($AI$4:$AI$203,"&gt;"&amp;AI134,$AH$4:$AH$203,'HR Quick View'!$L$10)+COUNTIFS($AI$4:AI134,AI134,$AH$4:AH134,'HR Quick View'!$L$10)),"")</f>
        <v/>
      </c>
      <c r="BA134" s="17" t="str">
        <f>IFERROR(IF('Training Plan'!$A135="","",'Training Plan'!$A135),"")</f>
        <v/>
      </c>
      <c r="BB134" s="17" t="str">
        <f>IFERROR(IF('Training Plan'!$A135="","",'Training Plan'!$B135),"")</f>
        <v/>
      </c>
      <c r="BC134" s="17" t="str">
        <f>IFERROR(IF('Training Plan'!$A135="","",'Training Plan'!$C135),"")</f>
        <v/>
      </c>
      <c r="BD134" s="17" t="str">
        <f>IFERROR(IF('Training Plan'!$A135="","",'Training Plan'!$D135),"")</f>
        <v/>
      </c>
      <c r="BE134" s="17" t="str">
        <f>IFERROR(IF('Training Plan'!$A135="","",'Training Plan'!$E135),"")</f>
        <v/>
      </c>
      <c r="BF134" s="17" t="str">
        <f>IFERROR(IF('Training Plan'!$A135="","",'Training Plan'!$F135),"")</f>
        <v/>
      </c>
      <c r="BG134" s="17" t="str">
        <f>IFERROR(IF('Training Plan'!$A135="","",'Training Plan'!$G135),"")</f>
        <v/>
      </c>
      <c r="BH134" s="17" t="str">
        <f>IFERROR(IF('Training Plan'!$A135="","",'Training Plan'!$H135),"")</f>
        <v/>
      </c>
      <c r="BI134" s="17" t="str">
        <f>IF(OR(BA134="",BF134="Complete",AND('Skill Management'!$D$4&lt;&gt;"All Departments",BB134&lt;&gt;'Skill Management'!$D$4)),"",IF(BF134="Blocked",100000,IF(BF134="In Progress",200000,300000))+IF(BE134="",99999,BE134))</f>
        <v/>
      </c>
      <c r="BJ134" s="17" t="str">
        <f>IF(BI134="","",COUNTIFS($BI$4:$BI$203,"&gt;0",$BI$4:$BI$203,"&lt;"&amp;BI134)+COUNTIF($BI$4:BI134,BI134))</f>
        <v/>
      </c>
      <c r="CB134" t="str">
        <f>IF(AND('Competency Event Log'!$B134='Employee Transcript'!$C$4,'Competency Event Log'!$I134&lt;&gt;"Yes"),'Competency Event Log'!$K134,"")</f>
        <v/>
      </c>
      <c r="CC134" t="str">
        <f t="shared" si="40"/>
        <v/>
      </c>
      <c r="CD134" t="str">
        <f>IF(Certifications!$A134='Employee Transcript'!$C$4,134,"")</f>
        <v/>
      </c>
      <c r="CE134" t="str">
        <f>IF(CD134="","",COUNTIF($CD$4:CD134,"&gt;0"))</f>
        <v/>
      </c>
      <c r="CF134" t="str">
        <f>IF(AND('Training Plan'!$A135='Employee Transcript'!$C$4,'Training Plan'!$F135&lt;&gt;"Complete"),135,"")</f>
        <v/>
      </c>
      <c r="CG134" t="str">
        <f>IF(CF134="","",COUNTIF($CF$4:CF134,"&gt;0"))</f>
        <v/>
      </c>
    </row>
    <row r="135" spans="1:85">
      <c r="A135" s="2"/>
      <c r="B135" s="1"/>
      <c r="C135" s="1"/>
      <c r="D135" s="1"/>
      <c r="E135" s="1"/>
      <c r="F135" s="3"/>
      <c r="G135" s="1"/>
      <c r="H135" s="4"/>
      <c r="I135" s="1"/>
      <c r="J135" s="1"/>
      <c r="K135" s="1"/>
      <c r="L135" s="1"/>
      <c r="M135" s="1"/>
      <c r="N135" s="1"/>
      <c r="AF135" s="1" t="str">
        <f>IFERROR(IF(Lists!$B135="","",Lists!$B135),"")</f>
        <v/>
      </c>
      <c r="AG135" s="1" t="str">
        <f>IFERROR(IF(Lists!$B135="","",Lists!$C135),"")</f>
        <v/>
      </c>
      <c r="AH135" s="1" t="str">
        <f>IFERROR(IF(Lists!$B135="","",Lists!$D135),"")</f>
        <v/>
      </c>
      <c r="AI135" s="1" t="str">
        <f>IF(AF135="","",IFERROR(INDEX('Skills Matrix'!$G$6:$DE$205,MATCH(AF135,'Skills Matrix'!$B$6:$B$205,0),MATCH('HR Quick View'!$J$9,'Skills Matrix'!$G$5:$DE$5,0)),""))</f>
        <v/>
      </c>
      <c r="AJ135" s="1" t="str">
        <f t="shared" si="39"/>
        <v/>
      </c>
      <c r="AK135" s="1" t="str">
        <f>IFERROR(IF(Lists!$B135="","",Lists!$E135),"")</f>
        <v/>
      </c>
      <c r="AL135" s="1" t="str">
        <f>IF(AND(OR('HR Quick View'!$L$10="All Shifts",AH135='HR Quick View'!$L$10),OR(AND('HR Quick View'!$I$10="Qualified only",AI135=3),AND('HR Quick View'!$I$10="All trained",AI135&gt;0))),IF('HR Quick View'!$L$10="All Shifts",COUNTIF($AI$4:$AI$203,"&gt;"&amp;AI135)+COUNTIF($AI$4:AI135,AI135),COUNTIFS($AI$4:$AI$203,"&gt;"&amp;AI135,$AH$4:$AH$203,'HR Quick View'!$L$10)+COUNTIFS($AI$4:AI135,AI135,$AH$4:AH135,'HR Quick View'!$L$10)),"")</f>
        <v/>
      </c>
      <c r="BA135" s="17" t="str">
        <f>IFERROR(IF('Training Plan'!$A136="","",'Training Plan'!$A136),"")</f>
        <v/>
      </c>
      <c r="BB135" s="17" t="str">
        <f>IFERROR(IF('Training Plan'!$A136="","",'Training Plan'!$B136),"")</f>
        <v/>
      </c>
      <c r="BC135" s="17" t="str">
        <f>IFERROR(IF('Training Plan'!$A136="","",'Training Plan'!$C136),"")</f>
        <v/>
      </c>
      <c r="BD135" s="17" t="str">
        <f>IFERROR(IF('Training Plan'!$A136="","",'Training Plan'!$D136),"")</f>
        <v/>
      </c>
      <c r="BE135" s="17" t="str">
        <f>IFERROR(IF('Training Plan'!$A136="","",'Training Plan'!$E136),"")</f>
        <v/>
      </c>
      <c r="BF135" s="17" t="str">
        <f>IFERROR(IF('Training Plan'!$A136="","",'Training Plan'!$F136),"")</f>
        <v/>
      </c>
      <c r="BG135" s="17" t="str">
        <f>IFERROR(IF('Training Plan'!$A136="","",'Training Plan'!$G136),"")</f>
        <v/>
      </c>
      <c r="BH135" s="17" t="str">
        <f>IFERROR(IF('Training Plan'!$A136="","",'Training Plan'!$H136),"")</f>
        <v/>
      </c>
      <c r="BI135" s="17" t="str">
        <f>IF(OR(BA135="",BF135="Complete",AND('Skill Management'!$D$4&lt;&gt;"All Departments",BB135&lt;&gt;'Skill Management'!$D$4)),"",IF(BF135="Blocked",100000,IF(BF135="In Progress",200000,300000))+IF(BE135="",99999,BE135))</f>
        <v/>
      </c>
      <c r="BJ135" s="17" t="str">
        <f>IF(BI135="","",COUNTIFS($BI$4:$BI$203,"&gt;0",$BI$4:$BI$203,"&lt;"&amp;BI135)+COUNTIF($BI$4:BI135,BI135))</f>
        <v/>
      </c>
      <c r="CB135" t="str">
        <f>IF(AND('Competency Event Log'!$B135='Employee Transcript'!$C$4,'Competency Event Log'!$I135&lt;&gt;"Yes"),'Competency Event Log'!$K135,"")</f>
        <v/>
      </c>
      <c r="CC135" t="str">
        <f t="shared" si="40"/>
        <v/>
      </c>
      <c r="CD135" t="str">
        <f>IF(Certifications!$A135='Employee Transcript'!$C$4,135,"")</f>
        <v/>
      </c>
      <c r="CE135" t="str">
        <f>IF(CD135="","",COUNTIF($CD$4:CD135,"&gt;0"))</f>
        <v/>
      </c>
      <c r="CF135" t="str">
        <f>IF(AND('Training Plan'!$A136='Employee Transcript'!$C$4,'Training Plan'!$F136&lt;&gt;"Complete"),136,"")</f>
        <v/>
      </c>
      <c r="CG135" t="str">
        <f>IF(CF135="","",COUNTIF($CF$4:CF135,"&gt;0"))</f>
        <v/>
      </c>
    </row>
    <row r="136" spans="1:85">
      <c r="A136" s="2"/>
      <c r="B136" s="1"/>
      <c r="C136" s="1"/>
      <c r="D136" s="1"/>
      <c r="E136" s="1"/>
      <c r="F136" s="3"/>
      <c r="G136" s="1"/>
      <c r="H136" s="4"/>
      <c r="I136" s="1"/>
      <c r="J136" s="1"/>
      <c r="K136" s="1"/>
      <c r="L136" s="1"/>
      <c r="M136" s="1"/>
      <c r="N136" s="1"/>
      <c r="AF136" s="1" t="str">
        <f>IFERROR(IF(Lists!$B136="","",Lists!$B136),"")</f>
        <v/>
      </c>
      <c r="AG136" s="1" t="str">
        <f>IFERROR(IF(Lists!$B136="","",Lists!$C136),"")</f>
        <v/>
      </c>
      <c r="AH136" s="1" t="str">
        <f>IFERROR(IF(Lists!$B136="","",Lists!$D136),"")</f>
        <v/>
      </c>
      <c r="AI136" s="1" t="str">
        <f>IF(AF136="","",IFERROR(INDEX('Skills Matrix'!$G$6:$DE$205,MATCH(AF136,'Skills Matrix'!$B$6:$B$205,0),MATCH('HR Quick View'!$J$9,'Skills Matrix'!$G$5:$DE$5,0)),""))</f>
        <v/>
      </c>
      <c r="AJ136" s="1" t="str">
        <f t="shared" si="39"/>
        <v/>
      </c>
      <c r="AK136" s="1" t="str">
        <f>IFERROR(IF(Lists!$B136="","",Lists!$E136),"")</f>
        <v/>
      </c>
      <c r="AL136" s="1" t="str">
        <f>IF(AND(OR('HR Quick View'!$L$10="All Shifts",AH136='HR Quick View'!$L$10),OR(AND('HR Quick View'!$I$10="Qualified only",AI136=3),AND('HR Quick View'!$I$10="All trained",AI136&gt;0))),IF('HR Quick View'!$L$10="All Shifts",COUNTIF($AI$4:$AI$203,"&gt;"&amp;AI136)+COUNTIF($AI$4:AI136,AI136),COUNTIFS($AI$4:$AI$203,"&gt;"&amp;AI136,$AH$4:$AH$203,'HR Quick View'!$L$10)+COUNTIFS($AI$4:AI136,AI136,$AH$4:AH136,'HR Quick View'!$L$10)),"")</f>
        <v/>
      </c>
      <c r="BA136" s="17" t="str">
        <f>IFERROR(IF('Training Plan'!$A137="","",'Training Plan'!$A137),"")</f>
        <v/>
      </c>
      <c r="BB136" s="17" t="str">
        <f>IFERROR(IF('Training Plan'!$A137="","",'Training Plan'!$B137),"")</f>
        <v/>
      </c>
      <c r="BC136" s="17" t="str">
        <f>IFERROR(IF('Training Plan'!$A137="","",'Training Plan'!$C137),"")</f>
        <v/>
      </c>
      <c r="BD136" s="17" t="str">
        <f>IFERROR(IF('Training Plan'!$A137="","",'Training Plan'!$D137),"")</f>
        <v/>
      </c>
      <c r="BE136" s="17" t="str">
        <f>IFERROR(IF('Training Plan'!$A137="","",'Training Plan'!$E137),"")</f>
        <v/>
      </c>
      <c r="BF136" s="17" t="str">
        <f>IFERROR(IF('Training Plan'!$A137="","",'Training Plan'!$F137),"")</f>
        <v/>
      </c>
      <c r="BG136" s="17" t="str">
        <f>IFERROR(IF('Training Plan'!$A137="","",'Training Plan'!$G137),"")</f>
        <v/>
      </c>
      <c r="BH136" s="17" t="str">
        <f>IFERROR(IF('Training Plan'!$A137="","",'Training Plan'!$H137),"")</f>
        <v/>
      </c>
      <c r="BI136" s="17" t="str">
        <f>IF(OR(BA136="",BF136="Complete",AND('Skill Management'!$D$4&lt;&gt;"All Departments",BB136&lt;&gt;'Skill Management'!$D$4)),"",IF(BF136="Blocked",100000,IF(BF136="In Progress",200000,300000))+IF(BE136="",99999,BE136))</f>
        <v/>
      </c>
      <c r="BJ136" s="17" t="str">
        <f>IF(BI136="","",COUNTIFS($BI$4:$BI$203,"&gt;0",$BI$4:$BI$203,"&lt;"&amp;BI136)+COUNTIF($BI$4:BI136,BI136))</f>
        <v/>
      </c>
      <c r="CB136" t="str">
        <f>IF(AND('Competency Event Log'!$B136='Employee Transcript'!$C$4,'Competency Event Log'!$I136&lt;&gt;"Yes"),'Competency Event Log'!$K136,"")</f>
        <v/>
      </c>
      <c r="CC136" t="str">
        <f t="shared" si="40"/>
        <v/>
      </c>
      <c r="CD136" t="str">
        <f>IF(Certifications!$A136='Employee Transcript'!$C$4,136,"")</f>
        <v/>
      </c>
      <c r="CE136" t="str">
        <f>IF(CD136="","",COUNTIF($CD$4:CD136,"&gt;0"))</f>
        <v/>
      </c>
      <c r="CF136" t="str">
        <f>IF(AND('Training Plan'!$A137='Employee Transcript'!$C$4,'Training Plan'!$F137&lt;&gt;"Complete"),137,"")</f>
        <v/>
      </c>
      <c r="CG136" t="str">
        <f>IF(CF136="","",COUNTIF($CF$4:CF136,"&gt;0"))</f>
        <v/>
      </c>
    </row>
    <row r="137" spans="1:85">
      <c r="A137" s="2"/>
      <c r="B137" s="1"/>
      <c r="C137" s="1"/>
      <c r="D137" s="1"/>
      <c r="E137" s="1"/>
      <c r="F137" s="3"/>
      <c r="G137" s="1"/>
      <c r="H137" s="4"/>
      <c r="I137" s="1"/>
      <c r="J137" s="1"/>
      <c r="K137" s="1"/>
      <c r="L137" s="1"/>
      <c r="M137" s="1"/>
      <c r="N137" s="1"/>
      <c r="AF137" s="1" t="str">
        <f>IFERROR(IF(Lists!$B137="","",Lists!$B137),"")</f>
        <v/>
      </c>
      <c r="AG137" s="1" t="str">
        <f>IFERROR(IF(Lists!$B137="","",Lists!$C137),"")</f>
        <v/>
      </c>
      <c r="AH137" s="1" t="str">
        <f>IFERROR(IF(Lists!$B137="","",Lists!$D137),"")</f>
        <v/>
      </c>
      <c r="AI137" s="1" t="str">
        <f>IF(AF137="","",IFERROR(INDEX('Skills Matrix'!$G$6:$DE$205,MATCH(AF137,'Skills Matrix'!$B$6:$B$205,0),MATCH('HR Quick View'!$J$9,'Skills Matrix'!$G$5:$DE$5,0)),""))</f>
        <v/>
      </c>
      <c r="AJ137" s="1" t="str">
        <f t="shared" si="39"/>
        <v/>
      </c>
      <c r="AK137" s="1" t="str">
        <f>IFERROR(IF(Lists!$B137="","",Lists!$E137),"")</f>
        <v/>
      </c>
      <c r="AL137" s="1" t="str">
        <f>IF(AND(OR('HR Quick View'!$L$10="All Shifts",AH137='HR Quick View'!$L$10),OR(AND('HR Quick View'!$I$10="Qualified only",AI137=3),AND('HR Quick View'!$I$10="All trained",AI137&gt;0))),IF('HR Quick View'!$L$10="All Shifts",COUNTIF($AI$4:$AI$203,"&gt;"&amp;AI137)+COUNTIF($AI$4:AI137,AI137),COUNTIFS($AI$4:$AI$203,"&gt;"&amp;AI137,$AH$4:$AH$203,'HR Quick View'!$L$10)+COUNTIFS($AI$4:AI137,AI137,$AH$4:AH137,'HR Quick View'!$L$10)),"")</f>
        <v/>
      </c>
      <c r="BA137" s="17" t="str">
        <f>IFERROR(IF('Training Plan'!$A138="","",'Training Plan'!$A138),"")</f>
        <v/>
      </c>
      <c r="BB137" s="17" t="str">
        <f>IFERROR(IF('Training Plan'!$A138="","",'Training Plan'!$B138),"")</f>
        <v/>
      </c>
      <c r="BC137" s="17" t="str">
        <f>IFERROR(IF('Training Plan'!$A138="","",'Training Plan'!$C138),"")</f>
        <v/>
      </c>
      <c r="BD137" s="17" t="str">
        <f>IFERROR(IF('Training Plan'!$A138="","",'Training Plan'!$D138),"")</f>
        <v/>
      </c>
      <c r="BE137" s="17" t="str">
        <f>IFERROR(IF('Training Plan'!$A138="","",'Training Plan'!$E138),"")</f>
        <v/>
      </c>
      <c r="BF137" s="17" t="str">
        <f>IFERROR(IF('Training Plan'!$A138="","",'Training Plan'!$F138),"")</f>
        <v/>
      </c>
      <c r="BG137" s="17" t="str">
        <f>IFERROR(IF('Training Plan'!$A138="","",'Training Plan'!$G138),"")</f>
        <v/>
      </c>
      <c r="BH137" s="17" t="str">
        <f>IFERROR(IF('Training Plan'!$A138="","",'Training Plan'!$H138),"")</f>
        <v/>
      </c>
      <c r="BI137" s="17" t="str">
        <f>IF(OR(BA137="",BF137="Complete",AND('Skill Management'!$D$4&lt;&gt;"All Departments",BB137&lt;&gt;'Skill Management'!$D$4)),"",IF(BF137="Blocked",100000,IF(BF137="In Progress",200000,300000))+IF(BE137="",99999,BE137))</f>
        <v/>
      </c>
      <c r="BJ137" s="17" t="str">
        <f>IF(BI137="","",COUNTIFS($BI$4:$BI$203,"&gt;0",$BI$4:$BI$203,"&lt;"&amp;BI137)+COUNTIF($BI$4:BI137,BI137))</f>
        <v/>
      </c>
      <c r="CB137" t="str">
        <f>IF(AND('Competency Event Log'!$B137='Employee Transcript'!$C$4,'Competency Event Log'!$I137&lt;&gt;"Yes"),'Competency Event Log'!$K137,"")</f>
        <v/>
      </c>
      <c r="CC137" t="str">
        <f t="shared" si="40"/>
        <v/>
      </c>
      <c r="CD137" t="str">
        <f>IF(Certifications!$A137='Employee Transcript'!$C$4,137,"")</f>
        <v/>
      </c>
      <c r="CE137" t="str">
        <f>IF(CD137="","",COUNTIF($CD$4:CD137,"&gt;0"))</f>
        <v/>
      </c>
      <c r="CF137" t="str">
        <f>IF(AND('Training Plan'!$A138='Employee Transcript'!$C$4,'Training Plan'!$F138&lt;&gt;"Complete"),138,"")</f>
        <v/>
      </c>
      <c r="CG137" t="str">
        <f>IF(CF137="","",COUNTIF($CF$4:CF137,"&gt;0"))</f>
        <v/>
      </c>
    </row>
    <row r="138" spans="1:85">
      <c r="A138" s="2"/>
      <c r="B138" s="1"/>
      <c r="C138" s="1"/>
      <c r="D138" s="1"/>
      <c r="E138" s="1"/>
      <c r="F138" s="3"/>
      <c r="G138" s="1"/>
      <c r="H138" s="4"/>
      <c r="I138" s="1"/>
      <c r="J138" s="1"/>
      <c r="K138" s="1"/>
      <c r="L138" s="1"/>
      <c r="M138" s="1"/>
      <c r="N138" s="1"/>
      <c r="AF138" s="1" t="str">
        <f>IFERROR(IF(Lists!$B138="","",Lists!$B138),"")</f>
        <v/>
      </c>
      <c r="AG138" s="1" t="str">
        <f>IFERROR(IF(Lists!$B138="","",Lists!$C138),"")</f>
        <v/>
      </c>
      <c r="AH138" s="1" t="str">
        <f>IFERROR(IF(Lists!$B138="","",Lists!$D138),"")</f>
        <v/>
      </c>
      <c r="AI138" s="1" t="str">
        <f>IF(AF138="","",IFERROR(INDEX('Skills Matrix'!$G$6:$DE$205,MATCH(AF138,'Skills Matrix'!$B$6:$B$205,0),MATCH('HR Quick View'!$J$9,'Skills Matrix'!$G$5:$DE$5,0)),""))</f>
        <v/>
      </c>
      <c r="AJ138" s="1" t="str">
        <f t="shared" si="39"/>
        <v/>
      </c>
      <c r="AK138" s="1" t="str">
        <f>IFERROR(IF(Lists!$B138="","",Lists!$E138),"")</f>
        <v/>
      </c>
      <c r="AL138" s="1" t="str">
        <f>IF(AND(OR('HR Quick View'!$L$10="All Shifts",AH138='HR Quick View'!$L$10),OR(AND('HR Quick View'!$I$10="Qualified only",AI138=3),AND('HR Quick View'!$I$10="All trained",AI138&gt;0))),IF('HR Quick View'!$L$10="All Shifts",COUNTIF($AI$4:$AI$203,"&gt;"&amp;AI138)+COUNTIF($AI$4:AI138,AI138),COUNTIFS($AI$4:$AI$203,"&gt;"&amp;AI138,$AH$4:$AH$203,'HR Quick View'!$L$10)+COUNTIFS($AI$4:AI138,AI138,$AH$4:AH138,'HR Quick View'!$L$10)),"")</f>
        <v/>
      </c>
      <c r="BA138" s="17" t="str">
        <f>IFERROR(IF('Training Plan'!$A139="","",'Training Plan'!$A139),"")</f>
        <v/>
      </c>
      <c r="BB138" s="17" t="str">
        <f>IFERROR(IF('Training Plan'!$A139="","",'Training Plan'!$B139),"")</f>
        <v/>
      </c>
      <c r="BC138" s="17" t="str">
        <f>IFERROR(IF('Training Plan'!$A139="","",'Training Plan'!$C139),"")</f>
        <v/>
      </c>
      <c r="BD138" s="17" t="str">
        <f>IFERROR(IF('Training Plan'!$A139="","",'Training Plan'!$D139),"")</f>
        <v/>
      </c>
      <c r="BE138" s="17" t="str">
        <f>IFERROR(IF('Training Plan'!$A139="","",'Training Plan'!$E139),"")</f>
        <v/>
      </c>
      <c r="BF138" s="17" t="str">
        <f>IFERROR(IF('Training Plan'!$A139="","",'Training Plan'!$F139),"")</f>
        <v/>
      </c>
      <c r="BG138" s="17" t="str">
        <f>IFERROR(IF('Training Plan'!$A139="","",'Training Plan'!$G139),"")</f>
        <v/>
      </c>
      <c r="BH138" s="17" t="str">
        <f>IFERROR(IF('Training Plan'!$A139="","",'Training Plan'!$H139),"")</f>
        <v/>
      </c>
      <c r="BI138" s="17" t="str">
        <f>IF(OR(BA138="",BF138="Complete",AND('Skill Management'!$D$4&lt;&gt;"All Departments",BB138&lt;&gt;'Skill Management'!$D$4)),"",IF(BF138="Blocked",100000,IF(BF138="In Progress",200000,300000))+IF(BE138="",99999,BE138))</f>
        <v/>
      </c>
      <c r="BJ138" s="17" t="str">
        <f>IF(BI138="","",COUNTIFS($BI$4:$BI$203,"&gt;0",$BI$4:$BI$203,"&lt;"&amp;BI138)+COUNTIF($BI$4:BI138,BI138))</f>
        <v/>
      </c>
      <c r="CB138" t="str">
        <f>IF(AND('Competency Event Log'!$B138='Employee Transcript'!$C$4,'Competency Event Log'!$I138&lt;&gt;"Yes"),'Competency Event Log'!$K138,"")</f>
        <v/>
      </c>
      <c r="CC138" t="str">
        <f t="shared" si="40"/>
        <v/>
      </c>
      <c r="CD138" t="str">
        <f>IF(Certifications!$A138='Employee Transcript'!$C$4,138,"")</f>
        <v/>
      </c>
      <c r="CE138" t="str">
        <f>IF(CD138="","",COUNTIF($CD$4:CD138,"&gt;0"))</f>
        <v/>
      </c>
      <c r="CF138" t="str">
        <f>IF(AND('Training Plan'!$A139='Employee Transcript'!$C$4,'Training Plan'!$F139&lt;&gt;"Complete"),139,"")</f>
        <v/>
      </c>
      <c r="CG138" t="str">
        <f>IF(CF138="","",COUNTIF($CF$4:CF138,"&gt;0"))</f>
        <v/>
      </c>
    </row>
    <row r="139" spans="1:85">
      <c r="A139" s="2"/>
      <c r="B139" s="1"/>
      <c r="C139" s="1"/>
      <c r="D139" s="1"/>
      <c r="E139" s="1"/>
      <c r="F139" s="3"/>
      <c r="G139" s="1"/>
      <c r="H139" s="4"/>
      <c r="I139" s="1"/>
      <c r="J139" s="1"/>
      <c r="K139" s="1"/>
      <c r="L139" s="1"/>
      <c r="M139" s="1"/>
      <c r="N139" s="1"/>
      <c r="AF139" s="1" t="str">
        <f>IFERROR(IF(Lists!$B139="","",Lists!$B139),"")</f>
        <v/>
      </c>
      <c r="AG139" s="1" t="str">
        <f>IFERROR(IF(Lists!$B139="","",Lists!$C139),"")</f>
        <v/>
      </c>
      <c r="AH139" s="1" t="str">
        <f>IFERROR(IF(Lists!$B139="","",Lists!$D139),"")</f>
        <v/>
      </c>
      <c r="AI139" s="1" t="str">
        <f>IF(AF139="","",IFERROR(INDEX('Skills Matrix'!$G$6:$DE$205,MATCH(AF139,'Skills Matrix'!$B$6:$B$205,0),MATCH('HR Quick View'!$J$9,'Skills Matrix'!$G$5:$DE$5,0)),""))</f>
        <v/>
      </c>
      <c r="AJ139" s="1" t="str">
        <f t="shared" si="39"/>
        <v/>
      </c>
      <c r="AK139" s="1" t="str">
        <f>IFERROR(IF(Lists!$B139="","",Lists!$E139),"")</f>
        <v/>
      </c>
      <c r="AL139" s="1" t="str">
        <f>IF(AND(OR('HR Quick View'!$L$10="All Shifts",AH139='HR Quick View'!$L$10),OR(AND('HR Quick View'!$I$10="Qualified only",AI139=3),AND('HR Quick View'!$I$10="All trained",AI139&gt;0))),IF('HR Quick View'!$L$10="All Shifts",COUNTIF($AI$4:$AI$203,"&gt;"&amp;AI139)+COUNTIF($AI$4:AI139,AI139),COUNTIFS($AI$4:$AI$203,"&gt;"&amp;AI139,$AH$4:$AH$203,'HR Quick View'!$L$10)+COUNTIFS($AI$4:AI139,AI139,$AH$4:AH139,'HR Quick View'!$L$10)),"")</f>
        <v/>
      </c>
      <c r="BA139" s="17" t="str">
        <f>IFERROR(IF('Training Plan'!$A140="","",'Training Plan'!$A140),"")</f>
        <v/>
      </c>
      <c r="BB139" s="17" t="str">
        <f>IFERROR(IF('Training Plan'!$A140="","",'Training Plan'!$B140),"")</f>
        <v/>
      </c>
      <c r="BC139" s="17" t="str">
        <f>IFERROR(IF('Training Plan'!$A140="","",'Training Plan'!$C140),"")</f>
        <v/>
      </c>
      <c r="BD139" s="17" t="str">
        <f>IFERROR(IF('Training Plan'!$A140="","",'Training Plan'!$D140),"")</f>
        <v/>
      </c>
      <c r="BE139" s="17" t="str">
        <f>IFERROR(IF('Training Plan'!$A140="","",'Training Plan'!$E140),"")</f>
        <v/>
      </c>
      <c r="BF139" s="17" t="str">
        <f>IFERROR(IF('Training Plan'!$A140="","",'Training Plan'!$F140),"")</f>
        <v/>
      </c>
      <c r="BG139" s="17" t="str">
        <f>IFERROR(IF('Training Plan'!$A140="","",'Training Plan'!$G140),"")</f>
        <v/>
      </c>
      <c r="BH139" s="17" t="str">
        <f>IFERROR(IF('Training Plan'!$A140="","",'Training Plan'!$H140),"")</f>
        <v/>
      </c>
      <c r="BI139" s="17" t="str">
        <f>IF(OR(BA139="",BF139="Complete",AND('Skill Management'!$D$4&lt;&gt;"All Departments",BB139&lt;&gt;'Skill Management'!$D$4)),"",IF(BF139="Blocked",100000,IF(BF139="In Progress",200000,300000))+IF(BE139="",99999,BE139))</f>
        <v/>
      </c>
      <c r="BJ139" s="17" t="str">
        <f>IF(BI139="","",COUNTIFS($BI$4:$BI$203,"&gt;0",$BI$4:$BI$203,"&lt;"&amp;BI139)+COUNTIF($BI$4:BI139,BI139))</f>
        <v/>
      </c>
      <c r="CB139" t="str">
        <f>IF(AND('Competency Event Log'!$B139='Employee Transcript'!$C$4,'Competency Event Log'!$I139&lt;&gt;"Yes"),'Competency Event Log'!$K139,"")</f>
        <v/>
      </c>
      <c r="CC139" t="str">
        <f t="shared" si="40"/>
        <v/>
      </c>
      <c r="CD139" t="str">
        <f>IF(Certifications!$A139='Employee Transcript'!$C$4,139,"")</f>
        <v/>
      </c>
      <c r="CE139" t="str">
        <f>IF(CD139="","",COUNTIF($CD$4:CD139,"&gt;0"))</f>
        <v/>
      </c>
      <c r="CF139" t="str">
        <f>IF(AND('Training Plan'!$A140='Employee Transcript'!$C$4,'Training Plan'!$F140&lt;&gt;"Complete"),140,"")</f>
        <v/>
      </c>
      <c r="CG139" t="str">
        <f>IF(CF139="","",COUNTIF($CF$4:CF139,"&gt;0"))</f>
        <v/>
      </c>
    </row>
    <row r="140" spans="1:85">
      <c r="A140" s="2"/>
      <c r="B140" s="1"/>
      <c r="C140" s="1"/>
      <c r="D140" s="1"/>
      <c r="E140" s="1"/>
      <c r="F140" s="3"/>
      <c r="G140" s="1"/>
      <c r="H140" s="4"/>
      <c r="I140" s="1"/>
      <c r="J140" s="1"/>
      <c r="K140" s="1"/>
      <c r="L140" s="1"/>
      <c r="M140" s="1"/>
      <c r="N140" s="1"/>
      <c r="AF140" s="1" t="str">
        <f>IFERROR(IF(Lists!$B140="","",Lists!$B140),"")</f>
        <v/>
      </c>
      <c r="AG140" s="1" t="str">
        <f>IFERROR(IF(Lists!$B140="","",Lists!$C140),"")</f>
        <v/>
      </c>
      <c r="AH140" s="1" t="str">
        <f>IFERROR(IF(Lists!$B140="","",Lists!$D140),"")</f>
        <v/>
      </c>
      <c r="AI140" s="1" t="str">
        <f>IF(AF140="","",IFERROR(INDEX('Skills Matrix'!$G$6:$DE$205,MATCH(AF140,'Skills Matrix'!$B$6:$B$205,0),MATCH('HR Quick View'!$J$9,'Skills Matrix'!$G$5:$DE$5,0)),""))</f>
        <v/>
      </c>
      <c r="AJ140" s="1" t="str">
        <f t="shared" si="39"/>
        <v/>
      </c>
      <c r="AK140" s="1" t="str">
        <f>IFERROR(IF(Lists!$B140="","",Lists!$E140),"")</f>
        <v/>
      </c>
      <c r="AL140" s="1" t="str">
        <f>IF(AND(OR('HR Quick View'!$L$10="All Shifts",AH140='HR Quick View'!$L$10),OR(AND('HR Quick View'!$I$10="Qualified only",AI140=3),AND('HR Quick View'!$I$10="All trained",AI140&gt;0))),IF('HR Quick View'!$L$10="All Shifts",COUNTIF($AI$4:$AI$203,"&gt;"&amp;AI140)+COUNTIF($AI$4:AI140,AI140),COUNTIFS($AI$4:$AI$203,"&gt;"&amp;AI140,$AH$4:$AH$203,'HR Quick View'!$L$10)+COUNTIFS($AI$4:AI140,AI140,$AH$4:AH140,'HR Quick View'!$L$10)),"")</f>
        <v/>
      </c>
      <c r="BA140" s="17" t="str">
        <f>IFERROR(IF('Training Plan'!$A141="","",'Training Plan'!$A141),"")</f>
        <v/>
      </c>
      <c r="BB140" s="17" t="str">
        <f>IFERROR(IF('Training Plan'!$A141="","",'Training Plan'!$B141),"")</f>
        <v/>
      </c>
      <c r="BC140" s="17" t="str">
        <f>IFERROR(IF('Training Plan'!$A141="","",'Training Plan'!$C141),"")</f>
        <v/>
      </c>
      <c r="BD140" s="17" t="str">
        <f>IFERROR(IF('Training Plan'!$A141="","",'Training Plan'!$D141),"")</f>
        <v/>
      </c>
      <c r="BE140" s="17" t="str">
        <f>IFERROR(IF('Training Plan'!$A141="","",'Training Plan'!$E141),"")</f>
        <v/>
      </c>
      <c r="BF140" s="17" t="str">
        <f>IFERROR(IF('Training Plan'!$A141="","",'Training Plan'!$F141),"")</f>
        <v/>
      </c>
      <c r="BG140" s="17" t="str">
        <f>IFERROR(IF('Training Plan'!$A141="","",'Training Plan'!$G141),"")</f>
        <v/>
      </c>
      <c r="BH140" s="17" t="str">
        <f>IFERROR(IF('Training Plan'!$A141="","",'Training Plan'!$H141),"")</f>
        <v/>
      </c>
      <c r="BI140" s="17" t="str">
        <f>IF(OR(BA140="",BF140="Complete",AND('Skill Management'!$D$4&lt;&gt;"All Departments",BB140&lt;&gt;'Skill Management'!$D$4)),"",IF(BF140="Blocked",100000,IF(BF140="In Progress",200000,300000))+IF(BE140="",99999,BE140))</f>
        <v/>
      </c>
      <c r="BJ140" s="17" t="str">
        <f>IF(BI140="","",COUNTIFS($BI$4:$BI$203,"&gt;0",$BI$4:$BI$203,"&lt;"&amp;BI140)+COUNTIF($BI$4:BI140,BI140))</f>
        <v/>
      </c>
      <c r="CB140" t="str">
        <f>IF(AND('Competency Event Log'!$B140='Employee Transcript'!$C$4,'Competency Event Log'!$I140&lt;&gt;"Yes"),'Competency Event Log'!$K140,"")</f>
        <v/>
      </c>
      <c r="CC140" t="str">
        <f t="shared" si="40"/>
        <v/>
      </c>
      <c r="CD140" t="str">
        <f>IF(Certifications!$A140='Employee Transcript'!$C$4,140,"")</f>
        <v/>
      </c>
      <c r="CE140" t="str">
        <f>IF(CD140="","",COUNTIF($CD$4:CD140,"&gt;0"))</f>
        <v/>
      </c>
      <c r="CF140" t="str">
        <f>IF(AND('Training Plan'!$A141='Employee Transcript'!$C$4,'Training Plan'!$F141&lt;&gt;"Complete"),141,"")</f>
        <v/>
      </c>
      <c r="CG140" t="str">
        <f>IF(CF140="","",COUNTIF($CF$4:CF140,"&gt;0"))</f>
        <v/>
      </c>
    </row>
    <row r="141" spans="1:85">
      <c r="A141" s="2"/>
      <c r="B141" s="1"/>
      <c r="C141" s="1"/>
      <c r="D141" s="1"/>
      <c r="E141" s="1"/>
      <c r="F141" s="3"/>
      <c r="G141" s="1"/>
      <c r="H141" s="4"/>
      <c r="I141" s="1"/>
      <c r="J141" s="1"/>
      <c r="K141" s="1"/>
      <c r="L141" s="1"/>
      <c r="M141" s="1"/>
      <c r="N141" s="1"/>
      <c r="AF141" s="1" t="str">
        <f>IFERROR(IF(Lists!$B141="","",Lists!$B141),"")</f>
        <v/>
      </c>
      <c r="AG141" s="1" t="str">
        <f>IFERROR(IF(Lists!$B141="","",Lists!$C141),"")</f>
        <v/>
      </c>
      <c r="AH141" s="1" t="str">
        <f>IFERROR(IF(Lists!$B141="","",Lists!$D141),"")</f>
        <v/>
      </c>
      <c r="AI141" s="1" t="str">
        <f>IF(AF141="","",IFERROR(INDEX('Skills Matrix'!$G$6:$DE$205,MATCH(AF141,'Skills Matrix'!$B$6:$B$205,0),MATCH('HR Quick View'!$J$9,'Skills Matrix'!$G$5:$DE$5,0)),""))</f>
        <v/>
      </c>
      <c r="AJ141" s="1" t="str">
        <f t="shared" si="39"/>
        <v/>
      </c>
      <c r="AK141" s="1" t="str">
        <f>IFERROR(IF(Lists!$B141="","",Lists!$E141),"")</f>
        <v/>
      </c>
      <c r="AL141" s="1" t="str">
        <f>IF(AND(OR('HR Quick View'!$L$10="All Shifts",AH141='HR Quick View'!$L$10),OR(AND('HR Quick View'!$I$10="Qualified only",AI141=3),AND('HR Quick View'!$I$10="All trained",AI141&gt;0))),IF('HR Quick View'!$L$10="All Shifts",COUNTIF($AI$4:$AI$203,"&gt;"&amp;AI141)+COUNTIF($AI$4:AI141,AI141),COUNTIFS($AI$4:$AI$203,"&gt;"&amp;AI141,$AH$4:$AH$203,'HR Quick View'!$L$10)+COUNTIFS($AI$4:AI141,AI141,$AH$4:AH141,'HR Quick View'!$L$10)),"")</f>
        <v/>
      </c>
      <c r="BA141" s="17" t="str">
        <f>IFERROR(IF('Training Plan'!$A142="","",'Training Plan'!$A142),"")</f>
        <v/>
      </c>
      <c r="BB141" s="17" t="str">
        <f>IFERROR(IF('Training Plan'!$A142="","",'Training Plan'!$B142),"")</f>
        <v/>
      </c>
      <c r="BC141" s="17" t="str">
        <f>IFERROR(IF('Training Plan'!$A142="","",'Training Plan'!$C142),"")</f>
        <v/>
      </c>
      <c r="BD141" s="17" t="str">
        <f>IFERROR(IF('Training Plan'!$A142="","",'Training Plan'!$D142),"")</f>
        <v/>
      </c>
      <c r="BE141" s="17" t="str">
        <f>IFERROR(IF('Training Plan'!$A142="","",'Training Plan'!$E142),"")</f>
        <v/>
      </c>
      <c r="BF141" s="17" t="str">
        <f>IFERROR(IF('Training Plan'!$A142="","",'Training Plan'!$F142),"")</f>
        <v/>
      </c>
      <c r="BG141" s="17" t="str">
        <f>IFERROR(IF('Training Plan'!$A142="","",'Training Plan'!$G142),"")</f>
        <v/>
      </c>
      <c r="BH141" s="17" t="str">
        <f>IFERROR(IF('Training Plan'!$A142="","",'Training Plan'!$H142),"")</f>
        <v/>
      </c>
      <c r="BI141" s="17" t="str">
        <f>IF(OR(BA141="",BF141="Complete",AND('Skill Management'!$D$4&lt;&gt;"All Departments",BB141&lt;&gt;'Skill Management'!$D$4)),"",IF(BF141="Blocked",100000,IF(BF141="In Progress",200000,300000))+IF(BE141="",99999,BE141))</f>
        <v/>
      </c>
      <c r="BJ141" s="17" t="str">
        <f>IF(BI141="","",COUNTIFS($BI$4:$BI$203,"&gt;0",$BI$4:$BI$203,"&lt;"&amp;BI141)+COUNTIF($BI$4:BI141,BI141))</f>
        <v/>
      </c>
      <c r="CB141" t="str">
        <f>IF(AND('Competency Event Log'!$B141='Employee Transcript'!$C$4,'Competency Event Log'!$I141&lt;&gt;"Yes"),'Competency Event Log'!$K141,"")</f>
        <v/>
      </c>
      <c r="CC141" t="str">
        <f t="shared" si="40"/>
        <v/>
      </c>
      <c r="CD141" t="str">
        <f>IF(Certifications!$A141='Employee Transcript'!$C$4,141,"")</f>
        <v/>
      </c>
      <c r="CE141" t="str">
        <f>IF(CD141="","",COUNTIF($CD$4:CD141,"&gt;0"))</f>
        <v/>
      </c>
      <c r="CF141" t="str">
        <f>IF(AND('Training Plan'!$A142='Employee Transcript'!$C$4,'Training Plan'!$F142&lt;&gt;"Complete"),142,"")</f>
        <v/>
      </c>
      <c r="CG141" t="str">
        <f>IF(CF141="","",COUNTIF($CF$4:CF141,"&gt;0"))</f>
        <v/>
      </c>
    </row>
    <row r="142" spans="1:85">
      <c r="A142" s="2"/>
      <c r="B142" s="1"/>
      <c r="C142" s="1"/>
      <c r="D142" s="1"/>
      <c r="E142" s="1"/>
      <c r="F142" s="3"/>
      <c r="G142" s="1"/>
      <c r="H142" s="4"/>
      <c r="I142" s="1"/>
      <c r="J142" s="1"/>
      <c r="K142" s="1"/>
      <c r="L142" s="1"/>
      <c r="M142" s="1"/>
      <c r="N142" s="1"/>
      <c r="AF142" s="1" t="str">
        <f>IFERROR(IF(Lists!$B142="","",Lists!$B142),"")</f>
        <v/>
      </c>
      <c r="AG142" s="1" t="str">
        <f>IFERROR(IF(Lists!$B142="","",Lists!$C142),"")</f>
        <v/>
      </c>
      <c r="AH142" s="1" t="str">
        <f>IFERROR(IF(Lists!$B142="","",Lists!$D142),"")</f>
        <v/>
      </c>
      <c r="AI142" s="1" t="str">
        <f>IF(AF142="","",IFERROR(INDEX('Skills Matrix'!$G$6:$DE$205,MATCH(AF142,'Skills Matrix'!$B$6:$B$205,0),MATCH('HR Quick View'!$J$9,'Skills Matrix'!$G$5:$DE$5,0)),""))</f>
        <v/>
      </c>
      <c r="AJ142" s="1" t="str">
        <f t="shared" si="39"/>
        <v/>
      </c>
      <c r="AK142" s="1" t="str">
        <f>IFERROR(IF(Lists!$B142="","",Lists!$E142),"")</f>
        <v/>
      </c>
      <c r="AL142" s="1" t="str">
        <f>IF(AND(OR('HR Quick View'!$L$10="All Shifts",AH142='HR Quick View'!$L$10),OR(AND('HR Quick View'!$I$10="Qualified only",AI142=3),AND('HR Quick View'!$I$10="All trained",AI142&gt;0))),IF('HR Quick View'!$L$10="All Shifts",COUNTIF($AI$4:$AI$203,"&gt;"&amp;AI142)+COUNTIF($AI$4:AI142,AI142),COUNTIFS($AI$4:$AI$203,"&gt;"&amp;AI142,$AH$4:$AH$203,'HR Quick View'!$L$10)+COUNTIFS($AI$4:AI142,AI142,$AH$4:AH142,'HR Quick View'!$L$10)),"")</f>
        <v/>
      </c>
      <c r="BA142" s="17" t="str">
        <f>IFERROR(IF('Training Plan'!$A143="","",'Training Plan'!$A143),"")</f>
        <v/>
      </c>
      <c r="BB142" s="17" t="str">
        <f>IFERROR(IF('Training Plan'!$A143="","",'Training Plan'!$B143),"")</f>
        <v/>
      </c>
      <c r="BC142" s="17" t="str">
        <f>IFERROR(IF('Training Plan'!$A143="","",'Training Plan'!$C143),"")</f>
        <v/>
      </c>
      <c r="BD142" s="17" t="str">
        <f>IFERROR(IF('Training Plan'!$A143="","",'Training Plan'!$D143),"")</f>
        <v/>
      </c>
      <c r="BE142" s="17" t="str">
        <f>IFERROR(IF('Training Plan'!$A143="","",'Training Plan'!$E143),"")</f>
        <v/>
      </c>
      <c r="BF142" s="17" t="str">
        <f>IFERROR(IF('Training Plan'!$A143="","",'Training Plan'!$F143),"")</f>
        <v/>
      </c>
      <c r="BG142" s="17" t="str">
        <f>IFERROR(IF('Training Plan'!$A143="","",'Training Plan'!$G143),"")</f>
        <v/>
      </c>
      <c r="BH142" s="17" t="str">
        <f>IFERROR(IF('Training Plan'!$A143="","",'Training Plan'!$H143),"")</f>
        <v/>
      </c>
      <c r="BI142" s="17" t="str">
        <f>IF(OR(BA142="",BF142="Complete",AND('Skill Management'!$D$4&lt;&gt;"All Departments",BB142&lt;&gt;'Skill Management'!$D$4)),"",IF(BF142="Blocked",100000,IF(BF142="In Progress",200000,300000))+IF(BE142="",99999,BE142))</f>
        <v/>
      </c>
      <c r="BJ142" s="17" t="str">
        <f>IF(BI142="","",COUNTIFS($BI$4:$BI$203,"&gt;0",$BI$4:$BI$203,"&lt;"&amp;BI142)+COUNTIF($BI$4:BI142,BI142))</f>
        <v/>
      </c>
      <c r="CB142" t="str">
        <f>IF(AND('Competency Event Log'!$B142='Employee Transcript'!$C$4,'Competency Event Log'!$I142&lt;&gt;"Yes"),'Competency Event Log'!$K142,"")</f>
        <v/>
      </c>
      <c r="CC142" t="str">
        <f t="shared" si="40"/>
        <v/>
      </c>
      <c r="CD142" t="str">
        <f>IF(Certifications!$A142='Employee Transcript'!$C$4,142,"")</f>
        <v/>
      </c>
      <c r="CE142" t="str">
        <f>IF(CD142="","",COUNTIF($CD$4:CD142,"&gt;0"))</f>
        <v/>
      </c>
      <c r="CF142" t="str">
        <f>IF(AND('Training Plan'!$A143='Employee Transcript'!$C$4,'Training Plan'!$F143&lt;&gt;"Complete"),143,"")</f>
        <v/>
      </c>
      <c r="CG142" t="str">
        <f>IF(CF142="","",COUNTIF($CF$4:CF142,"&gt;0"))</f>
        <v/>
      </c>
    </row>
    <row r="143" spans="1:85">
      <c r="A143" s="2"/>
      <c r="B143" s="1"/>
      <c r="C143" s="1"/>
      <c r="D143" s="1"/>
      <c r="E143" s="1"/>
      <c r="F143" s="3"/>
      <c r="G143" s="1"/>
      <c r="H143" s="4"/>
      <c r="I143" s="1"/>
      <c r="J143" s="1"/>
      <c r="K143" s="1"/>
      <c r="L143" s="1"/>
      <c r="M143" s="1"/>
      <c r="N143" s="1"/>
      <c r="AF143" s="1" t="str">
        <f>IFERROR(IF(Lists!$B143="","",Lists!$B143),"")</f>
        <v/>
      </c>
      <c r="AG143" s="1" t="str">
        <f>IFERROR(IF(Lists!$B143="","",Lists!$C143),"")</f>
        <v/>
      </c>
      <c r="AH143" s="1" t="str">
        <f>IFERROR(IF(Lists!$B143="","",Lists!$D143),"")</f>
        <v/>
      </c>
      <c r="AI143" s="1" t="str">
        <f>IF(AF143="","",IFERROR(INDEX('Skills Matrix'!$G$6:$DE$205,MATCH(AF143,'Skills Matrix'!$B$6:$B$205,0),MATCH('HR Quick View'!$J$9,'Skills Matrix'!$G$5:$DE$5,0)),""))</f>
        <v/>
      </c>
      <c r="AJ143" s="1" t="str">
        <f t="shared" si="39"/>
        <v/>
      </c>
      <c r="AK143" s="1" t="str">
        <f>IFERROR(IF(Lists!$B143="","",Lists!$E143),"")</f>
        <v/>
      </c>
      <c r="AL143" s="1" t="str">
        <f>IF(AND(OR('HR Quick View'!$L$10="All Shifts",AH143='HR Quick View'!$L$10),OR(AND('HR Quick View'!$I$10="Qualified only",AI143=3),AND('HR Quick View'!$I$10="All trained",AI143&gt;0))),IF('HR Quick View'!$L$10="All Shifts",COUNTIF($AI$4:$AI$203,"&gt;"&amp;AI143)+COUNTIF($AI$4:AI143,AI143),COUNTIFS($AI$4:$AI$203,"&gt;"&amp;AI143,$AH$4:$AH$203,'HR Quick View'!$L$10)+COUNTIFS($AI$4:AI143,AI143,$AH$4:AH143,'HR Quick View'!$L$10)),"")</f>
        <v/>
      </c>
      <c r="BA143" s="17" t="str">
        <f>IFERROR(IF('Training Plan'!$A144="","",'Training Plan'!$A144),"")</f>
        <v/>
      </c>
      <c r="BB143" s="17" t="str">
        <f>IFERROR(IF('Training Plan'!$A144="","",'Training Plan'!$B144),"")</f>
        <v/>
      </c>
      <c r="BC143" s="17" t="str">
        <f>IFERROR(IF('Training Plan'!$A144="","",'Training Plan'!$C144),"")</f>
        <v/>
      </c>
      <c r="BD143" s="17" t="str">
        <f>IFERROR(IF('Training Plan'!$A144="","",'Training Plan'!$D144),"")</f>
        <v/>
      </c>
      <c r="BE143" s="17" t="str">
        <f>IFERROR(IF('Training Plan'!$A144="","",'Training Plan'!$E144),"")</f>
        <v/>
      </c>
      <c r="BF143" s="17" t="str">
        <f>IFERROR(IF('Training Plan'!$A144="","",'Training Plan'!$F144),"")</f>
        <v/>
      </c>
      <c r="BG143" s="17" t="str">
        <f>IFERROR(IF('Training Plan'!$A144="","",'Training Plan'!$G144),"")</f>
        <v/>
      </c>
      <c r="BH143" s="17" t="str">
        <f>IFERROR(IF('Training Plan'!$A144="","",'Training Plan'!$H144),"")</f>
        <v/>
      </c>
      <c r="BI143" s="17" t="str">
        <f>IF(OR(BA143="",BF143="Complete",AND('Skill Management'!$D$4&lt;&gt;"All Departments",BB143&lt;&gt;'Skill Management'!$D$4)),"",IF(BF143="Blocked",100000,IF(BF143="In Progress",200000,300000))+IF(BE143="",99999,BE143))</f>
        <v/>
      </c>
      <c r="BJ143" s="17" t="str">
        <f>IF(BI143="","",COUNTIFS($BI$4:$BI$203,"&gt;0",$BI$4:$BI$203,"&lt;"&amp;BI143)+COUNTIF($BI$4:BI143,BI143))</f>
        <v/>
      </c>
      <c r="CB143" t="str">
        <f>IF(AND('Competency Event Log'!$B143='Employee Transcript'!$C$4,'Competency Event Log'!$I143&lt;&gt;"Yes"),'Competency Event Log'!$K143,"")</f>
        <v/>
      </c>
      <c r="CC143" t="str">
        <f t="shared" si="40"/>
        <v/>
      </c>
      <c r="CD143" t="str">
        <f>IF(Certifications!$A143='Employee Transcript'!$C$4,143,"")</f>
        <v/>
      </c>
      <c r="CE143" t="str">
        <f>IF(CD143="","",COUNTIF($CD$4:CD143,"&gt;0"))</f>
        <v/>
      </c>
      <c r="CF143" t="str">
        <f>IF(AND('Training Plan'!$A144='Employee Transcript'!$C$4,'Training Plan'!$F144&lt;&gt;"Complete"),144,"")</f>
        <v/>
      </c>
      <c r="CG143" t="str">
        <f>IF(CF143="","",COUNTIF($CF$4:CF143,"&gt;0"))</f>
        <v/>
      </c>
    </row>
    <row r="144" spans="1:85">
      <c r="A144" s="2"/>
      <c r="B144" s="1"/>
      <c r="C144" s="1"/>
      <c r="D144" s="1"/>
      <c r="E144" s="1"/>
      <c r="F144" s="3"/>
      <c r="G144" s="1"/>
      <c r="H144" s="4"/>
      <c r="AF144" s="1" t="str">
        <f>IFERROR(IF(Lists!$B144="","",Lists!$B144),"")</f>
        <v/>
      </c>
      <c r="AG144" s="1" t="str">
        <f>IFERROR(IF(Lists!$B144="","",Lists!$C144),"")</f>
        <v/>
      </c>
      <c r="AH144" s="1" t="str">
        <f>IFERROR(IF(Lists!$B144="","",Lists!$D144),"")</f>
        <v/>
      </c>
      <c r="AI144" s="1" t="str">
        <f>IF(AF144="","",IFERROR(INDEX('Skills Matrix'!$G$6:$DE$205,MATCH(AF144,'Skills Matrix'!$B$6:$B$205,0),MATCH('HR Quick View'!$J$9,'Skills Matrix'!$G$5:$DE$5,0)),""))</f>
        <v/>
      </c>
      <c r="AJ144" s="1" t="str">
        <f t="shared" si="39"/>
        <v/>
      </c>
      <c r="AK144" s="1" t="str">
        <f>IFERROR(IF(Lists!$B144="","",Lists!$E144),"")</f>
        <v/>
      </c>
      <c r="AL144" s="1" t="str">
        <f>IF(AND(OR('HR Quick View'!$L$10="All Shifts",AH144='HR Quick View'!$L$10),OR(AND('HR Quick View'!$I$10="Qualified only",AI144=3),AND('HR Quick View'!$I$10="All trained",AI144&gt;0))),IF('HR Quick View'!$L$10="All Shifts",COUNTIF($AI$4:$AI$203,"&gt;"&amp;AI144)+COUNTIF($AI$4:AI144,AI144),COUNTIFS($AI$4:$AI$203,"&gt;"&amp;AI144,$AH$4:$AH$203,'HR Quick View'!$L$10)+COUNTIFS($AI$4:AI144,AI144,$AH$4:AH144,'HR Quick View'!$L$10)),"")</f>
        <v/>
      </c>
      <c r="BA144" s="17" t="str">
        <f>IFERROR(IF('Training Plan'!$A145="","",'Training Plan'!$A145),"")</f>
        <v/>
      </c>
      <c r="BB144" s="17" t="str">
        <f>IFERROR(IF('Training Plan'!$A145="","",'Training Plan'!$B145),"")</f>
        <v/>
      </c>
      <c r="BC144" s="17" t="str">
        <f>IFERROR(IF('Training Plan'!$A145="","",'Training Plan'!$C145),"")</f>
        <v/>
      </c>
      <c r="BD144" s="17" t="str">
        <f>IFERROR(IF('Training Plan'!$A145="","",'Training Plan'!$D145),"")</f>
        <v/>
      </c>
      <c r="BE144" s="17" t="str">
        <f>IFERROR(IF('Training Plan'!$A145="","",'Training Plan'!$E145),"")</f>
        <v/>
      </c>
      <c r="BF144" s="17" t="str">
        <f>IFERROR(IF('Training Plan'!$A145="","",'Training Plan'!$F145),"")</f>
        <v/>
      </c>
      <c r="BG144" s="17" t="str">
        <f>IFERROR(IF('Training Plan'!$A145="","",'Training Plan'!$G145),"")</f>
        <v/>
      </c>
      <c r="BH144" s="17" t="str">
        <f>IFERROR(IF('Training Plan'!$A145="","",'Training Plan'!$H145),"")</f>
        <v/>
      </c>
      <c r="BI144" s="17" t="str">
        <f>IF(OR(BA144="",BF144="Complete",AND('Skill Management'!$D$4&lt;&gt;"All Departments",BB144&lt;&gt;'Skill Management'!$D$4)),"",IF(BF144="Blocked",100000,IF(BF144="In Progress",200000,300000))+IF(BE144="",99999,BE144))</f>
        <v/>
      </c>
      <c r="BJ144" s="17" t="str">
        <f>IF(BI144="","",COUNTIFS($BI$4:$BI$203,"&gt;0",$BI$4:$BI$203,"&lt;"&amp;BI144)+COUNTIF($BI$4:BI144,BI144))</f>
        <v/>
      </c>
      <c r="CB144" t="str">
        <f>IF(AND('Competency Event Log'!$B144='Employee Transcript'!$C$4,'Competency Event Log'!$I144&lt;&gt;"Yes"),'Competency Event Log'!$K144,"")</f>
        <v/>
      </c>
      <c r="CC144" t="str">
        <f t="shared" si="40"/>
        <v/>
      </c>
      <c r="CD144" t="str">
        <f>IF(Certifications!$A144='Employee Transcript'!$C$4,144,"")</f>
        <v/>
      </c>
      <c r="CE144" t="str">
        <f>IF(CD144="","",COUNTIF($CD$4:CD144,"&gt;0"))</f>
        <v/>
      </c>
      <c r="CF144" t="str">
        <f>IF(AND('Training Plan'!$A145='Employee Transcript'!$C$4,'Training Plan'!$F145&lt;&gt;"Complete"),145,"")</f>
        <v/>
      </c>
      <c r="CG144" t="str">
        <f>IF(CF144="","",COUNTIF($CF$4:CF144,"&gt;0"))</f>
        <v/>
      </c>
    </row>
    <row r="145" spans="1:85">
      <c r="A145" s="2"/>
      <c r="B145" s="1"/>
      <c r="C145" s="1"/>
      <c r="D145" s="1"/>
      <c r="E145" s="1"/>
      <c r="F145" s="3"/>
      <c r="G145" s="1"/>
      <c r="H145" s="4"/>
      <c r="AF145" s="1" t="str">
        <f>IFERROR(IF(Lists!$B145="","",Lists!$B145),"")</f>
        <v/>
      </c>
      <c r="AG145" s="1" t="str">
        <f>IFERROR(IF(Lists!$B145="","",Lists!$C145),"")</f>
        <v/>
      </c>
      <c r="AH145" s="1" t="str">
        <f>IFERROR(IF(Lists!$B145="","",Lists!$D145),"")</f>
        <v/>
      </c>
      <c r="AI145" s="1" t="str">
        <f>IF(AF145="","",IFERROR(INDEX('Skills Matrix'!$G$6:$DE$205,MATCH(AF145,'Skills Matrix'!$B$6:$B$205,0),MATCH('HR Quick View'!$J$9,'Skills Matrix'!$G$5:$DE$5,0)),""))</f>
        <v/>
      </c>
      <c r="AJ145" s="1" t="str">
        <f t="shared" si="39"/>
        <v/>
      </c>
      <c r="AK145" s="1" t="str">
        <f>IFERROR(IF(Lists!$B145="","",Lists!$E145),"")</f>
        <v/>
      </c>
      <c r="AL145" s="1" t="str">
        <f>IF(AND(OR('HR Quick View'!$L$10="All Shifts",AH145='HR Quick View'!$L$10),OR(AND('HR Quick View'!$I$10="Qualified only",AI145=3),AND('HR Quick View'!$I$10="All trained",AI145&gt;0))),IF('HR Quick View'!$L$10="All Shifts",COUNTIF($AI$4:$AI$203,"&gt;"&amp;AI145)+COUNTIF($AI$4:AI145,AI145),COUNTIFS($AI$4:$AI$203,"&gt;"&amp;AI145,$AH$4:$AH$203,'HR Quick View'!$L$10)+COUNTIFS($AI$4:AI145,AI145,$AH$4:AH145,'HR Quick View'!$L$10)),"")</f>
        <v/>
      </c>
      <c r="BA145" s="17" t="str">
        <f>IFERROR(IF('Training Plan'!$A146="","",'Training Plan'!$A146),"")</f>
        <v/>
      </c>
      <c r="BB145" s="17" t="str">
        <f>IFERROR(IF('Training Plan'!$A146="","",'Training Plan'!$B146),"")</f>
        <v/>
      </c>
      <c r="BC145" s="17" t="str">
        <f>IFERROR(IF('Training Plan'!$A146="","",'Training Plan'!$C146),"")</f>
        <v/>
      </c>
      <c r="BD145" s="17" t="str">
        <f>IFERROR(IF('Training Plan'!$A146="","",'Training Plan'!$D146),"")</f>
        <v/>
      </c>
      <c r="BE145" s="17" t="str">
        <f>IFERROR(IF('Training Plan'!$A146="","",'Training Plan'!$E146),"")</f>
        <v/>
      </c>
      <c r="BF145" s="17" t="str">
        <f>IFERROR(IF('Training Plan'!$A146="","",'Training Plan'!$F146),"")</f>
        <v/>
      </c>
      <c r="BG145" s="17" t="str">
        <f>IFERROR(IF('Training Plan'!$A146="","",'Training Plan'!$G146),"")</f>
        <v/>
      </c>
      <c r="BH145" s="17" t="str">
        <f>IFERROR(IF('Training Plan'!$A146="","",'Training Plan'!$H146),"")</f>
        <v/>
      </c>
      <c r="BI145" s="17" t="str">
        <f>IF(OR(BA145="",BF145="Complete",AND('Skill Management'!$D$4&lt;&gt;"All Departments",BB145&lt;&gt;'Skill Management'!$D$4)),"",IF(BF145="Blocked",100000,IF(BF145="In Progress",200000,300000))+IF(BE145="",99999,BE145))</f>
        <v/>
      </c>
      <c r="BJ145" s="17" t="str">
        <f>IF(BI145="","",COUNTIFS($BI$4:$BI$203,"&gt;0",$BI$4:$BI$203,"&lt;"&amp;BI145)+COUNTIF($BI$4:BI145,BI145))</f>
        <v/>
      </c>
      <c r="CB145" t="str">
        <f>IF(AND('Competency Event Log'!$B145='Employee Transcript'!$C$4,'Competency Event Log'!$I145&lt;&gt;"Yes"),'Competency Event Log'!$K145,"")</f>
        <v/>
      </c>
      <c r="CC145" t="str">
        <f t="shared" si="40"/>
        <v/>
      </c>
      <c r="CD145" t="str">
        <f>IF(Certifications!$A145='Employee Transcript'!$C$4,145,"")</f>
        <v/>
      </c>
      <c r="CE145" t="str">
        <f>IF(CD145="","",COUNTIF($CD$4:CD145,"&gt;0"))</f>
        <v/>
      </c>
      <c r="CF145" t="str">
        <f>IF(AND('Training Plan'!$A146='Employee Transcript'!$C$4,'Training Plan'!$F146&lt;&gt;"Complete"),146,"")</f>
        <v/>
      </c>
      <c r="CG145" t="str">
        <f>IF(CF145="","",COUNTIF($CF$4:CF145,"&gt;0"))</f>
        <v/>
      </c>
    </row>
    <row r="146" spans="1:85">
      <c r="A146" s="2"/>
      <c r="B146" s="1"/>
      <c r="C146" s="1"/>
      <c r="D146" s="1"/>
      <c r="E146" s="1"/>
      <c r="F146" s="3"/>
      <c r="G146" s="1"/>
      <c r="H146" s="4"/>
      <c r="AF146" s="1" t="str">
        <f>IFERROR(IF(Lists!$B146="","",Lists!$B146),"")</f>
        <v/>
      </c>
      <c r="AG146" s="1" t="str">
        <f>IFERROR(IF(Lists!$B146="","",Lists!$C146),"")</f>
        <v/>
      </c>
      <c r="AH146" s="1" t="str">
        <f>IFERROR(IF(Lists!$B146="","",Lists!$D146),"")</f>
        <v/>
      </c>
      <c r="AI146" s="1" t="str">
        <f>IF(AF146="","",IFERROR(INDEX('Skills Matrix'!$G$6:$DE$205,MATCH(AF146,'Skills Matrix'!$B$6:$B$205,0),MATCH('HR Quick View'!$J$9,'Skills Matrix'!$G$5:$DE$5,0)),""))</f>
        <v/>
      </c>
      <c r="AJ146" s="1" t="str">
        <f t="shared" si="39"/>
        <v/>
      </c>
      <c r="AK146" s="1" t="str">
        <f>IFERROR(IF(Lists!$B146="","",Lists!$E146),"")</f>
        <v/>
      </c>
      <c r="AL146" s="1" t="str">
        <f>IF(AND(OR('HR Quick View'!$L$10="All Shifts",AH146='HR Quick View'!$L$10),OR(AND('HR Quick View'!$I$10="Qualified only",AI146=3),AND('HR Quick View'!$I$10="All trained",AI146&gt;0))),IF('HR Quick View'!$L$10="All Shifts",COUNTIF($AI$4:$AI$203,"&gt;"&amp;AI146)+COUNTIF($AI$4:AI146,AI146),COUNTIFS($AI$4:$AI$203,"&gt;"&amp;AI146,$AH$4:$AH$203,'HR Quick View'!$L$10)+COUNTIFS($AI$4:AI146,AI146,$AH$4:AH146,'HR Quick View'!$L$10)),"")</f>
        <v/>
      </c>
      <c r="BA146" s="17" t="str">
        <f>IFERROR(IF('Training Plan'!$A147="","",'Training Plan'!$A147),"")</f>
        <v/>
      </c>
      <c r="BB146" s="17" t="str">
        <f>IFERROR(IF('Training Plan'!$A147="","",'Training Plan'!$B147),"")</f>
        <v/>
      </c>
      <c r="BC146" s="17" t="str">
        <f>IFERROR(IF('Training Plan'!$A147="","",'Training Plan'!$C147),"")</f>
        <v/>
      </c>
      <c r="BD146" s="17" t="str">
        <f>IFERROR(IF('Training Plan'!$A147="","",'Training Plan'!$D147),"")</f>
        <v/>
      </c>
      <c r="BE146" s="17" t="str">
        <f>IFERROR(IF('Training Plan'!$A147="","",'Training Plan'!$E147),"")</f>
        <v/>
      </c>
      <c r="BF146" s="17" t="str">
        <f>IFERROR(IF('Training Plan'!$A147="","",'Training Plan'!$F147),"")</f>
        <v/>
      </c>
      <c r="BG146" s="17" t="str">
        <f>IFERROR(IF('Training Plan'!$A147="","",'Training Plan'!$G147),"")</f>
        <v/>
      </c>
      <c r="BH146" s="17" t="str">
        <f>IFERROR(IF('Training Plan'!$A147="","",'Training Plan'!$H147),"")</f>
        <v/>
      </c>
      <c r="BI146" s="17" t="str">
        <f>IF(OR(BA146="",BF146="Complete",AND('Skill Management'!$D$4&lt;&gt;"All Departments",BB146&lt;&gt;'Skill Management'!$D$4)),"",IF(BF146="Blocked",100000,IF(BF146="In Progress",200000,300000))+IF(BE146="",99999,BE146))</f>
        <v/>
      </c>
      <c r="BJ146" s="17" t="str">
        <f>IF(BI146="","",COUNTIFS($BI$4:$BI$203,"&gt;0",$BI$4:$BI$203,"&lt;"&amp;BI146)+COUNTIF($BI$4:BI146,BI146))</f>
        <v/>
      </c>
      <c r="CB146" t="str">
        <f>IF(AND('Competency Event Log'!$B146='Employee Transcript'!$C$4,'Competency Event Log'!$I146&lt;&gt;"Yes"),'Competency Event Log'!$K146,"")</f>
        <v/>
      </c>
      <c r="CC146" t="str">
        <f t="shared" si="40"/>
        <v/>
      </c>
      <c r="CD146" t="str">
        <f>IF(Certifications!$A146='Employee Transcript'!$C$4,146,"")</f>
        <v/>
      </c>
      <c r="CE146" t="str">
        <f>IF(CD146="","",COUNTIF($CD$4:CD146,"&gt;0"))</f>
        <v/>
      </c>
      <c r="CF146" t="str">
        <f>IF(AND('Training Plan'!$A147='Employee Transcript'!$C$4,'Training Plan'!$F147&lt;&gt;"Complete"),147,"")</f>
        <v/>
      </c>
      <c r="CG146" t="str">
        <f>IF(CF146="","",COUNTIF($CF$4:CF146,"&gt;0"))</f>
        <v/>
      </c>
    </row>
    <row r="147" spans="1:85">
      <c r="A147" s="2"/>
      <c r="B147" s="1"/>
      <c r="C147" s="1"/>
      <c r="D147" s="1"/>
      <c r="E147" s="1"/>
      <c r="F147" s="3"/>
      <c r="G147" s="1"/>
      <c r="H147" s="4"/>
      <c r="AF147" s="1" t="str">
        <f>IFERROR(IF(Lists!$B147="","",Lists!$B147),"")</f>
        <v/>
      </c>
      <c r="AG147" s="1" t="str">
        <f>IFERROR(IF(Lists!$B147="","",Lists!$C147),"")</f>
        <v/>
      </c>
      <c r="AH147" s="1" t="str">
        <f>IFERROR(IF(Lists!$B147="","",Lists!$D147),"")</f>
        <v/>
      </c>
      <c r="AI147" s="1" t="str">
        <f>IF(AF147="","",IFERROR(INDEX('Skills Matrix'!$G$6:$DE$205,MATCH(AF147,'Skills Matrix'!$B$6:$B$205,0),MATCH('HR Quick View'!$J$9,'Skills Matrix'!$G$5:$DE$5,0)),""))</f>
        <v/>
      </c>
      <c r="AJ147" s="1" t="str">
        <f t="shared" si="39"/>
        <v/>
      </c>
      <c r="AK147" s="1" t="str">
        <f>IFERROR(IF(Lists!$B147="","",Lists!$E147),"")</f>
        <v/>
      </c>
      <c r="AL147" s="1" t="str">
        <f>IF(AND(OR('HR Quick View'!$L$10="All Shifts",AH147='HR Quick View'!$L$10),OR(AND('HR Quick View'!$I$10="Qualified only",AI147=3),AND('HR Quick View'!$I$10="All trained",AI147&gt;0))),IF('HR Quick View'!$L$10="All Shifts",COUNTIF($AI$4:$AI$203,"&gt;"&amp;AI147)+COUNTIF($AI$4:AI147,AI147),COUNTIFS($AI$4:$AI$203,"&gt;"&amp;AI147,$AH$4:$AH$203,'HR Quick View'!$L$10)+COUNTIFS($AI$4:AI147,AI147,$AH$4:AH147,'HR Quick View'!$L$10)),"")</f>
        <v/>
      </c>
      <c r="BA147" s="17" t="str">
        <f>IFERROR(IF('Training Plan'!$A148="","",'Training Plan'!$A148),"")</f>
        <v/>
      </c>
      <c r="BB147" s="17" t="str">
        <f>IFERROR(IF('Training Plan'!$A148="","",'Training Plan'!$B148),"")</f>
        <v/>
      </c>
      <c r="BC147" s="17" t="str">
        <f>IFERROR(IF('Training Plan'!$A148="","",'Training Plan'!$C148),"")</f>
        <v/>
      </c>
      <c r="BD147" s="17" t="str">
        <f>IFERROR(IF('Training Plan'!$A148="","",'Training Plan'!$D148),"")</f>
        <v/>
      </c>
      <c r="BE147" s="17" t="str">
        <f>IFERROR(IF('Training Plan'!$A148="","",'Training Plan'!$E148),"")</f>
        <v/>
      </c>
      <c r="BF147" s="17" t="str">
        <f>IFERROR(IF('Training Plan'!$A148="","",'Training Plan'!$F148),"")</f>
        <v/>
      </c>
      <c r="BG147" s="17" t="str">
        <f>IFERROR(IF('Training Plan'!$A148="","",'Training Plan'!$G148),"")</f>
        <v/>
      </c>
      <c r="BH147" s="17" t="str">
        <f>IFERROR(IF('Training Plan'!$A148="","",'Training Plan'!$H148),"")</f>
        <v/>
      </c>
      <c r="BI147" s="17" t="str">
        <f>IF(OR(BA147="",BF147="Complete",AND('Skill Management'!$D$4&lt;&gt;"All Departments",BB147&lt;&gt;'Skill Management'!$D$4)),"",IF(BF147="Blocked",100000,IF(BF147="In Progress",200000,300000))+IF(BE147="",99999,BE147))</f>
        <v/>
      </c>
      <c r="BJ147" s="17" t="str">
        <f>IF(BI147="","",COUNTIFS($BI$4:$BI$203,"&gt;0",$BI$4:$BI$203,"&lt;"&amp;BI147)+COUNTIF($BI$4:BI147,BI147))</f>
        <v/>
      </c>
      <c r="CB147" t="str">
        <f>IF(AND('Competency Event Log'!$B147='Employee Transcript'!$C$4,'Competency Event Log'!$I147&lt;&gt;"Yes"),'Competency Event Log'!$K147,"")</f>
        <v/>
      </c>
      <c r="CC147" t="str">
        <f t="shared" si="40"/>
        <v/>
      </c>
      <c r="CD147" t="str">
        <f>IF(Certifications!$A147='Employee Transcript'!$C$4,147,"")</f>
        <v/>
      </c>
      <c r="CE147" t="str">
        <f>IF(CD147="","",COUNTIF($CD$4:CD147,"&gt;0"))</f>
        <v/>
      </c>
      <c r="CF147" t="str">
        <f>IF(AND('Training Plan'!$A148='Employee Transcript'!$C$4,'Training Plan'!$F148&lt;&gt;"Complete"),148,"")</f>
        <v/>
      </c>
      <c r="CG147" t="str">
        <f>IF(CF147="","",COUNTIF($CF$4:CF147,"&gt;0"))</f>
        <v/>
      </c>
    </row>
    <row r="148" spans="1:85">
      <c r="A148" s="2"/>
      <c r="B148" s="1"/>
      <c r="C148" s="1"/>
      <c r="D148" s="1"/>
      <c r="E148" s="1"/>
      <c r="F148" s="3"/>
      <c r="G148" s="1"/>
      <c r="H148" s="4"/>
      <c r="AF148" s="1" t="str">
        <f>IFERROR(IF(Lists!$B148="","",Lists!$B148),"")</f>
        <v/>
      </c>
      <c r="AG148" s="1" t="str">
        <f>IFERROR(IF(Lists!$B148="","",Lists!$C148),"")</f>
        <v/>
      </c>
      <c r="AH148" s="1" t="str">
        <f>IFERROR(IF(Lists!$B148="","",Lists!$D148),"")</f>
        <v/>
      </c>
      <c r="AI148" s="1" t="str">
        <f>IF(AF148="","",IFERROR(INDEX('Skills Matrix'!$G$6:$DE$205,MATCH(AF148,'Skills Matrix'!$B$6:$B$205,0),MATCH('HR Quick View'!$J$9,'Skills Matrix'!$G$5:$DE$5,0)),""))</f>
        <v/>
      </c>
      <c r="AJ148" s="1" t="str">
        <f t="shared" si="39"/>
        <v/>
      </c>
      <c r="AK148" s="1" t="str">
        <f>IFERROR(IF(Lists!$B148="","",Lists!$E148),"")</f>
        <v/>
      </c>
      <c r="AL148" s="1" t="str">
        <f>IF(AND(OR('HR Quick View'!$L$10="All Shifts",AH148='HR Quick View'!$L$10),OR(AND('HR Quick View'!$I$10="Qualified only",AI148=3),AND('HR Quick View'!$I$10="All trained",AI148&gt;0))),IF('HR Quick View'!$L$10="All Shifts",COUNTIF($AI$4:$AI$203,"&gt;"&amp;AI148)+COUNTIF($AI$4:AI148,AI148),COUNTIFS($AI$4:$AI$203,"&gt;"&amp;AI148,$AH$4:$AH$203,'HR Quick View'!$L$10)+COUNTIFS($AI$4:AI148,AI148,$AH$4:AH148,'HR Quick View'!$L$10)),"")</f>
        <v/>
      </c>
      <c r="BA148" s="17" t="str">
        <f>IFERROR(IF('Training Plan'!$A149="","",'Training Plan'!$A149),"")</f>
        <v/>
      </c>
      <c r="BB148" s="17" t="str">
        <f>IFERROR(IF('Training Plan'!$A149="","",'Training Plan'!$B149),"")</f>
        <v/>
      </c>
      <c r="BC148" s="17" t="str">
        <f>IFERROR(IF('Training Plan'!$A149="","",'Training Plan'!$C149),"")</f>
        <v/>
      </c>
      <c r="BD148" s="17" t="str">
        <f>IFERROR(IF('Training Plan'!$A149="","",'Training Plan'!$D149),"")</f>
        <v/>
      </c>
      <c r="BE148" s="17" t="str">
        <f>IFERROR(IF('Training Plan'!$A149="","",'Training Plan'!$E149),"")</f>
        <v/>
      </c>
      <c r="BF148" s="17" t="str">
        <f>IFERROR(IF('Training Plan'!$A149="","",'Training Plan'!$F149),"")</f>
        <v/>
      </c>
      <c r="BG148" s="17" t="str">
        <f>IFERROR(IF('Training Plan'!$A149="","",'Training Plan'!$G149),"")</f>
        <v/>
      </c>
      <c r="BH148" s="17" t="str">
        <f>IFERROR(IF('Training Plan'!$A149="","",'Training Plan'!$H149),"")</f>
        <v/>
      </c>
      <c r="BI148" s="17" t="str">
        <f>IF(OR(BA148="",BF148="Complete",AND('Skill Management'!$D$4&lt;&gt;"All Departments",BB148&lt;&gt;'Skill Management'!$D$4)),"",IF(BF148="Blocked",100000,IF(BF148="In Progress",200000,300000))+IF(BE148="",99999,BE148))</f>
        <v/>
      </c>
      <c r="BJ148" s="17" t="str">
        <f>IF(BI148="","",COUNTIFS($BI$4:$BI$203,"&gt;0",$BI$4:$BI$203,"&lt;"&amp;BI148)+COUNTIF($BI$4:BI148,BI148))</f>
        <v/>
      </c>
      <c r="CB148" t="str">
        <f>IF(AND('Competency Event Log'!$B148='Employee Transcript'!$C$4,'Competency Event Log'!$I148&lt;&gt;"Yes"),'Competency Event Log'!$K148,"")</f>
        <v/>
      </c>
      <c r="CC148" t="str">
        <f t="shared" si="40"/>
        <v/>
      </c>
      <c r="CD148" t="str">
        <f>IF(Certifications!$A148='Employee Transcript'!$C$4,148,"")</f>
        <v/>
      </c>
      <c r="CE148" t="str">
        <f>IF(CD148="","",COUNTIF($CD$4:CD148,"&gt;0"))</f>
        <v/>
      </c>
      <c r="CF148" t="str">
        <f>IF(AND('Training Plan'!$A149='Employee Transcript'!$C$4,'Training Plan'!$F149&lt;&gt;"Complete"),149,"")</f>
        <v/>
      </c>
      <c r="CG148" t="str">
        <f>IF(CF148="","",COUNTIF($CF$4:CF148,"&gt;0"))</f>
        <v/>
      </c>
    </row>
    <row r="149" spans="1:85">
      <c r="A149" s="2"/>
      <c r="B149" s="1"/>
      <c r="C149" s="1"/>
      <c r="D149" s="1"/>
      <c r="E149" s="1"/>
      <c r="F149" s="3"/>
      <c r="G149" s="1"/>
      <c r="H149" s="4"/>
      <c r="AF149" s="1" t="str">
        <f>IFERROR(IF(Lists!$B149="","",Lists!$B149),"")</f>
        <v/>
      </c>
      <c r="AG149" s="1" t="str">
        <f>IFERROR(IF(Lists!$B149="","",Lists!$C149),"")</f>
        <v/>
      </c>
      <c r="AH149" s="1" t="str">
        <f>IFERROR(IF(Lists!$B149="","",Lists!$D149),"")</f>
        <v/>
      </c>
      <c r="AI149" s="1" t="str">
        <f>IF(AF149="","",IFERROR(INDEX('Skills Matrix'!$G$6:$DE$205,MATCH(AF149,'Skills Matrix'!$B$6:$B$205,0),MATCH('HR Quick View'!$J$9,'Skills Matrix'!$G$5:$DE$5,0)),""))</f>
        <v/>
      </c>
      <c r="AJ149" s="1" t="str">
        <f t="shared" si="39"/>
        <v/>
      </c>
      <c r="AK149" s="1" t="str">
        <f>IFERROR(IF(Lists!$B149="","",Lists!$E149),"")</f>
        <v/>
      </c>
      <c r="AL149" s="1" t="str">
        <f>IF(AND(OR('HR Quick View'!$L$10="All Shifts",AH149='HR Quick View'!$L$10),OR(AND('HR Quick View'!$I$10="Qualified only",AI149=3),AND('HR Quick View'!$I$10="All trained",AI149&gt;0))),IF('HR Quick View'!$L$10="All Shifts",COUNTIF($AI$4:$AI$203,"&gt;"&amp;AI149)+COUNTIF($AI$4:AI149,AI149),COUNTIFS($AI$4:$AI$203,"&gt;"&amp;AI149,$AH$4:$AH$203,'HR Quick View'!$L$10)+COUNTIFS($AI$4:AI149,AI149,$AH$4:AH149,'HR Quick View'!$L$10)),"")</f>
        <v/>
      </c>
      <c r="BA149" s="17" t="str">
        <f>IFERROR(IF('Training Plan'!$A150="","",'Training Plan'!$A150),"")</f>
        <v/>
      </c>
      <c r="BB149" s="17" t="str">
        <f>IFERROR(IF('Training Plan'!$A150="","",'Training Plan'!$B150),"")</f>
        <v/>
      </c>
      <c r="BC149" s="17" t="str">
        <f>IFERROR(IF('Training Plan'!$A150="","",'Training Plan'!$C150),"")</f>
        <v/>
      </c>
      <c r="BD149" s="17" t="str">
        <f>IFERROR(IF('Training Plan'!$A150="","",'Training Plan'!$D150),"")</f>
        <v/>
      </c>
      <c r="BE149" s="17" t="str">
        <f>IFERROR(IF('Training Plan'!$A150="","",'Training Plan'!$E150),"")</f>
        <v/>
      </c>
      <c r="BF149" s="17" t="str">
        <f>IFERROR(IF('Training Plan'!$A150="","",'Training Plan'!$F150),"")</f>
        <v/>
      </c>
      <c r="BG149" s="17" t="str">
        <f>IFERROR(IF('Training Plan'!$A150="","",'Training Plan'!$G150),"")</f>
        <v/>
      </c>
      <c r="BH149" s="17" t="str">
        <f>IFERROR(IF('Training Plan'!$A150="","",'Training Plan'!$H150),"")</f>
        <v/>
      </c>
      <c r="BI149" s="17" t="str">
        <f>IF(OR(BA149="",BF149="Complete",AND('Skill Management'!$D$4&lt;&gt;"All Departments",BB149&lt;&gt;'Skill Management'!$D$4)),"",IF(BF149="Blocked",100000,IF(BF149="In Progress",200000,300000))+IF(BE149="",99999,BE149))</f>
        <v/>
      </c>
      <c r="BJ149" s="17" t="str">
        <f>IF(BI149="","",COUNTIFS($BI$4:$BI$203,"&gt;0",$BI$4:$BI$203,"&lt;"&amp;BI149)+COUNTIF($BI$4:BI149,BI149))</f>
        <v/>
      </c>
      <c r="CB149" t="str">
        <f>IF(AND('Competency Event Log'!$B149='Employee Transcript'!$C$4,'Competency Event Log'!$I149&lt;&gt;"Yes"),'Competency Event Log'!$K149,"")</f>
        <v/>
      </c>
      <c r="CC149" t="str">
        <f t="shared" si="40"/>
        <v/>
      </c>
      <c r="CD149" t="str">
        <f>IF(Certifications!$A149='Employee Transcript'!$C$4,149,"")</f>
        <v/>
      </c>
      <c r="CE149" t="str">
        <f>IF(CD149="","",COUNTIF($CD$4:CD149,"&gt;0"))</f>
        <v/>
      </c>
      <c r="CF149" t="str">
        <f>IF(AND('Training Plan'!$A150='Employee Transcript'!$C$4,'Training Plan'!$F150&lt;&gt;"Complete"),150,"")</f>
        <v/>
      </c>
      <c r="CG149" t="str">
        <f>IF(CF149="","",COUNTIF($CF$4:CF149,"&gt;0"))</f>
        <v/>
      </c>
    </row>
    <row r="150" spans="1:85">
      <c r="A150" s="2"/>
      <c r="B150" s="1"/>
      <c r="C150" s="1"/>
      <c r="D150" s="1"/>
      <c r="E150" s="1"/>
      <c r="F150" s="3"/>
      <c r="G150" s="1"/>
      <c r="H150" s="4"/>
      <c r="AF150" s="1" t="str">
        <f>IFERROR(IF(Lists!$B150="","",Lists!$B150),"")</f>
        <v/>
      </c>
      <c r="AG150" s="1" t="str">
        <f>IFERROR(IF(Lists!$B150="","",Lists!$C150),"")</f>
        <v/>
      </c>
      <c r="AH150" s="1" t="str">
        <f>IFERROR(IF(Lists!$B150="","",Lists!$D150),"")</f>
        <v/>
      </c>
      <c r="AI150" s="1" t="str">
        <f>IF(AF150="","",IFERROR(INDEX('Skills Matrix'!$G$6:$DE$205,MATCH(AF150,'Skills Matrix'!$B$6:$B$205,0),MATCH('HR Quick View'!$J$9,'Skills Matrix'!$G$5:$DE$5,0)),""))</f>
        <v/>
      </c>
      <c r="AJ150" s="1" t="str">
        <f t="shared" si="39"/>
        <v/>
      </c>
      <c r="AK150" s="1" t="str">
        <f>IFERROR(IF(Lists!$B150="","",Lists!$E150),"")</f>
        <v/>
      </c>
      <c r="AL150" s="1" t="str">
        <f>IF(AND(OR('HR Quick View'!$L$10="All Shifts",AH150='HR Quick View'!$L$10),OR(AND('HR Quick View'!$I$10="Qualified only",AI150=3),AND('HR Quick View'!$I$10="All trained",AI150&gt;0))),IF('HR Quick View'!$L$10="All Shifts",COUNTIF($AI$4:$AI$203,"&gt;"&amp;AI150)+COUNTIF($AI$4:AI150,AI150),COUNTIFS($AI$4:$AI$203,"&gt;"&amp;AI150,$AH$4:$AH$203,'HR Quick View'!$L$10)+COUNTIFS($AI$4:AI150,AI150,$AH$4:AH150,'HR Quick View'!$L$10)),"")</f>
        <v/>
      </c>
      <c r="BA150" s="17" t="str">
        <f>IFERROR(IF('Training Plan'!$A151="","",'Training Plan'!$A151),"")</f>
        <v/>
      </c>
      <c r="BB150" s="17" t="str">
        <f>IFERROR(IF('Training Plan'!$A151="","",'Training Plan'!$B151),"")</f>
        <v/>
      </c>
      <c r="BC150" s="17" t="str">
        <f>IFERROR(IF('Training Plan'!$A151="","",'Training Plan'!$C151),"")</f>
        <v/>
      </c>
      <c r="BD150" s="17" t="str">
        <f>IFERROR(IF('Training Plan'!$A151="","",'Training Plan'!$D151),"")</f>
        <v/>
      </c>
      <c r="BE150" s="17" t="str">
        <f>IFERROR(IF('Training Plan'!$A151="","",'Training Plan'!$E151),"")</f>
        <v/>
      </c>
      <c r="BF150" s="17" t="str">
        <f>IFERROR(IF('Training Plan'!$A151="","",'Training Plan'!$F151),"")</f>
        <v/>
      </c>
      <c r="BG150" s="17" t="str">
        <f>IFERROR(IF('Training Plan'!$A151="","",'Training Plan'!$G151),"")</f>
        <v/>
      </c>
      <c r="BH150" s="17" t="str">
        <f>IFERROR(IF('Training Plan'!$A151="","",'Training Plan'!$H151),"")</f>
        <v/>
      </c>
      <c r="BI150" s="17" t="str">
        <f>IF(OR(BA150="",BF150="Complete",AND('Skill Management'!$D$4&lt;&gt;"All Departments",BB150&lt;&gt;'Skill Management'!$D$4)),"",IF(BF150="Blocked",100000,IF(BF150="In Progress",200000,300000))+IF(BE150="",99999,BE150))</f>
        <v/>
      </c>
      <c r="BJ150" s="17" t="str">
        <f>IF(BI150="","",COUNTIFS($BI$4:$BI$203,"&gt;0",$BI$4:$BI$203,"&lt;"&amp;BI150)+COUNTIF($BI$4:BI150,BI150))</f>
        <v/>
      </c>
      <c r="CB150" t="str">
        <f>IF(AND('Competency Event Log'!$B150='Employee Transcript'!$C$4,'Competency Event Log'!$I150&lt;&gt;"Yes"),'Competency Event Log'!$K150,"")</f>
        <v/>
      </c>
      <c r="CC150" t="str">
        <f t="shared" si="40"/>
        <v/>
      </c>
      <c r="CD150" t="str">
        <f>IF(Certifications!$A150='Employee Transcript'!$C$4,150,"")</f>
        <v/>
      </c>
      <c r="CE150" t="str">
        <f>IF(CD150="","",COUNTIF($CD$4:CD150,"&gt;0"))</f>
        <v/>
      </c>
      <c r="CF150" t="str">
        <f>IF(AND('Training Plan'!$A151='Employee Transcript'!$C$4,'Training Plan'!$F151&lt;&gt;"Complete"),151,"")</f>
        <v/>
      </c>
      <c r="CG150" t="str">
        <f>IF(CF150="","",COUNTIF($CF$4:CF150,"&gt;0"))</f>
        <v/>
      </c>
    </row>
    <row r="151" spans="1:85">
      <c r="A151" s="2"/>
      <c r="B151" s="1"/>
      <c r="C151" s="1"/>
      <c r="D151" s="1"/>
      <c r="E151" s="1"/>
      <c r="F151" s="3"/>
      <c r="G151" s="1"/>
      <c r="H151" s="4"/>
      <c r="AF151" s="1" t="str">
        <f>IFERROR(IF(Lists!$B151="","",Lists!$B151),"")</f>
        <v/>
      </c>
      <c r="AG151" s="1" t="str">
        <f>IFERROR(IF(Lists!$B151="","",Lists!$C151),"")</f>
        <v/>
      </c>
      <c r="AH151" s="1" t="str">
        <f>IFERROR(IF(Lists!$B151="","",Lists!$D151),"")</f>
        <v/>
      </c>
      <c r="AI151" s="1" t="str">
        <f>IF(AF151="","",IFERROR(INDEX('Skills Matrix'!$G$6:$DE$205,MATCH(AF151,'Skills Matrix'!$B$6:$B$205,0),MATCH('HR Quick View'!$J$9,'Skills Matrix'!$G$5:$DE$5,0)),""))</f>
        <v/>
      </c>
      <c r="AJ151" s="1" t="str">
        <f t="shared" si="39"/>
        <v/>
      </c>
      <c r="AK151" s="1" t="str">
        <f>IFERROR(IF(Lists!$B151="","",Lists!$E151),"")</f>
        <v/>
      </c>
      <c r="AL151" s="1" t="str">
        <f>IF(AND(OR('HR Quick View'!$L$10="All Shifts",AH151='HR Quick View'!$L$10),OR(AND('HR Quick View'!$I$10="Qualified only",AI151=3),AND('HR Quick View'!$I$10="All trained",AI151&gt;0))),IF('HR Quick View'!$L$10="All Shifts",COUNTIF($AI$4:$AI$203,"&gt;"&amp;AI151)+COUNTIF($AI$4:AI151,AI151),COUNTIFS($AI$4:$AI$203,"&gt;"&amp;AI151,$AH$4:$AH$203,'HR Quick View'!$L$10)+COUNTIFS($AI$4:AI151,AI151,$AH$4:AH151,'HR Quick View'!$L$10)),"")</f>
        <v/>
      </c>
      <c r="BA151" s="17" t="str">
        <f>IFERROR(IF('Training Plan'!$A152="","",'Training Plan'!$A152),"")</f>
        <v/>
      </c>
      <c r="BB151" s="17" t="str">
        <f>IFERROR(IF('Training Plan'!$A152="","",'Training Plan'!$B152),"")</f>
        <v/>
      </c>
      <c r="BC151" s="17" t="str">
        <f>IFERROR(IF('Training Plan'!$A152="","",'Training Plan'!$C152),"")</f>
        <v/>
      </c>
      <c r="BD151" s="17" t="str">
        <f>IFERROR(IF('Training Plan'!$A152="","",'Training Plan'!$D152),"")</f>
        <v/>
      </c>
      <c r="BE151" s="17" t="str">
        <f>IFERROR(IF('Training Plan'!$A152="","",'Training Plan'!$E152),"")</f>
        <v/>
      </c>
      <c r="BF151" s="17" t="str">
        <f>IFERROR(IF('Training Plan'!$A152="","",'Training Plan'!$F152),"")</f>
        <v/>
      </c>
      <c r="BG151" s="17" t="str">
        <f>IFERROR(IF('Training Plan'!$A152="","",'Training Plan'!$G152),"")</f>
        <v/>
      </c>
      <c r="BH151" s="17" t="str">
        <f>IFERROR(IF('Training Plan'!$A152="","",'Training Plan'!$H152),"")</f>
        <v/>
      </c>
      <c r="BI151" s="17" t="str">
        <f>IF(OR(BA151="",BF151="Complete",AND('Skill Management'!$D$4&lt;&gt;"All Departments",BB151&lt;&gt;'Skill Management'!$D$4)),"",IF(BF151="Blocked",100000,IF(BF151="In Progress",200000,300000))+IF(BE151="",99999,BE151))</f>
        <v/>
      </c>
      <c r="BJ151" s="17" t="str">
        <f>IF(BI151="","",COUNTIFS($BI$4:$BI$203,"&gt;0",$BI$4:$BI$203,"&lt;"&amp;BI151)+COUNTIF($BI$4:BI151,BI151))</f>
        <v/>
      </c>
      <c r="CB151" t="str">
        <f>IF(AND('Competency Event Log'!$B151='Employee Transcript'!$C$4,'Competency Event Log'!$I151&lt;&gt;"Yes"),'Competency Event Log'!$K151,"")</f>
        <v/>
      </c>
      <c r="CC151" t="str">
        <f t="shared" si="40"/>
        <v/>
      </c>
      <c r="CD151" t="str">
        <f>IF(Certifications!$A151='Employee Transcript'!$C$4,151,"")</f>
        <v/>
      </c>
      <c r="CE151" t="str">
        <f>IF(CD151="","",COUNTIF($CD$4:CD151,"&gt;0"))</f>
        <v/>
      </c>
      <c r="CF151" t="str">
        <f>IF(AND('Training Plan'!$A152='Employee Transcript'!$C$4,'Training Plan'!$F152&lt;&gt;"Complete"),152,"")</f>
        <v/>
      </c>
      <c r="CG151" t="str">
        <f>IF(CF151="","",COUNTIF($CF$4:CF151,"&gt;0"))</f>
        <v/>
      </c>
    </row>
    <row r="152" spans="1:85">
      <c r="A152" s="2"/>
      <c r="B152" s="1"/>
      <c r="C152" s="1"/>
      <c r="D152" s="1"/>
      <c r="E152" s="1"/>
      <c r="F152" s="3"/>
      <c r="G152" s="1"/>
      <c r="H152" s="4"/>
      <c r="AF152" s="1" t="str">
        <f>IFERROR(IF(Lists!$B152="","",Lists!$B152),"")</f>
        <v/>
      </c>
      <c r="AG152" s="1" t="str">
        <f>IFERROR(IF(Lists!$B152="","",Lists!$C152),"")</f>
        <v/>
      </c>
      <c r="AH152" s="1" t="str">
        <f>IFERROR(IF(Lists!$B152="","",Lists!$D152),"")</f>
        <v/>
      </c>
      <c r="AI152" s="1" t="str">
        <f>IF(AF152="","",IFERROR(INDEX('Skills Matrix'!$G$6:$DE$205,MATCH(AF152,'Skills Matrix'!$B$6:$B$205,0),MATCH('HR Quick View'!$J$9,'Skills Matrix'!$G$5:$DE$5,0)),""))</f>
        <v/>
      </c>
      <c r="AJ152" s="1" t="str">
        <f t="shared" si="39"/>
        <v/>
      </c>
      <c r="AK152" s="1" t="str">
        <f>IFERROR(IF(Lists!$B152="","",Lists!$E152),"")</f>
        <v/>
      </c>
      <c r="AL152" s="1" t="str">
        <f>IF(AND(OR('HR Quick View'!$L$10="All Shifts",AH152='HR Quick View'!$L$10),OR(AND('HR Quick View'!$I$10="Qualified only",AI152=3),AND('HR Quick View'!$I$10="All trained",AI152&gt;0))),IF('HR Quick View'!$L$10="All Shifts",COUNTIF($AI$4:$AI$203,"&gt;"&amp;AI152)+COUNTIF($AI$4:AI152,AI152),COUNTIFS($AI$4:$AI$203,"&gt;"&amp;AI152,$AH$4:$AH$203,'HR Quick View'!$L$10)+COUNTIFS($AI$4:AI152,AI152,$AH$4:AH152,'HR Quick View'!$L$10)),"")</f>
        <v/>
      </c>
      <c r="BA152" s="17" t="str">
        <f>IFERROR(IF('Training Plan'!$A153="","",'Training Plan'!$A153),"")</f>
        <v/>
      </c>
      <c r="BB152" s="17" t="str">
        <f>IFERROR(IF('Training Plan'!$A153="","",'Training Plan'!$B153),"")</f>
        <v/>
      </c>
      <c r="BC152" s="17" t="str">
        <f>IFERROR(IF('Training Plan'!$A153="","",'Training Plan'!$C153),"")</f>
        <v/>
      </c>
      <c r="BD152" s="17" t="str">
        <f>IFERROR(IF('Training Plan'!$A153="","",'Training Plan'!$D153),"")</f>
        <v/>
      </c>
      <c r="BE152" s="17" t="str">
        <f>IFERROR(IF('Training Plan'!$A153="","",'Training Plan'!$E153),"")</f>
        <v/>
      </c>
      <c r="BF152" s="17" t="str">
        <f>IFERROR(IF('Training Plan'!$A153="","",'Training Plan'!$F153),"")</f>
        <v/>
      </c>
      <c r="BG152" s="17" t="str">
        <f>IFERROR(IF('Training Plan'!$A153="","",'Training Plan'!$G153),"")</f>
        <v/>
      </c>
      <c r="BH152" s="17" t="str">
        <f>IFERROR(IF('Training Plan'!$A153="","",'Training Plan'!$H153),"")</f>
        <v/>
      </c>
      <c r="BI152" s="17" t="str">
        <f>IF(OR(BA152="",BF152="Complete",AND('Skill Management'!$D$4&lt;&gt;"All Departments",BB152&lt;&gt;'Skill Management'!$D$4)),"",IF(BF152="Blocked",100000,IF(BF152="In Progress",200000,300000))+IF(BE152="",99999,BE152))</f>
        <v/>
      </c>
      <c r="BJ152" s="17" t="str">
        <f>IF(BI152="","",COUNTIFS($BI$4:$BI$203,"&gt;0",$BI$4:$BI$203,"&lt;"&amp;BI152)+COUNTIF($BI$4:BI152,BI152))</f>
        <v/>
      </c>
      <c r="CB152" t="str">
        <f>IF(AND('Competency Event Log'!$B152='Employee Transcript'!$C$4,'Competency Event Log'!$I152&lt;&gt;"Yes"),'Competency Event Log'!$K152,"")</f>
        <v/>
      </c>
      <c r="CC152" t="str">
        <f t="shared" si="40"/>
        <v/>
      </c>
      <c r="CD152" t="str">
        <f>IF(Certifications!$A152='Employee Transcript'!$C$4,152,"")</f>
        <v/>
      </c>
      <c r="CE152" t="str">
        <f>IF(CD152="","",COUNTIF($CD$4:CD152,"&gt;0"))</f>
        <v/>
      </c>
      <c r="CF152" t="str">
        <f>IF(AND('Training Plan'!$A153='Employee Transcript'!$C$4,'Training Plan'!$F153&lt;&gt;"Complete"),153,"")</f>
        <v/>
      </c>
      <c r="CG152" t="str">
        <f>IF(CF152="","",COUNTIF($CF$4:CF152,"&gt;0"))</f>
        <v/>
      </c>
    </row>
    <row r="153" spans="1:85">
      <c r="A153" s="2"/>
      <c r="B153" s="1"/>
      <c r="C153" s="1"/>
      <c r="D153" s="1"/>
      <c r="E153" s="1"/>
      <c r="F153" s="3"/>
      <c r="G153" s="1"/>
      <c r="H153" s="4"/>
      <c r="AF153" s="1" t="str">
        <f>IFERROR(IF(Lists!$B153="","",Lists!$B153),"")</f>
        <v/>
      </c>
      <c r="AG153" s="1" t="str">
        <f>IFERROR(IF(Lists!$B153="","",Lists!$C153),"")</f>
        <v/>
      </c>
      <c r="AH153" s="1" t="str">
        <f>IFERROR(IF(Lists!$B153="","",Lists!$D153),"")</f>
        <v/>
      </c>
      <c r="AI153" s="1" t="str">
        <f>IF(AF153="","",IFERROR(INDEX('Skills Matrix'!$G$6:$DE$205,MATCH(AF153,'Skills Matrix'!$B$6:$B$205,0),MATCH('HR Quick View'!$J$9,'Skills Matrix'!$G$5:$DE$5,0)),""))</f>
        <v/>
      </c>
      <c r="AJ153" s="1" t="str">
        <f t="shared" si="39"/>
        <v/>
      </c>
      <c r="AK153" s="1" t="str">
        <f>IFERROR(IF(Lists!$B153="","",Lists!$E153),"")</f>
        <v/>
      </c>
      <c r="AL153" s="1" t="str">
        <f>IF(AND(OR('HR Quick View'!$L$10="All Shifts",AH153='HR Quick View'!$L$10),OR(AND('HR Quick View'!$I$10="Qualified only",AI153=3),AND('HR Quick View'!$I$10="All trained",AI153&gt;0))),IF('HR Quick View'!$L$10="All Shifts",COUNTIF($AI$4:$AI$203,"&gt;"&amp;AI153)+COUNTIF($AI$4:AI153,AI153),COUNTIFS($AI$4:$AI$203,"&gt;"&amp;AI153,$AH$4:$AH$203,'HR Quick View'!$L$10)+COUNTIFS($AI$4:AI153,AI153,$AH$4:AH153,'HR Quick View'!$L$10)),"")</f>
        <v/>
      </c>
      <c r="BA153" s="17" t="str">
        <f>IFERROR(IF('Training Plan'!$A154="","",'Training Plan'!$A154),"")</f>
        <v/>
      </c>
      <c r="BB153" s="17" t="str">
        <f>IFERROR(IF('Training Plan'!$A154="","",'Training Plan'!$B154),"")</f>
        <v/>
      </c>
      <c r="BC153" s="17" t="str">
        <f>IFERROR(IF('Training Plan'!$A154="","",'Training Plan'!$C154),"")</f>
        <v/>
      </c>
      <c r="BD153" s="17" t="str">
        <f>IFERROR(IF('Training Plan'!$A154="","",'Training Plan'!$D154),"")</f>
        <v/>
      </c>
      <c r="BE153" s="17" t="str">
        <f>IFERROR(IF('Training Plan'!$A154="","",'Training Plan'!$E154),"")</f>
        <v/>
      </c>
      <c r="BF153" s="17" t="str">
        <f>IFERROR(IF('Training Plan'!$A154="","",'Training Plan'!$F154),"")</f>
        <v/>
      </c>
      <c r="BG153" s="17" t="str">
        <f>IFERROR(IF('Training Plan'!$A154="","",'Training Plan'!$G154),"")</f>
        <v/>
      </c>
      <c r="BH153" s="17" t="str">
        <f>IFERROR(IF('Training Plan'!$A154="","",'Training Plan'!$H154),"")</f>
        <v/>
      </c>
      <c r="BI153" s="17" t="str">
        <f>IF(OR(BA153="",BF153="Complete",AND('Skill Management'!$D$4&lt;&gt;"All Departments",BB153&lt;&gt;'Skill Management'!$D$4)),"",IF(BF153="Blocked",100000,IF(BF153="In Progress",200000,300000))+IF(BE153="",99999,BE153))</f>
        <v/>
      </c>
      <c r="BJ153" s="17" t="str">
        <f>IF(BI153="","",COUNTIFS($BI$4:$BI$203,"&gt;0",$BI$4:$BI$203,"&lt;"&amp;BI153)+COUNTIF($BI$4:BI153,BI153))</f>
        <v/>
      </c>
      <c r="CB153" t="str">
        <f>IF(AND('Competency Event Log'!$B153='Employee Transcript'!$C$4,'Competency Event Log'!$I153&lt;&gt;"Yes"),'Competency Event Log'!$K153,"")</f>
        <v/>
      </c>
      <c r="CC153" t="str">
        <f t="shared" si="40"/>
        <v/>
      </c>
      <c r="CD153" t="str">
        <f>IF(Certifications!$A153='Employee Transcript'!$C$4,153,"")</f>
        <v/>
      </c>
      <c r="CE153" t="str">
        <f>IF(CD153="","",COUNTIF($CD$4:CD153,"&gt;0"))</f>
        <v/>
      </c>
      <c r="CF153" t="str">
        <f>IF(AND('Training Plan'!$A154='Employee Transcript'!$C$4,'Training Plan'!$F154&lt;&gt;"Complete"),154,"")</f>
        <v/>
      </c>
      <c r="CG153" t="str">
        <f>IF(CF153="","",COUNTIF($CF$4:CF153,"&gt;0"))</f>
        <v/>
      </c>
    </row>
    <row r="154" spans="1:85">
      <c r="A154" s="2"/>
      <c r="B154" s="1"/>
      <c r="C154" s="1"/>
      <c r="D154" s="1"/>
      <c r="E154" s="1"/>
      <c r="F154" s="3"/>
      <c r="G154" s="1"/>
      <c r="H154" s="4"/>
      <c r="AF154" s="1" t="str">
        <f>IFERROR(IF(Lists!$B154="","",Lists!$B154),"")</f>
        <v/>
      </c>
      <c r="AG154" s="1" t="str">
        <f>IFERROR(IF(Lists!$B154="","",Lists!$C154),"")</f>
        <v/>
      </c>
      <c r="AH154" s="1" t="str">
        <f>IFERROR(IF(Lists!$B154="","",Lists!$D154),"")</f>
        <v/>
      </c>
      <c r="AI154" s="1" t="str">
        <f>IF(AF154="","",IFERROR(INDEX('Skills Matrix'!$G$6:$DE$205,MATCH(AF154,'Skills Matrix'!$B$6:$B$205,0),MATCH('HR Quick View'!$J$9,'Skills Matrix'!$G$5:$DE$5,0)),""))</f>
        <v/>
      </c>
      <c r="AJ154" s="1" t="str">
        <f t="shared" si="39"/>
        <v/>
      </c>
      <c r="AK154" s="1" t="str">
        <f>IFERROR(IF(Lists!$B154="","",Lists!$E154),"")</f>
        <v/>
      </c>
      <c r="AL154" s="1" t="str">
        <f>IF(AND(OR('HR Quick View'!$L$10="All Shifts",AH154='HR Quick View'!$L$10),OR(AND('HR Quick View'!$I$10="Qualified only",AI154=3),AND('HR Quick View'!$I$10="All trained",AI154&gt;0))),IF('HR Quick View'!$L$10="All Shifts",COUNTIF($AI$4:$AI$203,"&gt;"&amp;AI154)+COUNTIF($AI$4:AI154,AI154),COUNTIFS($AI$4:$AI$203,"&gt;"&amp;AI154,$AH$4:$AH$203,'HR Quick View'!$L$10)+COUNTIFS($AI$4:AI154,AI154,$AH$4:AH154,'HR Quick View'!$L$10)),"")</f>
        <v/>
      </c>
      <c r="BA154" s="17" t="str">
        <f>IFERROR(IF('Training Plan'!$A155="","",'Training Plan'!$A155),"")</f>
        <v/>
      </c>
      <c r="BB154" s="17" t="str">
        <f>IFERROR(IF('Training Plan'!$A155="","",'Training Plan'!$B155),"")</f>
        <v/>
      </c>
      <c r="BC154" s="17" t="str">
        <f>IFERROR(IF('Training Plan'!$A155="","",'Training Plan'!$C155),"")</f>
        <v/>
      </c>
      <c r="BD154" s="17" t="str">
        <f>IFERROR(IF('Training Plan'!$A155="","",'Training Plan'!$D155),"")</f>
        <v/>
      </c>
      <c r="BE154" s="17" t="str">
        <f>IFERROR(IF('Training Plan'!$A155="","",'Training Plan'!$E155),"")</f>
        <v/>
      </c>
      <c r="BF154" s="17" t="str">
        <f>IFERROR(IF('Training Plan'!$A155="","",'Training Plan'!$F155),"")</f>
        <v/>
      </c>
      <c r="BG154" s="17" t="str">
        <f>IFERROR(IF('Training Plan'!$A155="","",'Training Plan'!$G155),"")</f>
        <v/>
      </c>
      <c r="BH154" s="17" t="str">
        <f>IFERROR(IF('Training Plan'!$A155="","",'Training Plan'!$H155),"")</f>
        <v/>
      </c>
      <c r="BI154" s="17" t="str">
        <f>IF(OR(BA154="",BF154="Complete",AND('Skill Management'!$D$4&lt;&gt;"All Departments",BB154&lt;&gt;'Skill Management'!$D$4)),"",IF(BF154="Blocked",100000,IF(BF154="In Progress",200000,300000))+IF(BE154="",99999,BE154))</f>
        <v/>
      </c>
      <c r="BJ154" s="17" t="str">
        <f>IF(BI154="","",COUNTIFS($BI$4:$BI$203,"&gt;0",$BI$4:$BI$203,"&lt;"&amp;BI154)+COUNTIF($BI$4:BI154,BI154))</f>
        <v/>
      </c>
      <c r="CB154" t="str">
        <f>IF(AND('Competency Event Log'!$B154='Employee Transcript'!$C$4,'Competency Event Log'!$I154&lt;&gt;"Yes"),'Competency Event Log'!$K154,"")</f>
        <v/>
      </c>
      <c r="CC154" t="str">
        <f t="shared" si="40"/>
        <v/>
      </c>
      <c r="CD154" t="str">
        <f>IF(Certifications!$A154='Employee Transcript'!$C$4,154,"")</f>
        <v/>
      </c>
      <c r="CE154" t="str">
        <f>IF(CD154="","",COUNTIF($CD$4:CD154,"&gt;0"))</f>
        <v/>
      </c>
      <c r="CF154" t="str">
        <f>IF(AND('Training Plan'!$A155='Employee Transcript'!$C$4,'Training Plan'!$F155&lt;&gt;"Complete"),155,"")</f>
        <v/>
      </c>
      <c r="CG154" t="str">
        <f>IF(CF154="","",COUNTIF($CF$4:CF154,"&gt;0"))</f>
        <v/>
      </c>
    </row>
    <row r="155" spans="1:85">
      <c r="A155" s="2"/>
      <c r="B155" s="1"/>
      <c r="C155" s="1"/>
      <c r="D155" s="1"/>
      <c r="E155" s="1"/>
      <c r="F155" s="3"/>
      <c r="G155" s="1"/>
      <c r="H155" s="4"/>
      <c r="AF155" s="1" t="str">
        <f>IFERROR(IF(Lists!$B155="","",Lists!$B155),"")</f>
        <v/>
      </c>
      <c r="AG155" s="1" t="str">
        <f>IFERROR(IF(Lists!$B155="","",Lists!$C155),"")</f>
        <v/>
      </c>
      <c r="AH155" s="1" t="str">
        <f>IFERROR(IF(Lists!$B155="","",Lists!$D155),"")</f>
        <v/>
      </c>
      <c r="AI155" s="1" t="str">
        <f>IF(AF155="","",IFERROR(INDEX('Skills Matrix'!$G$6:$DE$205,MATCH(AF155,'Skills Matrix'!$B$6:$B$205,0),MATCH('HR Quick View'!$J$9,'Skills Matrix'!$G$5:$DE$5,0)),""))</f>
        <v/>
      </c>
      <c r="AJ155" s="1" t="str">
        <f t="shared" si="39"/>
        <v/>
      </c>
      <c r="AK155" s="1" t="str">
        <f>IFERROR(IF(Lists!$B155="","",Lists!$E155),"")</f>
        <v/>
      </c>
      <c r="AL155" s="1" t="str">
        <f>IF(AND(OR('HR Quick View'!$L$10="All Shifts",AH155='HR Quick View'!$L$10),OR(AND('HR Quick View'!$I$10="Qualified only",AI155=3),AND('HR Quick View'!$I$10="All trained",AI155&gt;0))),IF('HR Quick View'!$L$10="All Shifts",COUNTIF($AI$4:$AI$203,"&gt;"&amp;AI155)+COUNTIF($AI$4:AI155,AI155),COUNTIFS($AI$4:$AI$203,"&gt;"&amp;AI155,$AH$4:$AH$203,'HR Quick View'!$L$10)+COUNTIFS($AI$4:AI155,AI155,$AH$4:AH155,'HR Quick View'!$L$10)),"")</f>
        <v/>
      </c>
      <c r="BA155" s="17" t="str">
        <f>IFERROR(IF('Training Plan'!$A156="","",'Training Plan'!$A156),"")</f>
        <v/>
      </c>
      <c r="BB155" s="17" t="str">
        <f>IFERROR(IF('Training Plan'!$A156="","",'Training Plan'!$B156),"")</f>
        <v/>
      </c>
      <c r="BC155" s="17" t="str">
        <f>IFERROR(IF('Training Plan'!$A156="","",'Training Plan'!$C156),"")</f>
        <v/>
      </c>
      <c r="BD155" s="17" t="str">
        <f>IFERROR(IF('Training Plan'!$A156="","",'Training Plan'!$D156),"")</f>
        <v/>
      </c>
      <c r="BE155" s="17" t="str">
        <f>IFERROR(IF('Training Plan'!$A156="","",'Training Plan'!$E156),"")</f>
        <v/>
      </c>
      <c r="BF155" s="17" t="str">
        <f>IFERROR(IF('Training Plan'!$A156="","",'Training Plan'!$F156),"")</f>
        <v/>
      </c>
      <c r="BG155" s="17" t="str">
        <f>IFERROR(IF('Training Plan'!$A156="","",'Training Plan'!$G156),"")</f>
        <v/>
      </c>
      <c r="BH155" s="17" t="str">
        <f>IFERROR(IF('Training Plan'!$A156="","",'Training Plan'!$H156),"")</f>
        <v/>
      </c>
      <c r="BI155" s="17" t="str">
        <f>IF(OR(BA155="",BF155="Complete",AND('Skill Management'!$D$4&lt;&gt;"All Departments",BB155&lt;&gt;'Skill Management'!$D$4)),"",IF(BF155="Blocked",100000,IF(BF155="In Progress",200000,300000))+IF(BE155="",99999,BE155))</f>
        <v/>
      </c>
      <c r="BJ155" s="17" t="str">
        <f>IF(BI155="","",COUNTIFS($BI$4:$BI$203,"&gt;0",$BI$4:$BI$203,"&lt;"&amp;BI155)+COUNTIF($BI$4:BI155,BI155))</f>
        <v/>
      </c>
      <c r="CB155" t="str">
        <f>IF(AND('Competency Event Log'!$B155='Employee Transcript'!$C$4,'Competency Event Log'!$I155&lt;&gt;"Yes"),'Competency Event Log'!$K155,"")</f>
        <v/>
      </c>
      <c r="CC155" t="str">
        <f t="shared" si="40"/>
        <v/>
      </c>
      <c r="CD155" t="str">
        <f>IF(Certifications!$A155='Employee Transcript'!$C$4,155,"")</f>
        <v/>
      </c>
      <c r="CE155" t="str">
        <f>IF(CD155="","",COUNTIF($CD$4:CD155,"&gt;0"))</f>
        <v/>
      </c>
      <c r="CF155" t="str">
        <f>IF(AND('Training Plan'!$A156='Employee Transcript'!$C$4,'Training Plan'!$F156&lt;&gt;"Complete"),156,"")</f>
        <v/>
      </c>
      <c r="CG155" t="str">
        <f>IF(CF155="","",COUNTIF($CF$4:CF155,"&gt;0"))</f>
        <v/>
      </c>
    </row>
    <row r="156" spans="1:85">
      <c r="A156" s="2"/>
      <c r="B156" s="1"/>
      <c r="C156" s="1"/>
      <c r="D156" s="1"/>
      <c r="E156" s="1"/>
      <c r="F156" s="3"/>
      <c r="G156" s="1"/>
      <c r="H156" s="4"/>
      <c r="AF156" s="1" t="str">
        <f>IFERROR(IF(Lists!$B156="","",Lists!$B156),"")</f>
        <v/>
      </c>
      <c r="AG156" s="1" t="str">
        <f>IFERROR(IF(Lists!$B156="","",Lists!$C156),"")</f>
        <v/>
      </c>
      <c r="AH156" s="1" t="str">
        <f>IFERROR(IF(Lists!$B156="","",Lists!$D156),"")</f>
        <v/>
      </c>
      <c r="AI156" s="1" t="str">
        <f>IF(AF156="","",IFERROR(INDEX('Skills Matrix'!$G$6:$DE$205,MATCH(AF156,'Skills Matrix'!$B$6:$B$205,0),MATCH('HR Quick View'!$J$9,'Skills Matrix'!$G$5:$DE$5,0)),""))</f>
        <v/>
      </c>
      <c r="AJ156" s="1" t="str">
        <f t="shared" si="39"/>
        <v/>
      </c>
      <c r="AK156" s="1" t="str">
        <f>IFERROR(IF(Lists!$B156="","",Lists!$E156),"")</f>
        <v/>
      </c>
      <c r="AL156" s="1" t="str">
        <f>IF(AND(OR('HR Quick View'!$L$10="All Shifts",AH156='HR Quick View'!$L$10),OR(AND('HR Quick View'!$I$10="Qualified only",AI156=3),AND('HR Quick View'!$I$10="All trained",AI156&gt;0))),IF('HR Quick View'!$L$10="All Shifts",COUNTIF($AI$4:$AI$203,"&gt;"&amp;AI156)+COUNTIF($AI$4:AI156,AI156),COUNTIFS($AI$4:$AI$203,"&gt;"&amp;AI156,$AH$4:$AH$203,'HR Quick View'!$L$10)+COUNTIFS($AI$4:AI156,AI156,$AH$4:AH156,'HR Quick View'!$L$10)),"")</f>
        <v/>
      </c>
      <c r="BA156" s="17" t="str">
        <f>IFERROR(IF('Training Plan'!$A157="","",'Training Plan'!$A157),"")</f>
        <v/>
      </c>
      <c r="BB156" s="17" t="str">
        <f>IFERROR(IF('Training Plan'!$A157="","",'Training Plan'!$B157),"")</f>
        <v/>
      </c>
      <c r="BC156" s="17" t="str">
        <f>IFERROR(IF('Training Plan'!$A157="","",'Training Plan'!$C157),"")</f>
        <v/>
      </c>
      <c r="BD156" s="17" t="str">
        <f>IFERROR(IF('Training Plan'!$A157="","",'Training Plan'!$D157),"")</f>
        <v/>
      </c>
      <c r="BE156" s="17" t="str">
        <f>IFERROR(IF('Training Plan'!$A157="","",'Training Plan'!$E157),"")</f>
        <v/>
      </c>
      <c r="BF156" s="17" t="str">
        <f>IFERROR(IF('Training Plan'!$A157="","",'Training Plan'!$F157),"")</f>
        <v/>
      </c>
      <c r="BG156" s="17" t="str">
        <f>IFERROR(IF('Training Plan'!$A157="","",'Training Plan'!$G157),"")</f>
        <v/>
      </c>
      <c r="BH156" s="17" t="str">
        <f>IFERROR(IF('Training Plan'!$A157="","",'Training Plan'!$H157),"")</f>
        <v/>
      </c>
      <c r="BI156" s="17" t="str">
        <f>IF(OR(BA156="",BF156="Complete",AND('Skill Management'!$D$4&lt;&gt;"All Departments",BB156&lt;&gt;'Skill Management'!$D$4)),"",IF(BF156="Blocked",100000,IF(BF156="In Progress",200000,300000))+IF(BE156="",99999,BE156))</f>
        <v/>
      </c>
      <c r="BJ156" s="17" t="str">
        <f>IF(BI156="","",COUNTIFS($BI$4:$BI$203,"&gt;0",$BI$4:$BI$203,"&lt;"&amp;BI156)+COUNTIF($BI$4:BI156,BI156))</f>
        <v/>
      </c>
      <c r="CB156" t="str">
        <f>IF(AND('Competency Event Log'!$B156='Employee Transcript'!$C$4,'Competency Event Log'!$I156&lt;&gt;"Yes"),'Competency Event Log'!$K156,"")</f>
        <v/>
      </c>
      <c r="CC156" t="str">
        <f t="shared" si="40"/>
        <v/>
      </c>
      <c r="CD156" t="str">
        <f>IF(Certifications!$A156='Employee Transcript'!$C$4,156,"")</f>
        <v/>
      </c>
      <c r="CE156" t="str">
        <f>IF(CD156="","",COUNTIF($CD$4:CD156,"&gt;0"))</f>
        <v/>
      </c>
      <c r="CF156" t="str">
        <f>IF(AND('Training Plan'!$A157='Employee Transcript'!$C$4,'Training Plan'!$F157&lt;&gt;"Complete"),157,"")</f>
        <v/>
      </c>
      <c r="CG156" t="str">
        <f>IF(CF156="","",COUNTIF($CF$4:CF156,"&gt;0"))</f>
        <v/>
      </c>
    </row>
    <row r="157" spans="1:85">
      <c r="A157" s="2"/>
      <c r="B157" s="1"/>
      <c r="C157" s="1"/>
      <c r="D157" s="1"/>
      <c r="E157" s="1"/>
      <c r="F157" s="3"/>
      <c r="G157" s="1"/>
      <c r="H157" s="4"/>
      <c r="AF157" s="1" t="str">
        <f>IFERROR(IF(Lists!$B157="","",Lists!$B157),"")</f>
        <v/>
      </c>
      <c r="AG157" s="1" t="str">
        <f>IFERROR(IF(Lists!$B157="","",Lists!$C157),"")</f>
        <v/>
      </c>
      <c r="AH157" s="1" t="str">
        <f>IFERROR(IF(Lists!$B157="","",Lists!$D157),"")</f>
        <v/>
      </c>
      <c r="AI157" s="1" t="str">
        <f>IF(AF157="","",IFERROR(INDEX('Skills Matrix'!$G$6:$DE$205,MATCH(AF157,'Skills Matrix'!$B$6:$B$205,0),MATCH('HR Quick View'!$J$9,'Skills Matrix'!$G$5:$DE$5,0)),""))</f>
        <v/>
      </c>
      <c r="AJ157" s="1" t="str">
        <f t="shared" si="39"/>
        <v/>
      </c>
      <c r="AK157" s="1" t="str">
        <f>IFERROR(IF(Lists!$B157="","",Lists!$E157),"")</f>
        <v/>
      </c>
      <c r="AL157" s="1" t="str">
        <f>IF(AND(OR('HR Quick View'!$L$10="All Shifts",AH157='HR Quick View'!$L$10),OR(AND('HR Quick View'!$I$10="Qualified only",AI157=3),AND('HR Quick View'!$I$10="All trained",AI157&gt;0))),IF('HR Quick View'!$L$10="All Shifts",COUNTIF($AI$4:$AI$203,"&gt;"&amp;AI157)+COUNTIF($AI$4:AI157,AI157),COUNTIFS($AI$4:$AI$203,"&gt;"&amp;AI157,$AH$4:$AH$203,'HR Quick View'!$L$10)+COUNTIFS($AI$4:AI157,AI157,$AH$4:AH157,'HR Quick View'!$L$10)),"")</f>
        <v/>
      </c>
      <c r="BA157" s="17" t="str">
        <f>IFERROR(IF('Training Plan'!$A158="","",'Training Plan'!$A158),"")</f>
        <v/>
      </c>
      <c r="BB157" s="17" t="str">
        <f>IFERROR(IF('Training Plan'!$A158="","",'Training Plan'!$B158),"")</f>
        <v/>
      </c>
      <c r="BC157" s="17" t="str">
        <f>IFERROR(IF('Training Plan'!$A158="","",'Training Plan'!$C158),"")</f>
        <v/>
      </c>
      <c r="BD157" s="17" t="str">
        <f>IFERROR(IF('Training Plan'!$A158="","",'Training Plan'!$D158),"")</f>
        <v/>
      </c>
      <c r="BE157" s="17" t="str">
        <f>IFERROR(IF('Training Plan'!$A158="","",'Training Plan'!$E158),"")</f>
        <v/>
      </c>
      <c r="BF157" s="17" t="str">
        <f>IFERROR(IF('Training Plan'!$A158="","",'Training Plan'!$F158),"")</f>
        <v/>
      </c>
      <c r="BG157" s="17" t="str">
        <f>IFERROR(IF('Training Plan'!$A158="","",'Training Plan'!$G158),"")</f>
        <v/>
      </c>
      <c r="BH157" s="17" t="str">
        <f>IFERROR(IF('Training Plan'!$A158="","",'Training Plan'!$H158),"")</f>
        <v/>
      </c>
      <c r="BI157" s="17" t="str">
        <f>IF(OR(BA157="",BF157="Complete",AND('Skill Management'!$D$4&lt;&gt;"All Departments",BB157&lt;&gt;'Skill Management'!$D$4)),"",IF(BF157="Blocked",100000,IF(BF157="In Progress",200000,300000))+IF(BE157="",99999,BE157))</f>
        <v/>
      </c>
      <c r="BJ157" s="17" t="str">
        <f>IF(BI157="","",COUNTIFS($BI$4:$BI$203,"&gt;0",$BI$4:$BI$203,"&lt;"&amp;BI157)+COUNTIF($BI$4:BI157,BI157))</f>
        <v/>
      </c>
      <c r="CB157" t="str">
        <f>IF(AND('Competency Event Log'!$B157='Employee Transcript'!$C$4,'Competency Event Log'!$I157&lt;&gt;"Yes"),'Competency Event Log'!$K157,"")</f>
        <v/>
      </c>
      <c r="CC157" t="str">
        <f t="shared" si="40"/>
        <v/>
      </c>
      <c r="CD157" t="str">
        <f>IF(Certifications!$A157='Employee Transcript'!$C$4,157,"")</f>
        <v/>
      </c>
      <c r="CE157" t="str">
        <f>IF(CD157="","",COUNTIF($CD$4:CD157,"&gt;0"))</f>
        <v/>
      </c>
      <c r="CF157" t="str">
        <f>IF(AND('Training Plan'!$A158='Employee Transcript'!$C$4,'Training Plan'!$F158&lt;&gt;"Complete"),158,"")</f>
        <v/>
      </c>
      <c r="CG157" t="str">
        <f>IF(CF157="","",COUNTIF($CF$4:CF157,"&gt;0"))</f>
        <v/>
      </c>
    </row>
    <row r="158" spans="1:85">
      <c r="A158" s="2"/>
      <c r="B158" s="1"/>
      <c r="C158" s="1"/>
      <c r="D158" s="1"/>
      <c r="E158" s="1"/>
      <c r="F158" s="3"/>
      <c r="G158" s="1"/>
      <c r="H158" s="4"/>
      <c r="AF158" s="1" t="str">
        <f>IFERROR(IF(Lists!$B158="","",Lists!$B158),"")</f>
        <v/>
      </c>
      <c r="AG158" s="1" t="str">
        <f>IFERROR(IF(Lists!$B158="","",Lists!$C158),"")</f>
        <v/>
      </c>
      <c r="AH158" s="1" t="str">
        <f>IFERROR(IF(Lists!$B158="","",Lists!$D158),"")</f>
        <v/>
      </c>
      <c r="AI158" s="1" t="str">
        <f>IF(AF158="","",IFERROR(INDEX('Skills Matrix'!$G$6:$DE$205,MATCH(AF158,'Skills Matrix'!$B$6:$B$205,0),MATCH('HR Quick View'!$J$9,'Skills Matrix'!$G$5:$DE$5,0)),""))</f>
        <v/>
      </c>
      <c r="AJ158" s="1" t="str">
        <f t="shared" si="39"/>
        <v/>
      </c>
      <c r="AK158" s="1" t="str">
        <f>IFERROR(IF(Lists!$B158="","",Lists!$E158),"")</f>
        <v/>
      </c>
      <c r="AL158" s="1" t="str">
        <f>IF(AND(OR('HR Quick View'!$L$10="All Shifts",AH158='HR Quick View'!$L$10),OR(AND('HR Quick View'!$I$10="Qualified only",AI158=3),AND('HR Quick View'!$I$10="All trained",AI158&gt;0))),IF('HR Quick View'!$L$10="All Shifts",COUNTIF($AI$4:$AI$203,"&gt;"&amp;AI158)+COUNTIF($AI$4:AI158,AI158),COUNTIFS($AI$4:$AI$203,"&gt;"&amp;AI158,$AH$4:$AH$203,'HR Quick View'!$L$10)+COUNTIFS($AI$4:AI158,AI158,$AH$4:AH158,'HR Quick View'!$L$10)),"")</f>
        <v/>
      </c>
      <c r="BA158" s="17" t="str">
        <f>IFERROR(IF('Training Plan'!$A159="","",'Training Plan'!$A159),"")</f>
        <v/>
      </c>
      <c r="BB158" s="17" t="str">
        <f>IFERROR(IF('Training Plan'!$A159="","",'Training Plan'!$B159),"")</f>
        <v/>
      </c>
      <c r="BC158" s="17" t="str">
        <f>IFERROR(IF('Training Plan'!$A159="","",'Training Plan'!$C159),"")</f>
        <v/>
      </c>
      <c r="BD158" s="17" t="str">
        <f>IFERROR(IF('Training Plan'!$A159="","",'Training Plan'!$D159),"")</f>
        <v/>
      </c>
      <c r="BE158" s="17" t="str">
        <f>IFERROR(IF('Training Plan'!$A159="","",'Training Plan'!$E159),"")</f>
        <v/>
      </c>
      <c r="BF158" s="17" t="str">
        <f>IFERROR(IF('Training Plan'!$A159="","",'Training Plan'!$F159),"")</f>
        <v/>
      </c>
      <c r="BG158" s="17" t="str">
        <f>IFERROR(IF('Training Plan'!$A159="","",'Training Plan'!$G159),"")</f>
        <v/>
      </c>
      <c r="BH158" s="17" t="str">
        <f>IFERROR(IF('Training Plan'!$A159="","",'Training Plan'!$H159),"")</f>
        <v/>
      </c>
      <c r="BI158" s="17" t="str">
        <f>IF(OR(BA158="",BF158="Complete",AND('Skill Management'!$D$4&lt;&gt;"All Departments",BB158&lt;&gt;'Skill Management'!$D$4)),"",IF(BF158="Blocked",100000,IF(BF158="In Progress",200000,300000))+IF(BE158="",99999,BE158))</f>
        <v/>
      </c>
      <c r="BJ158" s="17" t="str">
        <f>IF(BI158="","",COUNTIFS($BI$4:$BI$203,"&gt;0",$BI$4:$BI$203,"&lt;"&amp;BI158)+COUNTIF($BI$4:BI158,BI158))</f>
        <v/>
      </c>
      <c r="CB158" t="str">
        <f>IF(AND('Competency Event Log'!$B158='Employee Transcript'!$C$4,'Competency Event Log'!$I158&lt;&gt;"Yes"),'Competency Event Log'!$K158,"")</f>
        <v/>
      </c>
      <c r="CC158" t="str">
        <f t="shared" si="40"/>
        <v/>
      </c>
      <c r="CD158" t="str">
        <f>IF(Certifications!$A158='Employee Transcript'!$C$4,158,"")</f>
        <v/>
      </c>
      <c r="CE158" t="str">
        <f>IF(CD158="","",COUNTIF($CD$4:CD158,"&gt;0"))</f>
        <v/>
      </c>
      <c r="CF158" t="str">
        <f>IF(AND('Training Plan'!$A159='Employee Transcript'!$C$4,'Training Plan'!$F159&lt;&gt;"Complete"),159,"")</f>
        <v/>
      </c>
      <c r="CG158" t="str">
        <f>IF(CF158="","",COUNTIF($CF$4:CF158,"&gt;0"))</f>
        <v/>
      </c>
    </row>
    <row r="159" spans="1:85">
      <c r="A159" s="2"/>
      <c r="B159" s="1"/>
      <c r="C159" s="1"/>
      <c r="D159" s="1"/>
      <c r="E159" s="1"/>
      <c r="F159" s="3"/>
      <c r="G159" s="1"/>
      <c r="H159" s="4"/>
      <c r="AF159" s="1" t="str">
        <f>IFERROR(IF(Lists!$B159="","",Lists!$B159),"")</f>
        <v/>
      </c>
      <c r="AG159" s="1" t="str">
        <f>IFERROR(IF(Lists!$B159="","",Lists!$C159),"")</f>
        <v/>
      </c>
      <c r="AH159" s="1" t="str">
        <f>IFERROR(IF(Lists!$B159="","",Lists!$D159),"")</f>
        <v/>
      </c>
      <c r="AI159" s="1" t="str">
        <f>IF(AF159="","",IFERROR(INDEX('Skills Matrix'!$G$6:$DE$205,MATCH(AF159,'Skills Matrix'!$B$6:$B$205,0),MATCH('HR Quick View'!$J$9,'Skills Matrix'!$G$5:$DE$5,0)),""))</f>
        <v/>
      </c>
      <c r="AJ159" s="1" t="str">
        <f t="shared" si="39"/>
        <v/>
      </c>
      <c r="AK159" s="1" t="str">
        <f>IFERROR(IF(Lists!$B159="","",Lists!$E159),"")</f>
        <v/>
      </c>
      <c r="AL159" s="1" t="str">
        <f>IF(AND(OR('HR Quick View'!$L$10="All Shifts",AH159='HR Quick View'!$L$10),OR(AND('HR Quick View'!$I$10="Qualified only",AI159=3),AND('HR Quick View'!$I$10="All trained",AI159&gt;0))),IF('HR Quick View'!$L$10="All Shifts",COUNTIF($AI$4:$AI$203,"&gt;"&amp;AI159)+COUNTIF($AI$4:AI159,AI159),COUNTIFS($AI$4:$AI$203,"&gt;"&amp;AI159,$AH$4:$AH$203,'HR Quick View'!$L$10)+COUNTIFS($AI$4:AI159,AI159,$AH$4:AH159,'HR Quick View'!$L$10)),"")</f>
        <v/>
      </c>
      <c r="BA159" s="17" t="str">
        <f>IFERROR(IF('Training Plan'!$A160="","",'Training Plan'!$A160),"")</f>
        <v/>
      </c>
      <c r="BB159" s="17" t="str">
        <f>IFERROR(IF('Training Plan'!$A160="","",'Training Plan'!$B160),"")</f>
        <v/>
      </c>
      <c r="BC159" s="17" t="str">
        <f>IFERROR(IF('Training Plan'!$A160="","",'Training Plan'!$C160),"")</f>
        <v/>
      </c>
      <c r="BD159" s="17" t="str">
        <f>IFERROR(IF('Training Plan'!$A160="","",'Training Plan'!$D160),"")</f>
        <v/>
      </c>
      <c r="BE159" s="17" t="str">
        <f>IFERROR(IF('Training Plan'!$A160="","",'Training Plan'!$E160),"")</f>
        <v/>
      </c>
      <c r="BF159" s="17" t="str">
        <f>IFERROR(IF('Training Plan'!$A160="","",'Training Plan'!$F160),"")</f>
        <v/>
      </c>
      <c r="BG159" s="17" t="str">
        <f>IFERROR(IF('Training Plan'!$A160="","",'Training Plan'!$G160),"")</f>
        <v/>
      </c>
      <c r="BH159" s="17" t="str">
        <f>IFERROR(IF('Training Plan'!$A160="","",'Training Plan'!$H160),"")</f>
        <v/>
      </c>
      <c r="BI159" s="17" t="str">
        <f>IF(OR(BA159="",BF159="Complete",AND('Skill Management'!$D$4&lt;&gt;"All Departments",BB159&lt;&gt;'Skill Management'!$D$4)),"",IF(BF159="Blocked",100000,IF(BF159="In Progress",200000,300000))+IF(BE159="",99999,BE159))</f>
        <v/>
      </c>
      <c r="BJ159" s="17" t="str">
        <f>IF(BI159="","",COUNTIFS($BI$4:$BI$203,"&gt;0",$BI$4:$BI$203,"&lt;"&amp;BI159)+COUNTIF($BI$4:BI159,BI159))</f>
        <v/>
      </c>
      <c r="CB159" t="str">
        <f>IF(AND('Competency Event Log'!$B159='Employee Transcript'!$C$4,'Competency Event Log'!$I159&lt;&gt;"Yes"),'Competency Event Log'!$K159,"")</f>
        <v/>
      </c>
      <c r="CC159" t="str">
        <f t="shared" si="40"/>
        <v/>
      </c>
      <c r="CD159" t="str">
        <f>IF(Certifications!$A159='Employee Transcript'!$C$4,159,"")</f>
        <v/>
      </c>
      <c r="CE159" t="str">
        <f>IF(CD159="","",COUNTIF($CD$4:CD159,"&gt;0"))</f>
        <v/>
      </c>
      <c r="CF159" t="str">
        <f>IF(AND('Training Plan'!$A160='Employee Transcript'!$C$4,'Training Plan'!$F160&lt;&gt;"Complete"),160,"")</f>
        <v/>
      </c>
      <c r="CG159" t="str">
        <f>IF(CF159="","",COUNTIF($CF$4:CF159,"&gt;0"))</f>
        <v/>
      </c>
    </row>
    <row r="160" spans="1:85">
      <c r="A160" s="2"/>
      <c r="B160" s="1"/>
      <c r="C160" s="1"/>
      <c r="D160" s="1"/>
      <c r="E160" s="1"/>
      <c r="F160" s="3"/>
      <c r="G160" s="1"/>
      <c r="H160" s="4"/>
      <c r="AF160" s="1" t="str">
        <f>IFERROR(IF(Lists!$B160="","",Lists!$B160),"")</f>
        <v/>
      </c>
      <c r="AG160" s="1" t="str">
        <f>IFERROR(IF(Lists!$B160="","",Lists!$C160),"")</f>
        <v/>
      </c>
      <c r="AH160" s="1" t="str">
        <f>IFERROR(IF(Lists!$B160="","",Lists!$D160),"")</f>
        <v/>
      </c>
      <c r="AI160" s="1" t="str">
        <f>IF(AF160="","",IFERROR(INDEX('Skills Matrix'!$G$6:$DE$205,MATCH(AF160,'Skills Matrix'!$B$6:$B$205,0),MATCH('HR Quick View'!$J$9,'Skills Matrix'!$G$5:$DE$5,0)),""))</f>
        <v/>
      </c>
      <c r="AJ160" s="1" t="str">
        <f t="shared" si="39"/>
        <v/>
      </c>
      <c r="AK160" s="1" t="str">
        <f>IFERROR(IF(Lists!$B160="","",Lists!$E160),"")</f>
        <v/>
      </c>
      <c r="AL160" s="1" t="str">
        <f>IF(AND(OR('HR Quick View'!$L$10="All Shifts",AH160='HR Quick View'!$L$10),OR(AND('HR Quick View'!$I$10="Qualified only",AI160=3),AND('HR Quick View'!$I$10="All trained",AI160&gt;0))),IF('HR Quick View'!$L$10="All Shifts",COUNTIF($AI$4:$AI$203,"&gt;"&amp;AI160)+COUNTIF($AI$4:AI160,AI160),COUNTIFS($AI$4:$AI$203,"&gt;"&amp;AI160,$AH$4:$AH$203,'HR Quick View'!$L$10)+COUNTIFS($AI$4:AI160,AI160,$AH$4:AH160,'HR Quick View'!$L$10)),"")</f>
        <v/>
      </c>
      <c r="BA160" s="17" t="str">
        <f>IFERROR(IF('Training Plan'!$A161="","",'Training Plan'!$A161),"")</f>
        <v/>
      </c>
      <c r="BB160" s="17" t="str">
        <f>IFERROR(IF('Training Plan'!$A161="","",'Training Plan'!$B161),"")</f>
        <v/>
      </c>
      <c r="BC160" s="17" t="str">
        <f>IFERROR(IF('Training Plan'!$A161="","",'Training Plan'!$C161),"")</f>
        <v/>
      </c>
      <c r="BD160" s="17" t="str">
        <f>IFERROR(IF('Training Plan'!$A161="","",'Training Plan'!$D161),"")</f>
        <v/>
      </c>
      <c r="BE160" s="17" t="str">
        <f>IFERROR(IF('Training Plan'!$A161="","",'Training Plan'!$E161),"")</f>
        <v/>
      </c>
      <c r="BF160" s="17" t="str">
        <f>IFERROR(IF('Training Plan'!$A161="","",'Training Plan'!$F161),"")</f>
        <v/>
      </c>
      <c r="BG160" s="17" t="str">
        <f>IFERROR(IF('Training Plan'!$A161="","",'Training Plan'!$G161),"")</f>
        <v/>
      </c>
      <c r="BH160" s="17" t="str">
        <f>IFERROR(IF('Training Plan'!$A161="","",'Training Plan'!$H161),"")</f>
        <v/>
      </c>
      <c r="BI160" s="17" t="str">
        <f>IF(OR(BA160="",BF160="Complete",AND('Skill Management'!$D$4&lt;&gt;"All Departments",BB160&lt;&gt;'Skill Management'!$D$4)),"",IF(BF160="Blocked",100000,IF(BF160="In Progress",200000,300000))+IF(BE160="",99999,BE160))</f>
        <v/>
      </c>
      <c r="BJ160" s="17" t="str">
        <f>IF(BI160="","",COUNTIFS($BI$4:$BI$203,"&gt;0",$BI$4:$BI$203,"&lt;"&amp;BI160)+COUNTIF($BI$4:BI160,BI160))</f>
        <v/>
      </c>
      <c r="CB160" t="str">
        <f>IF(AND('Competency Event Log'!$B160='Employee Transcript'!$C$4,'Competency Event Log'!$I160&lt;&gt;"Yes"),'Competency Event Log'!$K160,"")</f>
        <v/>
      </c>
      <c r="CC160" t="str">
        <f t="shared" si="40"/>
        <v/>
      </c>
      <c r="CD160" t="str">
        <f>IF(Certifications!$A160='Employee Transcript'!$C$4,160,"")</f>
        <v/>
      </c>
      <c r="CE160" t="str">
        <f>IF(CD160="","",COUNTIF($CD$4:CD160,"&gt;0"))</f>
        <v/>
      </c>
      <c r="CF160" t="str">
        <f>IF(AND('Training Plan'!$A161='Employee Transcript'!$C$4,'Training Plan'!$F161&lt;&gt;"Complete"),161,"")</f>
        <v/>
      </c>
      <c r="CG160" t="str">
        <f>IF(CF160="","",COUNTIF($CF$4:CF160,"&gt;0"))</f>
        <v/>
      </c>
    </row>
    <row r="161" spans="1:85">
      <c r="A161" s="2"/>
      <c r="B161" s="1"/>
      <c r="C161" s="1"/>
      <c r="D161" s="1"/>
      <c r="E161" s="1"/>
      <c r="F161" s="3"/>
      <c r="G161" s="1"/>
      <c r="H161" s="4"/>
      <c r="AF161" s="1" t="str">
        <f>IFERROR(IF(Lists!$B161="","",Lists!$B161),"")</f>
        <v/>
      </c>
      <c r="AG161" s="1" t="str">
        <f>IFERROR(IF(Lists!$B161="","",Lists!$C161),"")</f>
        <v/>
      </c>
      <c r="AH161" s="1" t="str">
        <f>IFERROR(IF(Lists!$B161="","",Lists!$D161),"")</f>
        <v/>
      </c>
      <c r="AI161" s="1" t="str">
        <f>IF(AF161="","",IFERROR(INDEX('Skills Matrix'!$G$6:$DE$205,MATCH(AF161,'Skills Matrix'!$B$6:$B$205,0),MATCH('HR Quick View'!$J$9,'Skills Matrix'!$G$5:$DE$5,0)),""))</f>
        <v/>
      </c>
      <c r="AJ161" s="1" t="str">
        <f t="shared" si="39"/>
        <v/>
      </c>
      <c r="AK161" s="1" t="str">
        <f>IFERROR(IF(Lists!$B161="","",Lists!$E161),"")</f>
        <v/>
      </c>
      <c r="AL161" s="1" t="str">
        <f>IF(AND(OR('HR Quick View'!$L$10="All Shifts",AH161='HR Quick View'!$L$10),OR(AND('HR Quick View'!$I$10="Qualified only",AI161=3),AND('HR Quick View'!$I$10="All trained",AI161&gt;0))),IF('HR Quick View'!$L$10="All Shifts",COUNTIF($AI$4:$AI$203,"&gt;"&amp;AI161)+COUNTIF($AI$4:AI161,AI161),COUNTIFS($AI$4:$AI$203,"&gt;"&amp;AI161,$AH$4:$AH$203,'HR Quick View'!$L$10)+COUNTIFS($AI$4:AI161,AI161,$AH$4:AH161,'HR Quick View'!$L$10)),"")</f>
        <v/>
      </c>
      <c r="BA161" s="17" t="str">
        <f>IFERROR(IF('Training Plan'!$A162="","",'Training Plan'!$A162),"")</f>
        <v/>
      </c>
      <c r="BB161" s="17" t="str">
        <f>IFERROR(IF('Training Plan'!$A162="","",'Training Plan'!$B162),"")</f>
        <v/>
      </c>
      <c r="BC161" s="17" t="str">
        <f>IFERROR(IF('Training Plan'!$A162="","",'Training Plan'!$C162),"")</f>
        <v/>
      </c>
      <c r="BD161" s="17" t="str">
        <f>IFERROR(IF('Training Plan'!$A162="","",'Training Plan'!$D162),"")</f>
        <v/>
      </c>
      <c r="BE161" s="17" t="str">
        <f>IFERROR(IF('Training Plan'!$A162="","",'Training Plan'!$E162),"")</f>
        <v/>
      </c>
      <c r="BF161" s="17" t="str">
        <f>IFERROR(IF('Training Plan'!$A162="","",'Training Plan'!$F162),"")</f>
        <v/>
      </c>
      <c r="BG161" s="17" t="str">
        <f>IFERROR(IF('Training Plan'!$A162="","",'Training Plan'!$G162),"")</f>
        <v/>
      </c>
      <c r="BH161" s="17" t="str">
        <f>IFERROR(IF('Training Plan'!$A162="","",'Training Plan'!$H162),"")</f>
        <v/>
      </c>
      <c r="BI161" s="17" t="str">
        <f>IF(OR(BA161="",BF161="Complete",AND('Skill Management'!$D$4&lt;&gt;"All Departments",BB161&lt;&gt;'Skill Management'!$D$4)),"",IF(BF161="Blocked",100000,IF(BF161="In Progress",200000,300000))+IF(BE161="",99999,BE161))</f>
        <v/>
      </c>
      <c r="BJ161" s="17" t="str">
        <f>IF(BI161="","",COUNTIFS($BI$4:$BI$203,"&gt;0",$BI$4:$BI$203,"&lt;"&amp;BI161)+COUNTIF($BI$4:BI161,BI161))</f>
        <v/>
      </c>
      <c r="CB161" t="str">
        <f>IF(AND('Competency Event Log'!$B161='Employee Transcript'!$C$4,'Competency Event Log'!$I161&lt;&gt;"Yes"),'Competency Event Log'!$K161,"")</f>
        <v/>
      </c>
      <c r="CC161" t="str">
        <f t="shared" si="40"/>
        <v/>
      </c>
      <c r="CD161" t="str">
        <f>IF(Certifications!$A161='Employee Transcript'!$C$4,161,"")</f>
        <v/>
      </c>
      <c r="CE161" t="str">
        <f>IF(CD161="","",COUNTIF($CD$4:CD161,"&gt;0"))</f>
        <v/>
      </c>
      <c r="CF161" t="str">
        <f>IF(AND('Training Plan'!$A162='Employee Transcript'!$C$4,'Training Plan'!$F162&lt;&gt;"Complete"),162,"")</f>
        <v/>
      </c>
      <c r="CG161" t="str">
        <f>IF(CF161="","",COUNTIF($CF$4:CF161,"&gt;0"))</f>
        <v/>
      </c>
    </row>
    <row r="162" spans="1:85">
      <c r="A162" s="2"/>
      <c r="B162" s="1"/>
      <c r="C162" s="1"/>
      <c r="D162" s="1"/>
      <c r="E162" s="1"/>
      <c r="F162" s="3"/>
      <c r="G162" s="1"/>
      <c r="H162" s="4"/>
      <c r="AF162" s="1" t="str">
        <f>IFERROR(IF(Lists!$B162="","",Lists!$B162),"")</f>
        <v/>
      </c>
      <c r="AG162" s="1" t="str">
        <f>IFERROR(IF(Lists!$B162="","",Lists!$C162),"")</f>
        <v/>
      </c>
      <c r="AH162" s="1" t="str">
        <f>IFERROR(IF(Lists!$B162="","",Lists!$D162),"")</f>
        <v/>
      </c>
      <c r="AI162" s="1" t="str">
        <f>IF(AF162="","",IFERROR(INDEX('Skills Matrix'!$G$6:$DE$205,MATCH(AF162,'Skills Matrix'!$B$6:$B$205,0),MATCH('HR Quick View'!$J$9,'Skills Matrix'!$G$5:$DE$5,0)),""))</f>
        <v/>
      </c>
      <c r="AJ162" s="1" t="str">
        <f t="shared" si="39"/>
        <v/>
      </c>
      <c r="AK162" s="1" t="str">
        <f>IFERROR(IF(Lists!$B162="","",Lists!$E162),"")</f>
        <v/>
      </c>
      <c r="AL162" s="1" t="str">
        <f>IF(AND(OR('HR Quick View'!$L$10="All Shifts",AH162='HR Quick View'!$L$10),OR(AND('HR Quick View'!$I$10="Qualified only",AI162=3),AND('HR Quick View'!$I$10="All trained",AI162&gt;0))),IF('HR Quick View'!$L$10="All Shifts",COUNTIF($AI$4:$AI$203,"&gt;"&amp;AI162)+COUNTIF($AI$4:AI162,AI162),COUNTIFS($AI$4:$AI$203,"&gt;"&amp;AI162,$AH$4:$AH$203,'HR Quick View'!$L$10)+COUNTIFS($AI$4:AI162,AI162,$AH$4:AH162,'HR Quick View'!$L$10)),"")</f>
        <v/>
      </c>
      <c r="BA162" s="17" t="str">
        <f>IFERROR(IF('Training Plan'!$A163="","",'Training Plan'!$A163),"")</f>
        <v/>
      </c>
      <c r="BB162" s="17" t="str">
        <f>IFERROR(IF('Training Plan'!$A163="","",'Training Plan'!$B163),"")</f>
        <v/>
      </c>
      <c r="BC162" s="17" t="str">
        <f>IFERROR(IF('Training Plan'!$A163="","",'Training Plan'!$C163),"")</f>
        <v/>
      </c>
      <c r="BD162" s="17" t="str">
        <f>IFERROR(IF('Training Plan'!$A163="","",'Training Plan'!$D163),"")</f>
        <v/>
      </c>
      <c r="BE162" s="17" t="str">
        <f>IFERROR(IF('Training Plan'!$A163="","",'Training Plan'!$E163),"")</f>
        <v/>
      </c>
      <c r="BF162" s="17" t="str">
        <f>IFERROR(IF('Training Plan'!$A163="","",'Training Plan'!$F163),"")</f>
        <v/>
      </c>
      <c r="BG162" s="17" t="str">
        <f>IFERROR(IF('Training Plan'!$A163="","",'Training Plan'!$G163),"")</f>
        <v/>
      </c>
      <c r="BH162" s="17" t="str">
        <f>IFERROR(IF('Training Plan'!$A163="","",'Training Plan'!$H163),"")</f>
        <v/>
      </c>
      <c r="BI162" s="17" t="str">
        <f>IF(OR(BA162="",BF162="Complete",AND('Skill Management'!$D$4&lt;&gt;"All Departments",BB162&lt;&gt;'Skill Management'!$D$4)),"",IF(BF162="Blocked",100000,IF(BF162="In Progress",200000,300000))+IF(BE162="",99999,BE162))</f>
        <v/>
      </c>
      <c r="BJ162" s="17" t="str">
        <f>IF(BI162="","",COUNTIFS($BI$4:$BI$203,"&gt;0",$BI$4:$BI$203,"&lt;"&amp;BI162)+COUNTIF($BI$4:BI162,BI162))</f>
        <v/>
      </c>
      <c r="CB162" t="str">
        <f>IF(AND('Competency Event Log'!$B162='Employee Transcript'!$C$4,'Competency Event Log'!$I162&lt;&gt;"Yes"),'Competency Event Log'!$K162,"")</f>
        <v/>
      </c>
      <c r="CC162" t="str">
        <f t="shared" si="40"/>
        <v/>
      </c>
      <c r="CD162" t="str">
        <f>IF(Certifications!$A162='Employee Transcript'!$C$4,162,"")</f>
        <v/>
      </c>
      <c r="CE162" t="str">
        <f>IF(CD162="","",COUNTIF($CD$4:CD162,"&gt;0"))</f>
        <v/>
      </c>
      <c r="CF162" t="str">
        <f>IF(AND('Training Plan'!$A163='Employee Transcript'!$C$4,'Training Plan'!$F163&lt;&gt;"Complete"),163,"")</f>
        <v/>
      </c>
      <c r="CG162" t="str">
        <f>IF(CF162="","",COUNTIF($CF$4:CF162,"&gt;0"))</f>
        <v/>
      </c>
    </row>
    <row r="163" spans="1:85">
      <c r="A163" s="2"/>
      <c r="B163" s="1"/>
      <c r="C163" s="1"/>
      <c r="D163" s="1"/>
      <c r="E163" s="1"/>
      <c r="F163" s="3"/>
      <c r="G163" s="1"/>
      <c r="H163" s="4"/>
      <c r="AF163" s="1" t="str">
        <f>IFERROR(IF(Lists!$B163="","",Lists!$B163),"")</f>
        <v/>
      </c>
      <c r="AG163" s="1" t="str">
        <f>IFERROR(IF(Lists!$B163="","",Lists!$C163),"")</f>
        <v/>
      </c>
      <c r="AH163" s="1" t="str">
        <f>IFERROR(IF(Lists!$B163="","",Lists!$D163),"")</f>
        <v/>
      </c>
      <c r="AI163" s="1" t="str">
        <f>IF(AF163="","",IFERROR(INDEX('Skills Matrix'!$G$6:$DE$205,MATCH(AF163,'Skills Matrix'!$B$6:$B$205,0),MATCH('HR Quick View'!$J$9,'Skills Matrix'!$G$5:$DE$5,0)),""))</f>
        <v/>
      </c>
      <c r="AJ163" s="1" t="str">
        <f t="shared" si="39"/>
        <v/>
      </c>
      <c r="AK163" s="1" t="str">
        <f>IFERROR(IF(Lists!$B163="","",Lists!$E163),"")</f>
        <v/>
      </c>
      <c r="AL163" s="1" t="str">
        <f>IF(AND(OR('HR Quick View'!$L$10="All Shifts",AH163='HR Quick View'!$L$10),OR(AND('HR Quick View'!$I$10="Qualified only",AI163=3),AND('HR Quick View'!$I$10="All trained",AI163&gt;0))),IF('HR Quick View'!$L$10="All Shifts",COUNTIF($AI$4:$AI$203,"&gt;"&amp;AI163)+COUNTIF($AI$4:AI163,AI163),COUNTIFS($AI$4:$AI$203,"&gt;"&amp;AI163,$AH$4:$AH$203,'HR Quick View'!$L$10)+COUNTIFS($AI$4:AI163,AI163,$AH$4:AH163,'HR Quick View'!$L$10)),"")</f>
        <v/>
      </c>
      <c r="BA163" s="17" t="str">
        <f>IFERROR(IF('Training Plan'!$A164="","",'Training Plan'!$A164),"")</f>
        <v/>
      </c>
      <c r="BB163" s="17" t="str">
        <f>IFERROR(IF('Training Plan'!$A164="","",'Training Plan'!$B164),"")</f>
        <v/>
      </c>
      <c r="BC163" s="17" t="str">
        <f>IFERROR(IF('Training Plan'!$A164="","",'Training Plan'!$C164),"")</f>
        <v/>
      </c>
      <c r="BD163" s="17" t="str">
        <f>IFERROR(IF('Training Plan'!$A164="","",'Training Plan'!$D164),"")</f>
        <v/>
      </c>
      <c r="BE163" s="17" t="str">
        <f>IFERROR(IF('Training Plan'!$A164="","",'Training Plan'!$E164),"")</f>
        <v/>
      </c>
      <c r="BF163" s="17" t="str">
        <f>IFERROR(IF('Training Plan'!$A164="","",'Training Plan'!$F164),"")</f>
        <v/>
      </c>
      <c r="BG163" s="17" t="str">
        <f>IFERROR(IF('Training Plan'!$A164="","",'Training Plan'!$G164),"")</f>
        <v/>
      </c>
      <c r="BH163" s="17" t="str">
        <f>IFERROR(IF('Training Plan'!$A164="","",'Training Plan'!$H164),"")</f>
        <v/>
      </c>
      <c r="BI163" s="17" t="str">
        <f>IF(OR(BA163="",BF163="Complete",AND('Skill Management'!$D$4&lt;&gt;"All Departments",BB163&lt;&gt;'Skill Management'!$D$4)),"",IF(BF163="Blocked",100000,IF(BF163="In Progress",200000,300000))+IF(BE163="",99999,BE163))</f>
        <v/>
      </c>
      <c r="BJ163" s="17" t="str">
        <f>IF(BI163="","",COUNTIFS($BI$4:$BI$203,"&gt;0",$BI$4:$BI$203,"&lt;"&amp;BI163)+COUNTIF($BI$4:BI163,BI163))</f>
        <v/>
      </c>
      <c r="CB163" t="str">
        <f>IF(AND('Competency Event Log'!$B163='Employee Transcript'!$C$4,'Competency Event Log'!$I163&lt;&gt;"Yes"),'Competency Event Log'!$K163,"")</f>
        <v/>
      </c>
      <c r="CC163" t="str">
        <f t="shared" si="40"/>
        <v/>
      </c>
      <c r="CD163" t="str">
        <f>IF(Certifications!$A163='Employee Transcript'!$C$4,163,"")</f>
        <v/>
      </c>
      <c r="CE163" t="str">
        <f>IF(CD163="","",COUNTIF($CD$4:CD163,"&gt;0"))</f>
        <v/>
      </c>
      <c r="CF163" t="str">
        <f>IF(AND('Training Plan'!$A164='Employee Transcript'!$C$4,'Training Plan'!$F164&lt;&gt;"Complete"),164,"")</f>
        <v/>
      </c>
      <c r="CG163" t="str">
        <f>IF(CF163="","",COUNTIF($CF$4:CF163,"&gt;0"))</f>
        <v/>
      </c>
    </row>
    <row r="164" spans="1:85">
      <c r="A164" s="2"/>
      <c r="B164" s="1"/>
      <c r="C164" s="1"/>
      <c r="D164" s="1"/>
      <c r="E164" s="1"/>
      <c r="F164" s="3"/>
      <c r="G164" s="1"/>
      <c r="H164" s="4"/>
      <c r="AF164" s="1" t="str">
        <f>IFERROR(IF(Lists!$B164="","",Lists!$B164),"")</f>
        <v/>
      </c>
      <c r="AG164" s="1" t="str">
        <f>IFERROR(IF(Lists!$B164="","",Lists!$C164),"")</f>
        <v/>
      </c>
      <c r="AH164" s="1" t="str">
        <f>IFERROR(IF(Lists!$B164="","",Lists!$D164),"")</f>
        <v/>
      </c>
      <c r="AI164" s="1" t="str">
        <f>IF(AF164="","",IFERROR(INDEX('Skills Matrix'!$G$6:$DE$205,MATCH(AF164,'Skills Matrix'!$B$6:$B$205,0),MATCH('HR Quick View'!$J$9,'Skills Matrix'!$G$5:$DE$5,0)),""))</f>
        <v/>
      </c>
      <c r="AJ164" s="1" t="str">
        <f t="shared" ref="AJ164:AJ195" si="41">IF(AI164=3,"Qualified",IF(AI164=2,"Developing",IF(AI164=1,"Needs Training","")))</f>
        <v/>
      </c>
      <c r="AK164" s="1" t="str">
        <f>IFERROR(IF(Lists!$B164="","",Lists!$E164),"")</f>
        <v/>
      </c>
      <c r="AL164" s="1" t="str">
        <f>IF(AND(OR('HR Quick View'!$L$10="All Shifts",AH164='HR Quick View'!$L$10),OR(AND('HR Quick View'!$I$10="Qualified only",AI164=3),AND('HR Quick View'!$I$10="All trained",AI164&gt;0))),IF('HR Quick View'!$L$10="All Shifts",COUNTIF($AI$4:$AI$203,"&gt;"&amp;AI164)+COUNTIF($AI$4:AI164,AI164),COUNTIFS($AI$4:$AI$203,"&gt;"&amp;AI164,$AH$4:$AH$203,'HR Quick View'!$L$10)+COUNTIFS($AI$4:AI164,AI164,$AH$4:AH164,'HR Quick View'!$L$10)),"")</f>
        <v/>
      </c>
      <c r="BA164" s="17" t="str">
        <f>IFERROR(IF('Training Plan'!$A165="","",'Training Plan'!$A165),"")</f>
        <v/>
      </c>
      <c r="BB164" s="17" t="str">
        <f>IFERROR(IF('Training Plan'!$A165="","",'Training Plan'!$B165),"")</f>
        <v/>
      </c>
      <c r="BC164" s="17" t="str">
        <f>IFERROR(IF('Training Plan'!$A165="","",'Training Plan'!$C165),"")</f>
        <v/>
      </c>
      <c r="BD164" s="17" t="str">
        <f>IFERROR(IF('Training Plan'!$A165="","",'Training Plan'!$D165),"")</f>
        <v/>
      </c>
      <c r="BE164" s="17" t="str">
        <f>IFERROR(IF('Training Plan'!$A165="","",'Training Plan'!$E165),"")</f>
        <v/>
      </c>
      <c r="BF164" s="17" t="str">
        <f>IFERROR(IF('Training Plan'!$A165="","",'Training Plan'!$F165),"")</f>
        <v/>
      </c>
      <c r="BG164" s="17" t="str">
        <f>IFERROR(IF('Training Plan'!$A165="","",'Training Plan'!$G165),"")</f>
        <v/>
      </c>
      <c r="BH164" s="17" t="str">
        <f>IFERROR(IF('Training Plan'!$A165="","",'Training Plan'!$H165),"")</f>
        <v/>
      </c>
      <c r="BI164" s="17" t="str">
        <f>IF(OR(BA164="",BF164="Complete",AND('Skill Management'!$D$4&lt;&gt;"All Departments",BB164&lt;&gt;'Skill Management'!$D$4)),"",IF(BF164="Blocked",100000,IF(BF164="In Progress",200000,300000))+IF(BE164="",99999,BE164))</f>
        <v/>
      </c>
      <c r="BJ164" s="17" t="str">
        <f>IF(BI164="","",COUNTIFS($BI$4:$BI$203,"&gt;0",$BI$4:$BI$203,"&lt;"&amp;BI164)+COUNTIF($BI$4:BI164,BI164))</f>
        <v/>
      </c>
      <c r="CB164" t="str">
        <f>IF(AND('Competency Event Log'!$B164='Employee Transcript'!$C$4,'Competency Event Log'!$I164&lt;&gt;"Yes"),'Competency Event Log'!$K164,"")</f>
        <v/>
      </c>
      <c r="CC164" t="str">
        <f t="shared" si="40"/>
        <v/>
      </c>
      <c r="CD164" t="str">
        <f>IF(Certifications!$A164='Employee Transcript'!$C$4,164,"")</f>
        <v/>
      </c>
      <c r="CE164" t="str">
        <f>IF(CD164="","",COUNTIF($CD$4:CD164,"&gt;0"))</f>
        <v/>
      </c>
      <c r="CF164" t="str">
        <f>IF(AND('Training Plan'!$A165='Employee Transcript'!$C$4,'Training Plan'!$F165&lt;&gt;"Complete"),165,"")</f>
        <v/>
      </c>
      <c r="CG164" t="str">
        <f>IF(CF164="","",COUNTIF($CF$4:CF164,"&gt;0"))</f>
        <v/>
      </c>
    </row>
    <row r="165" spans="1:85">
      <c r="A165" s="2"/>
      <c r="B165" s="1"/>
      <c r="C165" s="1"/>
      <c r="D165" s="1"/>
      <c r="E165" s="1"/>
      <c r="F165" s="3"/>
      <c r="G165" s="1"/>
      <c r="H165" s="4"/>
      <c r="AF165" s="1" t="str">
        <f>IFERROR(IF(Lists!$B165="","",Lists!$B165),"")</f>
        <v/>
      </c>
      <c r="AG165" s="1" t="str">
        <f>IFERROR(IF(Lists!$B165="","",Lists!$C165),"")</f>
        <v/>
      </c>
      <c r="AH165" s="1" t="str">
        <f>IFERROR(IF(Lists!$B165="","",Lists!$D165),"")</f>
        <v/>
      </c>
      <c r="AI165" s="1" t="str">
        <f>IF(AF165="","",IFERROR(INDEX('Skills Matrix'!$G$6:$DE$205,MATCH(AF165,'Skills Matrix'!$B$6:$B$205,0),MATCH('HR Quick View'!$J$9,'Skills Matrix'!$G$5:$DE$5,0)),""))</f>
        <v/>
      </c>
      <c r="AJ165" s="1" t="str">
        <f t="shared" si="41"/>
        <v/>
      </c>
      <c r="AK165" s="1" t="str">
        <f>IFERROR(IF(Lists!$B165="","",Lists!$E165),"")</f>
        <v/>
      </c>
      <c r="AL165" s="1" t="str">
        <f>IF(AND(OR('HR Quick View'!$L$10="All Shifts",AH165='HR Quick View'!$L$10),OR(AND('HR Quick View'!$I$10="Qualified only",AI165=3),AND('HR Quick View'!$I$10="All trained",AI165&gt;0))),IF('HR Quick View'!$L$10="All Shifts",COUNTIF($AI$4:$AI$203,"&gt;"&amp;AI165)+COUNTIF($AI$4:AI165,AI165),COUNTIFS($AI$4:$AI$203,"&gt;"&amp;AI165,$AH$4:$AH$203,'HR Quick View'!$L$10)+COUNTIFS($AI$4:AI165,AI165,$AH$4:AH165,'HR Quick View'!$L$10)),"")</f>
        <v/>
      </c>
      <c r="BA165" s="17" t="str">
        <f>IFERROR(IF('Training Plan'!$A166="","",'Training Plan'!$A166),"")</f>
        <v/>
      </c>
      <c r="BB165" s="17" t="str">
        <f>IFERROR(IF('Training Plan'!$A166="","",'Training Plan'!$B166),"")</f>
        <v/>
      </c>
      <c r="BC165" s="17" t="str">
        <f>IFERROR(IF('Training Plan'!$A166="","",'Training Plan'!$C166),"")</f>
        <v/>
      </c>
      <c r="BD165" s="17" t="str">
        <f>IFERROR(IF('Training Plan'!$A166="","",'Training Plan'!$D166),"")</f>
        <v/>
      </c>
      <c r="BE165" s="17" t="str">
        <f>IFERROR(IF('Training Plan'!$A166="","",'Training Plan'!$E166),"")</f>
        <v/>
      </c>
      <c r="BF165" s="17" t="str">
        <f>IFERROR(IF('Training Plan'!$A166="","",'Training Plan'!$F166),"")</f>
        <v/>
      </c>
      <c r="BG165" s="17" t="str">
        <f>IFERROR(IF('Training Plan'!$A166="","",'Training Plan'!$G166),"")</f>
        <v/>
      </c>
      <c r="BH165" s="17" t="str">
        <f>IFERROR(IF('Training Plan'!$A166="","",'Training Plan'!$H166),"")</f>
        <v/>
      </c>
      <c r="BI165" s="17" t="str">
        <f>IF(OR(BA165="",BF165="Complete",AND('Skill Management'!$D$4&lt;&gt;"All Departments",BB165&lt;&gt;'Skill Management'!$D$4)),"",IF(BF165="Blocked",100000,IF(BF165="In Progress",200000,300000))+IF(BE165="",99999,BE165))</f>
        <v/>
      </c>
      <c r="BJ165" s="17" t="str">
        <f>IF(BI165="","",COUNTIFS($BI$4:$BI$203,"&gt;0",$BI$4:$BI$203,"&lt;"&amp;BI165)+COUNTIF($BI$4:BI165,BI165))</f>
        <v/>
      </c>
      <c r="CB165" t="str">
        <f>IF(AND('Competency Event Log'!$B165='Employee Transcript'!$C$4,'Competency Event Log'!$I165&lt;&gt;"Yes"),'Competency Event Log'!$K165,"")</f>
        <v/>
      </c>
      <c r="CC165" t="str">
        <f t="shared" si="40"/>
        <v/>
      </c>
      <c r="CD165" t="str">
        <f>IF(Certifications!$A165='Employee Transcript'!$C$4,165,"")</f>
        <v/>
      </c>
      <c r="CE165" t="str">
        <f>IF(CD165="","",COUNTIF($CD$4:CD165,"&gt;0"))</f>
        <v/>
      </c>
      <c r="CF165" t="str">
        <f>IF(AND('Training Plan'!$A166='Employee Transcript'!$C$4,'Training Plan'!$F166&lt;&gt;"Complete"),166,"")</f>
        <v/>
      </c>
      <c r="CG165" t="str">
        <f>IF(CF165="","",COUNTIF($CF$4:CF165,"&gt;0"))</f>
        <v/>
      </c>
    </row>
    <row r="166" spans="1:85">
      <c r="A166" s="2"/>
      <c r="B166" s="1"/>
      <c r="C166" s="1"/>
      <c r="D166" s="1"/>
      <c r="E166" s="1"/>
      <c r="F166" s="3"/>
      <c r="G166" s="1"/>
      <c r="H166" s="4"/>
      <c r="AF166" s="1" t="str">
        <f>IFERROR(IF(Lists!$B166="","",Lists!$B166),"")</f>
        <v/>
      </c>
      <c r="AG166" s="1" t="str">
        <f>IFERROR(IF(Lists!$B166="","",Lists!$C166),"")</f>
        <v/>
      </c>
      <c r="AH166" s="1" t="str">
        <f>IFERROR(IF(Lists!$B166="","",Lists!$D166),"")</f>
        <v/>
      </c>
      <c r="AI166" s="1" t="str">
        <f>IF(AF166="","",IFERROR(INDEX('Skills Matrix'!$G$6:$DE$205,MATCH(AF166,'Skills Matrix'!$B$6:$B$205,0),MATCH('HR Quick View'!$J$9,'Skills Matrix'!$G$5:$DE$5,0)),""))</f>
        <v/>
      </c>
      <c r="AJ166" s="1" t="str">
        <f t="shared" si="41"/>
        <v/>
      </c>
      <c r="AK166" s="1" t="str">
        <f>IFERROR(IF(Lists!$B166="","",Lists!$E166),"")</f>
        <v/>
      </c>
      <c r="AL166" s="1" t="str">
        <f>IF(AND(OR('HR Quick View'!$L$10="All Shifts",AH166='HR Quick View'!$L$10),OR(AND('HR Quick View'!$I$10="Qualified only",AI166=3),AND('HR Quick View'!$I$10="All trained",AI166&gt;0))),IF('HR Quick View'!$L$10="All Shifts",COUNTIF($AI$4:$AI$203,"&gt;"&amp;AI166)+COUNTIF($AI$4:AI166,AI166),COUNTIFS($AI$4:$AI$203,"&gt;"&amp;AI166,$AH$4:$AH$203,'HR Quick View'!$L$10)+COUNTIFS($AI$4:AI166,AI166,$AH$4:AH166,'HR Quick View'!$L$10)),"")</f>
        <v/>
      </c>
      <c r="BA166" s="17" t="str">
        <f>IFERROR(IF('Training Plan'!$A167="","",'Training Plan'!$A167),"")</f>
        <v/>
      </c>
      <c r="BB166" s="17" t="str">
        <f>IFERROR(IF('Training Plan'!$A167="","",'Training Plan'!$B167),"")</f>
        <v/>
      </c>
      <c r="BC166" s="17" t="str">
        <f>IFERROR(IF('Training Plan'!$A167="","",'Training Plan'!$C167),"")</f>
        <v/>
      </c>
      <c r="BD166" s="17" t="str">
        <f>IFERROR(IF('Training Plan'!$A167="","",'Training Plan'!$D167),"")</f>
        <v/>
      </c>
      <c r="BE166" s="17" t="str">
        <f>IFERROR(IF('Training Plan'!$A167="","",'Training Plan'!$E167),"")</f>
        <v/>
      </c>
      <c r="BF166" s="17" t="str">
        <f>IFERROR(IF('Training Plan'!$A167="","",'Training Plan'!$F167),"")</f>
        <v/>
      </c>
      <c r="BG166" s="17" t="str">
        <f>IFERROR(IF('Training Plan'!$A167="","",'Training Plan'!$G167),"")</f>
        <v/>
      </c>
      <c r="BH166" s="17" t="str">
        <f>IFERROR(IF('Training Plan'!$A167="","",'Training Plan'!$H167),"")</f>
        <v/>
      </c>
      <c r="BI166" s="17" t="str">
        <f>IF(OR(BA166="",BF166="Complete",AND('Skill Management'!$D$4&lt;&gt;"All Departments",BB166&lt;&gt;'Skill Management'!$D$4)),"",IF(BF166="Blocked",100000,IF(BF166="In Progress",200000,300000))+IF(BE166="",99999,BE166))</f>
        <v/>
      </c>
      <c r="BJ166" s="17" t="str">
        <f>IF(BI166="","",COUNTIFS($BI$4:$BI$203,"&gt;0",$BI$4:$BI$203,"&lt;"&amp;BI166)+COUNTIF($BI$4:BI166,BI166))</f>
        <v/>
      </c>
      <c r="CB166" t="str">
        <f>IF(AND('Competency Event Log'!$B166='Employee Transcript'!$C$4,'Competency Event Log'!$I166&lt;&gt;"Yes"),'Competency Event Log'!$K166,"")</f>
        <v/>
      </c>
      <c r="CC166" t="str">
        <f t="shared" si="40"/>
        <v/>
      </c>
      <c r="CD166" t="str">
        <f>IF(Certifications!$A166='Employee Transcript'!$C$4,166,"")</f>
        <v/>
      </c>
      <c r="CE166" t="str">
        <f>IF(CD166="","",COUNTIF($CD$4:CD166,"&gt;0"))</f>
        <v/>
      </c>
      <c r="CF166" t="str">
        <f>IF(AND('Training Plan'!$A167='Employee Transcript'!$C$4,'Training Plan'!$F167&lt;&gt;"Complete"),167,"")</f>
        <v/>
      </c>
      <c r="CG166" t="str">
        <f>IF(CF166="","",COUNTIF($CF$4:CF166,"&gt;0"))</f>
        <v/>
      </c>
    </row>
    <row r="167" spans="1:85">
      <c r="A167" s="2"/>
      <c r="B167" s="1"/>
      <c r="C167" s="1"/>
      <c r="D167" s="1"/>
      <c r="E167" s="1"/>
      <c r="F167" s="3"/>
      <c r="G167" s="1"/>
      <c r="H167" s="4"/>
      <c r="AF167" s="1" t="str">
        <f>IFERROR(IF(Lists!$B167="","",Lists!$B167),"")</f>
        <v/>
      </c>
      <c r="AG167" s="1" t="str">
        <f>IFERROR(IF(Lists!$B167="","",Lists!$C167),"")</f>
        <v/>
      </c>
      <c r="AH167" s="1" t="str">
        <f>IFERROR(IF(Lists!$B167="","",Lists!$D167),"")</f>
        <v/>
      </c>
      <c r="AI167" s="1" t="str">
        <f>IF(AF167="","",IFERROR(INDEX('Skills Matrix'!$G$6:$DE$205,MATCH(AF167,'Skills Matrix'!$B$6:$B$205,0),MATCH('HR Quick View'!$J$9,'Skills Matrix'!$G$5:$DE$5,0)),""))</f>
        <v/>
      </c>
      <c r="AJ167" s="1" t="str">
        <f t="shared" si="41"/>
        <v/>
      </c>
      <c r="AK167" s="1" t="str">
        <f>IFERROR(IF(Lists!$B167="","",Lists!$E167),"")</f>
        <v/>
      </c>
      <c r="AL167" s="1" t="str">
        <f>IF(AND(OR('HR Quick View'!$L$10="All Shifts",AH167='HR Quick View'!$L$10),OR(AND('HR Quick View'!$I$10="Qualified only",AI167=3),AND('HR Quick View'!$I$10="All trained",AI167&gt;0))),IF('HR Quick View'!$L$10="All Shifts",COUNTIF($AI$4:$AI$203,"&gt;"&amp;AI167)+COUNTIF($AI$4:AI167,AI167),COUNTIFS($AI$4:$AI$203,"&gt;"&amp;AI167,$AH$4:$AH$203,'HR Quick View'!$L$10)+COUNTIFS($AI$4:AI167,AI167,$AH$4:AH167,'HR Quick View'!$L$10)),"")</f>
        <v/>
      </c>
      <c r="BA167" s="17" t="str">
        <f>IFERROR(IF('Training Plan'!$A168="","",'Training Plan'!$A168),"")</f>
        <v/>
      </c>
      <c r="BB167" s="17" t="str">
        <f>IFERROR(IF('Training Plan'!$A168="","",'Training Plan'!$B168),"")</f>
        <v/>
      </c>
      <c r="BC167" s="17" t="str">
        <f>IFERROR(IF('Training Plan'!$A168="","",'Training Plan'!$C168),"")</f>
        <v/>
      </c>
      <c r="BD167" s="17" t="str">
        <f>IFERROR(IF('Training Plan'!$A168="","",'Training Plan'!$D168),"")</f>
        <v/>
      </c>
      <c r="BE167" s="17" t="str">
        <f>IFERROR(IF('Training Plan'!$A168="","",'Training Plan'!$E168),"")</f>
        <v/>
      </c>
      <c r="BF167" s="17" t="str">
        <f>IFERROR(IF('Training Plan'!$A168="","",'Training Plan'!$F168),"")</f>
        <v/>
      </c>
      <c r="BG167" s="17" t="str">
        <f>IFERROR(IF('Training Plan'!$A168="","",'Training Plan'!$G168),"")</f>
        <v/>
      </c>
      <c r="BH167" s="17" t="str">
        <f>IFERROR(IF('Training Plan'!$A168="","",'Training Plan'!$H168),"")</f>
        <v/>
      </c>
      <c r="BI167" s="17" t="str">
        <f>IF(OR(BA167="",BF167="Complete",AND('Skill Management'!$D$4&lt;&gt;"All Departments",BB167&lt;&gt;'Skill Management'!$D$4)),"",IF(BF167="Blocked",100000,IF(BF167="In Progress",200000,300000))+IF(BE167="",99999,BE167))</f>
        <v/>
      </c>
      <c r="BJ167" s="17" t="str">
        <f>IF(BI167="","",COUNTIFS($BI$4:$BI$203,"&gt;0",$BI$4:$BI$203,"&lt;"&amp;BI167)+COUNTIF($BI$4:BI167,BI167))</f>
        <v/>
      </c>
      <c r="CB167" t="str">
        <f>IF(AND('Competency Event Log'!$B167='Employee Transcript'!$C$4,'Competency Event Log'!$I167&lt;&gt;"Yes"),'Competency Event Log'!$K167,"")</f>
        <v/>
      </c>
      <c r="CC167" t="str">
        <f t="shared" si="40"/>
        <v/>
      </c>
      <c r="CD167" t="str">
        <f>IF(Certifications!$A167='Employee Transcript'!$C$4,167,"")</f>
        <v/>
      </c>
      <c r="CE167" t="str">
        <f>IF(CD167="","",COUNTIF($CD$4:CD167,"&gt;0"))</f>
        <v/>
      </c>
      <c r="CF167" t="str">
        <f>IF(AND('Training Plan'!$A168='Employee Transcript'!$C$4,'Training Plan'!$F168&lt;&gt;"Complete"),168,"")</f>
        <v/>
      </c>
      <c r="CG167" t="str">
        <f>IF(CF167="","",COUNTIF($CF$4:CF167,"&gt;0"))</f>
        <v/>
      </c>
    </row>
    <row r="168" spans="1:85">
      <c r="A168" s="2"/>
      <c r="B168" s="1"/>
      <c r="C168" s="1"/>
      <c r="D168" s="1"/>
      <c r="E168" s="1"/>
      <c r="F168" s="3"/>
      <c r="G168" s="1"/>
      <c r="H168" s="4"/>
      <c r="AF168" s="1" t="str">
        <f>IFERROR(IF(Lists!$B168="","",Lists!$B168),"")</f>
        <v/>
      </c>
      <c r="AG168" s="1" t="str">
        <f>IFERROR(IF(Lists!$B168="","",Lists!$C168),"")</f>
        <v/>
      </c>
      <c r="AH168" s="1" t="str">
        <f>IFERROR(IF(Lists!$B168="","",Lists!$D168),"")</f>
        <v/>
      </c>
      <c r="AI168" s="1" t="str">
        <f>IF(AF168="","",IFERROR(INDEX('Skills Matrix'!$G$6:$DE$205,MATCH(AF168,'Skills Matrix'!$B$6:$B$205,0),MATCH('HR Quick View'!$J$9,'Skills Matrix'!$G$5:$DE$5,0)),""))</f>
        <v/>
      </c>
      <c r="AJ168" s="1" t="str">
        <f t="shared" si="41"/>
        <v/>
      </c>
      <c r="AK168" s="1" t="str">
        <f>IFERROR(IF(Lists!$B168="","",Lists!$E168),"")</f>
        <v/>
      </c>
      <c r="AL168" s="1" t="str">
        <f>IF(AND(OR('HR Quick View'!$L$10="All Shifts",AH168='HR Quick View'!$L$10),OR(AND('HR Quick View'!$I$10="Qualified only",AI168=3),AND('HR Quick View'!$I$10="All trained",AI168&gt;0))),IF('HR Quick View'!$L$10="All Shifts",COUNTIF($AI$4:$AI$203,"&gt;"&amp;AI168)+COUNTIF($AI$4:AI168,AI168),COUNTIFS($AI$4:$AI$203,"&gt;"&amp;AI168,$AH$4:$AH$203,'HR Quick View'!$L$10)+COUNTIFS($AI$4:AI168,AI168,$AH$4:AH168,'HR Quick View'!$L$10)),"")</f>
        <v/>
      </c>
      <c r="BA168" s="17" t="str">
        <f>IFERROR(IF('Training Plan'!$A169="","",'Training Plan'!$A169),"")</f>
        <v/>
      </c>
      <c r="BB168" s="17" t="str">
        <f>IFERROR(IF('Training Plan'!$A169="","",'Training Plan'!$B169),"")</f>
        <v/>
      </c>
      <c r="BC168" s="17" t="str">
        <f>IFERROR(IF('Training Plan'!$A169="","",'Training Plan'!$C169),"")</f>
        <v/>
      </c>
      <c r="BD168" s="17" t="str">
        <f>IFERROR(IF('Training Plan'!$A169="","",'Training Plan'!$D169),"")</f>
        <v/>
      </c>
      <c r="BE168" s="17" t="str">
        <f>IFERROR(IF('Training Plan'!$A169="","",'Training Plan'!$E169),"")</f>
        <v/>
      </c>
      <c r="BF168" s="17" t="str">
        <f>IFERROR(IF('Training Plan'!$A169="","",'Training Plan'!$F169),"")</f>
        <v/>
      </c>
      <c r="BG168" s="17" t="str">
        <f>IFERROR(IF('Training Plan'!$A169="","",'Training Plan'!$G169),"")</f>
        <v/>
      </c>
      <c r="BH168" s="17" t="str">
        <f>IFERROR(IF('Training Plan'!$A169="","",'Training Plan'!$H169),"")</f>
        <v/>
      </c>
      <c r="BI168" s="17" t="str">
        <f>IF(OR(BA168="",BF168="Complete",AND('Skill Management'!$D$4&lt;&gt;"All Departments",BB168&lt;&gt;'Skill Management'!$D$4)),"",IF(BF168="Blocked",100000,IF(BF168="In Progress",200000,300000))+IF(BE168="",99999,BE168))</f>
        <v/>
      </c>
      <c r="BJ168" s="17" t="str">
        <f>IF(BI168="","",COUNTIFS($BI$4:$BI$203,"&gt;0",$BI$4:$BI$203,"&lt;"&amp;BI168)+COUNTIF($BI$4:BI168,BI168))</f>
        <v/>
      </c>
      <c r="CB168" t="str">
        <f>IF(AND('Competency Event Log'!$B168='Employee Transcript'!$C$4,'Competency Event Log'!$I168&lt;&gt;"Yes"),'Competency Event Log'!$K168,"")</f>
        <v/>
      </c>
      <c r="CC168" t="str">
        <f t="shared" si="40"/>
        <v/>
      </c>
      <c r="CD168" t="str">
        <f>IF(Certifications!$A168='Employee Transcript'!$C$4,168,"")</f>
        <v/>
      </c>
      <c r="CE168" t="str">
        <f>IF(CD168="","",COUNTIF($CD$4:CD168,"&gt;0"))</f>
        <v/>
      </c>
      <c r="CF168" t="str">
        <f>IF(AND('Training Plan'!$A169='Employee Transcript'!$C$4,'Training Plan'!$F169&lt;&gt;"Complete"),169,"")</f>
        <v/>
      </c>
      <c r="CG168" t="str">
        <f>IF(CF168="","",COUNTIF($CF$4:CF168,"&gt;0"))</f>
        <v/>
      </c>
    </row>
    <row r="169" spans="1:85">
      <c r="A169" s="2"/>
      <c r="B169" s="1"/>
      <c r="C169" s="1"/>
      <c r="D169" s="1"/>
      <c r="E169" s="1"/>
      <c r="F169" s="3"/>
      <c r="G169" s="1"/>
      <c r="H169" s="4"/>
      <c r="AF169" s="1" t="str">
        <f>IFERROR(IF(Lists!$B169="","",Lists!$B169),"")</f>
        <v/>
      </c>
      <c r="AG169" s="1" t="str">
        <f>IFERROR(IF(Lists!$B169="","",Lists!$C169),"")</f>
        <v/>
      </c>
      <c r="AH169" s="1" t="str">
        <f>IFERROR(IF(Lists!$B169="","",Lists!$D169),"")</f>
        <v/>
      </c>
      <c r="AI169" s="1" t="str">
        <f>IF(AF169="","",IFERROR(INDEX('Skills Matrix'!$G$6:$DE$205,MATCH(AF169,'Skills Matrix'!$B$6:$B$205,0),MATCH('HR Quick View'!$J$9,'Skills Matrix'!$G$5:$DE$5,0)),""))</f>
        <v/>
      </c>
      <c r="AJ169" s="1" t="str">
        <f t="shared" si="41"/>
        <v/>
      </c>
      <c r="AK169" s="1" t="str">
        <f>IFERROR(IF(Lists!$B169="","",Lists!$E169),"")</f>
        <v/>
      </c>
      <c r="AL169" s="1" t="str">
        <f>IF(AND(OR('HR Quick View'!$L$10="All Shifts",AH169='HR Quick View'!$L$10),OR(AND('HR Quick View'!$I$10="Qualified only",AI169=3),AND('HR Quick View'!$I$10="All trained",AI169&gt;0))),IF('HR Quick View'!$L$10="All Shifts",COUNTIF($AI$4:$AI$203,"&gt;"&amp;AI169)+COUNTIF($AI$4:AI169,AI169),COUNTIFS($AI$4:$AI$203,"&gt;"&amp;AI169,$AH$4:$AH$203,'HR Quick View'!$L$10)+COUNTIFS($AI$4:AI169,AI169,$AH$4:AH169,'HR Quick View'!$L$10)),"")</f>
        <v/>
      </c>
      <c r="BA169" s="17" t="str">
        <f>IFERROR(IF('Training Plan'!$A170="","",'Training Plan'!$A170),"")</f>
        <v/>
      </c>
      <c r="BB169" s="17" t="str">
        <f>IFERROR(IF('Training Plan'!$A170="","",'Training Plan'!$B170),"")</f>
        <v/>
      </c>
      <c r="BC169" s="17" t="str">
        <f>IFERROR(IF('Training Plan'!$A170="","",'Training Plan'!$C170),"")</f>
        <v/>
      </c>
      <c r="BD169" s="17" t="str">
        <f>IFERROR(IF('Training Plan'!$A170="","",'Training Plan'!$D170),"")</f>
        <v/>
      </c>
      <c r="BE169" s="17" t="str">
        <f>IFERROR(IF('Training Plan'!$A170="","",'Training Plan'!$E170),"")</f>
        <v/>
      </c>
      <c r="BF169" s="17" t="str">
        <f>IFERROR(IF('Training Plan'!$A170="","",'Training Plan'!$F170),"")</f>
        <v/>
      </c>
      <c r="BG169" s="17" t="str">
        <f>IFERROR(IF('Training Plan'!$A170="","",'Training Plan'!$G170),"")</f>
        <v/>
      </c>
      <c r="BH169" s="17" t="str">
        <f>IFERROR(IF('Training Plan'!$A170="","",'Training Plan'!$H170),"")</f>
        <v/>
      </c>
      <c r="BI169" s="17" t="str">
        <f>IF(OR(BA169="",BF169="Complete",AND('Skill Management'!$D$4&lt;&gt;"All Departments",BB169&lt;&gt;'Skill Management'!$D$4)),"",IF(BF169="Blocked",100000,IF(BF169="In Progress",200000,300000))+IF(BE169="",99999,BE169))</f>
        <v/>
      </c>
      <c r="BJ169" s="17" t="str">
        <f>IF(BI169="","",COUNTIFS($BI$4:$BI$203,"&gt;0",$BI$4:$BI$203,"&lt;"&amp;BI169)+COUNTIF($BI$4:BI169,BI169))</f>
        <v/>
      </c>
      <c r="CB169" t="str">
        <f>IF(AND('Competency Event Log'!$B169='Employee Transcript'!$C$4,'Competency Event Log'!$I169&lt;&gt;"Yes"),'Competency Event Log'!$K169,"")</f>
        <v/>
      </c>
      <c r="CC169" t="str">
        <f t="shared" si="40"/>
        <v/>
      </c>
      <c r="CD169" t="str">
        <f>IF(Certifications!$A169='Employee Transcript'!$C$4,169,"")</f>
        <v/>
      </c>
      <c r="CE169" t="str">
        <f>IF(CD169="","",COUNTIF($CD$4:CD169,"&gt;0"))</f>
        <v/>
      </c>
      <c r="CF169" t="str">
        <f>IF(AND('Training Plan'!$A170='Employee Transcript'!$C$4,'Training Plan'!$F170&lt;&gt;"Complete"),170,"")</f>
        <v/>
      </c>
      <c r="CG169" t="str">
        <f>IF(CF169="","",COUNTIF($CF$4:CF169,"&gt;0"))</f>
        <v/>
      </c>
    </row>
    <row r="170" spans="1:85">
      <c r="A170" s="2"/>
      <c r="B170" s="1"/>
      <c r="C170" s="1"/>
      <c r="D170" s="1"/>
      <c r="E170" s="1"/>
      <c r="F170" s="3"/>
      <c r="G170" s="1"/>
      <c r="H170" s="4"/>
      <c r="AF170" s="1" t="str">
        <f>IFERROR(IF(Lists!$B170="","",Lists!$B170),"")</f>
        <v/>
      </c>
      <c r="AG170" s="1" t="str">
        <f>IFERROR(IF(Lists!$B170="","",Lists!$C170),"")</f>
        <v/>
      </c>
      <c r="AH170" s="1" t="str">
        <f>IFERROR(IF(Lists!$B170="","",Lists!$D170),"")</f>
        <v/>
      </c>
      <c r="AI170" s="1" t="str">
        <f>IF(AF170="","",IFERROR(INDEX('Skills Matrix'!$G$6:$DE$205,MATCH(AF170,'Skills Matrix'!$B$6:$B$205,0),MATCH('HR Quick View'!$J$9,'Skills Matrix'!$G$5:$DE$5,0)),""))</f>
        <v/>
      </c>
      <c r="AJ170" s="1" t="str">
        <f t="shared" si="41"/>
        <v/>
      </c>
      <c r="AK170" s="1" t="str">
        <f>IFERROR(IF(Lists!$B170="","",Lists!$E170),"")</f>
        <v/>
      </c>
      <c r="AL170" s="1" t="str">
        <f>IF(AND(OR('HR Quick View'!$L$10="All Shifts",AH170='HR Quick View'!$L$10),OR(AND('HR Quick View'!$I$10="Qualified only",AI170=3),AND('HR Quick View'!$I$10="All trained",AI170&gt;0))),IF('HR Quick View'!$L$10="All Shifts",COUNTIF($AI$4:$AI$203,"&gt;"&amp;AI170)+COUNTIF($AI$4:AI170,AI170),COUNTIFS($AI$4:$AI$203,"&gt;"&amp;AI170,$AH$4:$AH$203,'HR Quick View'!$L$10)+COUNTIFS($AI$4:AI170,AI170,$AH$4:AH170,'HR Quick View'!$L$10)),"")</f>
        <v/>
      </c>
      <c r="BA170" s="17" t="str">
        <f>IFERROR(IF('Training Plan'!$A171="","",'Training Plan'!$A171),"")</f>
        <v/>
      </c>
      <c r="BB170" s="17" t="str">
        <f>IFERROR(IF('Training Plan'!$A171="","",'Training Plan'!$B171),"")</f>
        <v/>
      </c>
      <c r="BC170" s="17" t="str">
        <f>IFERROR(IF('Training Plan'!$A171="","",'Training Plan'!$C171),"")</f>
        <v/>
      </c>
      <c r="BD170" s="17" t="str">
        <f>IFERROR(IF('Training Plan'!$A171="","",'Training Plan'!$D171),"")</f>
        <v/>
      </c>
      <c r="BE170" s="17" t="str">
        <f>IFERROR(IF('Training Plan'!$A171="","",'Training Plan'!$E171),"")</f>
        <v/>
      </c>
      <c r="BF170" s="17" t="str">
        <f>IFERROR(IF('Training Plan'!$A171="","",'Training Plan'!$F171),"")</f>
        <v/>
      </c>
      <c r="BG170" s="17" t="str">
        <f>IFERROR(IF('Training Plan'!$A171="","",'Training Plan'!$G171),"")</f>
        <v/>
      </c>
      <c r="BH170" s="17" t="str">
        <f>IFERROR(IF('Training Plan'!$A171="","",'Training Plan'!$H171),"")</f>
        <v/>
      </c>
      <c r="BI170" s="17" t="str">
        <f>IF(OR(BA170="",BF170="Complete",AND('Skill Management'!$D$4&lt;&gt;"All Departments",BB170&lt;&gt;'Skill Management'!$D$4)),"",IF(BF170="Blocked",100000,IF(BF170="In Progress",200000,300000))+IF(BE170="",99999,BE170))</f>
        <v/>
      </c>
      <c r="BJ170" s="17" t="str">
        <f>IF(BI170="","",COUNTIFS($BI$4:$BI$203,"&gt;0",$BI$4:$BI$203,"&lt;"&amp;BI170)+COUNTIF($BI$4:BI170,BI170))</f>
        <v/>
      </c>
      <c r="CB170" t="str">
        <f>IF(AND('Competency Event Log'!$B170='Employee Transcript'!$C$4,'Competency Event Log'!$I170&lt;&gt;"Yes"),'Competency Event Log'!$K170,"")</f>
        <v/>
      </c>
      <c r="CC170" t="str">
        <f t="shared" si="40"/>
        <v/>
      </c>
      <c r="CD170" t="str">
        <f>IF(Certifications!$A170='Employee Transcript'!$C$4,170,"")</f>
        <v/>
      </c>
      <c r="CE170" t="str">
        <f>IF(CD170="","",COUNTIF($CD$4:CD170,"&gt;0"))</f>
        <v/>
      </c>
      <c r="CF170" t="str">
        <f>IF(AND('Training Plan'!$A171='Employee Transcript'!$C$4,'Training Plan'!$F171&lt;&gt;"Complete"),171,"")</f>
        <v/>
      </c>
      <c r="CG170" t="str">
        <f>IF(CF170="","",COUNTIF($CF$4:CF170,"&gt;0"))</f>
        <v/>
      </c>
    </row>
    <row r="171" spans="1:85">
      <c r="A171" s="2"/>
      <c r="B171" s="1"/>
      <c r="C171" s="1"/>
      <c r="D171" s="1"/>
      <c r="E171" s="1"/>
      <c r="F171" s="3"/>
      <c r="G171" s="1"/>
      <c r="H171" s="4"/>
      <c r="AF171" s="1" t="str">
        <f>IFERROR(IF(Lists!$B171="","",Lists!$B171),"")</f>
        <v/>
      </c>
      <c r="AG171" s="1" t="str">
        <f>IFERROR(IF(Lists!$B171="","",Lists!$C171),"")</f>
        <v/>
      </c>
      <c r="AH171" s="1" t="str">
        <f>IFERROR(IF(Lists!$B171="","",Lists!$D171),"")</f>
        <v/>
      </c>
      <c r="AI171" s="1" t="str">
        <f>IF(AF171="","",IFERROR(INDEX('Skills Matrix'!$G$6:$DE$205,MATCH(AF171,'Skills Matrix'!$B$6:$B$205,0),MATCH('HR Quick View'!$J$9,'Skills Matrix'!$G$5:$DE$5,0)),""))</f>
        <v/>
      </c>
      <c r="AJ171" s="1" t="str">
        <f t="shared" si="41"/>
        <v/>
      </c>
      <c r="AK171" s="1" t="str">
        <f>IFERROR(IF(Lists!$B171="","",Lists!$E171),"")</f>
        <v/>
      </c>
      <c r="AL171" s="1" t="str">
        <f>IF(AND(OR('HR Quick View'!$L$10="All Shifts",AH171='HR Quick View'!$L$10),OR(AND('HR Quick View'!$I$10="Qualified only",AI171=3),AND('HR Quick View'!$I$10="All trained",AI171&gt;0))),IF('HR Quick View'!$L$10="All Shifts",COUNTIF($AI$4:$AI$203,"&gt;"&amp;AI171)+COUNTIF($AI$4:AI171,AI171),COUNTIFS($AI$4:$AI$203,"&gt;"&amp;AI171,$AH$4:$AH$203,'HR Quick View'!$L$10)+COUNTIFS($AI$4:AI171,AI171,$AH$4:AH171,'HR Quick View'!$L$10)),"")</f>
        <v/>
      </c>
      <c r="BA171" s="17" t="str">
        <f>IFERROR(IF('Training Plan'!$A172="","",'Training Plan'!$A172),"")</f>
        <v/>
      </c>
      <c r="BB171" s="17" t="str">
        <f>IFERROR(IF('Training Plan'!$A172="","",'Training Plan'!$B172),"")</f>
        <v/>
      </c>
      <c r="BC171" s="17" t="str">
        <f>IFERROR(IF('Training Plan'!$A172="","",'Training Plan'!$C172),"")</f>
        <v/>
      </c>
      <c r="BD171" s="17" t="str">
        <f>IFERROR(IF('Training Plan'!$A172="","",'Training Plan'!$D172),"")</f>
        <v/>
      </c>
      <c r="BE171" s="17" t="str">
        <f>IFERROR(IF('Training Plan'!$A172="","",'Training Plan'!$E172),"")</f>
        <v/>
      </c>
      <c r="BF171" s="17" t="str">
        <f>IFERROR(IF('Training Plan'!$A172="","",'Training Plan'!$F172),"")</f>
        <v/>
      </c>
      <c r="BG171" s="17" t="str">
        <f>IFERROR(IF('Training Plan'!$A172="","",'Training Plan'!$G172),"")</f>
        <v/>
      </c>
      <c r="BH171" s="17" t="str">
        <f>IFERROR(IF('Training Plan'!$A172="","",'Training Plan'!$H172),"")</f>
        <v/>
      </c>
      <c r="BI171" s="17" t="str">
        <f>IF(OR(BA171="",BF171="Complete",AND('Skill Management'!$D$4&lt;&gt;"All Departments",BB171&lt;&gt;'Skill Management'!$D$4)),"",IF(BF171="Blocked",100000,IF(BF171="In Progress",200000,300000))+IF(BE171="",99999,BE171))</f>
        <v/>
      </c>
      <c r="BJ171" s="17" t="str">
        <f>IF(BI171="","",COUNTIFS($BI$4:$BI$203,"&gt;0",$BI$4:$BI$203,"&lt;"&amp;BI171)+COUNTIF($BI$4:BI171,BI171))</f>
        <v/>
      </c>
      <c r="CB171" t="str">
        <f>IF(AND('Competency Event Log'!$B171='Employee Transcript'!$C$4,'Competency Event Log'!$I171&lt;&gt;"Yes"),'Competency Event Log'!$K171,"")</f>
        <v/>
      </c>
      <c r="CC171" t="str">
        <f t="shared" si="40"/>
        <v/>
      </c>
      <c r="CD171" t="str">
        <f>IF(Certifications!$A171='Employee Transcript'!$C$4,171,"")</f>
        <v/>
      </c>
      <c r="CE171" t="str">
        <f>IF(CD171="","",COUNTIF($CD$4:CD171,"&gt;0"))</f>
        <v/>
      </c>
      <c r="CF171" t="str">
        <f>IF(AND('Training Plan'!$A172='Employee Transcript'!$C$4,'Training Plan'!$F172&lt;&gt;"Complete"),172,"")</f>
        <v/>
      </c>
      <c r="CG171" t="str">
        <f>IF(CF171="","",COUNTIF($CF$4:CF171,"&gt;0"))</f>
        <v/>
      </c>
    </row>
    <row r="172" spans="1:85">
      <c r="A172" s="2"/>
      <c r="B172" s="1"/>
      <c r="C172" s="1"/>
      <c r="D172" s="1"/>
      <c r="E172" s="1"/>
      <c r="F172" s="3"/>
      <c r="G172" s="1"/>
      <c r="H172" s="4"/>
      <c r="AF172" s="1" t="str">
        <f>IFERROR(IF(Lists!$B172="","",Lists!$B172),"")</f>
        <v/>
      </c>
      <c r="AG172" s="1" t="str">
        <f>IFERROR(IF(Lists!$B172="","",Lists!$C172),"")</f>
        <v/>
      </c>
      <c r="AH172" s="1" t="str">
        <f>IFERROR(IF(Lists!$B172="","",Lists!$D172),"")</f>
        <v/>
      </c>
      <c r="AI172" s="1" t="str">
        <f>IF(AF172="","",IFERROR(INDEX('Skills Matrix'!$G$6:$DE$205,MATCH(AF172,'Skills Matrix'!$B$6:$B$205,0),MATCH('HR Quick View'!$J$9,'Skills Matrix'!$G$5:$DE$5,0)),""))</f>
        <v/>
      </c>
      <c r="AJ172" s="1" t="str">
        <f t="shared" si="41"/>
        <v/>
      </c>
      <c r="AK172" s="1" t="str">
        <f>IFERROR(IF(Lists!$B172="","",Lists!$E172),"")</f>
        <v/>
      </c>
      <c r="AL172" s="1" t="str">
        <f>IF(AND(OR('HR Quick View'!$L$10="All Shifts",AH172='HR Quick View'!$L$10),OR(AND('HR Quick View'!$I$10="Qualified only",AI172=3),AND('HR Quick View'!$I$10="All trained",AI172&gt;0))),IF('HR Quick View'!$L$10="All Shifts",COUNTIF($AI$4:$AI$203,"&gt;"&amp;AI172)+COUNTIF($AI$4:AI172,AI172),COUNTIFS($AI$4:$AI$203,"&gt;"&amp;AI172,$AH$4:$AH$203,'HR Quick View'!$L$10)+COUNTIFS($AI$4:AI172,AI172,$AH$4:AH172,'HR Quick View'!$L$10)),"")</f>
        <v/>
      </c>
      <c r="BA172" s="17" t="str">
        <f>IFERROR(IF('Training Plan'!$A173="","",'Training Plan'!$A173),"")</f>
        <v/>
      </c>
      <c r="BB172" s="17" t="str">
        <f>IFERROR(IF('Training Plan'!$A173="","",'Training Plan'!$B173),"")</f>
        <v/>
      </c>
      <c r="BC172" s="17" t="str">
        <f>IFERROR(IF('Training Plan'!$A173="","",'Training Plan'!$C173),"")</f>
        <v/>
      </c>
      <c r="BD172" s="17" t="str">
        <f>IFERROR(IF('Training Plan'!$A173="","",'Training Plan'!$D173),"")</f>
        <v/>
      </c>
      <c r="BE172" s="17" t="str">
        <f>IFERROR(IF('Training Plan'!$A173="","",'Training Plan'!$E173),"")</f>
        <v/>
      </c>
      <c r="BF172" s="17" t="str">
        <f>IFERROR(IF('Training Plan'!$A173="","",'Training Plan'!$F173),"")</f>
        <v/>
      </c>
      <c r="BG172" s="17" t="str">
        <f>IFERROR(IF('Training Plan'!$A173="","",'Training Plan'!$G173),"")</f>
        <v/>
      </c>
      <c r="BH172" s="17" t="str">
        <f>IFERROR(IF('Training Plan'!$A173="","",'Training Plan'!$H173),"")</f>
        <v/>
      </c>
      <c r="BI172" s="17" t="str">
        <f>IF(OR(BA172="",BF172="Complete",AND('Skill Management'!$D$4&lt;&gt;"All Departments",BB172&lt;&gt;'Skill Management'!$D$4)),"",IF(BF172="Blocked",100000,IF(BF172="In Progress",200000,300000))+IF(BE172="",99999,BE172))</f>
        <v/>
      </c>
      <c r="BJ172" s="17" t="str">
        <f>IF(BI172="","",COUNTIFS($BI$4:$BI$203,"&gt;0",$BI$4:$BI$203,"&lt;"&amp;BI172)+COUNTIF($BI$4:BI172,BI172))</f>
        <v/>
      </c>
      <c r="CB172" t="str">
        <f>IF(AND('Competency Event Log'!$B172='Employee Transcript'!$C$4,'Competency Event Log'!$I172&lt;&gt;"Yes"),'Competency Event Log'!$K172,"")</f>
        <v/>
      </c>
      <c r="CC172" t="str">
        <f t="shared" si="40"/>
        <v/>
      </c>
      <c r="CD172" t="str">
        <f>IF(Certifications!$A172='Employee Transcript'!$C$4,172,"")</f>
        <v/>
      </c>
      <c r="CE172" t="str">
        <f>IF(CD172="","",COUNTIF($CD$4:CD172,"&gt;0"))</f>
        <v/>
      </c>
      <c r="CF172" t="str">
        <f>IF(AND('Training Plan'!$A173='Employee Transcript'!$C$4,'Training Plan'!$F173&lt;&gt;"Complete"),173,"")</f>
        <v/>
      </c>
      <c r="CG172" t="str">
        <f>IF(CF172="","",COUNTIF($CF$4:CF172,"&gt;0"))</f>
        <v/>
      </c>
    </row>
    <row r="173" spans="1:85">
      <c r="A173" s="2"/>
      <c r="B173" s="1"/>
      <c r="C173" s="1"/>
      <c r="D173" s="1"/>
      <c r="E173" s="1"/>
      <c r="F173" s="3"/>
      <c r="G173" s="1"/>
      <c r="H173" s="4"/>
      <c r="AF173" s="1" t="str">
        <f>IFERROR(IF(Lists!$B173="","",Lists!$B173),"")</f>
        <v/>
      </c>
      <c r="AG173" s="1" t="str">
        <f>IFERROR(IF(Lists!$B173="","",Lists!$C173),"")</f>
        <v/>
      </c>
      <c r="AH173" s="1" t="str">
        <f>IFERROR(IF(Lists!$B173="","",Lists!$D173),"")</f>
        <v/>
      </c>
      <c r="AI173" s="1" t="str">
        <f>IF(AF173="","",IFERROR(INDEX('Skills Matrix'!$G$6:$DE$205,MATCH(AF173,'Skills Matrix'!$B$6:$B$205,0),MATCH('HR Quick View'!$J$9,'Skills Matrix'!$G$5:$DE$5,0)),""))</f>
        <v/>
      </c>
      <c r="AJ173" s="1" t="str">
        <f t="shared" si="41"/>
        <v/>
      </c>
      <c r="AK173" s="1" t="str">
        <f>IFERROR(IF(Lists!$B173="","",Lists!$E173),"")</f>
        <v/>
      </c>
      <c r="AL173" s="1" t="str">
        <f>IF(AND(OR('HR Quick View'!$L$10="All Shifts",AH173='HR Quick View'!$L$10),OR(AND('HR Quick View'!$I$10="Qualified only",AI173=3),AND('HR Quick View'!$I$10="All trained",AI173&gt;0))),IF('HR Quick View'!$L$10="All Shifts",COUNTIF($AI$4:$AI$203,"&gt;"&amp;AI173)+COUNTIF($AI$4:AI173,AI173),COUNTIFS($AI$4:$AI$203,"&gt;"&amp;AI173,$AH$4:$AH$203,'HR Quick View'!$L$10)+COUNTIFS($AI$4:AI173,AI173,$AH$4:AH173,'HR Quick View'!$L$10)),"")</f>
        <v/>
      </c>
      <c r="BA173" s="17" t="str">
        <f>IFERROR(IF('Training Plan'!$A174="","",'Training Plan'!$A174),"")</f>
        <v/>
      </c>
      <c r="BB173" s="17" t="str">
        <f>IFERROR(IF('Training Plan'!$A174="","",'Training Plan'!$B174),"")</f>
        <v/>
      </c>
      <c r="BC173" s="17" t="str">
        <f>IFERROR(IF('Training Plan'!$A174="","",'Training Plan'!$C174),"")</f>
        <v/>
      </c>
      <c r="BD173" s="17" t="str">
        <f>IFERROR(IF('Training Plan'!$A174="","",'Training Plan'!$D174),"")</f>
        <v/>
      </c>
      <c r="BE173" s="17" t="str">
        <f>IFERROR(IF('Training Plan'!$A174="","",'Training Plan'!$E174),"")</f>
        <v/>
      </c>
      <c r="BF173" s="17" t="str">
        <f>IFERROR(IF('Training Plan'!$A174="","",'Training Plan'!$F174),"")</f>
        <v/>
      </c>
      <c r="BG173" s="17" t="str">
        <f>IFERROR(IF('Training Plan'!$A174="","",'Training Plan'!$G174),"")</f>
        <v/>
      </c>
      <c r="BH173" s="17" t="str">
        <f>IFERROR(IF('Training Plan'!$A174="","",'Training Plan'!$H174),"")</f>
        <v/>
      </c>
      <c r="BI173" s="17" t="str">
        <f>IF(OR(BA173="",BF173="Complete",AND('Skill Management'!$D$4&lt;&gt;"All Departments",BB173&lt;&gt;'Skill Management'!$D$4)),"",IF(BF173="Blocked",100000,IF(BF173="In Progress",200000,300000))+IF(BE173="",99999,BE173))</f>
        <v/>
      </c>
      <c r="BJ173" s="17" t="str">
        <f>IF(BI173="","",COUNTIFS($BI$4:$BI$203,"&gt;0",$BI$4:$BI$203,"&lt;"&amp;BI173)+COUNTIF($BI$4:BI173,BI173))</f>
        <v/>
      </c>
      <c r="CB173" t="str">
        <f>IF(AND('Competency Event Log'!$B173='Employee Transcript'!$C$4,'Competency Event Log'!$I173&lt;&gt;"Yes"),'Competency Event Log'!$K173,"")</f>
        <v/>
      </c>
      <c r="CC173" t="str">
        <f t="shared" si="40"/>
        <v/>
      </c>
      <c r="CD173" t="str">
        <f>IF(Certifications!$A173='Employee Transcript'!$C$4,173,"")</f>
        <v/>
      </c>
      <c r="CE173" t="str">
        <f>IF(CD173="","",COUNTIF($CD$4:CD173,"&gt;0"))</f>
        <v/>
      </c>
      <c r="CF173" t="str">
        <f>IF(AND('Training Plan'!$A174='Employee Transcript'!$C$4,'Training Plan'!$F174&lt;&gt;"Complete"),174,"")</f>
        <v/>
      </c>
      <c r="CG173" t="str">
        <f>IF(CF173="","",COUNTIF($CF$4:CF173,"&gt;0"))</f>
        <v/>
      </c>
    </row>
    <row r="174" spans="1:85">
      <c r="A174" s="2"/>
      <c r="B174" s="1"/>
      <c r="C174" s="1"/>
      <c r="D174" s="1"/>
      <c r="E174" s="1"/>
      <c r="F174" s="3"/>
      <c r="G174" s="1"/>
      <c r="H174" s="4"/>
      <c r="AF174" s="1" t="str">
        <f>IFERROR(IF(Lists!$B174="","",Lists!$B174),"")</f>
        <v/>
      </c>
      <c r="AG174" s="1" t="str">
        <f>IFERROR(IF(Lists!$B174="","",Lists!$C174),"")</f>
        <v/>
      </c>
      <c r="AH174" s="1" t="str">
        <f>IFERROR(IF(Lists!$B174="","",Lists!$D174),"")</f>
        <v/>
      </c>
      <c r="AI174" s="1" t="str">
        <f>IF(AF174="","",IFERROR(INDEX('Skills Matrix'!$G$6:$DE$205,MATCH(AF174,'Skills Matrix'!$B$6:$B$205,0),MATCH('HR Quick View'!$J$9,'Skills Matrix'!$G$5:$DE$5,0)),""))</f>
        <v/>
      </c>
      <c r="AJ174" s="1" t="str">
        <f t="shared" si="41"/>
        <v/>
      </c>
      <c r="AK174" s="1" t="str">
        <f>IFERROR(IF(Lists!$B174="","",Lists!$E174),"")</f>
        <v/>
      </c>
      <c r="AL174" s="1" t="str">
        <f>IF(AND(OR('HR Quick View'!$L$10="All Shifts",AH174='HR Quick View'!$L$10),OR(AND('HR Quick View'!$I$10="Qualified only",AI174=3),AND('HR Quick View'!$I$10="All trained",AI174&gt;0))),IF('HR Quick View'!$L$10="All Shifts",COUNTIF($AI$4:$AI$203,"&gt;"&amp;AI174)+COUNTIF($AI$4:AI174,AI174),COUNTIFS($AI$4:$AI$203,"&gt;"&amp;AI174,$AH$4:$AH$203,'HR Quick View'!$L$10)+COUNTIFS($AI$4:AI174,AI174,$AH$4:AH174,'HR Quick View'!$L$10)),"")</f>
        <v/>
      </c>
      <c r="BA174" s="17" t="str">
        <f>IFERROR(IF('Training Plan'!$A175="","",'Training Plan'!$A175),"")</f>
        <v/>
      </c>
      <c r="BB174" s="17" t="str">
        <f>IFERROR(IF('Training Plan'!$A175="","",'Training Plan'!$B175),"")</f>
        <v/>
      </c>
      <c r="BC174" s="17" t="str">
        <f>IFERROR(IF('Training Plan'!$A175="","",'Training Plan'!$C175),"")</f>
        <v/>
      </c>
      <c r="BD174" s="17" t="str">
        <f>IFERROR(IF('Training Plan'!$A175="","",'Training Plan'!$D175),"")</f>
        <v/>
      </c>
      <c r="BE174" s="17" t="str">
        <f>IFERROR(IF('Training Plan'!$A175="","",'Training Plan'!$E175),"")</f>
        <v/>
      </c>
      <c r="BF174" s="17" t="str">
        <f>IFERROR(IF('Training Plan'!$A175="","",'Training Plan'!$F175),"")</f>
        <v/>
      </c>
      <c r="BG174" s="17" t="str">
        <f>IFERROR(IF('Training Plan'!$A175="","",'Training Plan'!$G175),"")</f>
        <v/>
      </c>
      <c r="BH174" s="17" t="str">
        <f>IFERROR(IF('Training Plan'!$A175="","",'Training Plan'!$H175),"")</f>
        <v/>
      </c>
      <c r="BI174" s="17" t="str">
        <f>IF(OR(BA174="",BF174="Complete",AND('Skill Management'!$D$4&lt;&gt;"All Departments",BB174&lt;&gt;'Skill Management'!$D$4)),"",IF(BF174="Blocked",100000,IF(BF174="In Progress",200000,300000))+IF(BE174="",99999,BE174))</f>
        <v/>
      </c>
      <c r="BJ174" s="17" t="str">
        <f>IF(BI174="","",COUNTIFS($BI$4:$BI$203,"&gt;0",$BI$4:$BI$203,"&lt;"&amp;BI174)+COUNTIF($BI$4:BI174,BI174))</f>
        <v/>
      </c>
      <c r="CB174" t="str">
        <f>IF(AND('Competency Event Log'!$B174='Employee Transcript'!$C$4,'Competency Event Log'!$I174&lt;&gt;"Yes"),'Competency Event Log'!$K174,"")</f>
        <v/>
      </c>
      <c r="CC174" t="str">
        <f t="shared" si="40"/>
        <v/>
      </c>
      <c r="CD174" t="str">
        <f>IF(Certifications!$A174='Employee Transcript'!$C$4,174,"")</f>
        <v/>
      </c>
      <c r="CE174" t="str">
        <f>IF(CD174="","",COUNTIF($CD$4:CD174,"&gt;0"))</f>
        <v/>
      </c>
      <c r="CF174" t="str">
        <f>IF(AND('Training Plan'!$A175='Employee Transcript'!$C$4,'Training Plan'!$F175&lt;&gt;"Complete"),175,"")</f>
        <v/>
      </c>
      <c r="CG174" t="str">
        <f>IF(CF174="","",COUNTIF($CF$4:CF174,"&gt;0"))</f>
        <v/>
      </c>
    </row>
    <row r="175" spans="1:85">
      <c r="A175" s="2"/>
      <c r="B175" s="1"/>
      <c r="C175" s="1"/>
      <c r="D175" s="1"/>
      <c r="E175" s="1"/>
      <c r="F175" s="3"/>
      <c r="G175" s="1"/>
      <c r="H175" s="4"/>
      <c r="AF175" s="1" t="str">
        <f>IFERROR(IF(Lists!$B175="","",Lists!$B175),"")</f>
        <v/>
      </c>
      <c r="AG175" s="1" t="str">
        <f>IFERROR(IF(Lists!$B175="","",Lists!$C175),"")</f>
        <v/>
      </c>
      <c r="AH175" s="1" t="str">
        <f>IFERROR(IF(Lists!$B175="","",Lists!$D175),"")</f>
        <v/>
      </c>
      <c r="AI175" s="1" t="str">
        <f>IF(AF175="","",IFERROR(INDEX('Skills Matrix'!$G$6:$DE$205,MATCH(AF175,'Skills Matrix'!$B$6:$B$205,0),MATCH('HR Quick View'!$J$9,'Skills Matrix'!$G$5:$DE$5,0)),""))</f>
        <v/>
      </c>
      <c r="AJ175" s="1" t="str">
        <f t="shared" si="41"/>
        <v/>
      </c>
      <c r="AK175" s="1" t="str">
        <f>IFERROR(IF(Lists!$B175="","",Lists!$E175),"")</f>
        <v/>
      </c>
      <c r="AL175" s="1" t="str">
        <f>IF(AND(OR('HR Quick View'!$L$10="All Shifts",AH175='HR Quick View'!$L$10),OR(AND('HR Quick View'!$I$10="Qualified only",AI175=3),AND('HR Quick View'!$I$10="All trained",AI175&gt;0))),IF('HR Quick View'!$L$10="All Shifts",COUNTIF($AI$4:$AI$203,"&gt;"&amp;AI175)+COUNTIF($AI$4:AI175,AI175),COUNTIFS($AI$4:$AI$203,"&gt;"&amp;AI175,$AH$4:$AH$203,'HR Quick View'!$L$10)+COUNTIFS($AI$4:AI175,AI175,$AH$4:AH175,'HR Quick View'!$L$10)),"")</f>
        <v/>
      </c>
      <c r="BA175" s="17" t="str">
        <f>IFERROR(IF('Training Plan'!$A176="","",'Training Plan'!$A176),"")</f>
        <v/>
      </c>
      <c r="BB175" s="17" t="str">
        <f>IFERROR(IF('Training Plan'!$A176="","",'Training Plan'!$B176),"")</f>
        <v/>
      </c>
      <c r="BC175" s="17" t="str">
        <f>IFERROR(IF('Training Plan'!$A176="","",'Training Plan'!$C176),"")</f>
        <v/>
      </c>
      <c r="BD175" s="17" t="str">
        <f>IFERROR(IF('Training Plan'!$A176="","",'Training Plan'!$D176),"")</f>
        <v/>
      </c>
      <c r="BE175" s="17" t="str">
        <f>IFERROR(IF('Training Plan'!$A176="","",'Training Plan'!$E176),"")</f>
        <v/>
      </c>
      <c r="BF175" s="17" t="str">
        <f>IFERROR(IF('Training Plan'!$A176="","",'Training Plan'!$F176),"")</f>
        <v/>
      </c>
      <c r="BG175" s="17" t="str">
        <f>IFERROR(IF('Training Plan'!$A176="","",'Training Plan'!$G176),"")</f>
        <v/>
      </c>
      <c r="BH175" s="17" t="str">
        <f>IFERROR(IF('Training Plan'!$A176="","",'Training Plan'!$H176),"")</f>
        <v/>
      </c>
      <c r="BI175" s="17" t="str">
        <f>IF(OR(BA175="",BF175="Complete",AND('Skill Management'!$D$4&lt;&gt;"All Departments",BB175&lt;&gt;'Skill Management'!$D$4)),"",IF(BF175="Blocked",100000,IF(BF175="In Progress",200000,300000))+IF(BE175="",99999,BE175))</f>
        <v/>
      </c>
      <c r="BJ175" s="17" t="str">
        <f>IF(BI175="","",COUNTIFS($BI$4:$BI$203,"&gt;0",$BI$4:$BI$203,"&lt;"&amp;BI175)+COUNTIF($BI$4:BI175,BI175))</f>
        <v/>
      </c>
      <c r="CB175" t="str">
        <f>IF(AND('Competency Event Log'!$B175='Employee Transcript'!$C$4,'Competency Event Log'!$I175&lt;&gt;"Yes"),'Competency Event Log'!$K175,"")</f>
        <v/>
      </c>
      <c r="CC175" t="str">
        <f t="shared" si="40"/>
        <v/>
      </c>
      <c r="CD175" t="str">
        <f>IF(Certifications!$A175='Employee Transcript'!$C$4,175,"")</f>
        <v/>
      </c>
      <c r="CE175" t="str">
        <f>IF(CD175="","",COUNTIF($CD$4:CD175,"&gt;0"))</f>
        <v/>
      </c>
      <c r="CF175" t="str">
        <f>IF(AND('Training Plan'!$A176='Employee Transcript'!$C$4,'Training Plan'!$F176&lt;&gt;"Complete"),176,"")</f>
        <v/>
      </c>
      <c r="CG175" t="str">
        <f>IF(CF175="","",COUNTIF($CF$4:CF175,"&gt;0"))</f>
        <v/>
      </c>
    </row>
    <row r="176" spans="1:85">
      <c r="A176" s="2"/>
      <c r="B176" s="1"/>
      <c r="C176" s="1"/>
      <c r="D176" s="1"/>
      <c r="E176" s="1"/>
      <c r="F176" s="3"/>
      <c r="G176" s="1"/>
      <c r="H176" s="4"/>
      <c r="AF176" s="1" t="str">
        <f>IFERROR(IF(Lists!$B176="","",Lists!$B176),"")</f>
        <v/>
      </c>
      <c r="AG176" s="1" t="str">
        <f>IFERROR(IF(Lists!$B176="","",Lists!$C176),"")</f>
        <v/>
      </c>
      <c r="AH176" s="1" t="str">
        <f>IFERROR(IF(Lists!$B176="","",Lists!$D176),"")</f>
        <v/>
      </c>
      <c r="AI176" s="1" t="str">
        <f>IF(AF176="","",IFERROR(INDEX('Skills Matrix'!$G$6:$DE$205,MATCH(AF176,'Skills Matrix'!$B$6:$B$205,0),MATCH('HR Quick View'!$J$9,'Skills Matrix'!$G$5:$DE$5,0)),""))</f>
        <v/>
      </c>
      <c r="AJ176" s="1" t="str">
        <f t="shared" si="41"/>
        <v/>
      </c>
      <c r="AK176" s="1" t="str">
        <f>IFERROR(IF(Lists!$B176="","",Lists!$E176),"")</f>
        <v/>
      </c>
      <c r="AL176" s="1" t="str">
        <f>IF(AND(OR('HR Quick View'!$L$10="All Shifts",AH176='HR Quick View'!$L$10),OR(AND('HR Quick View'!$I$10="Qualified only",AI176=3),AND('HR Quick View'!$I$10="All trained",AI176&gt;0))),IF('HR Quick View'!$L$10="All Shifts",COUNTIF($AI$4:$AI$203,"&gt;"&amp;AI176)+COUNTIF($AI$4:AI176,AI176),COUNTIFS($AI$4:$AI$203,"&gt;"&amp;AI176,$AH$4:$AH$203,'HR Quick View'!$L$10)+COUNTIFS($AI$4:AI176,AI176,$AH$4:AH176,'HR Quick View'!$L$10)),"")</f>
        <v/>
      </c>
      <c r="BA176" s="17" t="str">
        <f>IFERROR(IF('Training Plan'!$A177="","",'Training Plan'!$A177),"")</f>
        <v/>
      </c>
      <c r="BB176" s="17" t="str">
        <f>IFERROR(IF('Training Plan'!$A177="","",'Training Plan'!$B177),"")</f>
        <v/>
      </c>
      <c r="BC176" s="17" t="str">
        <f>IFERROR(IF('Training Plan'!$A177="","",'Training Plan'!$C177),"")</f>
        <v/>
      </c>
      <c r="BD176" s="17" t="str">
        <f>IFERROR(IF('Training Plan'!$A177="","",'Training Plan'!$D177),"")</f>
        <v/>
      </c>
      <c r="BE176" s="17" t="str">
        <f>IFERROR(IF('Training Plan'!$A177="","",'Training Plan'!$E177),"")</f>
        <v/>
      </c>
      <c r="BF176" s="17" t="str">
        <f>IFERROR(IF('Training Plan'!$A177="","",'Training Plan'!$F177),"")</f>
        <v/>
      </c>
      <c r="BG176" s="17" t="str">
        <f>IFERROR(IF('Training Plan'!$A177="","",'Training Plan'!$G177),"")</f>
        <v/>
      </c>
      <c r="BH176" s="17" t="str">
        <f>IFERROR(IF('Training Plan'!$A177="","",'Training Plan'!$H177),"")</f>
        <v/>
      </c>
      <c r="BI176" s="17" t="str">
        <f>IF(OR(BA176="",BF176="Complete",AND('Skill Management'!$D$4&lt;&gt;"All Departments",BB176&lt;&gt;'Skill Management'!$D$4)),"",IF(BF176="Blocked",100000,IF(BF176="In Progress",200000,300000))+IF(BE176="",99999,BE176))</f>
        <v/>
      </c>
      <c r="BJ176" s="17" t="str">
        <f>IF(BI176="","",COUNTIFS($BI$4:$BI$203,"&gt;0",$BI$4:$BI$203,"&lt;"&amp;BI176)+COUNTIF($BI$4:BI176,BI176))</f>
        <v/>
      </c>
      <c r="CB176" t="str">
        <f>IF(AND('Competency Event Log'!$B176='Employee Transcript'!$C$4,'Competency Event Log'!$I176&lt;&gt;"Yes"),'Competency Event Log'!$K176,"")</f>
        <v/>
      </c>
      <c r="CC176" t="str">
        <f t="shared" si="40"/>
        <v/>
      </c>
      <c r="CD176" t="str">
        <f>IF(Certifications!$A176='Employee Transcript'!$C$4,176,"")</f>
        <v/>
      </c>
      <c r="CE176" t="str">
        <f>IF(CD176="","",COUNTIF($CD$4:CD176,"&gt;0"))</f>
        <v/>
      </c>
      <c r="CF176" t="str">
        <f>IF(AND('Training Plan'!$A177='Employee Transcript'!$C$4,'Training Plan'!$F177&lt;&gt;"Complete"),177,"")</f>
        <v/>
      </c>
      <c r="CG176" t="str">
        <f>IF(CF176="","",COUNTIF($CF$4:CF176,"&gt;0"))</f>
        <v/>
      </c>
    </row>
    <row r="177" spans="1:85">
      <c r="A177" s="2"/>
      <c r="B177" s="1"/>
      <c r="C177" s="1"/>
      <c r="D177" s="1"/>
      <c r="E177" s="1"/>
      <c r="F177" s="3"/>
      <c r="G177" s="1"/>
      <c r="H177" s="4"/>
      <c r="AF177" s="1" t="str">
        <f>IFERROR(IF(Lists!$B177="","",Lists!$B177),"")</f>
        <v/>
      </c>
      <c r="AG177" s="1" t="str">
        <f>IFERROR(IF(Lists!$B177="","",Lists!$C177),"")</f>
        <v/>
      </c>
      <c r="AH177" s="1" t="str">
        <f>IFERROR(IF(Lists!$B177="","",Lists!$D177),"")</f>
        <v/>
      </c>
      <c r="AI177" s="1" t="str">
        <f>IF(AF177="","",IFERROR(INDEX('Skills Matrix'!$G$6:$DE$205,MATCH(AF177,'Skills Matrix'!$B$6:$B$205,0),MATCH('HR Quick View'!$J$9,'Skills Matrix'!$G$5:$DE$5,0)),""))</f>
        <v/>
      </c>
      <c r="AJ177" s="1" t="str">
        <f t="shared" si="41"/>
        <v/>
      </c>
      <c r="AK177" s="1" t="str">
        <f>IFERROR(IF(Lists!$B177="","",Lists!$E177),"")</f>
        <v/>
      </c>
      <c r="AL177" s="1" t="str">
        <f>IF(AND(OR('HR Quick View'!$L$10="All Shifts",AH177='HR Quick View'!$L$10),OR(AND('HR Quick View'!$I$10="Qualified only",AI177=3),AND('HR Quick View'!$I$10="All trained",AI177&gt;0))),IF('HR Quick View'!$L$10="All Shifts",COUNTIF($AI$4:$AI$203,"&gt;"&amp;AI177)+COUNTIF($AI$4:AI177,AI177),COUNTIFS($AI$4:$AI$203,"&gt;"&amp;AI177,$AH$4:$AH$203,'HR Quick View'!$L$10)+COUNTIFS($AI$4:AI177,AI177,$AH$4:AH177,'HR Quick View'!$L$10)),"")</f>
        <v/>
      </c>
      <c r="BA177" s="17" t="str">
        <f>IFERROR(IF('Training Plan'!$A178="","",'Training Plan'!$A178),"")</f>
        <v/>
      </c>
      <c r="BB177" s="17" t="str">
        <f>IFERROR(IF('Training Plan'!$A178="","",'Training Plan'!$B178),"")</f>
        <v/>
      </c>
      <c r="BC177" s="17" t="str">
        <f>IFERROR(IF('Training Plan'!$A178="","",'Training Plan'!$C178),"")</f>
        <v/>
      </c>
      <c r="BD177" s="17" t="str">
        <f>IFERROR(IF('Training Plan'!$A178="","",'Training Plan'!$D178),"")</f>
        <v/>
      </c>
      <c r="BE177" s="17" t="str">
        <f>IFERROR(IF('Training Plan'!$A178="","",'Training Plan'!$E178),"")</f>
        <v/>
      </c>
      <c r="BF177" s="17" t="str">
        <f>IFERROR(IF('Training Plan'!$A178="","",'Training Plan'!$F178),"")</f>
        <v/>
      </c>
      <c r="BG177" s="17" t="str">
        <f>IFERROR(IF('Training Plan'!$A178="","",'Training Plan'!$G178),"")</f>
        <v/>
      </c>
      <c r="BH177" s="17" t="str">
        <f>IFERROR(IF('Training Plan'!$A178="","",'Training Plan'!$H178),"")</f>
        <v/>
      </c>
      <c r="BI177" s="17" t="str">
        <f>IF(OR(BA177="",BF177="Complete",AND('Skill Management'!$D$4&lt;&gt;"All Departments",BB177&lt;&gt;'Skill Management'!$D$4)),"",IF(BF177="Blocked",100000,IF(BF177="In Progress",200000,300000))+IF(BE177="",99999,BE177))</f>
        <v/>
      </c>
      <c r="BJ177" s="17" t="str">
        <f>IF(BI177="","",COUNTIFS($BI$4:$BI$203,"&gt;0",$BI$4:$BI$203,"&lt;"&amp;BI177)+COUNTIF($BI$4:BI177,BI177))</f>
        <v/>
      </c>
      <c r="CB177" t="str">
        <f>IF(AND('Competency Event Log'!$B177='Employee Transcript'!$C$4,'Competency Event Log'!$I177&lt;&gt;"Yes"),'Competency Event Log'!$K177,"")</f>
        <v/>
      </c>
      <c r="CC177" t="str">
        <f t="shared" si="40"/>
        <v/>
      </c>
      <c r="CD177" t="str">
        <f>IF(Certifications!$A177='Employee Transcript'!$C$4,177,"")</f>
        <v/>
      </c>
      <c r="CE177" t="str">
        <f>IF(CD177="","",COUNTIF($CD$4:CD177,"&gt;0"))</f>
        <v/>
      </c>
      <c r="CF177" t="str">
        <f>IF(AND('Training Plan'!$A178='Employee Transcript'!$C$4,'Training Plan'!$F178&lt;&gt;"Complete"),178,"")</f>
        <v/>
      </c>
      <c r="CG177" t="str">
        <f>IF(CF177="","",COUNTIF($CF$4:CF177,"&gt;0"))</f>
        <v/>
      </c>
    </row>
    <row r="178" spans="1:85">
      <c r="A178" s="2"/>
      <c r="B178" s="1"/>
      <c r="C178" s="1"/>
      <c r="D178" s="1"/>
      <c r="E178" s="1"/>
      <c r="F178" s="3"/>
      <c r="G178" s="1"/>
      <c r="H178" s="4"/>
      <c r="AF178" s="1" t="str">
        <f>IFERROR(IF(Lists!$B178="","",Lists!$B178),"")</f>
        <v/>
      </c>
      <c r="AG178" s="1" t="str">
        <f>IFERROR(IF(Lists!$B178="","",Lists!$C178),"")</f>
        <v/>
      </c>
      <c r="AH178" s="1" t="str">
        <f>IFERROR(IF(Lists!$B178="","",Lists!$D178),"")</f>
        <v/>
      </c>
      <c r="AI178" s="1" t="str">
        <f>IF(AF178="","",IFERROR(INDEX('Skills Matrix'!$G$6:$DE$205,MATCH(AF178,'Skills Matrix'!$B$6:$B$205,0),MATCH('HR Quick View'!$J$9,'Skills Matrix'!$G$5:$DE$5,0)),""))</f>
        <v/>
      </c>
      <c r="AJ178" s="1" t="str">
        <f t="shared" si="41"/>
        <v/>
      </c>
      <c r="AK178" s="1" t="str">
        <f>IFERROR(IF(Lists!$B178="","",Lists!$E178),"")</f>
        <v/>
      </c>
      <c r="AL178" s="1" t="str">
        <f>IF(AND(OR('HR Quick View'!$L$10="All Shifts",AH178='HR Quick View'!$L$10),OR(AND('HR Quick View'!$I$10="Qualified only",AI178=3),AND('HR Quick View'!$I$10="All trained",AI178&gt;0))),IF('HR Quick View'!$L$10="All Shifts",COUNTIF($AI$4:$AI$203,"&gt;"&amp;AI178)+COUNTIF($AI$4:AI178,AI178),COUNTIFS($AI$4:$AI$203,"&gt;"&amp;AI178,$AH$4:$AH$203,'HR Quick View'!$L$10)+COUNTIFS($AI$4:AI178,AI178,$AH$4:AH178,'HR Quick View'!$L$10)),"")</f>
        <v/>
      </c>
      <c r="BA178" s="17" t="str">
        <f>IFERROR(IF('Training Plan'!$A179="","",'Training Plan'!$A179),"")</f>
        <v/>
      </c>
      <c r="BB178" s="17" t="str">
        <f>IFERROR(IF('Training Plan'!$A179="","",'Training Plan'!$B179),"")</f>
        <v/>
      </c>
      <c r="BC178" s="17" t="str">
        <f>IFERROR(IF('Training Plan'!$A179="","",'Training Plan'!$C179),"")</f>
        <v/>
      </c>
      <c r="BD178" s="17" t="str">
        <f>IFERROR(IF('Training Plan'!$A179="","",'Training Plan'!$D179),"")</f>
        <v/>
      </c>
      <c r="BE178" s="17" t="str">
        <f>IFERROR(IF('Training Plan'!$A179="","",'Training Plan'!$E179),"")</f>
        <v/>
      </c>
      <c r="BF178" s="17" t="str">
        <f>IFERROR(IF('Training Plan'!$A179="","",'Training Plan'!$F179),"")</f>
        <v/>
      </c>
      <c r="BG178" s="17" t="str">
        <f>IFERROR(IF('Training Plan'!$A179="","",'Training Plan'!$G179),"")</f>
        <v/>
      </c>
      <c r="BH178" s="17" t="str">
        <f>IFERROR(IF('Training Plan'!$A179="","",'Training Plan'!$H179),"")</f>
        <v/>
      </c>
      <c r="BI178" s="17" t="str">
        <f>IF(OR(BA178="",BF178="Complete",AND('Skill Management'!$D$4&lt;&gt;"All Departments",BB178&lt;&gt;'Skill Management'!$D$4)),"",IF(BF178="Blocked",100000,IF(BF178="In Progress",200000,300000))+IF(BE178="",99999,BE178))</f>
        <v/>
      </c>
      <c r="BJ178" s="17" t="str">
        <f>IF(BI178="","",COUNTIFS($BI$4:$BI$203,"&gt;0",$BI$4:$BI$203,"&lt;"&amp;BI178)+COUNTIF($BI$4:BI178,BI178))</f>
        <v/>
      </c>
      <c r="CB178" t="str">
        <f>IF(AND('Competency Event Log'!$B178='Employee Transcript'!$C$4,'Competency Event Log'!$I178&lt;&gt;"Yes"),'Competency Event Log'!$K178,"")</f>
        <v/>
      </c>
      <c r="CC178" t="str">
        <f t="shared" si="40"/>
        <v/>
      </c>
      <c r="CD178" t="str">
        <f>IF(Certifications!$A178='Employee Transcript'!$C$4,178,"")</f>
        <v/>
      </c>
      <c r="CE178" t="str">
        <f>IF(CD178="","",COUNTIF($CD$4:CD178,"&gt;0"))</f>
        <v/>
      </c>
      <c r="CF178" t="str">
        <f>IF(AND('Training Plan'!$A179='Employee Transcript'!$C$4,'Training Plan'!$F179&lt;&gt;"Complete"),179,"")</f>
        <v/>
      </c>
      <c r="CG178" t="str">
        <f>IF(CF178="","",COUNTIF($CF$4:CF178,"&gt;0"))</f>
        <v/>
      </c>
    </row>
    <row r="179" spans="1:85">
      <c r="A179" s="2"/>
      <c r="B179" s="1"/>
      <c r="C179" s="1"/>
      <c r="D179" s="1"/>
      <c r="E179" s="1"/>
      <c r="F179" s="3"/>
      <c r="G179" s="1"/>
      <c r="H179" s="4"/>
      <c r="AF179" s="1" t="str">
        <f>IFERROR(IF(Lists!$B179="","",Lists!$B179),"")</f>
        <v/>
      </c>
      <c r="AG179" s="1" t="str">
        <f>IFERROR(IF(Lists!$B179="","",Lists!$C179),"")</f>
        <v/>
      </c>
      <c r="AH179" s="1" t="str">
        <f>IFERROR(IF(Lists!$B179="","",Lists!$D179),"")</f>
        <v/>
      </c>
      <c r="AI179" s="1" t="str">
        <f>IF(AF179="","",IFERROR(INDEX('Skills Matrix'!$G$6:$DE$205,MATCH(AF179,'Skills Matrix'!$B$6:$B$205,0),MATCH('HR Quick View'!$J$9,'Skills Matrix'!$G$5:$DE$5,0)),""))</f>
        <v/>
      </c>
      <c r="AJ179" s="1" t="str">
        <f t="shared" si="41"/>
        <v/>
      </c>
      <c r="AK179" s="1" t="str">
        <f>IFERROR(IF(Lists!$B179="","",Lists!$E179),"")</f>
        <v/>
      </c>
      <c r="AL179" s="1" t="str">
        <f>IF(AND(OR('HR Quick View'!$L$10="All Shifts",AH179='HR Quick View'!$L$10),OR(AND('HR Quick View'!$I$10="Qualified only",AI179=3),AND('HR Quick View'!$I$10="All trained",AI179&gt;0))),IF('HR Quick View'!$L$10="All Shifts",COUNTIF($AI$4:$AI$203,"&gt;"&amp;AI179)+COUNTIF($AI$4:AI179,AI179),COUNTIFS($AI$4:$AI$203,"&gt;"&amp;AI179,$AH$4:$AH$203,'HR Quick View'!$L$10)+COUNTIFS($AI$4:AI179,AI179,$AH$4:AH179,'HR Quick View'!$L$10)),"")</f>
        <v/>
      </c>
      <c r="BA179" s="17" t="str">
        <f>IFERROR(IF('Training Plan'!$A180="","",'Training Plan'!$A180),"")</f>
        <v/>
      </c>
      <c r="BB179" s="17" t="str">
        <f>IFERROR(IF('Training Plan'!$A180="","",'Training Plan'!$B180),"")</f>
        <v/>
      </c>
      <c r="BC179" s="17" t="str">
        <f>IFERROR(IF('Training Plan'!$A180="","",'Training Plan'!$C180),"")</f>
        <v/>
      </c>
      <c r="BD179" s="17" t="str">
        <f>IFERROR(IF('Training Plan'!$A180="","",'Training Plan'!$D180),"")</f>
        <v/>
      </c>
      <c r="BE179" s="17" t="str">
        <f>IFERROR(IF('Training Plan'!$A180="","",'Training Plan'!$E180),"")</f>
        <v/>
      </c>
      <c r="BF179" s="17" t="str">
        <f>IFERROR(IF('Training Plan'!$A180="","",'Training Plan'!$F180),"")</f>
        <v/>
      </c>
      <c r="BG179" s="17" t="str">
        <f>IFERROR(IF('Training Plan'!$A180="","",'Training Plan'!$G180),"")</f>
        <v/>
      </c>
      <c r="BH179" s="17" t="str">
        <f>IFERROR(IF('Training Plan'!$A180="","",'Training Plan'!$H180),"")</f>
        <v/>
      </c>
      <c r="BI179" s="17" t="str">
        <f>IF(OR(BA179="",BF179="Complete",AND('Skill Management'!$D$4&lt;&gt;"All Departments",BB179&lt;&gt;'Skill Management'!$D$4)),"",IF(BF179="Blocked",100000,IF(BF179="In Progress",200000,300000))+IF(BE179="",99999,BE179))</f>
        <v/>
      </c>
      <c r="BJ179" s="17" t="str">
        <f>IF(BI179="","",COUNTIFS($BI$4:$BI$203,"&gt;0",$BI$4:$BI$203,"&lt;"&amp;BI179)+COUNTIF($BI$4:BI179,BI179))</f>
        <v/>
      </c>
      <c r="CB179" t="str">
        <f>IF(AND('Competency Event Log'!$B179='Employee Transcript'!$C$4,'Competency Event Log'!$I179&lt;&gt;"Yes"),'Competency Event Log'!$K179,"")</f>
        <v/>
      </c>
      <c r="CC179" t="str">
        <f t="shared" si="40"/>
        <v/>
      </c>
      <c r="CD179" t="str">
        <f>IF(Certifications!$A179='Employee Transcript'!$C$4,179,"")</f>
        <v/>
      </c>
      <c r="CE179" t="str">
        <f>IF(CD179="","",COUNTIF($CD$4:CD179,"&gt;0"))</f>
        <v/>
      </c>
      <c r="CF179" t="str">
        <f>IF(AND('Training Plan'!$A180='Employee Transcript'!$C$4,'Training Plan'!$F180&lt;&gt;"Complete"),180,"")</f>
        <v/>
      </c>
      <c r="CG179" t="str">
        <f>IF(CF179="","",COUNTIF($CF$4:CF179,"&gt;0"))</f>
        <v/>
      </c>
    </row>
    <row r="180" spans="1:85">
      <c r="A180" s="2"/>
      <c r="B180" s="1"/>
      <c r="C180" s="1"/>
      <c r="D180" s="1"/>
      <c r="E180" s="1"/>
      <c r="F180" s="3"/>
      <c r="G180" s="1"/>
      <c r="H180" s="4"/>
      <c r="AF180" s="1" t="str">
        <f>IFERROR(IF(Lists!$B180="","",Lists!$B180),"")</f>
        <v/>
      </c>
      <c r="AG180" s="1" t="str">
        <f>IFERROR(IF(Lists!$B180="","",Lists!$C180),"")</f>
        <v/>
      </c>
      <c r="AH180" s="1" t="str">
        <f>IFERROR(IF(Lists!$B180="","",Lists!$D180),"")</f>
        <v/>
      </c>
      <c r="AI180" s="1" t="str">
        <f>IF(AF180="","",IFERROR(INDEX('Skills Matrix'!$G$6:$DE$205,MATCH(AF180,'Skills Matrix'!$B$6:$B$205,0),MATCH('HR Quick View'!$J$9,'Skills Matrix'!$G$5:$DE$5,0)),""))</f>
        <v/>
      </c>
      <c r="AJ180" s="1" t="str">
        <f t="shared" si="41"/>
        <v/>
      </c>
      <c r="AK180" s="1" t="str">
        <f>IFERROR(IF(Lists!$B180="","",Lists!$E180),"")</f>
        <v/>
      </c>
      <c r="AL180" s="1" t="str">
        <f>IF(AND(OR('HR Quick View'!$L$10="All Shifts",AH180='HR Quick View'!$L$10),OR(AND('HR Quick View'!$I$10="Qualified only",AI180=3),AND('HR Quick View'!$I$10="All trained",AI180&gt;0))),IF('HR Quick View'!$L$10="All Shifts",COUNTIF($AI$4:$AI$203,"&gt;"&amp;AI180)+COUNTIF($AI$4:AI180,AI180),COUNTIFS($AI$4:$AI$203,"&gt;"&amp;AI180,$AH$4:$AH$203,'HR Quick View'!$L$10)+COUNTIFS($AI$4:AI180,AI180,$AH$4:AH180,'HR Quick View'!$L$10)),"")</f>
        <v/>
      </c>
      <c r="BA180" s="17" t="str">
        <f>IFERROR(IF('Training Plan'!$A181="","",'Training Plan'!$A181),"")</f>
        <v/>
      </c>
      <c r="BB180" s="17" t="str">
        <f>IFERROR(IF('Training Plan'!$A181="","",'Training Plan'!$B181),"")</f>
        <v/>
      </c>
      <c r="BC180" s="17" t="str">
        <f>IFERROR(IF('Training Plan'!$A181="","",'Training Plan'!$C181),"")</f>
        <v/>
      </c>
      <c r="BD180" s="17" t="str">
        <f>IFERROR(IF('Training Plan'!$A181="","",'Training Plan'!$D181),"")</f>
        <v/>
      </c>
      <c r="BE180" s="17" t="str">
        <f>IFERROR(IF('Training Plan'!$A181="","",'Training Plan'!$E181),"")</f>
        <v/>
      </c>
      <c r="BF180" s="17" t="str">
        <f>IFERROR(IF('Training Plan'!$A181="","",'Training Plan'!$F181),"")</f>
        <v/>
      </c>
      <c r="BG180" s="17" t="str">
        <f>IFERROR(IF('Training Plan'!$A181="","",'Training Plan'!$G181),"")</f>
        <v/>
      </c>
      <c r="BH180" s="17" t="str">
        <f>IFERROR(IF('Training Plan'!$A181="","",'Training Plan'!$H181),"")</f>
        <v/>
      </c>
      <c r="BI180" s="17" t="str">
        <f>IF(OR(BA180="",BF180="Complete",AND('Skill Management'!$D$4&lt;&gt;"All Departments",BB180&lt;&gt;'Skill Management'!$D$4)),"",IF(BF180="Blocked",100000,IF(BF180="In Progress",200000,300000))+IF(BE180="",99999,BE180))</f>
        <v/>
      </c>
      <c r="BJ180" s="17" t="str">
        <f>IF(BI180="","",COUNTIFS($BI$4:$BI$203,"&gt;0",$BI$4:$BI$203,"&lt;"&amp;BI180)+COUNTIF($BI$4:BI180,BI180))</f>
        <v/>
      </c>
      <c r="CB180" t="str">
        <f>IF(AND('Competency Event Log'!$B180='Employee Transcript'!$C$4,'Competency Event Log'!$I180&lt;&gt;"Yes"),'Competency Event Log'!$K180,"")</f>
        <v/>
      </c>
      <c r="CC180" t="str">
        <f t="shared" si="40"/>
        <v/>
      </c>
      <c r="CD180" t="str">
        <f>IF(Certifications!$A180='Employee Transcript'!$C$4,180,"")</f>
        <v/>
      </c>
      <c r="CE180" t="str">
        <f>IF(CD180="","",COUNTIF($CD$4:CD180,"&gt;0"))</f>
        <v/>
      </c>
      <c r="CF180" t="str">
        <f>IF(AND('Training Plan'!$A181='Employee Transcript'!$C$4,'Training Plan'!$F181&lt;&gt;"Complete"),181,"")</f>
        <v/>
      </c>
      <c r="CG180" t="str">
        <f>IF(CF180="","",COUNTIF($CF$4:CF180,"&gt;0"))</f>
        <v/>
      </c>
    </row>
    <row r="181" spans="1:85">
      <c r="A181" s="2"/>
      <c r="B181" s="1"/>
      <c r="C181" s="1"/>
      <c r="D181" s="1"/>
      <c r="E181" s="1"/>
      <c r="F181" s="3"/>
      <c r="G181" s="1"/>
      <c r="H181" s="4"/>
      <c r="AF181" s="1" t="str">
        <f>IFERROR(IF(Lists!$B181="","",Lists!$B181),"")</f>
        <v/>
      </c>
      <c r="AG181" s="1" t="str">
        <f>IFERROR(IF(Lists!$B181="","",Lists!$C181),"")</f>
        <v/>
      </c>
      <c r="AH181" s="1" t="str">
        <f>IFERROR(IF(Lists!$B181="","",Lists!$D181),"")</f>
        <v/>
      </c>
      <c r="AI181" s="1" t="str">
        <f>IF(AF181="","",IFERROR(INDEX('Skills Matrix'!$G$6:$DE$205,MATCH(AF181,'Skills Matrix'!$B$6:$B$205,0),MATCH('HR Quick View'!$J$9,'Skills Matrix'!$G$5:$DE$5,0)),""))</f>
        <v/>
      </c>
      <c r="AJ181" s="1" t="str">
        <f t="shared" si="41"/>
        <v/>
      </c>
      <c r="AK181" s="1" t="str">
        <f>IFERROR(IF(Lists!$B181="","",Lists!$E181),"")</f>
        <v/>
      </c>
      <c r="AL181" s="1" t="str">
        <f>IF(AND(OR('HR Quick View'!$L$10="All Shifts",AH181='HR Quick View'!$L$10),OR(AND('HR Quick View'!$I$10="Qualified only",AI181=3),AND('HR Quick View'!$I$10="All trained",AI181&gt;0))),IF('HR Quick View'!$L$10="All Shifts",COUNTIF($AI$4:$AI$203,"&gt;"&amp;AI181)+COUNTIF($AI$4:AI181,AI181),COUNTIFS($AI$4:$AI$203,"&gt;"&amp;AI181,$AH$4:$AH$203,'HR Quick View'!$L$10)+COUNTIFS($AI$4:AI181,AI181,$AH$4:AH181,'HR Quick View'!$L$10)),"")</f>
        <v/>
      </c>
      <c r="BA181" s="17" t="str">
        <f>IFERROR(IF('Training Plan'!$A182="","",'Training Plan'!$A182),"")</f>
        <v/>
      </c>
      <c r="BB181" s="17" t="str">
        <f>IFERROR(IF('Training Plan'!$A182="","",'Training Plan'!$B182),"")</f>
        <v/>
      </c>
      <c r="BC181" s="17" t="str">
        <f>IFERROR(IF('Training Plan'!$A182="","",'Training Plan'!$C182),"")</f>
        <v/>
      </c>
      <c r="BD181" s="17" t="str">
        <f>IFERROR(IF('Training Plan'!$A182="","",'Training Plan'!$D182),"")</f>
        <v/>
      </c>
      <c r="BE181" s="17" t="str">
        <f>IFERROR(IF('Training Plan'!$A182="","",'Training Plan'!$E182),"")</f>
        <v/>
      </c>
      <c r="BF181" s="17" t="str">
        <f>IFERROR(IF('Training Plan'!$A182="","",'Training Plan'!$F182),"")</f>
        <v/>
      </c>
      <c r="BG181" s="17" t="str">
        <f>IFERROR(IF('Training Plan'!$A182="","",'Training Plan'!$G182),"")</f>
        <v/>
      </c>
      <c r="BH181" s="17" t="str">
        <f>IFERROR(IF('Training Plan'!$A182="","",'Training Plan'!$H182),"")</f>
        <v/>
      </c>
      <c r="BI181" s="17" t="str">
        <f>IF(OR(BA181="",BF181="Complete",AND('Skill Management'!$D$4&lt;&gt;"All Departments",BB181&lt;&gt;'Skill Management'!$D$4)),"",IF(BF181="Blocked",100000,IF(BF181="In Progress",200000,300000))+IF(BE181="",99999,BE181))</f>
        <v/>
      </c>
      <c r="BJ181" s="17" t="str">
        <f>IF(BI181="","",COUNTIFS($BI$4:$BI$203,"&gt;0",$BI$4:$BI$203,"&lt;"&amp;BI181)+COUNTIF($BI$4:BI181,BI181))</f>
        <v/>
      </c>
      <c r="CB181" t="str">
        <f>IF(AND('Competency Event Log'!$B181='Employee Transcript'!$C$4,'Competency Event Log'!$I181&lt;&gt;"Yes"),'Competency Event Log'!$K181,"")</f>
        <v/>
      </c>
      <c r="CC181" t="str">
        <f t="shared" si="40"/>
        <v/>
      </c>
      <c r="CD181" t="str">
        <f>IF(Certifications!$A181='Employee Transcript'!$C$4,181,"")</f>
        <v/>
      </c>
      <c r="CE181" t="str">
        <f>IF(CD181="","",COUNTIF($CD$4:CD181,"&gt;0"))</f>
        <v/>
      </c>
      <c r="CF181" t="str">
        <f>IF(AND('Training Plan'!$A182='Employee Transcript'!$C$4,'Training Plan'!$F182&lt;&gt;"Complete"),182,"")</f>
        <v/>
      </c>
      <c r="CG181" t="str">
        <f>IF(CF181="","",COUNTIF($CF$4:CF181,"&gt;0"))</f>
        <v/>
      </c>
    </row>
    <row r="182" spans="1:85">
      <c r="A182" s="2"/>
      <c r="B182" s="1"/>
      <c r="C182" s="1"/>
      <c r="D182" s="1"/>
      <c r="E182" s="1"/>
      <c r="F182" s="3"/>
      <c r="G182" s="1"/>
      <c r="H182" s="4"/>
      <c r="AF182" s="1" t="str">
        <f>IFERROR(IF(Lists!$B182="","",Lists!$B182),"")</f>
        <v/>
      </c>
      <c r="AG182" s="1" t="str">
        <f>IFERROR(IF(Lists!$B182="","",Lists!$C182),"")</f>
        <v/>
      </c>
      <c r="AH182" s="1" t="str">
        <f>IFERROR(IF(Lists!$B182="","",Lists!$D182),"")</f>
        <v/>
      </c>
      <c r="AI182" s="1" t="str">
        <f>IF(AF182="","",IFERROR(INDEX('Skills Matrix'!$G$6:$DE$205,MATCH(AF182,'Skills Matrix'!$B$6:$B$205,0),MATCH('HR Quick View'!$J$9,'Skills Matrix'!$G$5:$DE$5,0)),""))</f>
        <v/>
      </c>
      <c r="AJ182" s="1" t="str">
        <f t="shared" si="41"/>
        <v/>
      </c>
      <c r="AK182" s="1" t="str">
        <f>IFERROR(IF(Lists!$B182="","",Lists!$E182),"")</f>
        <v/>
      </c>
      <c r="AL182" s="1" t="str">
        <f>IF(AND(OR('HR Quick View'!$L$10="All Shifts",AH182='HR Quick View'!$L$10),OR(AND('HR Quick View'!$I$10="Qualified only",AI182=3),AND('HR Quick View'!$I$10="All trained",AI182&gt;0))),IF('HR Quick View'!$L$10="All Shifts",COUNTIF($AI$4:$AI$203,"&gt;"&amp;AI182)+COUNTIF($AI$4:AI182,AI182),COUNTIFS($AI$4:$AI$203,"&gt;"&amp;AI182,$AH$4:$AH$203,'HR Quick View'!$L$10)+COUNTIFS($AI$4:AI182,AI182,$AH$4:AH182,'HR Quick View'!$L$10)),"")</f>
        <v/>
      </c>
      <c r="BA182" s="17" t="str">
        <f>IFERROR(IF('Training Plan'!$A183="","",'Training Plan'!$A183),"")</f>
        <v/>
      </c>
      <c r="BB182" s="17" t="str">
        <f>IFERROR(IF('Training Plan'!$A183="","",'Training Plan'!$B183),"")</f>
        <v/>
      </c>
      <c r="BC182" s="17" t="str">
        <f>IFERROR(IF('Training Plan'!$A183="","",'Training Plan'!$C183),"")</f>
        <v/>
      </c>
      <c r="BD182" s="17" t="str">
        <f>IFERROR(IF('Training Plan'!$A183="","",'Training Plan'!$D183),"")</f>
        <v/>
      </c>
      <c r="BE182" s="17" t="str">
        <f>IFERROR(IF('Training Plan'!$A183="","",'Training Plan'!$E183),"")</f>
        <v/>
      </c>
      <c r="BF182" s="17" t="str">
        <f>IFERROR(IF('Training Plan'!$A183="","",'Training Plan'!$F183),"")</f>
        <v/>
      </c>
      <c r="BG182" s="17" t="str">
        <f>IFERROR(IF('Training Plan'!$A183="","",'Training Plan'!$G183),"")</f>
        <v/>
      </c>
      <c r="BH182" s="17" t="str">
        <f>IFERROR(IF('Training Plan'!$A183="","",'Training Plan'!$H183),"")</f>
        <v/>
      </c>
      <c r="BI182" s="17" t="str">
        <f>IF(OR(BA182="",BF182="Complete",AND('Skill Management'!$D$4&lt;&gt;"All Departments",BB182&lt;&gt;'Skill Management'!$D$4)),"",IF(BF182="Blocked",100000,IF(BF182="In Progress",200000,300000))+IF(BE182="",99999,BE182))</f>
        <v/>
      </c>
      <c r="BJ182" s="17" t="str">
        <f>IF(BI182="","",COUNTIFS($BI$4:$BI$203,"&gt;0",$BI$4:$BI$203,"&lt;"&amp;BI182)+COUNTIF($BI$4:BI182,BI182))</f>
        <v/>
      </c>
      <c r="CB182" t="str">
        <f>IF(AND('Competency Event Log'!$B182='Employee Transcript'!$C$4,'Competency Event Log'!$I182&lt;&gt;"Yes"),'Competency Event Log'!$K182,"")</f>
        <v/>
      </c>
      <c r="CC182" t="str">
        <f t="shared" si="40"/>
        <v/>
      </c>
      <c r="CD182" t="str">
        <f>IF(Certifications!$A182='Employee Transcript'!$C$4,182,"")</f>
        <v/>
      </c>
      <c r="CE182" t="str">
        <f>IF(CD182="","",COUNTIF($CD$4:CD182,"&gt;0"))</f>
        <v/>
      </c>
      <c r="CF182" t="str">
        <f>IF(AND('Training Plan'!$A183='Employee Transcript'!$C$4,'Training Plan'!$F183&lt;&gt;"Complete"),183,"")</f>
        <v/>
      </c>
      <c r="CG182" t="str">
        <f>IF(CF182="","",COUNTIF($CF$4:CF182,"&gt;0"))</f>
        <v/>
      </c>
    </row>
    <row r="183" spans="1:85">
      <c r="A183" s="2"/>
      <c r="B183" s="1"/>
      <c r="C183" s="1"/>
      <c r="D183" s="1"/>
      <c r="E183" s="1"/>
      <c r="F183" s="3"/>
      <c r="G183" s="1"/>
      <c r="H183" s="4"/>
      <c r="AF183" s="1" t="str">
        <f>IFERROR(IF(Lists!$B183="","",Lists!$B183),"")</f>
        <v/>
      </c>
      <c r="AG183" s="1" t="str">
        <f>IFERROR(IF(Lists!$B183="","",Lists!$C183),"")</f>
        <v/>
      </c>
      <c r="AH183" s="1" t="str">
        <f>IFERROR(IF(Lists!$B183="","",Lists!$D183),"")</f>
        <v/>
      </c>
      <c r="AI183" s="1" t="str">
        <f>IF(AF183="","",IFERROR(INDEX('Skills Matrix'!$G$6:$DE$205,MATCH(AF183,'Skills Matrix'!$B$6:$B$205,0),MATCH('HR Quick View'!$J$9,'Skills Matrix'!$G$5:$DE$5,0)),""))</f>
        <v/>
      </c>
      <c r="AJ183" s="1" t="str">
        <f t="shared" si="41"/>
        <v/>
      </c>
      <c r="AK183" s="1" t="str">
        <f>IFERROR(IF(Lists!$B183="","",Lists!$E183),"")</f>
        <v/>
      </c>
      <c r="AL183" s="1" t="str">
        <f>IF(AND(OR('HR Quick View'!$L$10="All Shifts",AH183='HR Quick View'!$L$10),OR(AND('HR Quick View'!$I$10="Qualified only",AI183=3),AND('HR Quick View'!$I$10="All trained",AI183&gt;0))),IF('HR Quick View'!$L$10="All Shifts",COUNTIF($AI$4:$AI$203,"&gt;"&amp;AI183)+COUNTIF($AI$4:AI183,AI183),COUNTIFS($AI$4:$AI$203,"&gt;"&amp;AI183,$AH$4:$AH$203,'HR Quick View'!$L$10)+COUNTIFS($AI$4:AI183,AI183,$AH$4:AH183,'HR Quick View'!$L$10)),"")</f>
        <v/>
      </c>
      <c r="BA183" s="17" t="str">
        <f>IFERROR(IF('Training Plan'!$A184="","",'Training Plan'!$A184),"")</f>
        <v/>
      </c>
      <c r="BB183" s="17" t="str">
        <f>IFERROR(IF('Training Plan'!$A184="","",'Training Plan'!$B184),"")</f>
        <v/>
      </c>
      <c r="BC183" s="17" t="str">
        <f>IFERROR(IF('Training Plan'!$A184="","",'Training Plan'!$C184),"")</f>
        <v/>
      </c>
      <c r="BD183" s="17" t="str">
        <f>IFERROR(IF('Training Plan'!$A184="","",'Training Plan'!$D184),"")</f>
        <v/>
      </c>
      <c r="BE183" s="17" t="str">
        <f>IFERROR(IF('Training Plan'!$A184="","",'Training Plan'!$E184),"")</f>
        <v/>
      </c>
      <c r="BF183" s="17" t="str">
        <f>IFERROR(IF('Training Plan'!$A184="","",'Training Plan'!$F184),"")</f>
        <v/>
      </c>
      <c r="BG183" s="17" t="str">
        <f>IFERROR(IF('Training Plan'!$A184="","",'Training Plan'!$G184),"")</f>
        <v/>
      </c>
      <c r="BH183" s="17" t="str">
        <f>IFERROR(IF('Training Plan'!$A184="","",'Training Plan'!$H184),"")</f>
        <v/>
      </c>
      <c r="BI183" s="17" t="str">
        <f>IF(OR(BA183="",BF183="Complete",AND('Skill Management'!$D$4&lt;&gt;"All Departments",BB183&lt;&gt;'Skill Management'!$D$4)),"",IF(BF183="Blocked",100000,IF(BF183="In Progress",200000,300000))+IF(BE183="",99999,BE183))</f>
        <v/>
      </c>
      <c r="BJ183" s="17" t="str">
        <f>IF(BI183="","",COUNTIFS($BI$4:$BI$203,"&gt;0",$BI$4:$BI$203,"&lt;"&amp;BI183)+COUNTIF($BI$4:BI183,BI183))</f>
        <v/>
      </c>
      <c r="CB183" t="str">
        <f>IF(AND('Competency Event Log'!$B183='Employee Transcript'!$C$4,'Competency Event Log'!$I183&lt;&gt;"Yes"),'Competency Event Log'!$K183,"")</f>
        <v/>
      </c>
      <c r="CC183" t="str">
        <f t="shared" si="40"/>
        <v/>
      </c>
      <c r="CD183" t="str">
        <f>IF(Certifications!$A183='Employee Transcript'!$C$4,183,"")</f>
        <v/>
      </c>
      <c r="CE183" t="str">
        <f>IF(CD183="","",COUNTIF($CD$4:CD183,"&gt;0"))</f>
        <v/>
      </c>
      <c r="CF183" t="str">
        <f>IF(AND('Training Plan'!$A184='Employee Transcript'!$C$4,'Training Plan'!$F184&lt;&gt;"Complete"),184,"")</f>
        <v/>
      </c>
      <c r="CG183" t="str">
        <f>IF(CF183="","",COUNTIF($CF$4:CF183,"&gt;0"))</f>
        <v/>
      </c>
    </row>
    <row r="184" spans="1:85">
      <c r="A184" s="2"/>
      <c r="B184" s="1"/>
      <c r="C184" s="1"/>
      <c r="D184" s="1"/>
      <c r="E184" s="1"/>
      <c r="F184" s="3"/>
      <c r="G184" s="1"/>
      <c r="H184" s="4"/>
      <c r="AF184" s="1" t="str">
        <f>IFERROR(IF(Lists!$B184="","",Lists!$B184),"")</f>
        <v/>
      </c>
      <c r="AG184" s="1" t="str">
        <f>IFERROR(IF(Lists!$B184="","",Lists!$C184),"")</f>
        <v/>
      </c>
      <c r="AH184" s="1" t="str">
        <f>IFERROR(IF(Lists!$B184="","",Lists!$D184),"")</f>
        <v/>
      </c>
      <c r="AI184" s="1" t="str">
        <f>IF(AF184="","",IFERROR(INDEX('Skills Matrix'!$G$6:$DE$205,MATCH(AF184,'Skills Matrix'!$B$6:$B$205,0),MATCH('HR Quick View'!$J$9,'Skills Matrix'!$G$5:$DE$5,0)),""))</f>
        <v/>
      </c>
      <c r="AJ184" s="1" t="str">
        <f t="shared" si="41"/>
        <v/>
      </c>
      <c r="AK184" s="1" t="str">
        <f>IFERROR(IF(Lists!$B184="","",Lists!$E184),"")</f>
        <v/>
      </c>
      <c r="AL184" s="1" t="str">
        <f>IF(AND(OR('HR Quick View'!$L$10="All Shifts",AH184='HR Quick View'!$L$10),OR(AND('HR Quick View'!$I$10="Qualified only",AI184=3),AND('HR Quick View'!$I$10="All trained",AI184&gt;0))),IF('HR Quick View'!$L$10="All Shifts",COUNTIF($AI$4:$AI$203,"&gt;"&amp;AI184)+COUNTIF($AI$4:AI184,AI184),COUNTIFS($AI$4:$AI$203,"&gt;"&amp;AI184,$AH$4:$AH$203,'HR Quick View'!$L$10)+COUNTIFS($AI$4:AI184,AI184,$AH$4:AH184,'HR Quick View'!$L$10)),"")</f>
        <v/>
      </c>
      <c r="BA184" s="17" t="str">
        <f>IFERROR(IF('Training Plan'!$A185="","",'Training Plan'!$A185),"")</f>
        <v/>
      </c>
      <c r="BB184" s="17" t="str">
        <f>IFERROR(IF('Training Plan'!$A185="","",'Training Plan'!$B185),"")</f>
        <v/>
      </c>
      <c r="BC184" s="17" t="str">
        <f>IFERROR(IF('Training Plan'!$A185="","",'Training Plan'!$C185),"")</f>
        <v/>
      </c>
      <c r="BD184" s="17" t="str">
        <f>IFERROR(IF('Training Plan'!$A185="","",'Training Plan'!$D185),"")</f>
        <v/>
      </c>
      <c r="BE184" s="17" t="str">
        <f>IFERROR(IF('Training Plan'!$A185="","",'Training Plan'!$E185),"")</f>
        <v/>
      </c>
      <c r="BF184" s="17" t="str">
        <f>IFERROR(IF('Training Plan'!$A185="","",'Training Plan'!$F185),"")</f>
        <v/>
      </c>
      <c r="BG184" s="17" t="str">
        <f>IFERROR(IF('Training Plan'!$A185="","",'Training Plan'!$G185),"")</f>
        <v/>
      </c>
      <c r="BH184" s="17" t="str">
        <f>IFERROR(IF('Training Plan'!$A185="","",'Training Plan'!$H185),"")</f>
        <v/>
      </c>
      <c r="BI184" s="17" t="str">
        <f>IF(OR(BA184="",BF184="Complete",AND('Skill Management'!$D$4&lt;&gt;"All Departments",BB184&lt;&gt;'Skill Management'!$D$4)),"",IF(BF184="Blocked",100000,IF(BF184="In Progress",200000,300000))+IF(BE184="",99999,BE184))</f>
        <v/>
      </c>
      <c r="BJ184" s="17" t="str">
        <f>IF(BI184="","",COUNTIFS($BI$4:$BI$203,"&gt;0",$BI$4:$BI$203,"&lt;"&amp;BI184)+COUNTIF($BI$4:BI184,BI184))</f>
        <v/>
      </c>
      <c r="CB184" t="str">
        <f>IF(AND('Competency Event Log'!$B184='Employee Transcript'!$C$4,'Competency Event Log'!$I184&lt;&gt;"Yes"),'Competency Event Log'!$K184,"")</f>
        <v/>
      </c>
      <c r="CC184" t="str">
        <f t="shared" si="40"/>
        <v/>
      </c>
      <c r="CD184" t="str">
        <f>IF(Certifications!$A184='Employee Transcript'!$C$4,184,"")</f>
        <v/>
      </c>
      <c r="CE184" t="str">
        <f>IF(CD184="","",COUNTIF($CD$4:CD184,"&gt;0"))</f>
        <v/>
      </c>
      <c r="CF184" t="str">
        <f>IF(AND('Training Plan'!$A185='Employee Transcript'!$C$4,'Training Plan'!$F185&lt;&gt;"Complete"),185,"")</f>
        <v/>
      </c>
      <c r="CG184" t="str">
        <f>IF(CF184="","",COUNTIF($CF$4:CF184,"&gt;0"))</f>
        <v/>
      </c>
    </row>
    <row r="185" spans="1:85">
      <c r="A185" s="2"/>
      <c r="B185" s="1"/>
      <c r="C185" s="1"/>
      <c r="D185" s="1"/>
      <c r="E185" s="1"/>
      <c r="F185" s="3"/>
      <c r="G185" s="1"/>
      <c r="H185" s="4"/>
      <c r="AF185" s="1" t="str">
        <f>IFERROR(IF(Lists!$B185="","",Lists!$B185),"")</f>
        <v/>
      </c>
      <c r="AG185" s="1" t="str">
        <f>IFERROR(IF(Lists!$B185="","",Lists!$C185),"")</f>
        <v/>
      </c>
      <c r="AH185" s="1" t="str">
        <f>IFERROR(IF(Lists!$B185="","",Lists!$D185),"")</f>
        <v/>
      </c>
      <c r="AI185" s="1" t="str">
        <f>IF(AF185="","",IFERROR(INDEX('Skills Matrix'!$G$6:$DE$205,MATCH(AF185,'Skills Matrix'!$B$6:$B$205,0),MATCH('HR Quick View'!$J$9,'Skills Matrix'!$G$5:$DE$5,0)),""))</f>
        <v/>
      </c>
      <c r="AJ185" s="1" t="str">
        <f t="shared" si="41"/>
        <v/>
      </c>
      <c r="AK185" s="1" t="str">
        <f>IFERROR(IF(Lists!$B185="","",Lists!$E185),"")</f>
        <v/>
      </c>
      <c r="AL185" s="1" t="str">
        <f>IF(AND(OR('HR Quick View'!$L$10="All Shifts",AH185='HR Quick View'!$L$10),OR(AND('HR Quick View'!$I$10="Qualified only",AI185=3),AND('HR Quick View'!$I$10="All trained",AI185&gt;0))),IF('HR Quick View'!$L$10="All Shifts",COUNTIF($AI$4:$AI$203,"&gt;"&amp;AI185)+COUNTIF($AI$4:AI185,AI185),COUNTIFS($AI$4:$AI$203,"&gt;"&amp;AI185,$AH$4:$AH$203,'HR Quick View'!$L$10)+COUNTIFS($AI$4:AI185,AI185,$AH$4:AH185,'HR Quick View'!$L$10)),"")</f>
        <v/>
      </c>
      <c r="BA185" s="17" t="str">
        <f>IFERROR(IF('Training Plan'!$A186="","",'Training Plan'!$A186),"")</f>
        <v/>
      </c>
      <c r="BB185" s="17" t="str">
        <f>IFERROR(IF('Training Plan'!$A186="","",'Training Plan'!$B186),"")</f>
        <v/>
      </c>
      <c r="BC185" s="17" t="str">
        <f>IFERROR(IF('Training Plan'!$A186="","",'Training Plan'!$C186),"")</f>
        <v/>
      </c>
      <c r="BD185" s="17" t="str">
        <f>IFERROR(IF('Training Plan'!$A186="","",'Training Plan'!$D186),"")</f>
        <v/>
      </c>
      <c r="BE185" s="17" t="str">
        <f>IFERROR(IF('Training Plan'!$A186="","",'Training Plan'!$E186),"")</f>
        <v/>
      </c>
      <c r="BF185" s="17" t="str">
        <f>IFERROR(IF('Training Plan'!$A186="","",'Training Plan'!$F186),"")</f>
        <v/>
      </c>
      <c r="BG185" s="17" t="str">
        <f>IFERROR(IF('Training Plan'!$A186="","",'Training Plan'!$G186),"")</f>
        <v/>
      </c>
      <c r="BH185" s="17" t="str">
        <f>IFERROR(IF('Training Plan'!$A186="","",'Training Plan'!$H186),"")</f>
        <v/>
      </c>
      <c r="BI185" s="17" t="str">
        <f>IF(OR(BA185="",BF185="Complete",AND('Skill Management'!$D$4&lt;&gt;"All Departments",BB185&lt;&gt;'Skill Management'!$D$4)),"",IF(BF185="Blocked",100000,IF(BF185="In Progress",200000,300000))+IF(BE185="",99999,BE185))</f>
        <v/>
      </c>
      <c r="BJ185" s="17" t="str">
        <f>IF(BI185="","",COUNTIFS($BI$4:$BI$203,"&gt;0",$BI$4:$BI$203,"&lt;"&amp;BI185)+COUNTIF($BI$4:BI185,BI185))</f>
        <v/>
      </c>
      <c r="CB185" t="str">
        <f>IF(AND('Competency Event Log'!$B185='Employee Transcript'!$C$4,'Competency Event Log'!$I185&lt;&gt;"Yes"),'Competency Event Log'!$K185,"")</f>
        <v/>
      </c>
      <c r="CC185" t="str">
        <f t="shared" si="40"/>
        <v/>
      </c>
      <c r="CD185" t="str">
        <f>IF(Certifications!$A185='Employee Transcript'!$C$4,185,"")</f>
        <v/>
      </c>
      <c r="CE185" t="str">
        <f>IF(CD185="","",COUNTIF($CD$4:CD185,"&gt;0"))</f>
        <v/>
      </c>
      <c r="CF185" t="str">
        <f>IF(AND('Training Plan'!$A186='Employee Transcript'!$C$4,'Training Plan'!$F186&lt;&gt;"Complete"),186,"")</f>
        <v/>
      </c>
      <c r="CG185" t="str">
        <f>IF(CF185="","",COUNTIF($CF$4:CF185,"&gt;0"))</f>
        <v/>
      </c>
    </row>
    <row r="186" spans="1:85">
      <c r="A186" s="2"/>
      <c r="B186" s="1"/>
      <c r="C186" s="1"/>
      <c r="D186" s="1"/>
      <c r="E186" s="1"/>
      <c r="F186" s="3"/>
      <c r="G186" s="1"/>
      <c r="H186" s="4"/>
      <c r="AF186" s="1" t="str">
        <f>IFERROR(IF(Lists!$B186="","",Lists!$B186),"")</f>
        <v/>
      </c>
      <c r="AG186" s="1" t="str">
        <f>IFERROR(IF(Lists!$B186="","",Lists!$C186),"")</f>
        <v/>
      </c>
      <c r="AH186" s="1" t="str">
        <f>IFERROR(IF(Lists!$B186="","",Lists!$D186),"")</f>
        <v/>
      </c>
      <c r="AI186" s="1" t="str">
        <f>IF(AF186="","",IFERROR(INDEX('Skills Matrix'!$G$6:$DE$205,MATCH(AF186,'Skills Matrix'!$B$6:$B$205,0),MATCH('HR Quick View'!$J$9,'Skills Matrix'!$G$5:$DE$5,0)),""))</f>
        <v/>
      </c>
      <c r="AJ186" s="1" t="str">
        <f t="shared" si="41"/>
        <v/>
      </c>
      <c r="AK186" s="1" t="str">
        <f>IFERROR(IF(Lists!$B186="","",Lists!$E186),"")</f>
        <v/>
      </c>
      <c r="AL186" s="1" t="str">
        <f>IF(AND(OR('HR Quick View'!$L$10="All Shifts",AH186='HR Quick View'!$L$10),OR(AND('HR Quick View'!$I$10="Qualified only",AI186=3),AND('HR Quick View'!$I$10="All trained",AI186&gt;0))),IF('HR Quick View'!$L$10="All Shifts",COUNTIF($AI$4:$AI$203,"&gt;"&amp;AI186)+COUNTIF($AI$4:AI186,AI186),COUNTIFS($AI$4:$AI$203,"&gt;"&amp;AI186,$AH$4:$AH$203,'HR Quick View'!$L$10)+COUNTIFS($AI$4:AI186,AI186,$AH$4:AH186,'HR Quick View'!$L$10)),"")</f>
        <v/>
      </c>
      <c r="BA186" s="17" t="str">
        <f>IFERROR(IF('Training Plan'!$A187="","",'Training Plan'!$A187),"")</f>
        <v/>
      </c>
      <c r="BB186" s="17" t="str">
        <f>IFERROR(IF('Training Plan'!$A187="","",'Training Plan'!$B187),"")</f>
        <v/>
      </c>
      <c r="BC186" s="17" t="str">
        <f>IFERROR(IF('Training Plan'!$A187="","",'Training Plan'!$C187),"")</f>
        <v/>
      </c>
      <c r="BD186" s="17" t="str">
        <f>IFERROR(IF('Training Plan'!$A187="","",'Training Plan'!$D187),"")</f>
        <v/>
      </c>
      <c r="BE186" s="17" t="str">
        <f>IFERROR(IF('Training Plan'!$A187="","",'Training Plan'!$E187),"")</f>
        <v/>
      </c>
      <c r="BF186" s="17" t="str">
        <f>IFERROR(IF('Training Plan'!$A187="","",'Training Plan'!$F187),"")</f>
        <v/>
      </c>
      <c r="BG186" s="17" t="str">
        <f>IFERROR(IF('Training Plan'!$A187="","",'Training Plan'!$G187),"")</f>
        <v/>
      </c>
      <c r="BH186" s="17" t="str">
        <f>IFERROR(IF('Training Plan'!$A187="","",'Training Plan'!$H187),"")</f>
        <v/>
      </c>
      <c r="BI186" s="17" t="str">
        <f>IF(OR(BA186="",BF186="Complete",AND('Skill Management'!$D$4&lt;&gt;"All Departments",BB186&lt;&gt;'Skill Management'!$D$4)),"",IF(BF186="Blocked",100000,IF(BF186="In Progress",200000,300000))+IF(BE186="",99999,BE186))</f>
        <v/>
      </c>
      <c r="BJ186" s="17" t="str">
        <f>IF(BI186="","",COUNTIFS($BI$4:$BI$203,"&gt;0",$BI$4:$BI$203,"&lt;"&amp;BI186)+COUNTIF($BI$4:BI186,BI186))</f>
        <v/>
      </c>
      <c r="CB186" t="str">
        <f>IF(AND('Competency Event Log'!$B186='Employee Transcript'!$C$4,'Competency Event Log'!$I186&lt;&gt;"Yes"),'Competency Event Log'!$K186,"")</f>
        <v/>
      </c>
      <c r="CC186" t="str">
        <f t="shared" si="40"/>
        <v/>
      </c>
      <c r="CD186" t="str">
        <f>IF(Certifications!$A186='Employee Transcript'!$C$4,186,"")</f>
        <v/>
      </c>
      <c r="CE186" t="str">
        <f>IF(CD186="","",COUNTIF($CD$4:CD186,"&gt;0"))</f>
        <v/>
      </c>
      <c r="CF186" t="str">
        <f>IF(AND('Training Plan'!$A187='Employee Transcript'!$C$4,'Training Plan'!$F187&lt;&gt;"Complete"),187,"")</f>
        <v/>
      </c>
      <c r="CG186" t="str">
        <f>IF(CF186="","",COUNTIF($CF$4:CF186,"&gt;0"))</f>
        <v/>
      </c>
    </row>
    <row r="187" spans="1:85">
      <c r="A187" s="2"/>
      <c r="B187" s="1"/>
      <c r="C187" s="1"/>
      <c r="D187" s="1"/>
      <c r="E187" s="1"/>
      <c r="F187" s="3"/>
      <c r="G187" s="1"/>
      <c r="H187" s="4"/>
      <c r="AF187" s="1" t="str">
        <f>IFERROR(IF(Lists!$B187="","",Lists!$B187),"")</f>
        <v/>
      </c>
      <c r="AG187" s="1" t="str">
        <f>IFERROR(IF(Lists!$B187="","",Lists!$C187),"")</f>
        <v/>
      </c>
      <c r="AH187" s="1" t="str">
        <f>IFERROR(IF(Lists!$B187="","",Lists!$D187),"")</f>
        <v/>
      </c>
      <c r="AI187" s="1" t="str">
        <f>IF(AF187="","",IFERROR(INDEX('Skills Matrix'!$G$6:$DE$205,MATCH(AF187,'Skills Matrix'!$B$6:$B$205,0),MATCH('HR Quick View'!$J$9,'Skills Matrix'!$G$5:$DE$5,0)),""))</f>
        <v/>
      </c>
      <c r="AJ187" s="1" t="str">
        <f t="shared" si="41"/>
        <v/>
      </c>
      <c r="AK187" s="1" t="str">
        <f>IFERROR(IF(Lists!$B187="","",Lists!$E187),"")</f>
        <v/>
      </c>
      <c r="AL187" s="1" t="str">
        <f>IF(AND(OR('HR Quick View'!$L$10="All Shifts",AH187='HR Quick View'!$L$10),OR(AND('HR Quick View'!$I$10="Qualified only",AI187=3),AND('HR Quick View'!$I$10="All trained",AI187&gt;0))),IF('HR Quick View'!$L$10="All Shifts",COUNTIF($AI$4:$AI$203,"&gt;"&amp;AI187)+COUNTIF($AI$4:AI187,AI187),COUNTIFS($AI$4:$AI$203,"&gt;"&amp;AI187,$AH$4:$AH$203,'HR Quick View'!$L$10)+COUNTIFS($AI$4:AI187,AI187,$AH$4:AH187,'HR Quick View'!$L$10)),"")</f>
        <v/>
      </c>
      <c r="BA187" s="17" t="str">
        <f>IFERROR(IF('Training Plan'!$A188="","",'Training Plan'!$A188),"")</f>
        <v/>
      </c>
      <c r="BB187" s="17" t="str">
        <f>IFERROR(IF('Training Plan'!$A188="","",'Training Plan'!$B188),"")</f>
        <v/>
      </c>
      <c r="BC187" s="17" t="str">
        <f>IFERROR(IF('Training Plan'!$A188="","",'Training Plan'!$C188),"")</f>
        <v/>
      </c>
      <c r="BD187" s="17" t="str">
        <f>IFERROR(IF('Training Plan'!$A188="","",'Training Plan'!$D188),"")</f>
        <v/>
      </c>
      <c r="BE187" s="17" t="str">
        <f>IFERROR(IF('Training Plan'!$A188="","",'Training Plan'!$E188),"")</f>
        <v/>
      </c>
      <c r="BF187" s="17" t="str">
        <f>IFERROR(IF('Training Plan'!$A188="","",'Training Plan'!$F188),"")</f>
        <v/>
      </c>
      <c r="BG187" s="17" t="str">
        <f>IFERROR(IF('Training Plan'!$A188="","",'Training Plan'!$G188),"")</f>
        <v/>
      </c>
      <c r="BH187" s="17" t="str">
        <f>IFERROR(IF('Training Plan'!$A188="","",'Training Plan'!$H188),"")</f>
        <v/>
      </c>
      <c r="BI187" s="17" t="str">
        <f>IF(OR(BA187="",BF187="Complete",AND('Skill Management'!$D$4&lt;&gt;"All Departments",BB187&lt;&gt;'Skill Management'!$D$4)),"",IF(BF187="Blocked",100000,IF(BF187="In Progress",200000,300000))+IF(BE187="",99999,BE187))</f>
        <v/>
      </c>
      <c r="BJ187" s="17" t="str">
        <f>IF(BI187="","",COUNTIFS($BI$4:$BI$203,"&gt;0",$BI$4:$BI$203,"&lt;"&amp;BI187)+COUNTIF($BI$4:BI187,BI187))</f>
        <v/>
      </c>
      <c r="CB187" t="str">
        <f>IF(AND('Competency Event Log'!$B187='Employee Transcript'!$C$4,'Competency Event Log'!$I187&lt;&gt;"Yes"),'Competency Event Log'!$K187,"")</f>
        <v/>
      </c>
      <c r="CC187" t="str">
        <f t="shared" si="40"/>
        <v/>
      </c>
      <c r="CD187" t="str">
        <f>IF(Certifications!$A187='Employee Transcript'!$C$4,187,"")</f>
        <v/>
      </c>
      <c r="CE187" t="str">
        <f>IF(CD187="","",COUNTIF($CD$4:CD187,"&gt;0"))</f>
        <v/>
      </c>
      <c r="CF187" t="str">
        <f>IF(AND('Training Plan'!$A188='Employee Transcript'!$C$4,'Training Plan'!$F188&lt;&gt;"Complete"),188,"")</f>
        <v/>
      </c>
      <c r="CG187" t="str">
        <f>IF(CF187="","",COUNTIF($CF$4:CF187,"&gt;0"))</f>
        <v/>
      </c>
    </row>
    <row r="188" spans="1:85">
      <c r="A188" s="2"/>
      <c r="B188" s="1"/>
      <c r="C188" s="1"/>
      <c r="D188" s="1"/>
      <c r="E188" s="1"/>
      <c r="F188" s="3"/>
      <c r="G188" s="1"/>
      <c r="H188" s="4"/>
      <c r="AF188" s="1" t="str">
        <f>IFERROR(IF(Lists!$B188="","",Lists!$B188),"")</f>
        <v/>
      </c>
      <c r="AG188" s="1" t="str">
        <f>IFERROR(IF(Lists!$B188="","",Lists!$C188),"")</f>
        <v/>
      </c>
      <c r="AH188" s="1" t="str">
        <f>IFERROR(IF(Lists!$B188="","",Lists!$D188),"")</f>
        <v/>
      </c>
      <c r="AI188" s="1" t="str">
        <f>IF(AF188="","",IFERROR(INDEX('Skills Matrix'!$G$6:$DE$205,MATCH(AF188,'Skills Matrix'!$B$6:$B$205,0),MATCH('HR Quick View'!$J$9,'Skills Matrix'!$G$5:$DE$5,0)),""))</f>
        <v/>
      </c>
      <c r="AJ188" s="1" t="str">
        <f t="shared" si="41"/>
        <v/>
      </c>
      <c r="AK188" s="1" t="str">
        <f>IFERROR(IF(Lists!$B188="","",Lists!$E188),"")</f>
        <v/>
      </c>
      <c r="AL188" s="1" t="str">
        <f>IF(AND(OR('HR Quick View'!$L$10="All Shifts",AH188='HR Quick View'!$L$10),OR(AND('HR Quick View'!$I$10="Qualified only",AI188=3),AND('HR Quick View'!$I$10="All trained",AI188&gt;0))),IF('HR Quick View'!$L$10="All Shifts",COUNTIF($AI$4:$AI$203,"&gt;"&amp;AI188)+COUNTIF($AI$4:AI188,AI188),COUNTIFS($AI$4:$AI$203,"&gt;"&amp;AI188,$AH$4:$AH$203,'HR Quick View'!$L$10)+COUNTIFS($AI$4:AI188,AI188,$AH$4:AH188,'HR Quick View'!$L$10)),"")</f>
        <v/>
      </c>
      <c r="BA188" s="17" t="str">
        <f>IFERROR(IF('Training Plan'!$A189="","",'Training Plan'!$A189),"")</f>
        <v/>
      </c>
      <c r="BB188" s="17" t="str">
        <f>IFERROR(IF('Training Plan'!$A189="","",'Training Plan'!$B189),"")</f>
        <v/>
      </c>
      <c r="BC188" s="17" t="str">
        <f>IFERROR(IF('Training Plan'!$A189="","",'Training Plan'!$C189),"")</f>
        <v/>
      </c>
      <c r="BD188" s="17" t="str">
        <f>IFERROR(IF('Training Plan'!$A189="","",'Training Plan'!$D189),"")</f>
        <v/>
      </c>
      <c r="BE188" s="17" t="str">
        <f>IFERROR(IF('Training Plan'!$A189="","",'Training Plan'!$E189),"")</f>
        <v/>
      </c>
      <c r="BF188" s="17" t="str">
        <f>IFERROR(IF('Training Plan'!$A189="","",'Training Plan'!$F189),"")</f>
        <v/>
      </c>
      <c r="BG188" s="17" t="str">
        <f>IFERROR(IF('Training Plan'!$A189="","",'Training Plan'!$G189),"")</f>
        <v/>
      </c>
      <c r="BH188" s="17" t="str">
        <f>IFERROR(IF('Training Plan'!$A189="","",'Training Plan'!$H189),"")</f>
        <v/>
      </c>
      <c r="BI188" s="17" t="str">
        <f>IF(OR(BA188="",BF188="Complete",AND('Skill Management'!$D$4&lt;&gt;"All Departments",BB188&lt;&gt;'Skill Management'!$D$4)),"",IF(BF188="Blocked",100000,IF(BF188="In Progress",200000,300000))+IF(BE188="",99999,BE188))</f>
        <v/>
      </c>
      <c r="BJ188" s="17" t="str">
        <f>IF(BI188="","",COUNTIFS($BI$4:$BI$203,"&gt;0",$BI$4:$BI$203,"&lt;"&amp;BI188)+COUNTIF($BI$4:BI188,BI188))</f>
        <v/>
      </c>
      <c r="CB188" t="str">
        <f>IF(AND('Competency Event Log'!$B188='Employee Transcript'!$C$4,'Competency Event Log'!$I188&lt;&gt;"Yes"),'Competency Event Log'!$K188,"")</f>
        <v/>
      </c>
      <c r="CC188" t="str">
        <f t="shared" si="40"/>
        <v/>
      </c>
      <c r="CD188" t="str">
        <f>IF(Certifications!$A188='Employee Transcript'!$C$4,188,"")</f>
        <v/>
      </c>
      <c r="CE188" t="str">
        <f>IF(CD188="","",COUNTIF($CD$4:CD188,"&gt;0"))</f>
        <v/>
      </c>
      <c r="CF188" t="str">
        <f>IF(AND('Training Plan'!$A189='Employee Transcript'!$C$4,'Training Plan'!$F189&lt;&gt;"Complete"),189,"")</f>
        <v/>
      </c>
      <c r="CG188" t="str">
        <f>IF(CF188="","",COUNTIF($CF$4:CF188,"&gt;0"))</f>
        <v/>
      </c>
    </row>
    <row r="189" spans="1:85">
      <c r="A189" s="2"/>
      <c r="B189" s="1"/>
      <c r="C189" s="1"/>
      <c r="D189" s="1"/>
      <c r="E189" s="1"/>
      <c r="F189" s="3"/>
      <c r="G189" s="1"/>
      <c r="H189" s="4"/>
      <c r="AF189" s="1" t="str">
        <f>IFERROR(IF(Lists!$B189="","",Lists!$B189),"")</f>
        <v/>
      </c>
      <c r="AG189" s="1" t="str">
        <f>IFERROR(IF(Lists!$B189="","",Lists!$C189),"")</f>
        <v/>
      </c>
      <c r="AH189" s="1" t="str">
        <f>IFERROR(IF(Lists!$B189="","",Lists!$D189),"")</f>
        <v/>
      </c>
      <c r="AI189" s="1" t="str">
        <f>IF(AF189="","",IFERROR(INDEX('Skills Matrix'!$G$6:$DE$205,MATCH(AF189,'Skills Matrix'!$B$6:$B$205,0),MATCH('HR Quick View'!$J$9,'Skills Matrix'!$G$5:$DE$5,0)),""))</f>
        <v/>
      </c>
      <c r="AJ189" s="1" t="str">
        <f t="shared" si="41"/>
        <v/>
      </c>
      <c r="AK189" s="1" t="str">
        <f>IFERROR(IF(Lists!$B189="","",Lists!$E189),"")</f>
        <v/>
      </c>
      <c r="AL189" s="1" t="str">
        <f>IF(AND(OR('HR Quick View'!$L$10="All Shifts",AH189='HR Quick View'!$L$10),OR(AND('HR Quick View'!$I$10="Qualified only",AI189=3),AND('HR Quick View'!$I$10="All trained",AI189&gt;0))),IF('HR Quick View'!$L$10="All Shifts",COUNTIF($AI$4:$AI$203,"&gt;"&amp;AI189)+COUNTIF($AI$4:AI189,AI189),COUNTIFS($AI$4:$AI$203,"&gt;"&amp;AI189,$AH$4:$AH$203,'HR Quick View'!$L$10)+COUNTIFS($AI$4:AI189,AI189,$AH$4:AH189,'HR Quick View'!$L$10)),"")</f>
        <v/>
      </c>
      <c r="BA189" s="17" t="str">
        <f>IFERROR(IF('Training Plan'!$A190="","",'Training Plan'!$A190),"")</f>
        <v/>
      </c>
      <c r="BB189" s="17" t="str">
        <f>IFERROR(IF('Training Plan'!$A190="","",'Training Plan'!$B190),"")</f>
        <v/>
      </c>
      <c r="BC189" s="17" t="str">
        <f>IFERROR(IF('Training Plan'!$A190="","",'Training Plan'!$C190),"")</f>
        <v/>
      </c>
      <c r="BD189" s="17" t="str">
        <f>IFERROR(IF('Training Plan'!$A190="","",'Training Plan'!$D190),"")</f>
        <v/>
      </c>
      <c r="BE189" s="17" t="str">
        <f>IFERROR(IF('Training Plan'!$A190="","",'Training Plan'!$E190),"")</f>
        <v/>
      </c>
      <c r="BF189" s="17" t="str">
        <f>IFERROR(IF('Training Plan'!$A190="","",'Training Plan'!$F190),"")</f>
        <v/>
      </c>
      <c r="BG189" s="17" t="str">
        <f>IFERROR(IF('Training Plan'!$A190="","",'Training Plan'!$G190),"")</f>
        <v/>
      </c>
      <c r="BH189" s="17" t="str">
        <f>IFERROR(IF('Training Plan'!$A190="","",'Training Plan'!$H190),"")</f>
        <v/>
      </c>
      <c r="BI189" s="17" t="str">
        <f>IF(OR(BA189="",BF189="Complete",AND('Skill Management'!$D$4&lt;&gt;"All Departments",BB189&lt;&gt;'Skill Management'!$D$4)),"",IF(BF189="Blocked",100000,IF(BF189="In Progress",200000,300000))+IF(BE189="",99999,BE189))</f>
        <v/>
      </c>
      <c r="BJ189" s="17" t="str">
        <f>IF(BI189="","",COUNTIFS($BI$4:$BI$203,"&gt;0",$BI$4:$BI$203,"&lt;"&amp;BI189)+COUNTIF($BI$4:BI189,BI189))</f>
        <v/>
      </c>
      <c r="CB189" t="str">
        <f>IF(AND('Competency Event Log'!$B189='Employee Transcript'!$C$4,'Competency Event Log'!$I189&lt;&gt;"Yes"),'Competency Event Log'!$K189,"")</f>
        <v/>
      </c>
      <c r="CC189" t="str">
        <f t="shared" si="40"/>
        <v/>
      </c>
      <c r="CD189" t="str">
        <f>IF(Certifications!$A189='Employee Transcript'!$C$4,189,"")</f>
        <v/>
      </c>
      <c r="CE189" t="str">
        <f>IF(CD189="","",COUNTIF($CD$4:CD189,"&gt;0"))</f>
        <v/>
      </c>
      <c r="CF189" t="str">
        <f>IF(AND('Training Plan'!$A190='Employee Transcript'!$C$4,'Training Plan'!$F190&lt;&gt;"Complete"),190,"")</f>
        <v/>
      </c>
      <c r="CG189" t="str">
        <f>IF(CF189="","",COUNTIF($CF$4:CF189,"&gt;0"))</f>
        <v/>
      </c>
    </row>
    <row r="190" spans="1:85">
      <c r="A190" s="2"/>
      <c r="B190" s="1"/>
      <c r="C190" s="1"/>
      <c r="D190" s="1"/>
      <c r="E190" s="1"/>
      <c r="F190" s="3"/>
      <c r="G190" s="1"/>
      <c r="H190" s="4"/>
      <c r="AF190" s="1" t="str">
        <f>IFERROR(IF(Lists!$B190="","",Lists!$B190),"")</f>
        <v/>
      </c>
      <c r="AG190" s="1" t="str">
        <f>IFERROR(IF(Lists!$B190="","",Lists!$C190),"")</f>
        <v/>
      </c>
      <c r="AH190" s="1" t="str">
        <f>IFERROR(IF(Lists!$B190="","",Lists!$D190),"")</f>
        <v/>
      </c>
      <c r="AI190" s="1" t="str">
        <f>IF(AF190="","",IFERROR(INDEX('Skills Matrix'!$G$6:$DE$205,MATCH(AF190,'Skills Matrix'!$B$6:$B$205,0),MATCH('HR Quick View'!$J$9,'Skills Matrix'!$G$5:$DE$5,0)),""))</f>
        <v/>
      </c>
      <c r="AJ190" s="1" t="str">
        <f t="shared" si="41"/>
        <v/>
      </c>
      <c r="AK190" s="1" t="str">
        <f>IFERROR(IF(Lists!$B190="","",Lists!$E190),"")</f>
        <v/>
      </c>
      <c r="AL190" s="1" t="str">
        <f>IF(AND(OR('HR Quick View'!$L$10="All Shifts",AH190='HR Quick View'!$L$10),OR(AND('HR Quick View'!$I$10="Qualified only",AI190=3),AND('HR Quick View'!$I$10="All trained",AI190&gt;0))),IF('HR Quick View'!$L$10="All Shifts",COUNTIF($AI$4:$AI$203,"&gt;"&amp;AI190)+COUNTIF($AI$4:AI190,AI190),COUNTIFS($AI$4:$AI$203,"&gt;"&amp;AI190,$AH$4:$AH$203,'HR Quick View'!$L$10)+COUNTIFS($AI$4:AI190,AI190,$AH$4:AH190,'HR Quick View'!$L$10)),"")</f>
        <v/>
      </c>
      <c r="BA190" s="17" t="str">
        <f>IFERROR(IF('Training Plan'!$A191="","",'Training Plan'!$A191),"")</f>
        <v/>
      </c>
      <c r="BB190" s="17" t="str">
        <f>IFERROR(IF('Training Plan'!$A191="","",'Training Plan'!$B191),"")</f>
        <v/>
      </c>
      <c r="BC190" s="17" t="str">
        <f>IFERROR(IF('Training Plan'!$A191="","",'Training Plan'!$C191),"")</f>
        <v/>
      </c>
      <c r="BD190" s="17" t="str">
        <f>IFERROR(IF('Training Plan'!$A191="","",'Training Plan'!$D191),"")</f>
        <v/>
      </c>
      <c r="BE190" s="17" t="str">
        <f>IFERROR(IF('Training Plan'!$A191="","",'Training Plan'!$E191),"")</f>
        <v/>
      </c>
      <c r="BF190" s="17" t="str">
        <f>IFERROR(IF('Training Plan'!$A191="","",'Training Plan'!$F191),"")</f>
        <v/>
      </c>
      <c r="BG190" s="17" t="str">
        <f>IFERROR(IF('Training Plan'!$A191="","",'Training Plan'!$G191),"")</f>
        <v/>
      </c>
      <c r="BH190" s="17" t="str">
        <f>IFERROR(IF('Training Plan'!$A191="","",'Training Plan'!$H191),"")</f>
        <v/>
      </c>
      <c r="BI190" s="17" t="str">
        <f>IF(OR(BA190="",BF190="Complete",AND('Skill Management'!$D$4&lt;&gt;"All Departments",BB190&lt;&gt;'Skill Management'!$D$4)),"",IF(BF190="Blocked",100000,IF(BF190="In Progress",200000,300000))+IF(BE190="",99999,BE190))</f>
        <v/>
      </c>
      <c r="BJ190" s="17" t="str">
        <f>IF(BI190="","",COUNTIFS($BI$4:$BI$203,"&gt;0",$BI$4:$BI$203,"&lt;"&amp;BI190)+COUNTIF($BI$4:BI190,BI190))</f>
        <v/>
      </c>
      <c r="CB190" t="str">
        <f>IF(AND('Competency Event Log'!$B190='Employee Transcript'!$C$4,'Competency Event Log'!$I190&lt;&gt;"Yes"),'Competency Event Log'!$K190,"")</f>
        <v/>
      </c>
      <c r="CC190" t="str">
        <f t="shared" si="40"/>
        <v/>
      </c>
      <c r="CD190" t="str">
        <f>IF(Certifications!$A190='Employee Transcript'!$C$4,190,"")</f>
        <v/>
      </c>
      <c r="CE190" t="str">
        <f>IF(CD190="","",COUNTIF($CD$4:CD190,"&gt;0"))</f>
        <v/>
      </c>
      <c r="CF190" t="str">
        <f>IF(AND('Training Plan'!$A191='Employee Transcript'!$C$4,'Training Plan'!$F191&lt;&gt;"Complete"),191,"")</f>
        <v/>
      </c>
      <c r="CG190" t="str">
        <f>IF(CF190="","",COUNTIF($CF$4:CF190,"&gt;0"))</f>
        <v/>
      </c>
    </row>
    <row r="191" spans="1:85">
      <c r="A191" s="2"/>
      <c r="B191" s="1"/>
      <c r="C191" s="1"/>
      <c r="D191" s="1"/>
      <c r="E191" s="1"/>
      <c r="F191" s="3"/>
      <c r="G191" s="1"/>
      <c r="H191" s="4"/>
      <c r="AF191" s="1" t="str">
        <f>IFERROR(IF(Lists!$B191="","",Lists!$B191),"")</f>
        <v/>
      </c>
      <c r="AG191" s="1" t="str">
        <f>IFERROR(IF(Lists!$B191="","",Lists!$C191),"")</f>
        <v/>
      </c>
      <c r="AH191" s="1" t="str">
        <f>IFERROR(IF(Lists!$B191="","",Lists!$D191),"")</f>
        <v/>
      </c>
      <c r="AI191" s="1" t="str">
        <f>IF(AF191="","",IFERROR(INDEX('Skills Matrix'!$G$6:$DE$205,MATCH(AF191,'Skills Matrix'!$B$6:$B$205,0),MATCH('HR Quick View'!$J$9,'Skills Matrix'!$G$5:$DE$5,0)),""))</f>
        <v/>
      </c>
      <c r="AJ191" s="1" t="str">
        <f t="shared" si="41"/>
        <v/>
      </c>
      <c r="AK191" s="1" t="str">
        <f>IFERROR(IF(Lists!$B191="","",Lists!$E191),"")</f>
        <v/>
      </c>
      <c r="AL191" s="1" t="str">
        <f>IF(AND(OR('HR Quick View'!$L$10="All Shifts",AH191='HR Quick View'!$L$10),OR(AND('HR Quick View'!$I$10="Qualified only",AI191=3),AND('HR Quick View'!$I$10="All trained",AI191&gt;0))),IF('HR Quick View'!$L$10="All Shifts",COUNTIF($AI$4:$AI$203,"&gt;"&amp;AI191)+COUNTIF($AI$4:AI191,AI191),COUNTIFS($AI$4:$AI$203,"&gt;"&amp;AI191,$AH$4:$AH$203,'HR Quick View'!$L$10)+COUNTIFS($AI$4:AI191,AI191,$AH$4:AH191,'HR Quick View'!$L$10)),"")</f>
        <v/>
      </c>
      <c r="BA191" s="17" t="str">
        <f>IFERROR(IF('Training Plan'!$A192="","",'Training Plan'!$A192),"")</f>
        <v/>
      </c>
      <c r="BB191" s="17" t="str">
        <f>IFERROR(IF('Training Plan'!$A192="","",'Training Plan'!$B192),"")</f>
        <v/>
      </c>
      <c r="BC191" s="17" t="str">
        <f>IFERROR(IF('Training Plan'!$A192="","",'Training Plan'!$C192),"")</f>
        <v/>
      </c>
      <c r="BD191" s="17" t="str">
        <f>IFERROR(IF('Training Plan'!$A192="","",'Training Plan'!$D192),"")</f>
        <v/>
      </c>
      <c r="BE191" s="17" t="str">
        <f>IFERROR(IF('Training Plan'!$A192="","",'Training Plan'!$E192),"")</f>
        <v/>
      </c>
      <c r="BF191" s="17" t="str">
        <f>IFERROR(IF('Training Plan'!$A192="","",'Training Plan'!$F192),"")</f>
        <v/>
      </c>
      <c r="BG191" s="17" t="str">
        <f>IFERROR(IF('Training Plan'!$A192="","",'Training Plan'!$G192),"")</f>
        <v/>
      </c>
      <c r="BH191" s="17" t="str">
        <f>IFERROR(IF('Training Plan'!$A192="","",'Training Plan'!$H192),"")</f>
        <v/>
      </c>
      <c r="BI191" s="17" t="str">
        <f>IF(OR(BA191="",BF191="Complete",AND('Skill Management'!$D$4&lt;&gt;"All Departments",BB191&lt;&gt;'Skill Management'!$D$4)),"",IF(BF191="Blocked",100000,IF(BF191="In Progress",200000,300000))+IF(BE191="",99999,BE191))</f>
        <v/>
      </c>
      <c r="BJ191" s="17" t="str">
        <f>IF(BI191="","",COUNTIFS($BI$4:$BI$203,"&gt;0",$BI$4:$BI$203,"&lt;"&amp;BI191)+COUNTIF($BI$4:BI191,BI191))</f>
        <v/>
      </c>
      <c r="CB191" t="str">
        <f>IF(AND('Competency Event Log'!$B191='Employee Transcript'!$C$4,'Competency Event Log'!$I191&lt;&gt;"Yes"),'Competency Event Log'!$K191,"")</f>
        <v/>
      </c>
      <c r="CC191" t="str">
        <f t="shared" si="40"/>
        <v/>
      </c>
      <c r="CD191" t="str">
        <f>IF(Certifications!$A191='Employee Transcript'!$C$4,191,"")</f>
        <v/>
      </c>
      <c r="CE191" t="str">
        <f>IF(CD191="","",COUNTIF($CD$4:CD191,"&gt;0"))</f>
        <v/>
      </c>
      <c r="CF191" t="str">
        <f>IF(AND('Training Plan'!$A192='Employee Transcript'!$C$4,'Training Plan'!$F192&lt;&gt;"Complete"),192,"")</f>
        <v/>
      </c>
      <c r="CG191" t="str">
        <f>IF(CF191="","",COUNTIF($CF$4:CF191,"&gt;0"))</f>
        <v/>
      </c>
    </row>
    <row r="192" spans="1:85">
      <c r="A192" s="2"/>
      <c r="B192" s="1"/>
      <c r="C192" s="1"/>
      <c r="D192" s="1"/>
      <c r="E192" s="1"/>
      <c r="F192" s="3"/>
      <c r="G192" s="1"/>
      <c r="H192" s="4"/>
      <c r="AF192" s="1" t="str">
        <f>IFERROR(IF(Lists!$B192="","",Lists!$B192),"")</f>
        <v/>
      </c>
      <c r="AG192" s="1" t="str">
        <f>IFERROR(IF(Lists!$B192="","",Lists!$C192),"")</f>
        <v/>
      </c>
      <c r="AH192" s="1" t="str">
        <f>IFERROR(IF(Lists!$B192="","",Lists!$D192),"")</f>
        <v/>
      </c>
      <c r="AI192" s="1" t="str">
        <f>IF(AF192="","",IFERROR(INDEX('Skills Matrix'!$G$6:$DE$205,MATCH(AF192,'Skills Matrix'!$B$6:$B$205,0),MATCH('HR Quick View'!$J$9,'Skills Matrix'!$G$5:$DE$5,0)),""))</f>
        <v/>
      </c>
      <c r="AJ192" s="1" t="str">
        <f t="shared" si="41"/>
        <v/>
      </c>
      <c r="AK192" s="1" t="str">
        <f>IFERROR(IF(Lists!$B192="","",Lists!$E192),"")</f>
        <v/>
      </c>
      <c r="AL192" s="1" t="str">
        <f>IF(AND(OR('HR Quick View'!$L$10="All Shifts",AH192='HR Quick View'!$L$10),OR(AND('HR Quick View'!$I$10="Qualified only",AI192=3),AND('HR Quick View'!$I$10="All trained",AI192&gt;0))),IF('HR Quick View'!$L$10="All Shifts",COUNTIF($AI$4:$AI$203,"&gt;"&amp;AI192)+COUNTIF($AI$4:AI192,AI192),COUNTIFS($AI$4:$AI$203,"&gt;"&amp;AI192,$AH$4:$AH$203,'HR Quick View'!$L$10)+COUNTIFS($AI$4:AI192,AI192,$AH$4:AH192,'HR Quick View'!$L$10)),"")</f>
        <v/>
      </c>
      <c r="BA192" s="17" t="str">
        <f>IFERROR(IF('Training Plan'!$A193="","",'Training Plan'!$A193),"")</f>
        <v/>
      </c>
      <c r="BB192" s="17" t="str">
        <f>IFERROR(IF('Training Plan'!$A193="","",'Training Plan'!$B193),"")</f>
        <v/>
      </c>
      <c r="BC192" s="17" t="str">
        <f>IFERROR(IF('Training Plan'!$A193="","",'Training Plan'!$C193),"")</f>
        <v/>
      </c>
      <c r="BD192" s="17" t="str">
        <f>IFERROR(IF('Training Plan'!$A193="","",'Training Plan'!$D193),"")</f>
        <v/>
      </c>
      <c r="BE192" s="17" t="str">
        <f>IFERROR(IF('Training Plan'!$A193="","",'Training Plan'!$E193),"")</f>
        <v/>
      </c>
      <c r="BF192" s="17" t="str">
        <f>IFERROR(IF('Training Plan'!$A193="","",'Training Plan'!$F193),"")</f>
        <v/>
      </c>
      <c r="BG192" s="17" t="str">
        <f>IFERROR(IF('Training Plan'!$A193="","",'Training Plan'!$G193),"")</f>
        <v/>
      </c>
      <c r="BH192" s="17" t="str">
        <f>IFERROR(IF('Training Plan'!$A193="","",'Training Plan'!$H193),"")</f>
        <v/>
      </c>
      <c r="BI192" s="17" t="str">
        <f>IF(OR(BA192="",BF192="Complete",AND('Skill Management'!$D$4&lt;&gt;"All Departments",BB192&lt;&gt;'Skill Management'!$D$4)),"",IF(BF192="Blocked",100000,IF(BF192="In Progress",200000,300000))+IF(BE192="",99999,BE192))</f>
        <v/>
      </c>
      <c r="BJ192" s="17" t="str">
        <f>IF(BI192="","",COUNTIFS($BI$4:$BI$203,"&gt;0",$BI$4:$BI$203,"&lt;"&amp;BI192)+COUNTIF($BI$4:BI192,BI192))</f>
        <v/>
      </c>
      <c r="CB192" t="str">
        <f>IF(AND('Competency Event Log'!$B192='Employee Transcript'!$C$4,'Competency Event Log'!$I192&lt;&gt;"Yes"),'Competency Event Log'!$K192,"")</f>
        <v/>
      </c>
      <c r="CC192" t="str">
        <f t="shared" si="40"/>
        <v/>
      </c>
      <c r="CD192" t="str">
        <f>IF(Certifications!$A192='Employee Transcript'!$C$4,192,"")</f>
        <v/>
      </c>
      <c r="CE192" t="str">
        <f>IF(CD192="","",COUNTIF($CD$4:CD192,"&gt;0"))</f>
        <v/>
      </c>
      <c r="CF192" t="str">
        <f>IF(AND('Training Plan'!$A193='Employee Transcript'!$C$4,'Training Plan'!$F193&lt;&gt;"Complete"),193,"")</f>
        <v/>
      </c>
      <c r="CG192" t="str">
        <f>IF(CF192="","",COUNTIF($CF$4:CF192,"&gt;0"))</f>
        <v/>
      </c>
    </row>
    <row r="193" spans="1:85">
      <c r="A193" s="2"/>
      <c r="B193" s="1"/>
      <c r="C193" s="1"/>
      <c r="D193" s="1"/>
      <c r="E193" s="1"/>
      <c r="F193" s="3"/>
      <c r="G193" s="1"/>
      <c r="H193" s="4"/>
      <c r="AF193" s="1" t="str">
        <f>IFERROR(IF(Lists!$B193="","",Lists!$B193),"")</f>
        <v/>
      </c>
      <c r="AG193" s="1" t="str">
        <f>IFERROR(IF(Lists!$B193="","",Lists!$C193),"")</f>
        <v/>
      </c>
      <c r="AH193" s="1" t="str">
        <f>IFERROR(IF(Lists!$B193="","",Lists!$D193),"")</f>
        <v/>
      </c>
      <c r="AI193" s="1" t="str">
        <f>IF(AF193="","",IFERROR(INDEX('Skills Matrix'!$G$6:$DE$205,MATCH(AF193,'Skills Matrix'!$B$6:$B$205,0),MATCH('HR Quick View'!$J$9,'Skills Matrix'!$G$5:$DE$5,0)),""))</f>
        <v/>
      </c>
      <c r="AJ193" s="1" t="str">
        <f t="shared" si="41"/>
        <v/>
      </c>
      <c r="AK193" s="1" t="str">
        <f>IFERROR(IF(Lists!$B193="","",Lists!$E193),"")</f>
        <v/>
      </c>
      <c r="AL193" s="1" t="str">
        <f>IF(AND(OR('HR Quick View'!$L$10="All Shifts",AH193='HR Quick View'!$L$10),OR(AND('HR Quick View'!$I$10="Qualified only",AI193=3),AND('HR Quick View'!$I$10="All trained",AI193&gt;0))),IF('HR Quick View'!$L$10="All Shifts",COUNTIF($AI$4:$AI$203,"&gt;"&amp;AI193)+COUNTIF($AI$4:AI193,AI193),COUNTIFS($AI$4:$AI$203,"&gt;"&amp;AI193,$AH$4:$AH$203,'HR Quick View'!$L$10)+COUNTIFS($AI$4:AI193,AI193,$AH$4:AH193,'HR Quick View'!$L$10)),"")</f>
        <v/>
      </c>
      <c r="BA193" s="17" t="str">
        <f>IFERROR(IF('Training Plan'!$A194="","",'Training Plan'!$A194),"")</f>
        <v/>
      </c>
      <c r="BB193" s="17" t="str">
        <f>IFERROR(IF('Training Plan'!$A194="","",'Training Plan'!$B194),"")</f>
        <v/>
      </c>
      <c r="BC193" s="17" t="str">
        <f>IFERROR(IF('Training Plan'!$A194="","",'Training Plan'!$C194),"")</f>
        <v/>
      </c>
      <c r="BD193" s="17" t="str">
        <f>IFERROR(IF('Training Plan'!$A194="","",'Training Plan'!$D194),"")</f>
        <v/>
      </c>
      <c r="BE193" s="17" t="str">
        <f>IFERROR(IF('Training Plan'!$A194="","",'Training Plan'!$E194),"")</f>
        <v/>
      </c>
      <c r="BF193" s="17" t="str">
        <f>IFERROR(IF('Training Plan'!$A194="","",'Training Plan'!$F194),"")</f>
        <v/>
      </c>
      <c r="BG193" s="17" t="str">
        <f>IFERROR(IF('Training Plan'!$A194="","",'Training Plan'!$G194),"")</f>
        <v/>
      </c>
      <c r="BH193" s="17" t="str">
        <f>IFERROR(IF('Training Plan'!$A194="","",'Training Plan'!$H194),"")</f>
        <v/>
      </c>
      <c r="BI193" s="17" t="str">
        <f>IF(OR(BA193="",BF193="Complete",AND('Skill Management'!$D$4&lt;&gt;"All Departments",BB193&lt;&gt;'Skill Management'!$D$4)),"",IF(BF193="Blocked",100000,IF(BF193="In Progress",200000,300000))+IF(BE193="",99999,BE193))</f>
        <v/>
      </c>
      <c r="BJ193" s="17" t="str">
        <f>IF(BI193="","",COUNTIFS($BI$4:$BI$203,"&gt;0",$BI$4:$BI$203,"&lt;"&amp;BI193)+COUNTIF($BI$4:BI193,BI193))</f>
        <v/>
      </c>
      <c r="CB193" t="str">
        <f>IF(AND('Competency Event Log'!$B193='Employee Transcript'!$C$4,'Competency Event Log'!$I193&lt;&gt;"Yes"),'Competency Event Log'!$K193,"")</f>
        <v/>
      </c>
      <c r="CC193" t="str">
        <f t="shared" si="40"/>
        <v/>
      </c>
      <c r="CD193" t="str">
        <f>IF(Certifications!$A193='Employee Transcript'!$C$4,193,"")</f>
        <v/>
      </c>
      <c r="CE193" t="str">
        <f>IF(CD193="","",COUNTIF($CD$4:CD193,"&gt;0"))</f>
        <v/>
      </c>
      <c r="CF193" t="str">
        <f>IF(AND('Training Plan'!$A194='Employee Transcript'!$C$4,'Training Plan'!$F194&lt;&gt;"Complete"),194,"")</f>
        <v/>
      </c>
      <c r="CG193" t="str">
        <f>IF(CF193="","",COUNTIF($CF$4:CF193,"&gt;0"))</f>
        <v/>
      </c>
    </row>
    <row r="194" spans="1:85">
      <c r="A194" s="2"/>
      <c r="B194" s="1"/>
      <c r="C194" s="1"/>
      <c r="D194" s="1"/>
      <c r="E194" s="1"/>
      <c r="F194" s="3"/>
      <c r="G194" s="1"/>
      <c r="H194" s="4"/>
      <c r="AF194" s="1" t="str">
        <f>IFERROR(IF(Lists!$B194="","",Lists!$B194),"")</f>
        <v/>
      </c>
      <c r="AG194" s="1" t="str">
        <f>IFERROR(IF(Lists!$B194="","",Lists!$C194),"")</f>
        <v/>
      </c>
      <c r="AH194" s="1" t="str">
        <f>IFERROR(IF(Lists!$B194="","",Lists!$D194),"")</f>
        <v/>
      </c>
      <c r="AI194" s="1" t="str">
        <f>IF(AF194="","",IFERROR(INDEX('Skills Matrix'!$G$6:$DE$205,MATCH(AF194,'Skills Matrix'!$B$6:$B$205,0),MATCH('HR Quick View'!$J$9,'Skills Matrix'!$G$5:$DE$5,0)),""))</f>
        <v/>
      </c>
      <c r="AJ194" s="1" t="str">
        <f t="shared" si="41"/>
        <v/>
      </c>
      <c r="AK194" s="1" t="str">
        <f>IFERROR(IF(Lists!$B194="","",Lists!$E194),"")</f>
        <v/>
      </c>
      <c r="AL194" s="1" t="str">
        <f>IF(AND(OR('HR Quick View'!$L$10="All Shifts",AH194='HR Quick View'!$L$10),OR(AND('HR Quick View'!$I$10="Qualified only",AI194=3),AND('HR Quick View'!$I$10="All trained",AI194&gt;0))),IF('HR Quick View'!$L$10="All Shifts",COUNTIF($AI$4:$AI$203,"&gt;"&amp;AI194)+COUNTIF($AI$4:AI194,AI194),COUNTIFS($AI$4:$AI$203,"&gt;"&amp;AI194,$AH$4:$AH$203,'HR Quick View'!$L$10)+COUNTIFS($AI$4:AI194,AI194,$AH$4:AH194,'HR Quick View'!$L$10)),"")</f>
        <v/>
      </c>
      <c r="BA194" s="17" t="str">
        <f>IFERROR(IF('Training Plan'!$A195="","",'Training Plan'!$A195),"")</f>
        <v/>
      </c>
      <c r="BB194" s="17" t="str">
        <f>IFERROR(IF('Training Plan'!$A195="","",'Training Plan'!$B195),"")</f>
        <v/>
      </c>
      <c r="BC194" s="17" t="str">
        <f>IFERROR(IF('Training Plan'!$A195="","",'Training Plan'!$C195),"")</f>
        <v/>
      </c>
      <c r="BD194" s="17" t="str">
        <f>IFERROR(IF('Training Plan'!$A195="","",'Training Plan'!$D195),"")</f>
        <v/>
      </c>
      <c r="BE194" s="17" t="str">
        <f>IFERROR(IF('Training Plan'!$A195="","",'Training Plan'!$E195),"")</f>
        <v/>
      </c>
      <c r="BF194" s="17" t="str">
        <f>IFERROR(IF('Training Plan'!$A195="","",'Training Plan'!$F195),"")</f>
        <v/>
      </c>
      <c r="BG194" s="17" t="str">
        <f>IFERROR(IF('Training Plan'!$A195="","",'Training Plan'!$G195),"")</f>
        <v/>
      </c>
      <c r="BH194" s="17" t="str">
        <f>IFERROR(IF('Training Plan'!$A195="","",'Training Plan'!$H195),"")</f>
        <v/>
      </c>
      <c r="BI194" s="17" t="str">
        <f>IF(OR(BA194="",BF194="Complete",AND('Skill Management'!$D$4&lt;&gt;"All Departments",BB194&lt;&gt;'Skill Management'!$D$4)),"",IF(BF194="Blocked",100000,IF(BF194="In Progress",200000,300000))+IF(BE194="",99999,BE194))</f>
        <v/>
      </c>
      <c r="BJ194" s="17" t="str">
        <f>IF(BI194="","",COUNTIFS($BI$4:$BI$203,"&gt;0",$BI$4:$BI$203,"&lt;"&amp;BI194)+COUNTIF($BI$4:BI194,BI194))</f>
        <v/>
      </c>
      <c r="CB194" t="str">
        <f>IF(AND('Competency Event Log'!$B194='Employee Transcript'!$C$4,'Competency Event Log'!$I194&lt;&gt;"Yes"),'Competency Event Log'!$K194,"")</f>
        <v/>
      </c>
      <c r="CC194" t="str">
        <f t="shared" si="40"/>
        <v/>
      </c>
      <c r="CD194" t="str">
        <f>IF(Certifications!$A194='Employee Transcript'!$C$4,194,"")</f>
        <v/>
      </c>
      <c r="CE194" t="str">
        <f>IF(CD194="","",COUNTIF($CD$4:CD194,"&gt;0"))</f>
        <v/>
      </c>
      <c r="CF194" t="str">
        <f>IF(AND('Training Plan'!$A195='Employee Transcript'!$C$4,'Training Plan'!$F195&lt;&gt;"Complete"),195,"")</f>
        <v/>
      </c>
      <c r="CG194" t="str">
        <f>IF(CF194="","",COUNTIF($CF$4:CF194,"&gt;0"))</f>
        <v/>
      </c>
    </row>
    <row r="195" spans="1:85">
      <c r="A195" s="2"/>
      <c r="B195" s="1"/>
      <c r="C195" s="1"/>
      <c r="D195" s="1"/>
      <c r="E195" s="1"/>
      <c r="F195" s="3"/>
      <c r="G195" s="1"/>
      <c r="H195" s="4"/>
      <c r="AF195" s="1" t="str">
        <f>IFERROR(IF(Lists!$B195="","",Lists!$B195),"")</f>
        <v/>
      </c>
      <c r="AG195" s="1" t="str">
        <f>IFERROR(IF(Lists!$B195="","",Lists!$C195),"")</f>
        <v/>
      </c>
      <c r="AH195" s="1" t="str">
        <f>IFERROR(IF(Lists!$B195="","",Lists!$D195),"")</f>
        <v/>
      </c>
      <c r="AI195" s="1" t="str">
        <f>IF(AF195="","",IFERROR(INDEX('Skills Matrix'!$G$6:$DE$205,MATCH(AF195,'Skills Matrix'!$B$6:$B$205,0),MATCH('HR Quick View'!$J$9,'Skills Matrix'!$G$5:$DE$5,0)),""))</f>
        <v/>
      </c>
      <c r="AJ195" s="1" t="str">
        <f t="shared" si="41"/>
        <v/>
      </c>
      <c r="AK195" s="1" t="str">
        <f>IFERROR(IF(Lists!$B195="","",Lists!$E195),"")</f>
        <v/>
      </c>
      <c r="AL195" s="1" t="str">
        <f>IF(AND(OR('HR Quick View'!$L$10="All Shifts",AH195='HR Quick View'!$L$10),OR(AND('HR Quick View'!$I$10="Qualified only",AI195=3),AND('HR Quick View'!$I$10="All trained",AI195&gt;0))),IF('HR Quick View'!$L$10="All Shifts",COUNTIF($AI$4:$AI$203,"&gt;"&amp;AI195)+COUNTIF($AI$4:AI195,AI195),COUNTIFS($AI$4:$AI$203,"&gt;"&amp;AI195,$AH$4:$AH$203,'HR Quick View'!$L$10)+COUNTIFS($AI$4:AI195,AI195,$AH$4:AH195,'HR Quick View'!$L$10)),"")</f>
        <v/>
      </c>
      <c r="BA195" s="17" t="str">
        <f>IFERROR(IF('Training Plan'!$A196="","",'Training Plan'!$A196),"")</f>
        <v/>
      </c>
      <c r="BB195" s="17" t="str">
        <f>IFERROR(IF('Training Plan'!$A196="","",'Training Plan'!$B196),"")</f>
        <v/>
      </c>
      <c r="BC195" s="17" t="str">
        <f>IFERROR(IF('Training Plan'!$A196="","",'Training Plan'!$C196),"")</f>
        <v/>
      </c>
      <c r="BD195" s="17" t="str">
        <f>IFERROR(IF('Training Plan'!$A196="","",'Training Plan'!$D196),"")</f>
        <v/>
      </c>
      <c r="BE195" s="17" t="str">
        <f>IFERROR(IF('Training Plan'!$A196="","",'Training Plan'!$E196),"")</f>
        <v/>
      </c>
      <c r="BF195" s="17" t="str">
        <f>IFERROR(IF('Training Plan'!$A196="","",'Training Plan'!$F196),"")</f>
        <v/>
      </c>
      <c r="BG195" s="17" t="str">
        <f>IFERROR(IF('Training Plan'!$A196="","",'Training Plan'!$G196),"")</f>
        <v/>
      </c>
      <c r="BH195" s="17" t="str">
        <f>IFERROR(IF('Training Plan'!$A196="","",'Training Plan'!$H196),"")</f>
        <v/>
      </c>
      <c r="BI195" s="17" t="str">
        <f>IF(OR(BA195="",BF195="Complete",AND('Skill Management'!$D$4&lt;&gt;"All Departments",BB195&lt;&gt;'Skill Management'!$D$4)),"",IF(BF195="Blocked",100000,IF(BF195="In Progress",200000,300000))+IF(BE195="",99999,BE195))</f>
        <v/>
      </c>
      <c r="BJ195" s="17" t="str">
        <f>IF(BI195="","",COUNTIFS($BI$4:$BI$203,"&gt;0",$BI$4:$BI$203,"&lt;"&amp;BI195)+COUNTIF($BI$4:BI195,BI195))</f>
        <v/>
      </c>
      <c r="CB195" t="str">
        <f>IF(AND('Competency Event Log'!$B195='Employee Transcript'!$C$4,'Competency Event Log'!$I195&lt;&gt;"Yes"),'Competency Event Log'!$K195,"")</f>
        <v/>
      </c>
      <c r="CC195" t="str">
        <f t="shared" si="40"/>
        <v/>
      </c>
      <c r="CD195" t="str">
        <f>IF(Certifications!$A195='Employee Transcript'!$C$4,195,"")</f>
        <v/>
      </c>
      <c r="CE195" t="str">
        <f>IF(CD195="","",COUNTIF($CD$4:CD195,"&gt;0"))</f>
        <v/>
      </c>
      <c r="CF195" t="str">
        <f>IF(AND('Training Plan'!$A196='Employee Transcript'!$C$4,'Training Plan'!$F196&lt;&gt;"Complete"),196,"")</f>
        <v/>
      </c>
      <c r="CG195" t="str">
        <f>IF(CF195="","",COUNTIF($CF$4:CF195,"&gt;0"))</f>
        <v/>
      </c>
    </row>
    <row r="196" spans="1:85">
      <c r="A196" s="2"/>
      <c r="B196" s="1"/>
      <c r="C196" s="1"/>
      <c r="D196" s="1"/>
      <c r="E196" s="1"/>
      <c r="F196" s="3"/>
      <c r="G196" s="1"/>
      <c r="H196" s="4"/>
      <c r="AF196" s="1" t="str">
        <f>IFERROR(IF(Lists!$B196="","",Lists!$B196),"")</f>
        <v/>
      </c>
      <c r="AG196" s="1" t="str">
        <f>IFERROR(IF(Lists!$B196="","",Lists!$C196),"")</f>
        <v/>
      </c>
      <c r="AH196" s="1" t="str">
        <f>IFERROR(IF(Lists!$B196="","",Lists!$D196),"")</f>
        <v/>
      </c>
      <c r="AI196" s="1" t="str">
        <f>IF(AF196="","",IFERROR(INDEX('Skills Matrix'!$G$6:$DE$205,MATCH(AF196,'Skills Matrix'!$B$6:$B$205,0),MATCH('HR Quick View'!$J$9,'Skills Matrix'!$G$5:$DE$5,0)),""))</f>
        <v/>
      </c>
      <c r="AJ196" s="1" t="str">
        <f t="shared" ref="AJ196:AJ227" si="42">IF(AI196=3,"Qualified",IF(AI196=2,"Developing",IF(AI196=1,"Needs Training","")))</f>
        <v/>
      </c>
      <c r="AK196" s="1" t="str">
        <f>IFERROR(IF(Lists!$B196="","",Lists!$E196),"")</f>
        <v/>
      </c>
      <c r="AL196" s="1" t="str">
        <f>IF(AND(OR('HR Quick View'!$L$10="All Shifts",AH196='HR Quick View'!$L$10),OR(AND('HR Quick View'!$I$10="Qualified only",AI196=3),AND('HR Quick View'!$I$10="All trained",AI196&gt;0))),IF('HR Quick View'!$L$10="All Shifts",COUNTIF($AI$4:$AI$203,"&gt;"&amp;AI196)+COUNTIF($AI$4:AI196,AI196),COUNTIFS($AI$4:$AI$203,"&gt;"&amp;AI196,$AH$4:$AH$203,'HR Quick View'!$L$10)+COUNTIFS($AI$4:AI196,AI196,$AH$4:AH196,'HR Quick View'!$L$10)),"")</f>
        <v/>
      </c>
      <c r="BA196" s="17" t="str">
        <f>IFERROR(IF('Training Plan'!$A197="","",'Training Plan'!$A197),"")</f>
        <v/>
      </c>
      <c r="BB196" s="17" t="str">
        <f>IFERROR(IF('Training Plan'!$A197="","",'Training Plan'!$B197),"")</f>
        <v/>
      </c>
      <c r="BC196" s="17" t="str">
        <f>IFERROR(IF('Training Plan'!$A197="","",'Training Plan'!$C197),"")</f>
        <v/>
      </c>
      <c r="BD196" s="17" t="str">
        <f>IFERROR(IF('Training Plan'!$A197="","",'Training Plan'!$D197),"")</f>
        <v/>
      </c>
      <c r="BE196" s="17" t="str">
        <f>IFERROR(IF('Training Plan'!$A197="","",'Training Plan'!$E197),"")</f>
        <v/>
      </c>
      <c r="BF196" s="17" t="str">
        <f>IFERROR(IF('Training Plan'!$A197="","",'Training Plan'!$F197),"")</f>
        <v/>
      </c>
      <c r="BG196" s="17" t="str">
        <f>IFERROR(IF('Training Plan'!$A197="","",'Training Plan'!$G197),"")</f>
        <v/>
      </c>
      <c r="BH196" s="17" t="str">
        <f>IFERROR(IF('Training Plan'!$A197="","",'Training Plan'!$H197),"")</f>
        <v/>
      </c>
      <c r="BI196" s="17" t="str">
        <f>IF(OR(BA196="",BF196="Complete",AND('Skill Management'!$D$4&lt;&gt;"All Departments",BB196&lt;&gt;'Skill Management'!$D$4)),"",IF(BF196="Blocked",100000,IF(BF196="In Progress",200000,300000))+IF(BE196="",99999,BE196))</f>
        <v/>
      </c>
      <c r="BJ196" s="17" t="str">
        <f>IF(BI196="","",COUNTIFS($BI$4:$BI$203,"&gt;0",$BI$4:$BI$203,"&lt;"&amp;BI196)+COUNTIF($BI$4:BI196,BI196))</f>
        <v/>
      </c>
      <c r="CB196" t="str">
        <f>IF(AND('Competency Event Log'!$B196='Employee Transcript'!$C$4,'Competency Event Log'!$I196&lt;&gt;"Yes"),'Competency Event Log'!$K196,"")</f>
        <v/>
      </c>
      <c r="CC196" t="str">
        <f t="shared" ref="CC196:CC259" si="43">IF(CB196="","",COUNTIF($CB$4:$CB$803,"&gt;"&amp;CB196)+1)</f>
        <v/>
      </c>
      <c r="CD196" t="str">
        <f>IF(Certifications!$A196='Employee Transcript'!$C$4,196,"")</f>
        <v/>
      </c>
      <c r="CE196" t="str">
        <f>IF(CD196="","",COUNTIF($CD$4:CD196,"&gt;0"))</f>
        <v/>
      </c>
      <c r="CF196" t="str">
        <f>IF(AND('Training Plan'!$A197='Employee Transcript'!$C$4,'Training Plan'!$F197&lt;&gt;"Complete"),197,"")</f>
        <v/>
      </c>
      <c r="CG196" t="str">
        <f>IF(CF196="","",COUNTIF($CF$4:CF196,"&gt;0"))</f>
        <v/>
      </c>
    </row>
    <row r="197" spans="1:85">
      <c r="A197" s="2"/>
      <c r="B197" s="1"/>
      <c r="C197" s="1"/>
      <c r="D197" s="1"/>
      <c r="E197" s="1"/>
      <c r="F197" s="3"/>
      <c r="G197" s="1"/>
      <c r="H197" s="4"/>
      <c r="AF197" s="1" t="str">
        <f>IFERROR(IF(Lists!$B197="","",Lists!$B197),"")</f>
        <v/>
      </c>
      <c r="AG197" s="1" t="str">
        <f>IFERROR(IF(Lists!$B197="","",Lists!$C197),"")</f>
        <v/>
      </c>
      <c r="AH197" s="1" t="str">
        <f>IFERROR(IF(Lists!$B197="","",Lists!$D197),"")</f>
        <v/>
      </c>
      <c r="AI197" s="1" t="str">
        <f>IF(AF197="","",IFERROR(INDEX('Skills Matrix'!$G$6:$DE$205,MATCH(AF197,'Skills Matrix'!$B$6:$B$205,0),MATCH('HR Quick View'!$J$9,'Skills Matrix'!$G$5:$DE$5,0)),""))</f>
        <v/>
      </c>
      <c r="AJ197" s="1" t="str">
        <f t="shared" si="42"/>
        <v/>
      </c>
      <c r="AK197" s="1" t="str">
        <f>IFERROR(IF(Lists!$B197="","",Lists!$E197),"")</f>
        <v/>
      </c>
      <c r="AL197" s="1" t="str">
        <f>IF(AND(OR('HR Quick View'!$L$10="All Shifts",AH197='HR Quick View'!$L$10),OR(AND('HR Quick View'!$I$10="Qualified only",AI197=3),AND('HR Quick View'!$I$10="All trained",AI197&gt;0))),IF('HR Quick View'!$L$10="All Shifts",COUNTIF($AI$4:$AI$203,"&gt;"&amp;AI197)+COUNTIF($AI$4:AI197,AI197),COUNTIFS($AI$4:$AI$203,"&gt;"&amp;AI197,$AH$4:$AH$203,'HR Quick View'!$L$10)+COUNTIFS($AI$4:AI197,AI197,$AH$4:AH197,'HR Quick View'!$L$10)),"")</f>
        <v/>
      </c>
      <c r="BA197" s="17" t="str">
        <f>IFERROR(IF('Training Plan'!$A198="","",'Training Plan'!$A198),"")</f>
        <v/>
      </c>
      <c r="BB197" s="17" t="str">
        <f>IFERROR(IF('Training Plan'!$A198="","",'Training Plan'!$B198),"")</f>
        <v/>
      </c>
      <c r="BC197" s="17" t="str">
        <f>IFERROR(IF('Training Plan'!$A198="","",'Training Plan'!$C198),"")</f>
        <v/>
      </c>
      <c r="BD197" s="17" t="str">
        <f>IFERROR(IF('Training Plan'!$A198="","",'Training Plan'!$D198),"")</f>
        <v/>
      </c>
      <c r="BE197" s="17" t="str">
        <f>IFERROR(IF('Training Plan'!$A198="","",'Training Plan'!$E198),"")</f>
        <v/>
      </c>
      <c r="BF197" s="17" t="str">
        <f>IFERROR(IF('Training Plan'!$A198="","",'Training Plan'!$F198),"")</f>
        <v/>
      </c>
      <c r="BG197" s="17" t="str">
        <f>IFERROR(IF('Training Plan'!$A198="","",'Training Plan'!$G198),"")</f>
        <v/>
      </c>
      <c r="BH197" s="17" t="str">
        <f>IFERROR(IF('Training Plan'!$A198="","",'Training Plan'!$H198),"")</f>
        <v/>
      </c>
      <c r="BI197" s="17" t="str">
        <f>IF(OR(BA197="",BF197="Complete",AND('Skill Management'!$D$4&lt;&gt;"All Departments",BB197&lt;&gt;'Skill Management'!$D$4)),"",IF(BF197="Blocked",100000,IF(BF197="In Progress",200000,300000))+IF(BE197="",99999,BE197))</f>
        <v/>
      </c>
      <c r="BJ197" s="17" t="str">
        <f>IF(BI197="","",COUNTIFS($BI$4:$BI$203,"&gt;0",$BI$4:$BI$203,"&lt;"&amp;BI197)+COUNTIF($BI$4:BI197,BI197))</f>
        <v/>
      </c>
      <c r="CB197" t="str">
        <f>IF(AND('Competency Event Log'!$B197='Employee Transcript'!$C$4,'Competency Event Log'!$I197&lt;&gt;"Yes"),'Competency Event Log'!$K197,"")</f>
        <v/>
      </c>
      <c r="CC197" t="str">
        <f t="shared" si="43"/>
        <v/>
      </c>
      <c r="CD197" t="str">
        <f>IF(Certifications!$A197='Employee Transcript'!$C$4,197,"")</f>
        <v/>
      </c>
      <c r="CE197" t="str">
        <f>IF(CD197="","",COUNTIF($CD$4:CD197,"&gt;0"))</f>
        <v/>
      </c>
      <c r="CF197" t="str">
        <f>IF(AND('Training Plan'!$A198='Employee Transcript'!$C$4,'Training Plan'!$F198&lt;&gt;"Complete"),198,"")</f>
        <v/>
      </c>
      <c r="CG197" t="str">
        <f>IF(CF197="","",COUNTIF($CF$4:CF197,"&gt;0"))</f>
        <v/>
      </c>
    </row>
    <row r="198" spans="1:85">
      <c r="A198" s="2"/>
      <c r="B198" s="1"/>
      <c r="C198" s="1"/>
      <c r="D198" s="1"/>
      <c r="E198" s="1"/>
      <c r="F198" s="3"/>
      <c r="G198" s="1"/>
      <c r="H198" s="4"/>
      <c r="AF198" s="1" t="str">
        <f>IFERROR(IF(Lists!$B198="","",Lists!$B198),"")</f>
        <v/>
      </c>
      <c r="AG198" s="1" t="str">
        <f>IFERROR(IF(Lists!$B198="","",Lists!$C198),"")</f>
        <v/>
      </c>
      <c r="AH198" s="1" t="str">
        <f>IFERROR(IF(Lists!$B198="","",Lists!$D198),"")</f>
        <v/>
      </c>
      <c r="AI198" s="1" t="str">
        <f>IF(AF198="","",IFERROR(INDEX('Skills Matrix'!$G$6:$DE$205,MATCH(AF198,'Skills Matrix'!$B$6:$B$205,0),MATCH('HR Quick View'!$J$9,'Skills Matrix'!$G$5:$DE$5,0)),""))</f>
        <v/>
      </c>
      <c r="AJ198" s="1" t="str">
        <f t="shared" si="42"/>
        <v/>
      </c>
      <c r="AK198" s="1" t="str">
        <f>IFERROR(IF(Lists!$B198="","",Lists!$E198),"")</f>
        <v/>
      </c>
      <c r="AL198" s="1" t="str">
        <f>IF(AND(OR('HR Quick View'!$L$10="All Shifts",AH198='HR Quick View'!$L$10),OR(AND('HR Quick View'!$I$10="Qualified only",AI198=3),AND('HR Quick View'!$I$10="All trained",AI198&gt;0))),IF('HR Quick View'!$L$10="All Shifts",COUNTIF($AI$4:$AI$203,"&gt;"&amp;AI198)+COUNTIF($AI$4:AI198,AI198),COUNTIFS($AI$4:$AI$203,"&gt;"&amp;AI198,$AH$4:$AH$203,'HR Quick View'!$L$10)+COUNTIFS($AI$4:AI198,AI198,$AH$4:AH198,'HR Quick View'!$L$10)),"")</f>
        <v/>
      </c>
      <c r="BA198" s="17" t="str">
        <f>IFERROR(IF('Training Plan'!$A199="","",'Training Plan'!$A199),"")</f>
        <v/>
      </c>
      <c r="BB198" s="17" t="str">
        <f>IFERROR(IF('Training Plan'!$A199="","",'Training Plan'!$B199),"")</f>
        <v/>
      </c>
      <c r="BC198" s="17" t="str">
        <f>IFERROR(IF('Training Plan'!$A199="","",'Training Plan'!$C199),"")</f>
        <v/>
      </c>
      <c r="BD198" s="17" t="str">
        <f>IFERROR(IF('Training Plan'!$A199="","",'Training Plan'!$D199),"")</f>
        <v/>
      </c>
      <c r="BE198" s="17" t="str">
        <f>IFERROR(IF('Training Plan'!$A199="","",'Training Plan'!$E199),"")</f>
        <v/>
      </c>
      <c r="BF198" s="17" t="str">
        <f>IFERROR(IF('Training Plan'!$A199="","",'Training Plan'!$F199),"")</f>
        <v/>
      </c>
      <c r="BG198" s="17" t="str">
        <f>IFERROR(IF('Training Plan'!$A199="","",'Training Plan'!$G199),"")</f>
        <v/>
      </c>
      <c r="BH198" s="17" t="str">
        <f>IFERROR(IF('Training Plan'!$A199="","",'Training Plan'!$H199),"")</f>
        <v/>
      </c>
      <c r="BI198" s="17" t="str">
        <f>IF(OR(BA198="",BF198="Complete",AND('Skill Management'!$D$4&lt;&gt;"All Departments",BB198&lt;&gt;'Skill Management'!$D$4)),"",IF(BF198="Blocked",100000,IF(BF198="In Progress",200000,300000))+IF(BE198="",99999,BE198))</f>
        <v/>
      </c>
      <c r="BJ198" s="17" t="str">
        <f>IF(BI198="","",COUNTIFS($BI$4:$BI$203,"&gt;0",$BI$4:$BI$203,"&lt;"&amp;BI198)+COUNTIF($BI$4:BI198,BI198))</f>
        <v/>
      </c>
      <c r="CB198" t="str">
        <f>IF(AND('Competency Event Log'!$B198='Employee Transcript'!$C$4,'Competency Event Log'!$I198&lt;&gt;"Yes"),'Competency Event Log'!$K198,"")</f>
        <v/>
      </c>
      <c r="CC198" t="str">
        <f t="shared" si="43"/>
        <v/>
      </c>
      <c r="CD198" t="str">
        <f>IF(Certifications!$A198='Employee Transcript'!$C$4,198,"")</f>
        <v/>
      </c>
      <c r="CE198" t="str">
        <f>IF(CD198="","",COUNTIF($CD$4:CD198,"&gt;0"))</f>
        <v/>
      </c>
      <c r="CF198" t="str">
        <f>IF(AND('Training Plan'!$A199='Employee Transcript'!$C$4,'Training Plan'!$F199&lt;&gt;"Complete"),199,"")</f>
        <v/>
      </c>
      <c r="CG198" t="str">
        <f>IF(CF198="","",COUNTIF($CF$4:CF198,"&gt;0"))</f>
        <v/>
      </c>
    </row>
    <row r="199" spans="1:85">
      <c r="A199" s="2"/>
      <c r="B199" s="1"/>
      <c r="C199" s="1"/>
      <c r="D199" s="1"/>
      <c r="E199" s="1"/>
      <c r="F199" s="3"/>
      <c r="G199" s="1"/>
      <c r="H199" s="4"/>
      <c r="AF199" s="1" t="str">
        <f>IFERROR(IF(Lists!$B199="","",Lists!$B199),"")</f>
        <v/>
      </c>
      <c r="AG199" s="1" t="str">
        <f>IFERROR(IF(Lists!$B199="","",Lists!$C199),"")</f>
        <v/>
      </c>
      <c r="AH199" s="1" t="str">
        <f>IFERROR(IF(Lists!$B199="","",Lists!$D199),"")</f>
        <v/>
      </c>
      <c r="AI199" s="1" t="str">
        <f>IF(AF199="","",IFERROR(INDEX('Skills Matrix'!$G$6:$DE$205,MATCH(AF199,'Skills Matrix'!$B$6:$B$205,0),MATCH('HR Quick View'!$J$9,'Skills Matrix'!$G$5:$DE$5,0)),""))</f>
        <v/>
      </c>
      <c r="AJ199" s="1" t="str">
        <f t="shared" si="42"/>
        <v/>
      </c>
      <c r="AK199" s="1" t="str">
        <f>IFERROR(IF(Lists!$B199="","",Lists!$E199),"")</f>
        <v/>
      </c>
      <c r="AL199" s="1" t="str">
        <f>IF(AND(OR('HR Quick View'!$L$10="All Shifts",AH199='HR Quick View'!$L$10),OR(AND('HR Quick View'!$I$10="Qualified only",AI199=3),AND('HR Quick View'!$I$10="All trained",AI199&gt;0))),IF('HR Quick View'!$L$10="All Shifts",COUNTIF($AI$4:$AI$203,"&gt;"&amp;AI199)+COUNTIF($AI$4:AI199,AI199),COUNTIFS($AI$4:$AI$203,"&gt;"&amp;AI199,$AH$4:$AH$203,'HR Quick View'!$L$10)+COUNTIFS($AI$4:AI199,AI199,$AH$4:AH199,'HR Quick View'!$L$10)),"")</f>
        <v/>
      </c>
      <c r="BA199" s="17" t="str">
        <f>IFERROR(IF('Training Plan'!$A200="","",'Training Plan'!$A200),"")</f>
        <v/>
      </c>
      <c r="BB199" s="17" t="str">
        <f>IFERROR(IF('Training Plan'!$A200="","",'Training Plan'!$B200),"")</f>
        <v/>
      </c>
      <c r="BC199" s="17" t="str">
        <f>IFERROR(IF('Training Plan'!$A200="","",'Training Plan'!$C200),"")</f>
        <v/>
      </c>
      <c r="BD199" s="17" t="str">
        <f>IFERROR(IF('Training Plan'!$A200="","",'Training Plan'!$D200),"")</f>
        <v/>
      </c>
      <c r="BE199" s="17" t="str">
        <f>IFERROR(IF('Training Plan'!$A200="","",'Training Plan'!$E200),"")</f>
        <v/>
      </c>
      <c r="BF199" s="17" t="str">
        <f>IFERROR(IF('Training Plan'!$A200="","",'Training Plan'!$F200),"")</f>
        <v/>
      </c>
      <c r="BG199" s="17" t="str">
        <f>IFERROR(IF('Training Plan'!$A200="","",'Training Plan'!$G200),"")</f>
        <v/>
      </c>
      <c r="BH199" s="17" t="str">
        <f>IFERROR(IF('Training Plan'!$A200="","",'Training Plan'!$H200),"")</f>
        <v/>
      </c>
      <c r="BI199" s="17" t="str">
        <f>IF(OR(BA199="",BF199="Complete",AND('Skill Management'!$D$4&lt;&gt;"All Departments",BB199&lt;&gt;'Skill Management'!$D$4)),"",IF(BF199="Blocked",100000,IF(BF199="In Progress",200000,300000))+IF(BE199="",99999,BE199))</f>
        <v/>
      </c>
      <c r="BJ199" s="17" t="str">
        <f>IF(BI199="","",COUNTIFS($BI$4:$BI$203,"&gt;0",$BI$4:$BI$203,"&lt;"&amp;BI199)+COUNTIF($BI$4:BI199,BI199))</f>
        <v/>
      </c>
      <c r="CB199" t="str">
        <f>IF(AND('Competency Event Log'!$B199='Employee Transcript'!$C$4,'Competency Event Log'!$I199&lt;&gt;"Yes"),'Competency Event Log'!$K199,"")</f>
        <v/>
      </c>
      <c r="CC199" t="str">
        <f t="shared" si="43"/>
        <v/>
      </c>
      <c r="CD199" t="str">
        <f>IF(Certifications!$A199='Employee Transcript'!$C$4,199,"")</f>
        <v/>
      </c>
      <c r="CE199" t="str">
        <f>IF(CD199="","",COUNTIF($CD$4:CD199,"&gt;0"))</f>
        <v/>
      </c>
      <c r="CF199" t="str">
        <f>IF(AND('Training Plan'!$A200='Employee Transcript'!$C$4,'Training Plan'!$F200&lt;&gt;"Complete"),200,"")</f>
        <v/>
      </c>
      <c r="CG199" t="str">
        <f>IF(CF199="","",COUNTIF($CF$4:CF199,"&gt;0"))</f>
        <v/>
      </c>
    </row>
    <row r="200" spans="1:85">
      <c r="A200" s="2"/>
      <c r="B200" s="1"/>
      <c r="C200" s="1"/>
      <c r="D200" s="1"/>
      <c r="E200" s="1"/>
      <c r="F200" s="3"/>
      <c r="G200" s="1"/>
      <c r="H200" s="4"/>
      <c r="AF200" s="1" t="str">
        <f>IFERROR(IF(Lists!$B200="","",Lists!$B200),"")</f>
        <v/>
      </c>
      <c r="AG200" s="1" t="str">
        <f>IFERROR(IF(Lists!$B200="","",Lists!$C200),"")</f>
        <v/>
      </c>
      <c r="AH200" s="1" t="str">
        <f>IFERROR(IF(Lists!$B200="","",Lists!$D200),"")</f>
        <v/>
      </c>
      <c r="AI200" s="1" t="str">
        <f>IF(AF200="","",IFERROR(INDEX('Skills Matrix'!$G$6:$DE$205,MATCH(AF200,'Skills Matrix'!$B$6:$B$205,0),MATCH('HR Quick View'!$J$9,'Skills Matrix'!$G$5:$DE$5,0)),""))</f>
        <v/>
      </c>
      <c r="AJ200" s="1" t="str">
        <f t="shared" si="42"/>
        <v/>
      </c>
      <c r="AK200" s="1" t="str">
        <f>IFERROR(IF(Lists!$B200="","",Lists!$E200),"")</f>
        <v/>
      </c>
      <c r="AL200" s="1" t="str">
        <f>IF(AND(OR('HR Quick View'!$L$10="All Shifts",AH200='HR Quick View'!$L$10),OR(AND('HR Quick View'!$I$10="Qualified only",AI200=3),AND('HR Quick View'!$I$10="All trained",AI200&gt;0))),IF('HR Quick View'!$L$10="All Shifts",COUNTIF($AI$4:$AI$203,"&gt;"&amp;AI200)+COUNTIF($AI$4:AI200,AI200),COUNTIFS($AI$4:$AI$203,"&gt;"&amp;AI200,$AH$4:$AH$203,'HR Quick View'!$L$10)+COUNTIFS($AI$4:AI200,AI200,$AH$4:AH200,'HR Quick View'!$L$10)),"")</f>
        <v/>
      </c>
      <c r="BA200" s="17" t="str">
        <f>IFERROR(IF('Training Plan'!$A201="","",'Training Plan'!$A201),"")</f>
        <v/>
      </c>
      <c r="BB200" s="17" t="str">
        <f>IFERROR(IF('Training Plan'!$A201="","",'Training Plan'!$B201),"")</f>
        <v/>
      </c>
      <c r="BC200" s="17" t="str">
        <f>IFERROR(IF('Training Plan'!$A201="","",'Training Plan'!$C201),"")</f>
        <v/>
      </c>
      <c r="BD200" s="17" t="str">
        <f>IFERROR(IF('Training Plan'!$A201="","",'Training Plan'!$D201),"")</f>
        <v/>
      </c>
      <c r="BE200" s="17" t="str">
        <f>IFERROR(IF('Training Plan'!$A201="","",'Training Plan'!$E201),"")</f>
        <v/>
      </c>
      <c r="BF200" s="17" t="str">
        <f>IFERROR(IF('Training Plan'!$A201="","",'Training Plan'!$F201),"")</f>
        <v/>
      </c>
      <c r="BG200" s="17" t="str">
        <f>IFERROR(IF('Training Plan'!$A201="","",'Training Plan'!$G201),"")</f>
        <v/>
      </c>
      <c r="BH200" s="17" t="str">
        <f>IFERROR(IF('Training Plan'!$A201="","",'Training Plan'!$H201),"")</f>
        <v/>
      </c>
      <c r="BI200" s="17" t="str">
        <f>IF(OR(BA200="",BF200="Complete",AND('Skill Management'!$D$4&lt;&gt;"All Departments",BB200&lt;&gt;'Skill Management'!$D$4)),"",IF(BF200="Blocked",100000,IF(BF200="In Progress",200000,300000))+IF(BE200="",99999,BE200))</f>
        <v/>
      </c>
      <c r="BJ200" s="17" t="str">
        <f>IF(BI200="","",COUNTIFS($BI$4:$BI$203,"&gt;0",$BI$4:$BI$203,"&lt;"&amp;BI200)+COUNTIF($BI$4:BI200,BI200))</f>
        <v/>
      </c>
      <c r="CB200" t="str">
        <f>IF(AND('Competency Event Log'!$B200='Employee Transcript'!$C$4,'Competency Event Log'!$I200&lt;&gt;"Yes"),'Competency Event Log'!$K200,"")</f>
        <v/>
      </c>
      <c r="CC200" t="str">
        <f t="shared" si="43"/>
        <v/>
      </c>
      <c r="CD200" t="str">
        <f>IF(Certifications!$A200='Employee Transcript'!$C$4,200,"")</f>
        <v/>
      </c>
      <c r="CE200" t="str">
        <f>IF(CD200="","",COUNTIF($CD$4:CD200,"&gt;0"))</f>
        <v/>
      </c>
      <c r="CF200" t="str">
        <f>IF(AND('Training Plan'!$A201='Employee Transcript'!$C$4,'Training Plan'!$F201&lt;&gt;"Complete"),201,"")</f>
        <v/>
      </c>
      <c r="CG200" t="str">
        <f>IF(CF200="","",COUNTIF($CF$4:CF200,"&gt;0"))</f>
        <v/>
      </c>
    </row>
    <row r="201" spans="1:85">
      <c r="A201" s="2"/>
      <c r="B201" s="1"/>
      <c r="C201" s="1"/>
      <c r="D201" s="1"/>
      <c r="E201" s="1"/>
      <c r="F201" s="3"/>
      <c r="G201" s="1"/>
      <c r="H201" s="4"/>
      <c r="AF201" s="1" t="str">
        <f>IFERROR(IF(Lists!$B201="","",Lists!$B201),"")</f>
        <v/>
      </c>
      <c r="AG201" s="1" t="str">
        <f>IFERROR(IF(Lists!$B201="","",Lists!$C201),"")</f>
        <v/>
      </c>
      <c r="AH201" s="1" t="str">
        <f>IFERROR(IF(Lists!$B201="","",Lists!$D201),"")</f>
        <v/>
      </c>
      <c r="AI201" s="1" t="str">
        <f>IF(AF201="","",IFERROR(INDEX('Skills Matrix'!$G$6:$DE$205,MATCH(AF201,'Skills Matrix'!$B$6:$B$205,0),MATCH('HR Quick View'!$J$9,'Skills Matrix'!$G$5:$DE$5,0)),""))</f>
        <v/>
      </c>
      <c r="AJ201" s="1" t="str">
        <f t="shared" si="42"/>
        <v/>
      </c>
      <c r="AK201" s="1" t="str">
        <f>IFERROR(IF(Lists!$B201="","",Lists!$E201),"")</f>
        <v/>
      </c>
      <c r="AL201" s="1" t="str">
        <f>IF(AND(OR('HR Quick View'!$L$10="All Shifts",AH201='HR Quick View'!$L$10),OR(AND('HR Quick View'!$I$10="Qualified only",AI201=3),AND('HR Quick View'!$I$10="All trained",AI201&gt;0))),IF('HR Quick View'!$L$10="All Shifts",COUNTIF($AI$4:$AI$203,"&gt;"&amp;AI201)+COUNTIF($AI$4:AI201,AI201),COUNTIFS($AI$4:$AI$203,"&gt;"&amp;AI201,$AH$4:$AH$203,'HR Quick View'!$L$10)+COUNTIFS($AI$4:AI201,AI201,$AH$4:AH201,'HR Quick View'!$L$10)),"")</f>
        <v/>
      </c>
      <c r="BA201" s="17" t="str">
        <f>IFERROR(IF('Training Plan'!$A202="","",'Training Plan'!$A202),"")</f>
        <v/>
      </c>
      <c r="BB201" s="17" t="str">
        <f>IFERROR(IF('Training Plan'!$A202="","",'Training Plan'!$B202),"")</f>
        <v/>
      </c>
      <c r="BC201" s="17" t="str">
        <f>IFERROR(IF('Training Plan'!$A202="","",'Training Plan'!$C202),"")</f>
        <v/>
      </c>
      <c r="BD201" s="17" t="str">
        <f>IFERROR(IF('Training Plan'!$A202="","",'Training Plan'!$D202),"")</f>
        <v/>
      </c>
      <c r="BE201" s="17" t="str">
        <f>IFERROR(IF('Training Plan'!$A202="","",'Training Plan'!$E202),"")</f>
        <v/>
      </c>
      <c r="BF201" s="17" t="str">
        <f>IFERROR(IF('Training Plan'!$A202="","",'Training Plan'!$F202),"")</f>
        <v/>
      </c>
      <c r="BG201" s="17" t="str">
        <f>IFERROR(IF('Training Plan'!$A202="","",'Training Plan'!$G202),"")</f>
        <v/>
      </c>
      <c r="BH201" s="17" t="str">
        <f>IFERROR(IF('Training Plan'!$A202="","",'Training Plan'!$H202),"")</f>
        <v/>
      </c>
      <c r="BI201" s="17" t="str">
        <f>IF(OR(BA201="",BF201="Complete",AND('Skill Management'!$D$4&lt;&gt;"All Departments",BB201&lt;&gt;'Skill Management'!$D$4)),"",IF(BF201="Blocked",100000,IF(BF201="In Progress",200000,300000))+IF(BE201="",99999,BE201))</f>
        <v/>
      </c>
      <c r="BJ201" s="17" t="str">
        <f>IF(BI201="","",COUNTIFS($BI$4:$BI$203,"&gt;0",$BI$4:$BI$203,"&lt;"&amp;BI201)+COUNTIF($BI$4:BI201,BI201))</f>
        <v/>
      </c>
      <c r="CB201" t="str">
        <f>IF(AND('Competency Event Log'!$B201='Employee Transcript'!$C$4,'Competency Event Log'!$I201&lt;&gt;"Yes"),'Competency Event Log'!$K201,"")</f>
        <v/>
      </c>
      <c r="CC201" t="str">
        <f t="shared" si="43"/>
        <v/>
      </c>
      <c r="CD201" t="str">
        <f>IF(Certifications!$A201='Employee Transcript'!$C$4,201,"")</f>
        <v/>
      </c>
      <c r="CE201" t="str">
        <f>IF(CD201="","",COUNTIF($CD$4:CD201,"&gt;0"))</f>
        <v/>
      </c>
      <c r="CF201" t="str">
        <f>IF(AND('Training Plan'!$A202='Employee Transcript'!$C$4,'Training Plan'!$F202&lt;&gt;"Complete"),202,"")</f>
        <v/>
      </c>
      <c r="CG201" t="str">
        <f>IF(CF201="","",COUNTIF($CF$4:CF201,"&gt;0"))</f>
        <v/>
      </c>
    </row>
    <row r="202" spans="1:85">
      <c r="A202" s="2"/>
      <c r="B202" s="1"/>
      <c r="C202" s="1"/>
      <c r="D202" s="1"/>
      <c r="E202" s="1"/>
      <c r="F202" s="3"/>
      <c r="G202" s="1"/>
      <c r="H202" s="4"/>
      <c r="AF202" s="1" t="str">
        <f>IFERROR(IF(Lists!$B202="","",Lists!$B202),"")</f>
        <v/>
      </c>
      <c r="AG202" s="1" t="str">
        <f>IFERROR(IF(Lists!$B202="","",Lists!$C202),"")</f>
        <v/>
      </c>
      <c r="AH202" s="1" t="str">
        <f>IFERROR(IF(Lists!$B202="","",Lists!$D202),"")</f>
        <v/>
      </c>
      <c r="AI202" s="1" t="str">
        <f>IF(AF202="","",IFERROR(INDEX('Skills Matrix'!$G$6:$DE$205,MATCH(AF202,'Skills Matrix'!$B$6:$B$205,0),MATCH('HR Quick View'!$J$9,'Skills Matrix'!$G$5:$DE$5,0)),""))</f>
        <v/>
      </c>
      <c r="AJ202" s="1" t="str">
        <f t="shared" si="42"/>
        <v/>
      </c>
      <c r="AK202" s="1" t="str">
        <f>IFERROR(IF(Lists!$B202="","",Lists!$E202),"")</f>
        <v/>
      </c>
      <c r="AL202" s="1" t="str">
        <f>IF(AND(OR('HR Quick View'!$L$10="All Shifts",AH202='HR Quick View'!$L$10),OR(AND('HR Quick View'!$I$10="Qualified only",AI202=3),AND('HR Quick View'!$I$10="All trained",AI202&gt;0))),IF('HR Quick View'!$L$10="All Shifts",COUNTIF($AI$4:$AI$203,"&gt;"&amp;AI202)+COUNTIF($AI$4:AI202,AI202),COUNTIFS($AI$4:$AI$203,"&gt;"&amp;AI202,$AH$4:$AH$203,'HR Quick View'!$L$10)+COUNTIFS($AI$4:AI202,AI202,$AH$4:AH202,'HR Quick View'!$L$10)),"")</f>
        <v/>
      </c>
      <c r="BA202" s="17" t="str">
        <f>IFERROR(IF('Training Plan'!$A203="","",'Training Plan'!$A203),"")</f>
        <v/>
      </c>
      <c r="BB202" s="17" t="str">
        <f>IFERROR(IF('Training Plan'!$A203="","",'Training Plan'!$B203),"")</f>
        <v/>
      </c>
      <c r="BC202" s="17" t="str">
        <f>IFERROR(IF('Training Plan'!$A203="","",'Training Plan'!$C203),"")</f>
        <v/>
      </c>
      <c r="BD202" s="17" t="str">
        <f>IFERROR(IF('Training Plan'!$A203="","",'Training Plan'!$D203),"")</f>
        <v/>
      </c>
      <c r="BE202" s="17" t="str">
        <f>IFERROR(IF('Training Plan'!$A203="","",'Training Plan'!$E203),"")</f>
        <v/>
      </c>
      <c r="BF202" s="17" t="str">
        <f>IFERROR(IF('Training Plan'!$A203="","",'Training Plan'!$F203),"")</f>
        <v/>
      </c>
      <c r="BG202" s="17" t="str">
        <f>IFERROR(IF('Training Plan'!$A203="","",'Training Plan'!$G203),"")</f>
        <v/>
      </c>
      <c r="BH202" s="17" t="str">
        <f>IFERROR(IF('Training Plan'!$A203="","",'Training Plan'!$H203),"")</f>
        <v/>
      </c>
      <c r="BI202" s="17" t="str">
        <f>IF(OR(BA202="",BF202="Complete",AND('Skill Management'!$D$4&lt;&gt;"All Departments",BB202&lt;&gt;'Skill Management'!$D$4)),"",IF(BF202="Blocked",100000,IF(BF202="In Progress",200000,300000))+IF(BE202="",99999,BE202))</f>
        <v/>
      </c>
      <c r="BJ202" s="17" t="str">
        <f>IF(BI202="","",COUNTIFS($BI$4:$BI$203,"&gt;0",$BI$4:$BI$203,"&lt;"&amp;BI202)+COUNTIF($BI$4:BI202,BI202))</f>
        <v/>
      </c>
      <c r="CB202" t="str">
        <f>IF(AND('Competency Event Log'!$B202='Employee Transcript'!$C$4,'Competency Event Log'!$I202&lt;&gt;"Yes"),'Competency Event Log'!$K202,"")</f>
        <v/>
      </c>
      <c r="CC202" t="str">
        <f t="shared" si="43"/>
        <v/>
      </c>
      <c r="CD202" t="str">
        <f>IF(Certifications!$A202='Employee Transcript'!$C$4,202,"")</f>
        <v/>
      </c>
      <c r="CE202" t="str">
        <f>IF(CD202="","",COUNTIF($CD$4:CD202,"&gt;0"))</f>
        <v/>
      </c>
      <c r="CF202" t="str">
        <f>IF(AND('Training Plan'!$A203='Employee Transcript'!$C$4,'Training Plan'!$F203&lt;&gt;"Complete"),203,"")</f>
        <v/>
      </c>
      <c r="CG202" t="str">
        <f>IF(CF202="","",COUNTIF($CF$4:CF202,"&gt;0"))</f>
        <v/>
      </c>
    </row>
    <row r="203" spans="1:85">
      <c r="A203" s="2"/>
      <c r="B203" s="1"/>
      <c r="C203" s="1"/>
      <c r="D203" s="1"/>
      <c r="E203" s="1"/>
      <c r="F203" s="3"/>
      <c r="G203" s="1"/>
      <c r="H203" s="4"/>
      <c r="AF203" s="1" t="str">
        <f>IFERROR(IF(Lists!$B203="","",Lists!$B203),"")</f>
        <v/>
      </c>
      <c r="AG203" s="1" t="str">
        <f>IFERROR(IF(Lists!$B203="","",Lists!$C203),"")</f>
        <v/>
      </c>
      <c r="AH203" s="1" t="str">
        <f>IFERROR(IF(Lists!$B203="","",Lists!$D203),"")</f>
        <v/>
      </c>
      <c r="AI203" s="1" t="str">
        <f>IF(AF203="","",IFERROR(INDEX('Skills Matrix'!$G$6:$DE$205,MATCH(AF203,'Skills Matrix'!$B$6:$B$205,0),MATCH('HR Quick View'!$J$9,'Skills Matrix'!$G$5:$DE$5,0)),""))</f>
        <v/>
      </c>
      <c r="AJ203" s="1" t="str">
        <f t="shared" si="42"/>
        <v/>
      </c>
      <c r="AK203" s="1" t="str">
        <f>IFERROR(IF(Lists!$B203="","",Lists!$E203),"")</f>
        <v/>
      </c>
      <c r="AL203" s="1" t="str">
        <f>IF(AND(OR('HR Quick View'!$L$10="All Shifts",AH203='HR Quick View'!$L$10),OR(AND('HR Quick View'!$I$10="Qualified only",AI203=3),AND('HR Quick View'!$I$10="All trained",AI203&gt;0))),IF('HR Quick View'!$L$10="All Shifts",COUNTIF($AI$4:$AI$203,"&gt;"&amp;AI203)+COUNTIF($AI$4:AI203,AI203),COUNTIFS($AI$4:$AI$203,"&gt;"&amp;AI203,$AH$4:$AH$203,'HR Quick View'!$L$10)+COUNTIFS($AI$4:AI203,AI203,$AH$4:AH203,'HR Quick View'!$L$10)),"")</f>
        <v/>
      </c>
      <c r="BA203" s="17" t="str">
        <f>IFERROR(IF('Training Plan'!$A204="","",'Training Plan'!$A204),"")</f>
        <v/>
      </c>
      <c r="BB203" s="17" t="str">
        <f>IFERROR(IF('Training Plan'!$A204="","",'Training Plan'!$B204),"")</f>
        <v/>
      </c>
      <c r="BC203" s="17" t="str">
        <f>IFERROR(IF('Training Plan'!$A204="","",'Training Plan'!$C204),"")</f>
        <v/>
      </c>
      <c r="BD203" s="17" t="str">
        <f>IFERROR(IF('Training Plan'!$A204="","",'Training Plan'!$D204),"")</f>
        <v/>
      </c>
      <c r="BE203" s="17" t="str">
        <f>IFERROR(IF('Training Plan'!$A204="","",'Training Plan'!$E204),"")</f>
        <v/>
      </c>
      <c r="BF203" s="17" t="str">
        <f>IFERROR(IF('Training Plan'!$A204="","",'Training Plan'!$F204),"")</f>
        <v/>
      </c>
      <c r="BG203" s="17" t="str">
        <f>IFERROR(IF('Training Plan'!$A204="","",'Training Plan'!$G204),"")</f>
        <v/>
      </c>
      <c r="BH203" s="17" t="str">
        <f>IFERROR(IF('Training Plan'!$A204="","",'Training Plan'!$H204),"")</f>
        <v/>
      </c>
      <c r="BI203" s="17" t="str">
        <f>IF(OR(BA203="",BF203="Complete",AND('Skill Management'!$D$4&lt;&gt;"All Departments",BB203&lt;&gt;'Skill Management'!$D$4)),"",IF(BF203="Blocked",100000,IF(BF203="In Progress",200000,300000))+IF(BE203="",99999,BE203))</f>
        <v/>
      </c>
      <c r="BJ203" s="17" t="str">
        <f>IF(BI203="","",COUNTIFS($BI$4:$BI$203,"&gt;0",$BI$4:$BI$203,"&lt;"&amp;BI203)+COUNTIF($BI$4:BI203,BI203))</f>
        <v/>
      </c>
      <c r="CB203" t="str">
        <f>IF(AND('Competency Event Log'!$B203='Employee Transcript'!$C$4,'Competency Event Log'!$I203&lt;&gt;"Yes"),'Competency Event Log'!$K203,"")</f>
        <v/>
      </c>
      <c r="CC203" t="str">
        <f t="shared" si="43"/>
        <v/>
      </c>
      <c r="CD203" t="str">
        <f>IF(Certifications!$A203='Employee Transcript'!$C$4,203,"")</f>
        <v/>
      </c>
      <c r="CE203" t="str">
        <f>IF(CD203="","",COUNTIF($CD$4:CD203,"&gt;0"))</f>
        <v/>
      </c>
      <c r="CF203" t="str">
        <f>IF(AND('Training Plan'!$A204='Employee Transcript'!$C$4,'Training Plan'!$F204&lt;&gt;"Complete"),204,"")</f>
        <v/>
      </c>
      <c r="CG203" t="str">
        <f>IF(CF203="","",COUNTIF($CF$4:CF203,"&gt;0"))</f>
        <v/>
      </c>
    </row>
    <row r="204" spans="1:85">
      <c r="CB204" t="str">
        <f>IF(AND('Competency Event Log'!$B204='Employee Transcript'!$C$4,'Competency Event Log'!$I204&lt;&gt;"Yes"),'Competency Event Log'!$K204,"")</f>
        <v/>
      </c>
      <c r="CC204" t="str">
        <f t="shared" si="43"/>
        <v/>
      </c>
      <c r="CD204" t="str">
        <f>IF(Certifications!$A204='Employee Transcript'!$C$4,204,"")</f>
        <v/>
      </c>
      <c r="CE204" t="str">
        <f>IF(CD204="","",COUNTIF($CD$4:CD204,"&gt;0"))</f>
        <v/>
      </c>
    </row>
    <row r="205" spans="1:85">
      <c r="CB205" t="str">
        <f>IF(AND('Competency Event Log'!$B205='Employee Transcript'!$C$4,'Competency Event Log'!$I205&lt;&gt;"Yes"),'Competency Event Log'!$K205,"")</f>
        <v/>
      </c>
      <c r="CC205" t="str">
        <f t="shared" si="43"/>
        <v/>
      </c>
      <c r="CD205" t="str">
        <f>IF(Certifications!$A205='Employee Transcript'!$C$4,205,"")</f>
        <v/>
      </c>
      <c r="CE205" t="str">
        <f>IF(CD205="","",COUNTIF($CD$4:CD205,"&gt;0"))</f>
        <v/>
      </c>
    </row>
    <row r="206" spans="1:85">
      <c r="CB206" t="str">
        <f>IF(AND('Competency Event Log'!$B206='Employee Transcript'!$C$4,'Competency Event Log'!$I206&lt;&gt;"Yes"),'Competency Event Log'!$K206,"")</f>
        <v/>
      </c>
      <c r="CC206" t="str">
        <f t="shared" si="43"/>
        <v/>
      </c>
      <c r="CD206" t="str">
        <f>IF(Certifications!$A206='Employee Transcript'!$C$4,206,"")</f>
        <v/>
      </c>
      <c r="CE206" t="str">
        <f>IF(CD206="","",COUNTIF($CD$4:CD206,"&gt;0"))</f>
        <v/>
      </c>
    </row>
    <row r="207" spans="1:85">
      <c r="CB207" t="str">
        <f>IF(AND('Competency Event Log'!$B207='Employee Transcript'!$C$4,'Competency Event Log'!$I207&lt;&gt;"Yes"),'Competency Event Log'!$K207,"")</f>
        <v/>
      </c>
      <c r="CC207" t="str">
        <f t="shared" si="43"/>
        <v/>
      </c>
      <c r="CD207" t="str">
        <f>IF(Certifications!$A207='Employee Transcript'!$C$4,207,"")</f>
        <v/>
      </c>
      <c r="CE207" t="str">
        <f>IF(CD207="","",COUNTIF($CD$4:CD207,"&gt;0"))</f>
        <v/>
      </c>
    </row>
    <row r="208" spans="1:85">
      <c r="CB208" t="str">
        <f>IF(AND('Competency Event Log'!$B208='Employee Transcript'!$C$4,'Competency Event Log'!$I208&lt;&gt;"Yes"),'Competency Event Log'!$K208,"")</f>
        <v/>
      </c>
      <c r="CC208" t="str">
        <f t="shared" si="43"/>
        <v/>
      </c>
      <c r="CD208" t="str">
        <f>IF(Certifications!$A208='Employee Transcript'!$C$4,208,"")</f>
        <v/>
      </c>
      <c r="CE208" t="str">
        <f>IF(CD208="","",COUNTIF($CD$4:CD208,"&gt;0"))</f>
        <v/>
      </c>
    </row>
    <row r="209" spans="80:83">
      <c r="CB209" t="str">
        <f>IF(AND('Competency Event Log'!$B209='Employee Transcript'!$C$4,'Competency Event Log'!$I209&lt;&gt;"Yes"),'Competency Event Log'!$K209,"")</f>
        <v/>
      </c>
      <c r="CC209" t="str">
        <f t="shared" si="43"/>
        <v/>
      </c>
      <c r="CD209" t="str">
        <f>IF(Certifications!$A209='Employee Transcript'!$C$4,209,"")</f>
        <v/>
      </c>
      <c r="CE209" t="str">
        <f>IF(CD209="","",COUNTIF($CD$4:CD209,"&gt;0"))</f>
        <v/>
      </c>
    </row>
    <row r="210" spans="80:83">
      <c r="CB210" t="str">
        <f>IF(AND('Competency Event Log'!$B210='Employee Transcript'!$C$4,'Competency Event Log'!$I210&lt;&gt;"Yes"),'Competency Event Log'!$K210,"")</f>
        <v/>
      </c>
      <c r="CC210" t="str">
        <f t="shared" si="43"/>
        <v/>
      </c>
      <c r="CD210" t="str">
        <f>IF(Certifications!$A210='Employee Transcript'!$C$4,210,"")</f>
        <v/>
      </c>
      <c r="CE210" t="str">
        <f>IF(CD210="","",COUNTIF($CD$4:CD210,"&gt;0"))</f>
        <v/>
      </c>
    </row>
    <row r="211" spans="80:83">
      <c r="CB211" t="str">
        <f>IF(AND('Competency Event Log'!$B211='Employee Transcript'!$C$4,'Competency Event Log'!$I211&lt;&gt;"Yes"),'Competency Event Log'!$K211,"")</f>
        <v/>
      </c>
      <c r="CC211" t="str">
        <f t="shared" si="43"/>
        <v/>
      </c>
      <c r="CD211" t="str">
        <f>IF(Certifications!$A211='Employee Transcript'!$C$4,211,"")</f>
        <v/>
      </c>
      <c r="CE211" t="str">
        <f>IF(CD211="","",COUNTIF($CD$4:CD211,"&gt;0"))</f>
        <v/>
      </c>
    </row>
    <row r="212" spans="80:83">
      <c r="CB212" t="str">
        <f>IF(AND('Competency Event Log'!$B212='Employee Transcript'!$C$4,'Competency Event Log'!$I212&lt;&gt;"Yes"),'Competency Event Log'!$K212,"")</f>
        <v/>
      </c>
      <c r="CC212" t="str">
        <f t="shared" si="43"/>
        <v/>
      </c>
      <c r="CD212" t="str">
        <f>IF(Certifications!$A212='Employee Transcript'!$C$4,212,"")</f>
        <v/>
      </c>
      <c r="CE212" t="str">
        <f>IF(CD212="","",COUNTIF($CD$4:CD212,"&gt;0"))</f>
        <v/>
      </c>
    </row>
    <row r="213" spans="80:83">
      <c r="CB213" t="str">
        <f>IF(AND('Competency Event Log'!$B213='Employee Transcript'!$C$4,'Competency Event Log'!$I213&lt;&gt;"Yes"),'Competency Event Log'!$K213,"")</f>
        <v/>
      </c>
      <c r="CC213" t="str">
        <f t="shared" si="43"/>
        <v/>
      </c>
      <c r="CD213" t="str">
        <f>IF(Certifications!$A213='Employee Transcript'!$C$4,213,"")</f>
        <v/>
      </c>
      <c r="CE213" t="str">
        <f>IF(CD213="","",COUNTIF($CD$4:CD213,"&gt;0"))</f>
        <v/>
      </c>
    </row>
    <row r="214" spans="80:83">
      <c r="CB214" t="str">
        <f>IF(AND('Competency Event Log'!$B214='Employee Transcript'!$C$4,'Competency Event Log'!$I214&lt;&gt;"Yes"),'Competency Event Log'!$K214,"")</f>
        <v/>
      </c>
      <c r="CC214" t="str">
        <f t="shared" si="43"/>
        <v/>
      </c>
      <c r="CD214" t="str">
        <f>IF(Certifications!$A214='Employee Transcript'!$C$4,214,"")</f>
        <v/>
      </c>
      <c r="CE214" t="str">
        <f>IF(CD214="","",COUNTIF($CD$4:CD214,"&gt;0"))</f>
        <v/>
      </c>
    </row>
    <row r="215" spans="80:83">
      <c r="CB215" t="str">
        <f>IF(AND('Competency Event Log'!$B215='Employee Transcript'!$C$4,'Competency Event Log'!$I215&lt;&gt;"Yes"),'Competency Event Log'!$K215,"")</f>
        <v/>
      </c>
      <c r="CC215" t="str">
        <f t="shared" si="43"/>
        <v/>
      </c>
      <c r="CD215" t="str">
        <f>IF(Certifications!$A215='Employee Transcript'!$C$4,215,"")</f>
        <v/>
      </c>
      <c r="CE215" t="str">
        <f>IF(CD215="","",COUNTIF($CD$4:CD215,"&gt;0"))</f>
        <v/>
      </c>
    </row>
    <row r="216" spans="80:83">
      <c r="CB216" t="str">
        <f>IF(AND('Competency Event Log'!$B216='Employee Transcript'!$C$4,'Competency Event Log'!$I216&lt;&gt;"Yes"),'Competency Event Log'!$K216,"")</f>
        <v/>
      </c>
      <c r="CC216" t="str">
        <f t="shared" si="43"/>
        <v/>
      </c>
      <c r="CD216" t="str">
        <f>IF(Certifications!$A216='Employee Transcript'!$C$4,216,"")</f>
        <v/>
      </c>
      <c r="CE216" t="str">
        <f>IF(CD216="","",COUNTIF($CD$4:CD216,"&gt;0"))</f>
        <v/>
      </c>
    </row>
    <row r="217" spans="80:83">
      <c r="CB217" t="str">
        <f>IF(AND('Competency Event Log'!$B217='Employee Transcript'!$C$4,'Competency Event Log'!$I217&lt;&gt;"Yes"),'Competency Event Log'!$K217,"")</f>
        <v/>
      </c>
      <c r="CC217" t="str">
        <f t="shared" si="43"/>
        <v/>
      </c>
      <c r="CD217" t="str">
        <f>IF(Certifications!$A217='Employee Transcript'!$C$4,217,"")</f>
        <v/>
      </c>
      <c r="CE217" t="str">
        <f>IF(CD217="","",COUNTIF($CD$4:CD217,"&gt;0"))</f>
        <v/>
      </c>
    </row>
    <row r="218" spans="80:83">
      <c r="CB218" t="str">
        <f>IF(AND('Competency Event Log'!$B218='Employee Transcript'!$C$4,'Competency Event Log'!$I218&lt;&gt;"Yes"),'Competency Event Log'!$K218,"")</f>
        <v/>
      </c>
      <c r="CC218" t="str">
        <f t="shared" si="43"/>
        <v/>
      </c>
      <c r="CD218" t="str">
        <f>IF(Certifications!$A218='Employee Transcript'!$C$4,218,"")</f>
        <v/>
      </c>
      <c r="CE218" t="str">
        <f>IF(CD218="","",COUNTIF($CD$4:CD218,"&gt;0"))</f>
        <v/>
      </c>
    </row>
    <row r="219" spans="80:83">
      <c r="CB219" t="str">
        <f>IF(AND('Competency Event Log'!$B219='Employee Transcript'!$C$4,'Competency Event Log'!$I219&lt;&gt;"Yes"),'Competency Event Log'!$K219,"")</f>
        <v/>
      </c>
      <c r="CC219" t="str">
        <f t="shared" si="43"/>
        <v/>
      </c>
      <c r="CD219" t="str">
        <f>IF(Certifications!$A219='Employee Transcript'!$C$4,219,"")</f>
        <v/>
      </c>
      <c r="CE219" t="str">
        <f>IF(CD219="","",COUNTIF($CD$4:CD219,"&gt;0"))</f>
        <v/>
      </c>
    </row>
    <row r="220" spans="80:83">
      <c r="CB220" t="str">
        <f>IF(AND('Competency Event Log'!$B220='Employee Transcript'!$C$4,'Competency Event Log'!$I220&lt;&gt;"Yes"),'Competency Event Log'!$K220,"")</f>
        <v/>
      </c>
      <c r="CC220" t="str">
        <f t="shared" si="43"/>
        <v/>
      </c>
      <c r="CD220" t="str">
        <f>IF(Certifications!$A220='Employee Transcript'!$C$4,220,"")</f>
        <v/>
      </c>
      <c r="CE220" t="str">
        <f>IF(CD220="","",COUNTIF($CD$4:CD220,"&gt;0"))</f>
        <v/>
      </c>
    </row>
    <row r="221" spans="80:83">
      <c r="CB221" t="str">
        <f>IF(AND('Competency Event Log'!$B221='Employee Transcript'!$C$4,'Competency Event Log'!$I221&lt;&gt;"Yes"),'Competency Event Log'!$K221,"")</f>
        <v/>
      </c>
      <c r="CC221" t="str">
        <f t="shared" si="43"/>
        <v/>
      </c>
      <c r="CD221" t="str">
        <f>IF(Certifications!$A221='Employee Transcript'!$C$4,221,"")</f>
        <v/>
      </c>
      <c r="CE221" t="str">
        <f>IF(CD221="","",COUNTIF($CD$4:CD221,"&gt;0"))</f>
        <v/>
      </c>
    </row>
    <row r="222" spans="80:83">
      <c r="CB222" t="str">
        <f>IF(AND('Competency Event Log'!$B222='Employee Transcript'!$C$4,'Competency Event Log'!$I222&lt;&gt;"Yes"),'Competency Event Log'!$K222,"")</f>
        <v/>
      </c>
      <c r="CC222" t="str">
        <f t="shared" si="43"/>
        <v/>
      </c>
      <c r="CD222" t="str">
        <f>IF(Certifications!$A222='Employee Transcript'!$C$4,222,"")</f>
        <v/>
      </c>
      <c r="CE222" t="str">
        <f>IF(CD222="","",COUNTIF($CD$4:CD222,"&gt;0"))</f>
        <v/>
      </c>
    </row>
    <row r="223" spans="80:83">
      <c r="CB223" t="str">
        <f>IF(AND('Competency Event Log'!$B223='Employee Transcript'!$C$4,'Competency Event Log'!$I223&lt;&gt;"Yes"),'Competency Event Log'!$K223,"")</f>
        <v/>
      </c>
      <c r="CC223" t="str">
        <f t="shared" si="43"/>
        <v/>
      </c>
      <c r="CD223" t="str">
        <f>IF(Certifications!$A223='Employee Transcript'!$C$4,223,"")</f>
        <v/>
      </c>
      <c r="CE223" t="str">
        <f>IF(CD223="","",COUNTIF($CD$4:CD223,"&gt;0"))</f>
        <v/>
      </c>
    </row>
    <row r="224" spans="80:83">
      <c r="CB224" t="str">
        <f>IF(AND('Competency Event Log'!$B224='Employee Transcript'!$C$4,'Competency Event Log'!$I224&lt;&gt;"Yes"),'Competency Event Log'!$K224,"")</f>
        <v/>
      </c>
      <c r="CC224" t="str">
        <f t="shared" si="43"/>
        <v/>
      </c>
      <c r="CD224" t="str">
        <f>IF(Certifications!$A224='Employee Transcript'!$C$4,224,"")</f>
        <v/>
      </c>
      <c r="CE224" t="str">
        <f>IF(CD224="","",COUNTIF($CD$4:CD224,"&gt;0"))</f>
        <v/>
      </c>
    </row>
    <row r="225" spans="80:83">
      <c r="CB225" t="str">
        <f>IF(AND('Competency Event Log'!$B225='Employee Transcript'!$C$4,'Competency Event Log'!$I225&lt;&gt;"Yes"),'Competency Event Log'!$K225,"")</f>
        <v/>
      </c>
      <c r="CC225" t="str">
        <f t="shared" si="43"/>
        <v/>
      </c>
      <c r="CD225" t="str">
        <f>IF(Certifications!$A225='Employee Transcript'!$C$4,225,"")</f>
        <v/>
      </c>
      <c r="CE225" t="str">
        <f>IF(CD225="","",COUNTIF($CD$4:CD225,"&gt;0"))</f>
        <v/>
      </c>
    </row>
    <row r="226" spans="80:83">
      <c r="CB226" t="str">
        <f>IF(AND('Competency Event Log'!$B226='Employee Transcript'!$C$4,'Competency Event Log'!$I226&lt;&gt;"Yes"),'Competency Event Log'!$K226,"")</f>
        <v/>
      </c>
      <c r="CC226" t="str">
        <f t="shared" si="43"/>
        <v/>
      </c>
      <c r="CD226" t="str">
        <f>IF(Certifications!$A226='Employee Transcript'!$C$4,226,"")</f>
        <v/>
      </c>
      <c r="CE226" t="str">
        <f>IF(CD226="","",COUNTIF($CD$4:CD226,"&gt;0"))</f>
        <v/>
      </c>
    </row>
    <row r="227" spans="80:83">
      <c r="CB227" t="str">
        <f>IF(AND('Competency Event Log'!$B227='Employee Transcript'!$C$4,'Competency Event Log'!$I227&lt;&gt;"Yes"),'Competency Event Log'!$K227,"")</f>
        <v/>
      </c>
      <c r="CC227" t="str">
        <f t="shared" si="43"/>
        <v/>
      </c>
      <c r="CD227" t="str">
        <f>IF(Certifications!$A227='Employee Transcript'!$C$4,227,"")</f>
        <v/>
      </c>
      <c r="CE227" t="str">
        <f>IF(CD227="","",COUNTIF($CD$4:CD227,"&gt;0"))</f>
        <v/>
      </c>
    </row>
    <row r="228" spans="80:83">
      <c r="CB228" t="str">
        <f>IF(AND('Competency Event Log'!$B228='Employee Transcript'!$C$4,'Competency Event Log'!$I228&lt;&gt;"Yes"),'Competency Event Log'!$K228,"")</f>
        <v/>
      </c>
      <c r="CC228" t="str">
        <f t="shared" si="43"/>
        <v/>
      </c>
      <c r="CD228" t="str">
        <f>IF(Certifications!$A228='Employee Transcript'!$C$4,228,"")</f>
        <v/>
      </c>
      <c r="CE228" t="str">
        <f>IF(CD228="","",COUNTIF($CD$4:CD228,"&gt;0"))</f>
        <v/>
      </c>
    </row>
    <row r="229" spans="80:83">
      <c r="CB229" t="str">
        <f>IF(AND('Competency Event Log'!$B229='Employee Transcript'!$C$4,'Competency Event Log'!$I229&lt;&gt;"Yes"),'Competency Event Log'!$K229,"")</f>
        <v/>
      </c>
      <c r="CC229" t="str">
        <f t="shared" si="43"/>
        <v/>
      </c>
      <c r="CD229" t="str">
        <f>IF(Certifications!$A229='Employee Transcript'!$C$4,229,"")</f>
        <v/>
      </c>
      <c r="CE229" t="str">
        <f>IF(CD229="","",COUNTIF($CD$4:CD229,"&gt;0"))</f>
        <v/>
      </c>
    </row>
    <row r="230" spans="80:83">
      <c r="CB230" t="str">
        <f>IF(AND('Competency Event Log'!$B230='Employee Transcript'!$C$4,'Competency Event Log'!$I230&lt;&gt;"Yes"),'Competency Event Log'!$K230,"")</f>
        <v/>
      </c>
      <c r="CC230" t="str">
        <f t="shared" si="43"/>
        <v/>
      </c>
      <c r="CD230" t="str">
        <f>IF(Certifications!$A230='Employee Transcript'!$C$4,230,"")</f>
        <v/>
      </c>
      <c r="CE230" t="str">
        <f>IF(CD230="","",COUNTIF($CD$4:CD230,"&gt;0"))</f>
        <v/>
      </c>
    </row>
    <row r="231" spans="80:83">
      <c r="CB231" t="str">
        <f>IF(AND('Competency Event Log'!$B231='Employee Transcript'!$C$4,'Competency Event Log'!$I231&lt;&gt;"Yes"),'Competency Event Log'!$K231,"")</f>
        <v/>
      </c>
      <c r="CC231" t="str">
        <f t="shared" si="43"/>
        <v/>
      </c>
      <c r="CD231" t="str">
        <f>IF(Certifications!$A231='Employee Transcript'!$C$4,231,"")</f>
        <v/>
      </c>
      <c r="CE231" t="str">
        <f>IF(CD231="","",COUNTIF($CD$4:CD231,"&gt;0"))</f>
        <v/>
      </c>
    </row>
    <row r="232" spans="80:83">
      <c r="CB232" t="str">
        <f>IF(AND('Competency Event Log'!$B232='Employee Transcript'!$C$4,'Competency Event Log'!$I232&lt;&gt;"Yes"),'Competency Event Log'!$K232,"")</f>
        <v/>
      </c>
      <c r="CC232" t="str">
        <f t="shared" si="43"/>
        <v/>
      </c>
      <c r="CD232" t="str">
        <f>IF(Certifications!$A232='Employee Transcript'!$C$4,232,"")</f>
        <v/>
      </c>
      <c r="CE232" t="str">
        <f>IF(CD232="","",COUNTIF($CD$4:CD232,"&gt;0"))</f>
        <v/>
      </c>
    </row>
    <row r="233" spans="80:83">
      <c r="CB233" t="str">
        <f>IF(AND('Competency Event Log'!$B233='Employee Transcript'!$C$4,'Competency Event Log'!$I233&lt;&gt;"Yes"),'Competency Event Log'!$K233,"")</f>
        <v/>
      </c>
      <c r="CC233" t="str">
        <f t="shared" si="43"/>
        <v/>
      </c>
      <c r="CD233" t="str">
        <f>IF(Certifications!$A233='Employee Transcript'!$C$4,233,"")</f>
        <v/>
      </c>
      <c r="CE233" t="str">
        <f>IF(CD233="","",COUNTIF($CD$4:CD233,"&gt;0"))</f>
        <v/>
      </c>
    </row>
    <row r="234" spans="80:83">
      <c r="CB234" t="str">
        <f>IF(AND('Competency Event Log'!$B234='Employee Transcript'!$C$4,'Competency Event Log'!$I234&lt;&gt;"Yes"),'Competency Event Log'!$K234,"")</f>
        <v/>
      </c>
      <c r="CC234" t="str">
        <f t="shared" si="43"/>
        <v/>
      </c>
      <c r="CD234" t="str">
        <f>IF(Certifications!$A234='Employee Transcript'!$C$4,234,"")</f>
        <v/>
      </c>
      <c r="CE234" t="str">
        <f>IF(CD234="","",COUNTIF($CD$4:CD234,"&gt;0"))</f>
        <v/>
      </c>
    </row>
    <row r="235" spans="80:83">
      <c r="CB235" t="str">
        <f>IF(AND('Competency Event Log'!$B235='Employee Transcript'!$C$4,'Competency Event Log'!$I235&lt;&gt;"Yes"),'Competency Event Log'!$K235,"")</f>
        <v/>
      </c>
      <c r="CC235" t="str">
        <f t="shared" si="43"/>
        <v/>
      </c>
      <c r="CD235" t="str">
        <f>IF(Certifications!$A235='Employee Transcript'!$C$4,235,"")</f>
        <v/>
      </c>
      <c r="CE235" t="str">
        <f>IF(CD235="","",COUNTIF($CD$4:CD235,"&gt;0"))</f>
        <v/>
      </c>
    </row>
    <row r="236" spans="80:83">
      <c r="CB236" t="str">
        <f>IF(AND('Competency Event Log'!$B236='Employee Transcript'!$C$4,'Competency Event Log'!$I236&lt;&gt;"Yes"),'Competency Event Log'!$K236,"")</f>
        <v/>
      </c>
      <c r="CC236" t="str">
        <f t="shared" si="43"/>
        <v/>
      </c>
      <c r="CD236" t="str">
        <f>IF(Certifications!$A236='Employee Transcript'!$C$4,236,"")</f>
        <v/>
      </c>
      <c r="CE236" t="str">
        <f>IF(CD236="","",COUNTIF($CD$4:CD236,"&gt;0"))</f>
        <v/>
      </c>
    </row>
    <row r="237" spans="80:83">
      <c r="CB237" t="str">
        <f>IF(AND('Competency Event Log'!$B237='Employee Transcript'!$C$4,'Competency Event Log'!$I237&lt;&gt;"Yes"),'Competency Event Log'!$K237,"")</f>
        <v/>
      </c>
      <c r="CC237" t="str">
        <f t="shared" si="43"/>
        <v/>
      </c>
      <c r="CD237" t="str">
        <f>IF(Certifications!$A237='Employee Transcript'!$C$4,237,"")</f>
        <v/>
      </c>
      <c r="CE237" t="str">
        <f>IF(CD237="","",COUNTIF($CD$4:CD237,"&gt;0"))</f>
        <v/>
      </c>
    </row>
    <row r="238" spans="80:83">
      <c r="CB238" t="str">
        <f>IF(AND('Competency Event Log'!$B238='Employee Transcript'!$C$4,'Competency Event Log'!$I238&lt;&gt;"Yes"),'Competency Event Log'!$K238,"")</f>
        <v/>
      </c>
      <c r="CC238" t="str">
        <f t="shared" si="43"/>
        <v/>
      </c>
      <c r="CD238" t="str">
        <f>IF(Certifications!$A238='Employee Transcript'!$C$4,238,"")</f>
        <v/>
      </c>
      <c r="CE238" t="str">
        <f>IF(CD238="","",COUNTIF($CD$4:CD238,"&gt;0"))</f>
        <v/>
      </c>
    </row>
    <row r="239" spans="80:83">
      <c r="CB239" t="str">
        <f>IF(AND('Competency Event Log'!$B239='Employee Transcript'!$C$4,'Competency Event Log'!$I239&lt;&gt;"Yes"),'Competency Event Log'!$K239,"")</f>
        <v/>
      </c>
      <c r="CC239" t="str">
        <f t="shared" si="43"/>
        <v/>
      </c>
      <c r="CD239" t="str">
        <f>IF(Certifications!$A239='Employee Transcript'!$C$4,239,"")</f>
        <v/>
      </c>
      <c r="CE239" t="str">
        <f>IF(CD239="","",COUNTIF($CD$4:CD239,"&gt;0"))</f>
        <v/>
      </c>
    </row>
    <row r="240" spans="80:83">
      <c r="CB240" t="str">
        <f>IF(AND('Competency Event Log'!$B240='Employee Transcript'!$C$4,'Competency Event Log'!$I240&lt;&gt;"Yes"),'Competency Event Log'!$K240,"")</f>
        <v/>
      </c>
      <c r="CC240" t="str">
        <f t="shared" si="43"/>
        <v/>
      </c>
      <c r="CD240" t="str">
        <f>IF(Certifications!$A240='Employee Transcript'!$C$4,240,"")</f>
        <v/>
      </c>
      <c r="CE240" t="str">
        <f>IF(CD240="","",COUNTIF($CD$4:CD240,"&gt;0"))</f>
        <v/>
      </c>
    </row>
    <row r="241" spans="80:83">
      <c r="CB241" t="str">
        <f>IF(AND('Competency Event Log'!$B241='Employee Transcript'!$C$4,'Competency Event Log'!$I241&lt;&gt;"Yes"),'Competency Event Log'!$K241,"")</f>
        <v/>
      </c>
      <c r="CC241" t="str">
        <f t="shared" si="43"/>
        <v/>
      </c>
      <c r="CD241" t="str">
        <f>IF(Certifications!$A241='Employee Transcript'!$C$4,241,"")</f>
        <v/>
      </c>
      <c r="CE241" t="str">
        <f>IF(CD241="","",COUNTIF($CD$4:CD241,"&gt;0"))</f>
        <v/>
      </c>
    </row>
    <row r="242" spans="80:83">
      <c r="CB242" t="str">
        <f>IF(AND('Competency Event Log'!$B242='Employee Transcript'!$C$4,'Competency Event Log'!$I242&lt;&gt;"Yes"),'Competency Event Log'!$K242,"")</f>
        <v/>
      </c>
      <c r="CC242" t="str">
        <f t="shared" si="43"/>
        <v/>
      </c>
      <c r="CD242" t="str">
        <f>IF(Certifications!$A242='Employee Transcript'!$C$4,242,"")</f>
        <v/>
      </c>
      <c r="CE242" t="str">
        <f>IF(CD242="","",COUNTIF($CD$4:CD242,"&gt;0"))</f>
        <v/>
      </c>
    </row>
    <row r="243" spans="80:83">
      <c r="CB243" t="str">
        <f>IF(AND('Competency Event Log'!$B243='Employee Transcript'!$C$4,'Competency Event Log'!$I243&lt;&gt;"Yes"),'Competency Event Log'!$K243,"")</f>
        <v/>
      </c>
      <c r="CC243" t="str">
        <f t="shared" si="43"/>
        <v/>
      </c>
      <c r="CD243" t="str">
        <f>IF(Certifications!$A243='Employee Transcript'!$C$4,243,"")</f>
        <v/>
      </c>
      <c r="CE243" t="str">
        <f>IF(CD243="","",COUNTIF($CD$4:CD243,"&gt;0"))</f>
        <v/>
      </c>
    </row>
    <row r="244" spans="80:83">
      <c r="CB244" t="str">
        <f>IF(AND('Competency Event Log'!$B244='Employee Transcript'!$C$4,'Competency Event Log'!$I244&lt;&gt;"Yes"),'Competency Event Log'!$K244,"")</f>
        <v/>
      </c>
      <c r="CC244" t="str">
        <f t="shared" si="43"/>
        <v/>
      </c>
      <c r="CD244" t="str">
        <f>IF(Certifications!$A244='Employee Transcript'!$C$4,244,"")</f>
        <v/>
      </c>
      <c r="CE244" t="str">
        <f>IF(CD244="","",COUNTIF($CD$4:CD244,"&gt;0"))</f>
        <v/>
      </c>
    </row>
    <row r="245" spans="80:83">
      <c r="CB245" t="str">
        <f>IF(AND('Competency Event Log'!$B245='Employee Transcript'!$C$4,'Competency Event Log'!$I245&lt;&gt;"Yes"),'Competency Event Log'!$K245,"")</f>
        <v/>
      </c>
      <c r="CC245" t="str">
        <f t="shared" si="43"/>
        <v/>
      </c>
      <c r="CD245" t="str">
        <f>IF(Certifications!$A245='Employee Transcript'!$C$4,245,"")</f>
        <v/>
      </c>
      <c r="CE245" t="str">
        <f>IF(CD245="","",COUNTIF($CD$4:CD245,"&gt;0"))</f>
        <v/>
      </c>
    </row>
    <row r="246" spans="80:83">
      <c r="CB246" t="str">
        <f>IF(AND('Competency Event Log'!$B246='Employee Transcript'!$C$4,'Competency Event Log'!$I246&lt;&gt;"Yes"),'Competency Event Log'!$K246,"")</f>
        <v/>
      </c>
      <c r="CC246" t="str">
        <f t="shared" si="43"/>
        <v/>
      </c>
      <c r="CD246" t="str">
        <f>IF(Certifications!$A246='Employee Transcript'!$C$4,246,"")</f>
        <v/>
      </c>
      <c r="CE246" t="str">
        <f>IF(CD246="","",COUNTIF($CD$4:CD246,"&gt;0"))</f>
        <v/>
      </c>
    </row>
    <row r="247" spans="80:83">
      <c r="CB247" t="str">
        <f>IF(AND('Competency Event Log'!$B247='Employee Transcript'!$C$4,'Competency Event Log'!$I247&lt;&gt;"Yes"),'Competency Event Log'!$K247,"")</f>
        <v/>
      </c>
      <c r="CC247" t="str">
        <f t="shared" si="43"/>
        <v/>
      </c>
      <c r="CD247" t="str">
        <f>IF(Certifications!$A247='Employee Transcript'!$C$4,247,"")</f>
        <v/>
      </c>
      <c r="CE247" t="str">
        <f>IF(CD247="","",COUNTIF($CD$4:CD247,"&gt;0"))</f>
        <v/>
      </c>
    </row>
    <row r="248" spans="80:83">
      <c r="CB248" t="str">
        <f>IF(AND('Competency Event Log'!$B248='Employee Transcript'!$C$4,'Competency Event Log'!$I248&lt;&gt;"Yes"),'Competency Event Log'!$K248,"")</f>
        <v/>
      </c>
      <c r="CC248" t="str">
        <f t="shared" si="43"/>
        <v/>
      </c>
      <c r="CD248" t="str">
        <f>IF(Certifications!$A248='Employee Transcript'!$C$4,248,"")</f>
        <v/>
      </c>
      <c r="CE248" t="str">
        <f>IF(CD248="","",COUNTIF($CD$4:CD248,"&gt;0"))</f>
        <v/>
      </c>
    </row>
    <row r="249" spans="80:83">
      <c r="CB249" t="str">
        <f>IF(AND('Competency Event Log'!$B249='Employee Transcript'!$C$4,'Competency Event Log'!$I249&lt;&gt;"Yes"),'Competency Event Log'!$K249,"")</f>
        <v/>
      </c>
      <c r="CC249" t="str">
        <f t="shared" si="43"/>
        <v/>
      </c>
      <c r="CD249" t="str">
        <f>IF(Certifications!$A249='Employee Transcript'!$C$4,249,"")</f>
        <v/>
      </c>
      <c r="CE249" t="str">
        <f>IF(CD249="","",COUNTIF($CD$4:CD249,"&gt;0"))</f>
        <v/>
      </c>
    </row>
    <row r="250" spans="80:83">
      <c r="CB250" t="str">
        <f>IF(AND('Competency Event Log'!$B250='Employee Transcript'!$C$4,'Competency Event Log'!$I250&lt;&gt;"Yes"),'Competency Event Log'!$K250,"")</f>
        <v/>
      </c>
      <c r="CC250" t="str">
        <f t="shared" si="43"/>
        <v/>
      </c>
      <c r="CD250" t="str">
        <f>IF(Certifications!$A250='Employee Transcript'!$C$4,250,"")</f>
        <v/>
      </c>
      <c r="CE250" t="str">
        <f>IF(CD250="","",COUNTIF($CD$4:CD250,"&gt;0"))</f>
        <v/>
      </c>
    </row>
    <row r="251" spans="80:83">
      <c r="CB251" t="str">
        <f>IF(AND('Competency Event Log'!$B251='Employee Transcript'!$C$4,'Competency Event Log'!$I251&lt;&gt;"Yes"),'Competency Event Log'!$K251,"")</f>
        <v/>
      </c>
      <c r="CC251" t="str">
        <f t="shared" si="43"/>
        <v/>
      </c>
      <c r="CD251" t="str">
        <f>IF(Certifications!$A251='Employee Transcript'!$C$4,251,"")</f>
        <v/>
      </c>
      <c r="CE251" t="str">
        <f>IF(CD251="","",COUNTIF($CD$4:CD251,"&gt;0"))</f>
        <v/>
      </c>
    </row>
    <row r="252" spans="80:83">
      <c r="CB252" t="str">
        <f>IF(AND('Competency Event Log'!$B252='Employee Transcript'!$C$4,'Competency Event Log'!$I252&lt;&gt;"Yes"),'Competency Event Log'!$K252,"")</f>
        <v/>
      </c>
      <c r="CC252" t="str">
        <f t="shared" si="43"/>
        <v/>
      </c>
      <c r="CD252" t="str">
        <f>IF(Certifications!$A252='Employee Transcript'!$C$4,252,"")</f>
        <v/>
      </c>
      <c r="CE252" t="str">
        <f>IF(CD252="","",COUNTIF($CD$4:CD252,"&gt;0"))</f>
        <v/>
      </c>
    </row>
    <row r="253" spans="80:83">
      <c r="CB253" t="str">
        <f>IF(AND('Competency Event Log'!$B253='Employee Transcript'!$C$4,'Competency Event Log'!$I253&lt;&gt;"Yes"),'Competency Event Log'!$K253,"")</f>
        <v/>
      </c>
      <c r="CC253" t="str">
        <f t="shared" si="43"/>
        <v/>
      </c>
      <c r="CD253" t="str">
        <f>IF(Certifications!$A253='Employee Transcript'!$C$4,253,"")</f>
        <v/>
      </c>
      <c r="CE253" t="str">
        <f>IF(CD253="","",COUNTIF($CD$4:CD253,"&gt;0"))</f>
        <v/>
      </c>
    </row>
    <row r="254" spans="80:83">
      <c r="CB254" t="str">
        <f>IF(AND('Competency Event Log'!$B254='Employee Transcript'!$C$4,'Competency Event Log'!$I254&lt;&gt;"Yes"),'Competency Event Log'!$K254,"")</f>
        <v/>
      </c>
      <c r="CC254" t="str">
        <f t="shared" si="43"/>
        <v/>
      </c>
      <c r="CD254" t="str">
        <f>IF(Certifications!$A254='Employee Transcript'!$C$4,254,"")</f>
        <v/>
      </c>
      <c r="CE254" t="str">
        <f>IF(CD254="","",COUNTIF($CD$4:CD254,"&gt;0"))</f>
        <v/>
      </c>
    </row>
    <row r="255" spans="80:83">
      <c r="CB255" t="str">
        <f>IF(AND('Competency Event Log'!$B255='Employee Transcript'!$C$4,'Competency Event Log'!$I255&lt;&gt;"Yes"),'Competency Event Log'!$K255,"")</f>
        <v/>
      </c>
      <c r="CC255" t="str">
        <f t="shared" si="43"/>
        <v/>
      </c>
      <c r="CD255" t="str">
        <f>IF(Certifications!$A255='Employee Transcript'!$C$4,255,"")</f>
        <v/>
      </c>
      <c r="CE255" t="str">
        <f>IF(CD255="","",COUNTIF($CD$4:CD255,"&gt;0"))</f>
        <v/>
      </c>
    </row>
    <row r="256" spans="80:83">
      <c r="CB256" t="str">
        <f>IF(AND('Competency Event Log'!$B256='Employee Transcript'!$C$4,'Competency Event Log'!$I256&lt;&gt;"Yes"),'Competency Event Log'!$K256,"")</f>
        <v/>
      </c>
      <c r="CC256" t="str">
        <f t="shared" si="43"/>
        <v/>
      </c>
      <c r="CD256" t="str">
        <f>IF(Certifications!$A256='Employee Transcript'!$C$4,256,"")</f>
        <v/>
      </c>
      <c r="CE256" t="str">
        <f>IF(CD256="","",COUNTIF($CD$4:CD256,"&gt;0"))</f>
        <v/>
      </c>
    </row>
    <row r="257" spans="80:83">
      <c r="CB257" t="str">
        <f>IF(AND('Competency Event Log'!$B257='Employee Transcript'!$C$4,'Competency Event Log'!$I257&lt;&gt;"Yes"),'Competency Event Log'!$K257,"")</f>
        <v/>
      </c>
      <c r="CC257" t="str">
        <f t="shared" si="43"/>
        <v/>
      </c>
      <c r="CD257" t="str">
        <f>IF(Certifications!$A257='Employee Transcript'!$C$4,257,"")</f>
        <v/>
      </c>
      <c r="CE257" t="str">
        <f>IF(CD257="","",COUNTIF($CD$4:CD257,"&gt;0"))</f>
        <v/>
      </c>
    </row>
    <row r="258" spans="80:83">
      <c r="CB258" t="str">
        <f>IF(AND('Competency Event Log'!$B258='Employee Transcript'!$C$4,'Competency Event Log'!$I258&lt;&gt;"Yes"),'Competency Event Log'!$K258,"")</f>
        <v/>
      </c>
      <c r="CC258" t="str">
        <f t="shared" si="43"/>
        <v/>
      </c>
      <c r="CD258" t="str">
        <f>IF(Certifications!$A258='Employee Transcript'!$C$4,258,"")</f>
        <v/>
      </c>
      <c r="CE258" t="str">
        <f>IF(CD258="","",COUNTIF($CD$4:CD258,"&gt;0"))</f>
        <v/>
      </c>
    </row>
    <row r="259" spans="80:83">
      <c r="CB259" t="str">
        <f>IF(AND('Competency Event Log'!$B259='Employee Transcript'!$C$4,'Competency Event Log'!$I259&lt;&gt;"Yes"),'Competency Event Log'!$K259,"")</f>
        <v/>
      </c>
      <c r="CC259" t="str">
        <f t="shared" si="43"/>
        <v/>
      </c>
      <c r="CD259" t="str">
        <f>IF(Certifications!$A259='Employee Transcript'!$C$4,259,"")</f>
        <v/>
      </c>
      <c r="CE259" t="str">
        <f>IF(CD259="","",COUNTIF($CD$4:CD259,"&gt;0"))</f>
        <v/>
      </c>
    </row>
    <row r="260" spans="80:83">
      <c r="CB260" t="str">
        <f>IF(AND('Competency Event Log'!$B260='Employee Transcript'!$C$4,'Competency Event Log'!$I260&lt;&gt;"Yes"),'Competency Event Log'!$K260,"")</f>
        <v/>
      </c>
      <c r="CC260" t="str">
        <f t="shared" ref="CC260:CC323" si="44">IF(CB260="","",COUNTIF($CB$4:$CB$803,"&gt;"&amp;CB260)+1)</f>
        <v/>
      </c>
      <c r="CD260" t="str">
        <f>IF(Certifications!$A260='Employee Transcript'!$C$4,260,"")</f>
        <v/>
      </c>
      <c r="CE260" t="str">
        <f>IF(CD260="","",COUNTIF($CD$4:CD260,"&gt;0"))</f>
        <v/>
      </c>
    </row>
    <row r="261" spans="80:83">
      <c r="CB261" t="str">
        <f>IF(AND('Competency Event Log'!$B261='Employee Transcript'!$C$4,'Competency Event Log'!$I261&lt;&gt;"Yes"),'Competency Event Log'!$K261,"")</f>
        <v/>
      </c>
      <c r="CC261" t="str">
        <f t="shared" si="44"/>
        <v/>
      </c>
      <c r="CD261" t="str">
        <f>IF(Certifications!$A261='Employee Transcript'!$C$4,261,"")</f>
        <v/>
      </c>
      <c r="CE261" t="str">
        <f>IF(CD261="","",COUNTIF($CD$4:CD261,"&gt;0"))</f>
        <v/>
      </c>
    </row>
    <row r="262" spans="80:83">
      <c r="CB262" t="str">
        <f>IF(AND('Competency Event Log'!$B262='Employee Transcript'!$C$4,'Competency Event Log'!$I262&lt;&gt;"Yes"),'Competency Event Log'!$K262,"")</f>
        <v/>
      </c>
      <c r="CC262" t="str">
        <f t="shared" si="44"/>
        <v/>
      </c>
      <c r="CD262" t="str">
        <f>IF(Certifications!$A262='Employee Transcript'!$C$4,262,"")</f>
        <v/>
      </c>
      <c r="CE262" t="str">
        <f>IF(CD262="","",COUNTIF($CD$4:CD262,"&gt;0"))</f>
        <v/>
      </c>
    </row>
    <row r="263" spans="80:83">
      <c r="CB263" t="str">
        <f>IF(AND('Competency Event Log'!$B263='Employee Transcript'!$C$4,'Competency Event Log'!$I263&lt;&gt;"Yes"),'Competency Event Log'!$K263,"")</f>
        <v/>
      </c>
      <c r="CC263" t="str">
        <f t="shared" si="44"/>
        <v/>
      </c>
      <c r="CD263" t="str">
        <f>IF(Certifications!$A263='Employee Transcript'!$C$4,263,"")</f>
        <v/>
      </c>
      <c r="CE263" t="str">
        <f>IF(CD263="","",COUNTIF($CD$4:CD263,"&gt;0"))</f>
        <v/>
      </c>
    </row>
    <row r="264" spans="80:83">
      <c r="CB264" t="str">
        <f>IF(AND('Competency Event Log'!$B264='Employee Transcript'!$C$4,'Competency Event Log'!$I264&lt;&gt;"Yes"),'Competency Event Log'!$K264,"")</f>
        <v/>
      </c>
      <c r="CC264" t="str">
        <f t="shared" si="44"/>
        <v/>
      </c>
      <c r="CD264" t="str">
        <f>IF(Certifications!$A264='Employee Transcript'!$C$4,264,"")</f>
        <v/>
      </c>
      <c r="CE264" t="str">
        <f>IF(CD264="","",COUNTIF($CD$4:CD264,"&gt;0"))</f>
        <v/>
      </c>
    </row>
    <row r="265" spans="80:83">
      <c r="CB265" t="str">
        <f>IF(AND('Competency Event Log'!$B265='Employee Transcript'!$C$4,'Competency Event Log'!$I265&lt;&gt;"Yes"),'Competency Event Log'!$K265,"")</f>
        <v/>
      </c>
      <c r="CC265" t="str">
        <f t="shared" si="44"/>
        <v/>
      </c>
      <c r="CD265" t="str">
        <f>IF(Certifications!$A265='Employee Transcript'!$C$4,265,"")</f>
        <v/>
      </c>
      <c r="CE265" t="str">
        <f>IF(CD265="","",COUNTIF($CD$4:CD265,"&gt;0"))</f>
        <v/>
      </c>
    </row>
    <row r="266" spans="80:83">
      <c r="CB266" t="str">
        <f>IF(AND('Competency Event Log'!$B266='Employee Transcript'!$C$4,'Competency Event Log'!$I266&lt;&gt;"Yes"),'Competency Event Log'!$K266,"")</f>
        <v/>
      </c>
      <c r="CC266" t="str">
        <f t="shared" si="44"/>
        <v/>
      </c>
      <c r="CD266" t="str">
        <f>IF(Certifications!$A266='Employee Transcript'!$C$4,266,"")</f>
        <v/>
      </c>
      <c r="CE266" t="str">
        <f>IF(CD266="","",COUNTIF($CD$4:CD266,"&gt;0"))</f>
        <v/>
      </c>
    </row>
    <row r="267" spans="80:83">
      <c r="CB267" t="str">
        <f>IF(AND('Competency Event Log'!$B267='Employee Transcript'!$C$4,'Competency Event Log'!$I267&lt;&gt;"Yes"),'Competency Event Log'!$K267,"")</f>
        <v/>
      </c>
      <c r="CC267" t="str">
        <f t="shared" si="44"/>
        <v/>
      </c>
      <c r="CD267" t="str">
        <f>IF(Certifications!$A267='Employee Transcript'!$C$4,267,"")</f>
        <v/>
      </c>
      <c r="CE267" t="str">
        <f>IF(CD267="","",COUNTIF($CD$4:CD267,"&gt;0"))</f>
        <v/>
      </c>
    </row>
    <row r="268" spans="80:83">
      <c r="CB268" t="str">
        <f>IF(AND('Competency Event Log'!$B268='Employee Transcript'!$C$4,'Competency Event Log'!$I268&lt;&gt;"Yes"),'Competency Event Log'!$K268,"")</f>
        <v/>
      </c>
      <c r="CC268" t="str">
        <f t="shared" si="44"/>
        <v/>
      </c>
      <c r="CD268" t="str">
        <f>IF(Certifications!$A268='Employee Transcript'!$C$4,268,"")</f>
        <v/>
      </c>
      <c r="CE268" t="str">
        <f>IF(CD268="","",COUNTIF($CD$4:CD268,"&gt;0"))</f>
        <v/>
      </c>
    </row>
    <row r="269" spans="80:83">
      <c r="CB269" t="str">
        <f>IF(AND('Competency Event Log'!$B269='Employee Transcript'!$C$4,'Competency Event Log'!$I269&lt;&gt;"Yes"),'Competency Event Log'!$K269,"")</f>
        <v/>
      </c>
      <c r="CC269" t="str">
        <f t="shared" si="44"/>
        <v/>
      </c>
      <c r="CD269" t="str">
        <f>IF(Certifications!$A269='Employee Transcript'!$C$4,269,"")</f>
        <v/>
      </c>
      <c r="CE269" t="str">
        <f>IF(CD269="","",COUNTIF($CD$4:CD269,"&gt;0"))</f>
        <v/>
      </c>
    </row>
    <row r="270" spans="80:83">
      <c r="CB270" t="str">
        <f>IF(AND('Competency Event Log'!$B270='Employee Transcript'!$C$4,'Competency Event Log'!$I270&lt;&gt;"Yes"),'Competency Event Log'!$K270,"")</f>
        <v/>
      </c>
      <c r="CC270" t="str">
        <f t="shared" si="44"/>
        <v/>
      </c>
      <c r="CD270" t="str">
        <f>IF(Certifications!$A270='Employee Transcript'!$C$4,270,"")</f>
        <v/>
      </c>
      <c r="CE270" t="str">
        <f>IF(CD270="","",COUNTIF($CD$4:CD270,"&gt;0"))</f>
        <v/>
      </c>
    </row>
    <row r="271" spans="80:83">
      <c r="CB271" t="str">
        <f>IF(AND('Competency Event Log'!$B271='Employee Transcript'!$C$4,'Competency Event Log'!$I271&lt;&gt;"Yes"),'Competency Event Log'!$K271,"")</f>
        <v/>
      </c>
      <c r="CC271" t="str">
        <f t="shared" si="44"/>
        <v/>
      </c>
      <c r="CD271" t="str">
        <f>IF(Certifications!$A271='Employee Transcript'!$C$4,271,"")</f>
        <v/>
      </c>
      <c r="CE271" t="str">
        <f>IF(CD271="","",COUNTIF($CD$4:CD271,"&gt;0"))</f>
        <v/>
      </c>
    </row>
    <row r="272" spans="80:83">
      <c r="CB272" t="str">
        <f>IF(AND('Competency Event Log'!$B272='Employee Transcript'!$C$4,'Competency Event Log'!$I272&lt;&gt;"Yes"),'Competency Event Log'!$K272,"")</f>
        <v/>
      </c>
      <c r="CC272" t="str">
        <f t="shared" si="44"/>
        <v/>
      </c>
      <c r="CD272" t="str">
        <f>IF(Certifications!$A272='Employee Transcript'!$C$4,272,"")</f>
        <v/>
      </c>
      <c r="CE272" t="str">
        <f>IF(CD272="","",COUNTIF($CD$4:CD272,"&gt;0"))</f>
        <v/>
      </c>
    </row>
    <row r="273" spans="80:83">
      <c r="CB273" t="str">
        <f>IF(AND('Competency Event Log'!$B273='Employee Transcript'!$C$4,'Competency Event Log'!$I273&lt;&gt;"Yes"),'Competency Event Log'!$K273,"")</f>
        <v/>
      </c>
      <c r="CC273" t="str">
        <f t="shared" si="44"/>
        <v/>
      </c>
      <c r="CD273" t="str">
        <f>IF(Certifications!$A273='Employee Transcript'!$C$4,273,"")</f>
        <v/>
      </c>
      <c r="CE273" t="str">
        <f>IF(CD273="","",COUNTIF($CD$4:CD273,"&gt;0"))</f>
        <v/>
      </c>
    </row>
    <row r="274" spans="80:83">
      <c r="CB274" t="str">
        <f>IF(AND('Competency Event Log'!$B274='Employee Transcript'!$C$4,'Competency Event Log'!$I274&lt;&gt;"Yes"),'Competency Event Log'!$K274,"")</f>
        <v/>
      </c>
      <c r="CC274" t="str">
        <f t="shared" si="44"/>
        <v/>
      </c>
      <c r="CD274" t="str">
        <f>IF(Certifications!$A274='Employee Transcript'!$C$4,274,"")</f>
        <v/>
      </c>
      <c r="CE274" t="str">
        <f>IF(CD274="","",COUNTIF($CD$4:CD274,"&gt;0"))</f>
        <v/>
      </c>
    </row>
    <row r="275" spans="80:83">
      <c r="CB275" t="str">
        <f>IF(AND('Competency Event Log'!$B275='Employee Transcript'!$C$4,'Competency Event Log'!$I275&lt;&gt;"Yes"),'Competency Event Log'!$K275,"")</f>
        <v/>
      </c>
      <c r="CC275" t="str">
        <f t="shared" si="44"/>
        <v/>
      </c>
      <c r="CD275" t="str">
        <f>IF(Certifications!$A275='Employee Transcript'!$C$4,275,"")</f>
        <v/>
      </c>
      <c r="CE275" t="str">
        <f>IF(CD275="","",COUNTIF($CD$4:CD275,"&gt;0"))</f>
        <v/>
      </c>
    </row>
    <row r="276" spans="80:83">
      <c r="CB276" t="str">
        <f>IF(AND('Competency Event Log'!$B276='Employee Transcript'!$C$4,'Competency Event Log'!$I276&lt;&gt;"Yes"),'Competency Event Log'!$K276,"")</f>
        <v/>
      </c>
      <c r="CC276" t="str">
        <f t="shared" si="44"/>
        <v/>
      </c>
      <c r="CD276" t="str">
        <f>IF(Certifications!$A276='Employee Transcript'!$C$4,276,"")</f>
        <v/>
      </c>
      <c r="CE276" t="str">
        <f>IF(CD276="","",COUNTIF($CD$4:CD276,"&gt;0"))</f>
        <v/>
      </c>
    </row>
    <row r="277" spans="80:83">
      <c r="CB277" t="str">
        <f>IF(AND('Competency Event Log'!$B277='Employee Transcript'!$C$4,'Competency Event Log'!$I277&lt;&gt;"Yes"),'Competency Event Log'!$K277,"")</f>
        <v/>
      </c>
      <c r="CC277" t="str">
        <f t="shared" si="44"/>
        <v/>
      </c>
      <c r="CD277" t="str">
        <f>IF(Certifications!$A277='Employee Transcript'!$C$4,277,"")</f>
        <v/>
      </c>
      <c r="CE277" t="str">
        <f>IF(CD277="","",COUNTIF($CD$4:CD277,"&gt;0"))</f>
        <v/>
      </c>
    </row>
    <row r="278" spans="80:83">
      <c r="CB278" t="str">
        <f>IF(AND('Competency Event Log'!$B278='Employee Transcript'!$C$4,'Competency Event Log'!$I278&lt;&gt;"Yes"),'Competency Event Log'!$K278,"")</f>
        <v/>
      </c>
      <c r="CC278" t="str">
        <f t="shared" si="44"/>
        <v/>
      </c>
      <c r="CD278" t="str">
        <f>IF(Certifications!$A278='Employee Transcript'!$C$4,278,"")</f>
        <v/>
      </c>
      <c r="CE278" t="str">
        <f>IF(CD278="","",COUNTIF($CD$4:CD278,"&gt;0"))</f>
        <v/>
      </c>
    </row>
    <row r="279" spans="80:83">
      <c r="CB279" t="str">
        <f>IF(AND('Competency Event Log'!$B279='Employee Transcript'!$C$4,'Competency Event Log'!$I279&lt;&gt;"Yes"),'Competency Event Log'!$K279,"")</f>
        <v/>
      </c>
      <c r="CC279" t="str">
        <f t="shared" si="44"/>
        <v/>
      </c>
      <c r="CD279" t="str">
        <f>IF(Certifications!$A279='Employee Transcript'!$C$4,279,"")</f>
        <v/>
      </c>
      <c r="CE279" t="str">
        <f>IF(CD279="","",COUNTIF($CD$4:CD279,"&gt;0"))</f>
        <v/>
      </c>
    </row>
    <row r="280" spans="80:83">
      <c r="CB280" t="str">
        <f>IF(AND('Competency Event Log'!$B280='Employee Transcript'!$C$4,'Competency Event Log'!$I280&lt;&gt;"Yes"),'Competency Event Log'!$K280,"")</f>
        <v/>
      </c>
      <c r="CC280" t="str">
        <f t="shared" si="44"/>
        <v/>
      </c>
      <c r="CD280" t="str">
        <f>IF(Certifications!$A280='Employee Transcript'!$C$4,280,"")</f>
        <v/>
      </c>
      <c r="CE280" t="str">
        <f>IF(CD280="","",COUNTIF($CD$4:CD280,"&gt;0"))</f>
        <v/>
      </c>
    </row>
    <row r="281" spans="80:83">
      <c r="CB281" t="str">
        <f>IF(AND('Competency Event Log'!$B281='Employee Transcript'!$C$4,'Competency Event Log'!$I281&lt;&gt;"Yes"),'Competency Event Log'!$K281,"")</f>
        <v/>
      </c>
      <c r="CC281" t="str">
        <f t="shared" si="44"/>
        <v/>
      </c>
      <c r="CD281" t="str">
        <f>IF(Certifications!$A281='Employee Transcript'!$C$4,281,"")</f>
        <v/>
      </c>
      <c r="CE281" t="str">
        <f>IF(CD281="","",COUNTIF($CD$4:CD281,"&gt;0"))</f>
        <v/>
      </c>
    </row>
    <row r="282" spans="80:83">
      <c r="CB282" t="str">
        <f>IF(AND('Competency Event Log'!$B282='Employee Transcript'!$C$4,'Competency Event Log'!$I282&lt;&gt;"Yes"),'Competency Event Log'!$K282,"")</f>
        <v/>
      </c>
      <c r="CC282" t="str">
        <f t="shared" si="44"/>
        <v/>
      </c>
      <c r="CD282" t="str">
        <f>IF(Certifications!$A282='Employee Transcript'!$C$4,282,"")</f>
        <v/>
      </c>
      <c r="CE282" t="str">
        <f>IF(CD282="","",COUNTIF($CD$4:CD282,"&gt;0"))</f>
        <v/>
      </c>
    </row>
    <row r="283" spans="80:83">
      <c r="CB283" t="str">
        <f>IF(AND('Competency Event Log'!$B283='Employee Transcript'!$C$4,'Competency Event Log'!$I283&lt;&gt;"Yes"),'Competency Event Log'!$K283,"")</f>
        <v/>
      </c>
      <c r="CC283" t="str">
        <f t="shared" si="44"/>
        <v/>
      </c>
      <c r="CD283" t="str">
        <f>IF(Certifications!$A283='Employee Transcript'!$C$4,283,"")</f>
        <v/>
      </c>
      <c r="CE283" t="str">
        <f>IF(CD283="","",COUNTIF($CD$4:CD283,"&gt;0"))</f>
        <v/>
      </c>
    </row>
    <row r="284" spans="80:83">
      <c r="CB284" t="str">
        <f>IF(AND('Competency Event Log'!$B284='Employee Transcript'!$C$4,'Competency Event Log'!$I284&lt;&gt;"Yes"),'Competency Event Log'!$K284,"")</f>
        <v/>
      </c>
      <c r="CC284" t="str">
        <f t="shared" si="44"/>
        <v/>
      </c>
      <c r="CD284" t="str">
        <f>IF(Certifications!$A284='Employee Transcript'!$C$4,284,"")</f>
        <v/>
      </c>
      <c r="CE284" t="str">
        <f>IF(CD284="","",COUNTIF($CD$4:CD284,"&gt;0"))</f>
        <v/>
      </c>
    </row>
    <row r="285" spans="80:83">
      <c r="CB285" t="str">
        <f>IF(AND('Competency Event Log'!$B285='Employee Transcript'!$C$4,'Competency Event Log'!$I285&lt;&gt;"Yes"),'Competency Event Log'!$K285,"")</f>
        <v/>
      </c>
      <c r="CC285" t="str">
        <f t="shared" si="44"/>
        <v/>
      </c>
      <c r="CD285" t="str">
        <f>IF(Certifications!$A285='Employee Transcript'!$C$4,285,"")</f>
        <v/>
      </c>
      <c r="CE285" t="str">
        <f>IF(CD285="","",COUNTIF($CD$4:CD285,"&gt;0"))</f>
        <v/>
      </c>
    </row>
    <row r="286" spans="80:83">
      <c r="CB286" t="str">
        <f>IF(AND('Competency Event Log'!$B286='Employee Transcript'!$C$4,'Competency Event Log'!$I286&lt;&gt;"Yes"),'Competency Event Log'!$K286,"")</f>
        <v/>
      </c>
      <c r="CC286" t="str">
        <f t="shared" si="44"/>
        <v/>
      </c>
      <c r="CD286" t="str">
        <f>IF(Certifications!$A286='Employee Transcript'!$C$4,286,"")</f>
        <v/>
      </c>
      <c r="CE286" t="str">
        <f>IF(CD286="","",COUNTIF($CD$4:CD286,"&gt;0"))</f>
        <v/>
      </c>
    </row>
    <row r="287" spans="80:83">
      <c r="CB287" t="str">
        <f>IF(AND('Competency Event Log'!$B287='Employee Transcript'!$C$4,'Competency Event Log'!$I287&lt;&gt;"Yes"),'Competency Event Log'!$K287,"")</f>
        <v/>
      </c>
      <c r="CC287" t="str">
        <f t="shared" si="44"/>
        <v/>
      </c>
      <c r="CD287" t="str">
        <f>IF(Certifications!$A287='Employee Transcript'!$C$4,287,"")</f>
        <v/>
      </c>
      <c r="CE287" t="str">
        <f>IF(CD287="","",COUNTIF($CD$4:CD287,"&gt;0"))</f>
        <v/>
      </c>
    </row>
    <row r="288" spans="80:83">
      <c r="CB288" t="str">
        <f>IF(AND('Competency Event Log'!$B288='Employee Transcript'!$C$4,'Competency Event Log'!$I288&lt;&gt;"Yes"),'Competency Event Log'!$K288,"")</f>
        <v/>
      </c>
      <c r="CC288" t="str">
        <f t="shared" si="44"/>
        <v/>
      </c>
      <c r="CD288" t="str">
        <f>IF(Certifications!$A288='Employee Transcript'!$C$4,288,"")</f>
        <v/>
      </c>
      <c r="CE288" t="str">
        <f>IF(CD288="","",COUNTIF($CD$4:CD288,"&gt;0"))</f>
        <v/>
      </c>
    </row>
    <row r="289" spans="80:83">
      <c r="CB289" t="str">
        <f>IF(AND('Competency Event Log'!$B289='Employee Transcript'!$C$4,'Competency Event Log'!$I289&lt;&gt;"Yes"),'Competency Event Log'!$K289,"")</f>
        <v/>
      </c>
      <c r="CC289" t="str">
        <f t="shared" si="44"/>
        <v/>
      </c>
      <c r="CD289" t="str">
        <f>IF(Certifications!$A289='Employee Transcript'!$C$4,289,"")</f>
        <v/>
      </c>
      <c r="CE289" t="str">
        <f>IF(CD289="","",COUNTIF($CD$4:CD289,"&gt;0"))</f>
        <v/>
      </c>
    </row>
    <row r="290" spans="80:83">
      <c r="CB290" t="str">
        <f>IF(AND('Competency Event Log'!$B290='Employee Transcript'!$C$4,'Competency Event Log'!$I290&lt;&gt;"Yes"),'Competency Event Log'!$K290,"")</f>
        <v/>
      </c>
      <c r="CC290" t="str">
        <f t="shared" si="44"/>
        <v/>
      </c>
      <c r="CD290" t="str">
        <f>IF(Certifications!$A290='Employee Transcript'!$C$4,290,"")</f>
        <v/>
      </c>
      <c r="CE290" t="str">
        <f>IF(CD290="","",COUNTIF($CD$4:CD290,"&gt;0"))</f>
        <v/>
      </c>
    </row>
    <row r="291" spans="80:83">
      <c r="CB291" t="str">
        <f>IF(AND('Competency Event Log'!$B291='Employee Transcript'!$C$4,'Competency Event Log'!$I291&lt;&gt;"Yes"),'Competency Event Log'!$K291,"")</f>
        <v/>
      </c>
      <c r="CC291" t="str">
        <f t="shared" si="44"/>
        <v/>
      </c>
      <c r="CD291" t="str">
        <f>IF(Certifications!$A291='Employee Transcript'!$C$4,291,"")</f>
        <v/>
      </c>
      <c r="CE291" t="str">
        <f>IF(CD291="","",COUNTIF($CD$4:CD291,"&gt;0"))</f>
        <v/>
      </c>
    </row>
    <row r="292" spans="80:83">
      <c r="CB292" t="str">
        <f>IF(AND('Competency Event Log'!$B292='Employee Transcript'!$C$4,'Competency Event Log'!$I292&lt;&gt;"Yes"),'Competency Event Log'!$K292,"")</f>
        <v/>
      </c>
      <c r="CC292" t="str">
        <f t="shared" si="44"/>
        <v/>
      </c>
      <c r="CD292" t="str">
        <f>IF(Certifications!$A292='Employee Transcript'!$C$4,292,"")</f>
        <v/>
      </c>
      <c r="CE292" t="str">
        <f>IF(CD292="","",COUNTIF($CD$4:CD292,"&gt;0"))</f>
        <v/>
      </c>
    </row>
    <row r="293" spans="80:83">
      <c r="CB293" t="str">
        <f>IF(AND('Competency Event Log'!$B293='Employee Transcript'!$C$4,'Competency Event Log'!$I293&lt;&gt;"Yes"),'Competency Event Log'!$K293,"")</f>
        <v/>
      </c>
      <c r="CC293" t="str">
        <f t="shared" si="44"/>
        <v/>
      </c>
      <c r="CD293" t="str">
        <f>IF(Certifications!$A293='Employee Transcript'!$C$4,293,"")</f>
        <v/>
      </c>
      <c r="CE293" t="str">
        <f>IF(CD293="","",COUNTIF($CD$4:CD293,"&gt;0"))</f>
        <v/>
      </c>
    </row>
    <row r="294" spans="80:83">
      <c r="CB294" t="str">
        <f>IF(AND('Competency Event Log'!$B294='Employee Transcript'!$C$4,'Competency Event Log'!$I294&lt;&gt;"Yes"),'Competency Event Log'!$K294,"")</f>
        <v/>
      </c>
      <c r="CC294" t="str">
        <f t="shared" si="44"/>
        <v/>
      </c>
      <c r="CD294" t="str">
        <f>IF(Certifications!$A294='Employee Transcript'!$C$4,294,"")</f>
        <v/>
      </c>
      <c r="CE294" t="str">
        <f>IF(CD294="","",COUNTIF($CD$4:CD294,"&gt;0"))</f>
        <v/>
      </c>
    </row>
    <row r="295" spans="80:83">
      <c r="CB295" t="str">
        <f>IF(AND('Competency Event Log'!$B295='Employee Transcript'!$C$4,'Competency Event Log'!$I295&lt;&gt;"Yes"),'Competency Event Log'!$K295,"")</f>
        <v/>
      </c>
      <c r="CC295" t="str">
        <f t="shared" si="44"/>
        <v/>
      </c>
      <c r="CD295" t="str">
        <f>IF(Certifications!$A295='Employee Transcript'!$C$4,295,"")</f>
        <v/>
      </c>
      <c r="CE295" t="str">
        <f>IF(CD295="","",COUNTIF($CD$4:CD295,"&gt;0"))</f>
        <v/>
      </c>
    </row>
    <row r="296" spans="80:83">
      <c r="CB296" t="str">
        <f>IF(AND('Competency Event Log'!$B296='Employee Transcript'!$C$4,'Competency Event Log'!$I296&lt;&gt;"Yes"),'Competency Event Log'!$K296,"")</f>
        <v/>
      </c>
      <c r="CC296" t="str">
        <f t="shared" si="44"/>
        <v/>
      </c>
      <c r="CD296" t="str">
        <f>IF(Certifications!$A296='Employee Transcript'!$C$4,296,"")</f>
        <v/>
      </c>
      <c r="CE296" t="str">
        <f>IF(CD296="","",COUNTIF($CD$4:CD296,"&gt;0"))</f>
        <v/>
      </c>
    </row>
    <row r="297" spans="80:83">
      <c r="CB297" t="str">
        <f>IF(AND('Competency Event Log'!$B297='Employee Transcript'!$C$4,'Competency Event Log'!$I297&lt;&gt;"Yes"),'Competency Event Log'!$K297,"")</f>
        <v/>
      </c>
      <c r="CC297" t="str">
        <f t="shared" si="44"/>
        <v/>
      </c>
      <c r="CD297" t="str">
        <f>IF(Certifications!$A297='Employee Transcript'!$C$4,297,"")</f>
        <v/>
      </c>
      <c r="CE297" t="str">
        <f>IF(CD297="","",COUNTIF($CD$4:CD297,"&gt;0"))</f>
        <v/>
      </c>
    </row>
    <row r="298" spans="80:83">
      <c r="CB298" t="str">
        <f>IF(AND('Competency Event Log'!$B298='Employee Transcript'!$C$4,'Competency Event Log'!$I298&lt;&gt;"Yes"),'Competency Event Log'!$K298,"")</f>
        <v/>
      </c>
      <c r="CC298" t="str">
        <f t="shared" si="44"/>
        <v/>
      </c>
      <c r="CD298" t="str">
        <f>IF(Certifications!$A298='Employee Transcript'!$C$4,298,"")</f>
        <v/>
      </c>
      <c r="CE298" t="str">
        <f>IF(CD298="","",COUNTIF($CD$4:CD298,"&gt;0"))</f>
        <v/>
      </c>
    </row>
    <row r="299" spans="80:83">
      <c r="CB299" t="str">
        <f>IF(AND('Competency Event Log'!$B299='Employee Transcript'!$C$4,'Competency Event Log'!$I299&lt;&gt;"Yes"),'Competency Event Log'!$K299,"")</f>
        <v/>
      </c>
      <c r="CC299" t="str">
        <f t="shared" si="44"/>
        <v/>
      </c>
      <c r="CD299" t="str">
        <f>IF(Certifications!$A299='Employee Transcript'!$C$4,299,"")</f>
        <v/>
      </c>
      <c r="CE299" t="str">
        <f>IF(CD299="","",COUNTIF($CD$4:CD299,"&gt;0"))</f>
        <v/>
      </c>
    </row>
    <row r="300" spans="80:83">
      <c r="CB300" t="str">
        <f>IF(AND('Competency Event Log'!$B300='Employee Transcript'!$C$4,'Competency Event Log'!$I300&lt;&gt;"Yes"),'Competency Event Log'!$K300,"")</f>
        <v/>
      </c>
      <c r="CC300" t="str">
        <f t="shared" si="44"/>
        <v/>
      </c>
      <c r="CD300" t="str">
        <f>IF(Certifications!$A300='Employee Transcript'!$C$4,300,"")</f>
        <v/>
      </c>
      <c r="CE300" t="str">
        <f>IF(CD300="","",COUNTIF($CD$4:CD300,"&gt;0"))</f>
        <v/>
      </c>
    </row>
    <row r="301" spans="80:83">
      <c r="CB301" t="str">
        <f>IF(AND('Competency Event Log'!$B301='Employee Transcript'!$C$4,'Competency Event Log'!$I301&lt;&gt;"Yes"),'Competency Event Log'!$K301,"")</f>
        <v/>
      </c>
      <c r="CC301" t="str">
        <f t="shared" si="44"/>
        <v/>
      </c>
      <c r="CD301" t="str">
        <f>IF(Certifications!$A301='Employee Transcript'!$C$4,301,"")</f>
        <v/>
      </c>
      <c r="CE301" t="str">
        <f>IF(CD301="","",COUNTIF($CD$4:CD301,"&gt;0"))</f>
        <v/>
      </c>
    </row>
    <row r="302" spans="80:83">
      <c r="CB302" t="str">
        <f>IF(AND('Competency Event Log'!$B302='Employee Transcript'!$C$4,'Competency Event Log'!$I302&lt;&gt;"Yes"),'Competency Event Log'!$K302,"")</f>
        <v/>
      </c>
      <c r="CC302" t="str">
        <f t="shared" si="44"/>
        <v/>
      </c>
      <c r="CD302" t="str">
        <f>IF(Certifications!$A302='Employee Transcript'!$C$4,302,"")</f>
        <v/>
      </c>
      <c r="CE302" t="str">
        <f>IF(CD302="","",COUNTIF($CD$4:CD302,"&gt;0"))</f>
        <v/>
      </c>
    </row>
    <row r="303" spans="80:83">
      <c r="CB303" t="str">
        <f>IF(AND('Competency Event Log'!$B303='Employee Transcript'!$C$4,'Competency Event Log'!$I303&lt;&gt;"Yes"),'Competency Event Log'!$K303,"")</f>
        <v/>
      </c>
      <c r="CC303" t="str">
        <f t="shared" si="44"/>
        <v/>
      </c>
      <c r="CD303" t="str">
        <f>IF(Certifications!$A303='Employee Transcript'!$C$4,303,"")</f>
        <v/>
      </c>
      <c r="CE303" t="str">
        <f>IF(CD303="","",COUNTIF($CD$4:CD303,"&gt;0"))</f>
        <v/>
      </c>
    </row>
    <row r="304" spans="80:83">
      <c r="CB304" t="str">
        <f>IF(AND('Competency Event Log'!$B304='Employee Transcript'!$C$4,'Competency Event Log'!$I304&lt;&gt;"Yes"),'Competency Event Log'!$K304,"")</f>
        <v/>
      </c>
      <c r="CC304" t="str">
        <f t="shared" si="44"/>
        <v/>
      </c>
      <c r="CD304" t="str">
        <f>IF(Certifications!$A304='Employee Transcript'!$C$4,304,"")</f>
        <v/>
      </c>
      <c r="CE304" t="str">
        <f>IF(CD304="","",COUNTIF($CD$4:CD304,"&gt;0"))</f>
        <v/>
      </c>
    </row>
    <row r="305" spans="80:83">
      <c r="CB305" t="str">
        <f>IF(AND('Competency Event Log'!$B305='Employee Transcript'!$C$4,'Competency Event Log'!$I305&lt;&gt;"Yes"),'Competency Event Log'!$K305,"")</f>
        <v/>
      </c>
      <c r="CC305" t="str">
        <f t="shared" si="44"/>
        <v/>
      </c>
      <c r="CD305" t="str">
        <f>IF(Certifications!$A305='Employee Transcript'!$C$4,305,"")</f>
        <v/>
      </c>
      <c r="CE305" t="str">
        <f>IF(CD305="","",COUNTIF($CD$4:CD305,"&gt;0"))</f>
        <v/>
      </c>
    </row>
    <row r="306" spans="80:83">
      <c r="CB306" t="str">
        <f>IF(AND('Competency Event Log'!$B306='Employee Transcript'!$C$4,'Competency Event Log'!$I306&lt;&gt;"Yes"),'Competency Event Log'!$K306,"")</f>
        <v/>
      </c>
      <c r="CC306" t="str">
        <f t="shared" si="44"/>
        <v/>
      </c>
      <c r="CD306" t="str">
        <f>IF(Certifications!$A306='Employee Transcript'!$C$4,306,"")</f>
        <v/>
      </c>
      <c r="CE306" t="str">
        <f>IF(CD306="","",COUNTIF($CD$4:CD306,"&gt;0"))</f>
        <v/>
      </c>
    </row>
    <row r="307" spans="80:83">
      <c r="CB307" t="str">
        <f>IF(AND('Competency Event Log'!$B307='Employee Transcript'!$C$4,'Competency Event Log'!$I307&lt;&gt;"Yes"),'Competency Event Log'!$K307,"")</f>
        <v/>
      </c>
      <c r="CC307" t="str">
        <f t="shared" si="44"/>
        <v/>
      </c>
      <c r="CD307" t="str">
        <f>IF(Certifications!$A307='Employee Transcript'!$C$4,307,"")</f>
        <v/>
      </c>
      <c r="CE307" t="str">
        <f>IF(CD307="","",COUNTIF($CD$4:CD307,"&gt;0"))</f>
        <v/>
      </c>
    </row>
    <row r="308" spans="80:83">
      <c r="CB308" t="str">
        <f>IF(AND('Competency Event Log'!$B308='Employee Transcript'!$C$4,'Competency Event Log'!$I308&lt;&gt;"Yes"),'Competency Event Log'!$K308,"")</f>
        <v/>
      </c>
      <c r="CC308" t="str">
        <f t="shared" si="44"/>
        <v/>
      </c>
      <c r="CD308" t="str">
        <f>IF(Certifications!$A308='Employee Transcript'!$C$4,308,"")</f>
        <v/>
      </c>
      <c r="CE308" t="str">
        <f>IF(CD308="","",COUNTIF($CD$4:CD308,"&gt;0"))</f>
        <v/>
      </c>
    </row>
    <row r="309" spans="80:83">
      <c r="CB309" t="str">
        <f>IF(AND('Competency Event Log'!$B309='Employee Transcript'!$C$4,'Competency Event Log'!$I309&lt;&gt;"Yes"),'Competency Event Log'!$K309,"")</f>
        <v/>
      </c>
      <c r="CC309" t="str">
        <f t="shared" si="44"/>
        <v/>
      </c>
      <c r="CD309" t="str">
        <f>IF(Certifications!$A309='Employee Transcript'!$C$4,309,"")</f>
        <v/>
      </c>
      <c r="CE309" t="str">
        <f>IF(CD309="","",COUNTIF($CD$4:CD309,"&gt;0"))</f>
        <v/>
      </c>
    </row>
    <row r="310" spans="80:83">
      <c r="CB310" t="str">
        <f>IF(AND('Competency Event Log'!$B310='Employee Transcript'!$C$4,'Competency Event Log'!$I310&lt;&gt;"Yes"),'Competency Event Log'!$K310,"")</f>
        <v/>
      </c>
      <c r="CC310" t="str">
        <f t="shared" si="44"/>
        <v/>
      </c>
      <c r="CD310" t="str">
        <f>IF(Certifications!$A310='Employee Transcript'!$C$4,310,"")</f>
        <v/>
      </c>
      <c r="CE310" t="str">
        <f>IF(CD310="","",COUNTIF($CD$4:CD310,"&gt;0"))</f>
        <v/>
      </c>
    </row>
    <row r="311" spans="80:83">
      <c r="CB311" t="str">
        <f>IF(AND('Competency Event Log'!$B311='Employee Transcript'!$C$4,'Competency Event Log'!$I311&lt;&gt;"Yes"),'Competency Event Log'!$K311,"")</f>
        <v/>
      </c>
      <c r="CC311" t="str">
        <f t="shared" si="44"/>
        <v/>
      </c>
      <c r="CD311" t="str">
        <f>IF(Certifications!$A311='Employee Transcript'!$C$4,311,"")</f>
        <v/>
      </c>
      <c r="CE311" t="str">
        <f>IF(CD311="","",COUNTIF($CD$4:CD311,"&gt;0"))</f>
        <v/>
      </c>
    </row>
    <row r="312" spans="80:83">
      <c r="CB312" t="str">
        <f>IF(AND('Competency Event Log'!$B312='Employee Transcript'!$C$4,'Competency Event Log'!$I312&lt;&gt;"Yes"),'Competency Event Log'!$K312,"")</f>
        <v/>
      </c>
      <c r="CC312" t="str">
        <f t="shared" si="44"/>
        <v/>
      </c>
      <c r="CD312" t="str">
        <f>IF(Certifications!$A312='Employee Transcript'!$C$4,312,"")</f>
        <v/>
      </c>
      <c r="CE312" t="str">
        <f>IF(CD312="","",COUNTIF($CD$4:CD312,"&gt;0"))</f>
        <v/>
      </c>
    </row>
    <row r="313" spans="80:83">
      <c r="CB313" t="str">
        <f>IF(AND('Competency Event Log'!$B313='Employee Transcript'!$C$4,'Competency Event Log'!$I313&lt;&gt;"Yes"),'Competency Event Log'!$K313,"")</f>
        <v/>
      </c>
      <c r="CC313" t="str">
        <f t="shared" si="44"/>
        <v/>
      </c>
      <c r="CD313" t="str">
        <f>IF(Certifications!$A313='Employee Transcript'!$C$4,313,"")</f>
        <v/>
      </c>
      <c r="CE313" t="str">
        <f>IF(CD313="","",COUNTIF($CD$4:CD313,"&gt;0"))</f>
        <v/>
      </c>
    </row>
    <row r="314" spans="80:83">
      <c r="CB314" t="str">
        <f>IF(AND('Competency Event Log'!$B314='Employee Transcript'!$C$4,'Competency Event Log'!$I314&lt;&gt;"Yes"),'Competency Event Log'!$K314,"")</f>
        <v/>
      </c>
      <c r="CC314" t="str">
        <f t="shared" si="44"/>
        <v/>
      </c>
      <c r="CD314" t="str">
        <f>IF(Certifications!$A314='Employee Transcript'!$C$4,314,"")</f>
        <v/>
      </c>
      <c r="CE314" t="str">
        <f>IF(CD314="","",COUNTIF($CD$4:CD314,"&gt;0"))</f>
        <v/>
      </c>
    </row>
    <row r="315" spans="80:83">
      <c r="CB315" t="str">
        <f>IF(AND('Competency Event Log'!$B315='Employee Transcript'!$C$4,'Competency Event Log'!$I315&lt;&gt;"Yes"),'Competency Event Log'!$K315,"")</f>
        <v/>
      </c>
      <c r="CC315" t="str">
        <f t="shared" si="44"/>
        <v/>
      </c>
      <c r="CD315" t="str">
        <f>IF(Certifications!$A315='Employee Transcript'!$C$4,315,"")</f>
        <v/>
      </c>
      <c r="CE315" t="str">
        <f>IF(CD315="","",COUNTIF($CD$4:CD315,"&gt;0"))</f>
        <v/>
      </c>
    </row>
    <row r="316" spans="80:83">
      <c r="CB316" t="str">
        <f>IF(AND('Competency Event Log'!$B316='Employee Transcript'!$C$4,'Competency Event Log'!$I316&lt;&gt;"Yes"),'Competency Event Log'!$K316,"")</f>
        <v/>
      </c>
      <c r="CC316" t="str">
        <f t="shared" si="44"/>
        <v/>
      </c>
      <c r="CD316" t="str">
        <f>IF(Certifications!$A316='Employee Transcript'!$C$4,316,"")</f>
        <v/>
      </c>
      <c r="CE316" t="str">
        <f>IF(CD316="","",COUNTIF($CD$4:CD316,"&gt;0"))</f>
        <v/>
      </c>
    </row>
    <row r="317" spans="80:83">
      <c r="CB317" t="str">
        <f>IF(AND('Competency Event Log'!$B317='Employee Transcript'!$C$4,'Competency Event Log'!$I317&lt;&gt;"Yes"),'Competency Event Log'!$K317,"")</f>
        <v/>
      </c>
      <c r="CC317" t="str">
        <f t="shared" si="44"/>
        <v/>
      </c>
      <c r="CD317" t="str">
        <f>IF(Certifications!$A317='Employee Transcript'!$C$4,317,"")</f>
        <v/>
      </c>
      <c r="CE317" t="str">
        <f>IF(CD317="","",COUNTIF($CD$4:CD317,"&gt;0"))</f>
        <v/>
      </c>
    </row>
    <row r="318" spans="80:83">
      <c r="CB318" t="str">
        <f>IF(AND('Competency Event Log'!$B318='Employee Transcript'!$C$4,'Competency Event Log'!$I318&lt;&gt;"Yes"),'Competency Event Log'!$K318,"")</f>
        <v/>
      </c>
      <c r="CC318" t="str">
        <f t="shared" si="44"/>
        <v/>
      </c>
      <c r="CD318" t="str">
        <f>IF(Certifications!$A318='Employee Transcript'!$C$4,318,"")</f>
        <v/>
      </c>
      <c r="CE318" t="str">
        <f>IF(CD318="","",COUNTIF($CD$4:CD318,"&gt;0"))</f>
        <v/>
      </c>
    </row>
    <row r="319" spans="80:83">
      <c r="CB319" t="str">
        <f>IF(AND('Competency Event Log'!$B319='Employee Transcript'!$C$4,'Competency Event Log'!$I319&lt;&gt;"Yes"),'Competency Event Log'!$K319,"")</f>
        <v/>
      </c>
      <c r="CC319" t="str">
        <f t="shared" si="44"/>
        <v/>
      </c>
      <c r="CD319" t="str">
        <f>IF(Certifications!$A319='Employee Transcript'!$C$4,319,"")</f>
        <v/>
      </c>
      <c r="CE319" t="str">
        <f>IF(CD319="","",COUNTIF($CD$4:CD319,"&gt;0"))</f>
        <v/>
      </c>
    </row>
    <row r="320" spans="80:83">
      <c r="CB320" t="str">
        <f>IF(AND('Competency Event Log'!$B320='Employee Transcript'!$C$4,'Competency Event Log'!$I320&lt;&gt;"Yes"),'Competency Event Log'!$K320,"")</f>
        <v/>
      </c>
      <c r="CC320" t="str">
        <f t="shared" si="44"/>
        <v/>
      </c>
      <c r="CD320" t="str">
        <f>IF(Certifications!$A320='Employee Transcript'!$C$4,320,"")</f>
        <v/>
      </c>
      <c r="CE320" t="str">
        <f>IF(CD320="","",COUNTIF($CD$4:CD320,"&gt;0"))</f>
        <v/>
      </c>
    </row>
    <row r="321" spans="80:83">
      <c r="CB321" t="str">
        <f>IF(AND('Competency Event Log'!$B321='Employee Transcript'!$C$4,'Competency Event Log'!$I321&lt;&gt;"Yes"),'Competency Event Log'!$K321,"")</f>
        <v/>
      </c>
      <c r="CC321" t="str">
        <f t="shared" si="44"/>
        <v/>
      </c>
      <c r="CD321" t="str">
        <f>IF(Certifications!$A321='Employee Transcript'!$C$4,321,"")</f>
        <v/>
      </c>
      <c r="CE321" t="str">
        <f>IF(CD321="","",COUNTIF($CD$4:CD321,"&gt;0"))</f>
        <v/>
      </c>
    </row>
    <row r="322" spans="80:83">
      <c r="CB322" t="str">
        <f>IF(AND('Competency Event Log'!$B322='Employee Transcript'!$C$4,'Competency Event Log'!$I322&lt;&gt;"Yes"),'Competency Event Log'!$K322,"")</f>
        <v/>
      </c>
      <c r="CC322" t="str">
        <f t="shared" si="44"/>
        <v/>
      </c>
      <c r="CD322" t="str">
        <f>IF(Certifications!$A322='Employee Transcript'!$C$4,322,"")</f>
        <v/>
      </c>
      <c r="CE322" t="str">
        <f>IF(CD322="","",COUNTIF($CD$4:CD322,"&gt;0"))</f>
        <v/>
      </c>
    </row>
    <row r="323" spans="80:83">
      <c r="CB323" t="str">
        <f>IF(AND('Competency Event Log'!$B323='Employee Transcript'!$C$4,'Competency Event Log'!$I323&lt;&gt;"Yes"),'Competency Event Log'!$K323,"")</f>
        <v/>
      </c>
      <c r="CC323" t="str">
        <f t="shared" si="44"/>
        <v/>
      </c>
      <c r="CD323" t="str">
        <f>IF(Certifications!$A323='Employee Transcript'!$C$4,323,"")</f>
        <v/>
      </c>
      <c r="CE323" t="str">
        <f>IF(CD323="","",COUNTIF($CD$4:CD323,"&gt;0"))</f>
        <v/>
      </c>
    </row>
    <row r="324" spans="80:83">
      <c r="CB324" t="str">
        <f>IF(AND('Competency Event Log'!$B324='Employee Transcript'!$C$4,'Competency Event Log'!$I324&lt;&gt;"Yes"),'Competency Event Log'!$K324,"")</f>
        <v/>
      </c>
      <c r="CC324" t="str">
        <f t="shared" ref="CC324:CC387" si="45">IF(CB324="","",COUNTIF($CB$4:$CB$803,"&gt;"&amp;CB324)+1)</f>
        <v/>
      </c>
      <c r="CD324" t="str">
        <f>IF(Certifications!$A324='Employee Transcript'!$C$4,324,"")</f>
        <v/>
      </c>
      <c r="CE324" t="str">
        <f>IF(CD324="","",COUNTIF($CD$4:CD324,"&gt;0"))</f>
        <v/>
      </c>
    </row>
    <row r="325" spans="80:83">
      <c r="CB325" t="str">
        <f>IF(AND('Competency Event Log'!$B325='Employee Transcript'!$C$4,'Competency Event Log'!$I325&lt;&gt;"Yes"),'Competency Event Log'!$K325,"")</f>
        <v/>
      </c>
      <c r="CC325" t="str">
        <f t="shared" si="45"/>
        <v/>
      </c>
      <c r="CD325" t="str">
        <f>IF(Certifications!$A325='Employee Transcript'!$C$4,325,"")</f>
        <v/>
      </c>
      <c r="CE325" t="str">
        <f>IF(CD325="","",COUNTIF($CD$4:CD325,"&gt;0"))</f>
        <v/>
      </c>
    </row>
    <row r="326" spans="80:83">
      <c r="CB326" t="str">
        <f>IF(AND('Competency Event Log'!$B326='Employee Transcript'!$C$4,'Competency Event Log'!$I326&lt;&gt;"Yes"),'Competency Event Log'!$K326,"")</f>
        <v/>
      </c>
      <c r="CC326" t="str">
        <f t="shared" si="45"/>
        <v/>
      </c>
      <c r="CD326" t="str">
        <f>IF(Certifications!$A326='Employee Transcript'!$C$4,326,"")</f>
        <v/>
      </c>
      <c r="CE326" t="str">
        <f>IF(CD326="","",COUNTIF($CD$4:CD326,"&gt;0"))</f>
        <v/>
      </c>
    </row>
    <row r="327" spans="80:83">
      <c r="CB327" t="str">
        <f>IF(AND('Competency Event Log'!$B327='Employee Transcript'!$C$4,'Competency Event Log'!$I327&lt;&gt;"Yes"),'Competency Event Log'!$K327,"")</f>
        <v/>
      </c>
      <c r="CC327" t="str">
        <f t="shared" si="45"/>
        <v/>
      </c>
      <c r="CD327" t="str">
        <f>IF(Certifications!$A327='Employee Transcript'!$C$4,327,"")</f>
        <v/>
      </c>
      <c r="CE327" t="str">
        <f>IF(CD327="","",COUNTIF($CD$4:CD327,"&gt;0"))</f>
        <v/>
      </c>
    </row>
    <row r="328" spans="80:83">
      <c r="CB328" t="str">
        <f>IF(AND('Competency Event Log'!$B328='Employee Transcript'!$C$4,'Competency Event Log'!$I328&lt;&gt;"Yes"),'Competency Event Log'!$K328,"")</f>
        <v/>
      </c>
      <c r="CC328" t="str">
        <f t="shared" si="45"/>
        <v/>
      </c>
      <c r="CD328" t="str">
        <f>IF(Certifications!$A328='Employee Transcript'!$C$4,328,"")</f>
        <v/>
      </c>
      <c r="CE328" t="str">
        <f>IF(CD328="","",COUNTIF($CD$4:CD328,"&gt;0"))</f>
        <v/>
      </c>
    </row>
    <row r="329" spans="80:83">
      <c r="CB329" t="str">
        <f>IF(AND('Competency Event Log'!$B329='Employee Transcript'!$C$4,'Competency Event Log'!$I329&lt;&gt;"Yes"),'Competency Event Log'!$K329,"")</f>
        <v/>
      </c>
      <c r="CC329" t="str">
        <f t="shared" si="45"/>
        <v/>
      </c>
      <c r="CD329" t="str">
        <f>IF(Certifications!$A329='Employee Transcript'!$C$4,329,"")</f>
        <v/>
      </c>
      <c r="CE329" t="str">
        <f>IF(CD329="","",COUNTIF($CD$4:CD329,"&gt;0"))</f>
        <v/>
      </c>
    </row>
    <row r="330" spans="80:83">
      <c r="CB330" t="str">
        <f>IF(AND('Competency Event Log'!$B330='Employee Transcript'!$C$4,'Competency Event Log'!$I330&lt;&gt;"Yes"),'Competency Event Log'!$K330,"")</f>
        <v/>
      </c>
      <c r="CC330" t="str">
        <f t="shared" si="45"/>
        <v/>
      </c>
      <c r="CD330" t="str">
        <f>IF(Certifications!$A330='Employee Transcript'!$C$4,330,"")</f>
        <v/>
      </c>
      <c r="CE330" t="str">
        <f>IF(CD330="","",COUNTIF($CD$4:CD330,"&gt;0"))</f>
        <v/>
      </c>
    </row>
    <row r="331" spans="80:83">
      <c r="CB331" t="str">
        <f>IF(AND('Competency Event Log'!$B331='Employee Transcript'!$C$4,'Competency Event Log'!$I331&lt;&gt;"Yes"),'Competency Event Log'!$K331,"")</f>
        <v/>
      </c>
      <c r="CC331" t="str">
        <f t="shared" si="45"/>
        <v/>
      </c>
      <c r="CD331" t="str">
        <f>IF(Certifications!$A331='Employee Transcript'!$C$4,331,"")</f>
        <v/>
      </c>
      <c r="CE331" t="str">
        <f>IF(CD331="","",COUNTIF($CD$4:CD331,"&gt;0"))</f>
        <v/>
      </c>
    </row>
    <row r="332" spans="80:83">
      <c r="CB332" t="str">
        <f>IF(AND('Competency Event Log'!$B332='Employee Transcript'!$C$4,'Competency Event Log'!$I332&lt;&gt;"Yes"),'Competency Event Log'!$K332,"")</f>
        <v/>
      </c>
      <c r="CC332" t="str">
        <f t="shared" si="45"/>
        <v/>
      </c>
      <c r="CD332" t="str">
        <f>IF(Certifications!$A332='Employee Transcript'!$C$4,332,"")</f>
        <v/>
      </c>
      <c r="CE332" t="str">
        <f>IF(CD332="","",COUNTIF($CD$4:CD332,"&gt;0"))</f>
        <v/>
      </c>
    </row>
    <row r="333" spans="80:83">
      <c r="CB333" t="str">
        <f>IF(AND('Competency Event Log'!$B333='Employee Transcript'!$C$4,'Competency Event Log'!$I333&lt;&gt;"Yes"),'Competency Event Log'!$K333,"")</f>
        <v/>
      </c>
      <c r="CC333" t="str">
        <f t="shared" si="45"/>
        <v/>
      </c>
      <c r="CD333" t="str">
        <f>IF(Certifications!$A333='Employee Transcript'!$C$4,333,"")</f>
        <v/>
      </c>
      <c r="CE333" t="str">
        <f>IF(CD333="","",COUNTIF($CD$4:CD333,"&gt;0"))</f>
        <v/>
      </c>
    </row>
    <row r="334" spans="80:83">
      <c r="CB334" t="str">
        <f>IF(AND('Competency Event Log'!$B334='Employee Transcript'!$C$4,'Competency Event Log'!$I334&lt;&gt;"Yes"),'Competency Event Log'!$K334,"")</f>
        <v/>
      </c>
      <c r="CC334" t="str">
        <f t="shared" si="45"/>
        <v/>
      </c>
      <c r="CD334" t="str">
        <f>IF(Certifications!$A334='Employee Transcript'!$C$4,334,"")</f>
        <v/>
      </c>
      <c r="CE334" t="str">
        <f>IF(CD334="","",COUNTIF($CD$4:CD334,"&gt;0"))</f>
        <v/>
      </c>
    </row>
    <row r="335" spans="80:83">
      <c r="CB335" t="str">
        <f>IF(AND('Competency Event Log'!$B335='Employee Transcript'!$C$4,'Competency Event Log'!$I335&lt;&gt;"Yes"),'Competency Event Log'!$K335,"")</f>
        <v/>
      </c>
      <c r="CC335" t="str">
        <f t="shared" si="45"/>
        <v/>
      </c>
      <c r="CD335" t="str">
        <f>IF(Certifications!$A335='Employee Transcript'!$C$4,335,"")</f>
        <v/>
      </c>
      <c r="CE335" t="str">
        <f>IF(CD335="","",COUNTIF($CD$4:CD335,"&gt;0"))</f>
        <v/>
      </c>
    </row>
    <row r="336" spans="80:83">
      <c r="CB336" t="str">
        <f>IF(AND('Competency Event Log'!$B336='Employee Transcript'!$C$4,'Competency Event Log'!$I336&lt;&gt;"Yes"),'Competency Event Log'!$K336,"")</f>
        <v/>
      </c>
      <c r="CC336" t="str">
        <f t="shared" si="45"/>
        <v/>
      </c>
      <c r="CD336" t="str">
        <f>IF(Certifications!$A336='Employee Transcript'!$C$4,336,"")</f>
        <v/>
      </c>
      <c r="CE336" t="str">
        <f>IF(CD336="","",COUNTIF($CD$4:CD336,"&gt;0"))</f>
        <v/>
      </c>
    </row>
    <row r="337" spans="80:83">
      <c r="CB337" t="str">
        <f>IF(AND('Competency Event Log'!$B337='Employee Transcript'!$C$4,'Competency Event Log'!$I337&lt;&gt;"Yes"),'Competency Event Log'!$K337,"")</f>
        <v/>
      </c>
      <c r="CC337" t="str">
        <f t="shared" si="45"/>
        <v/>
      </c>
      <c r="CD337" t="str">
        <f>IF(Certifications!$A337='Employee Transcript'!$C$4,337,"")</f>
        <v/>
      </c>
      <c r="CE337" t="str">
        <f>IF(CD337="","",COUNTIF($CD$4:CD337,"&gt;0"))</f>
        <v/>
      </c>
    </row>
    <row r="338" spans="80:83">
      <c r="CB338" t="str">
        <f>IF(AND('Competency Event Log'!$B338='Employee Transcript'!$C$4,'Competency Event Log'!$I338&lt;&gt;"Yes"),'Competency Event Log'!$K338,"")</f>
        <v/>
      </c>
      <c r="CC338" t="str">
        <f t="shared" si="45"/>
        <v/>
      </c>
      <c r="CD338" t="str">
        <f>IF(Certifications!$A338='Employee Transcript'!$C$4,338,"")</f>
        <v/>
      </c>
      <c r="CE338" t="str">
        <f>IF(CD338="","",COUNTIF($CD$4:CD338,"&gt;0"))</f>
        <v/>
      </c>
    </row>
    <row r="339" spans="80:83">
      <c r="CB339" t="str">
        <f>IF(AND('Competency Event Log'!$B339='Employee Transcript'!$C$4,'Competency Event Log'!$I339&lt;&gt;"Yes"),'Competency Event Log'!$K339,"")</f>
        <v/>
      </c>
      <c r="CC339" t="str">
        <f t="shared" si="45"/>
        <v/>
      </c>
      <c r="CD339" t="str">
        <f>IF(Certifications!$A339='Employee Transcript'!$C$4,339,"")</f>
        <v/>
      </c>
      <c r="CE339" t="str">
        <f>IF(CD339="","",COUNTIF($CD$4:CD339,"&gt;0"))</f>
        <v/>
      </c>
    </row>
    <row r="340" spans="80:83">
      <c r="CB340" t="str">
        <f>IF(AND('Competency Event Log'!$B340='Employee Transcript'!$C$4,'Competency Event Log'!$I340&lt;&gt;"Yes"),'Competency Event Log'!$K340,"")</f>
        <v/>
      </c>
      <c r="CC340" t="str">
        <f t="shared" si="45"/>
        <v/>
      </c>
      <c r="CD340" t="str">
        <f>IF(Certifications!$A340='Employee Transcript'!$C$4,340,"")</f>
        <v/>
      </c>
      <c r="CE340" t="str">
        <f>IF(CD340="","",COUNTIF($CD$4:CD340,"&gt;0"))</f>
        <v/>
      </c>
    </row>
    <row r="341" spans="80:83">
      <c r="CB341" t="str">
        <f>IF(AND('Competency Event Log'!$B341='Employee Transcript'!$C$4,'Competency Event Log'!$I341&lt;&gt;"Yes"),'Competency Event Log'!$K341,"")</f>
        <v/>
      </c>
      <c r="CC341" t="str">
        <f t="shared" si="45"/>
        <v/>
      </c>
      <c r="CD341" t="str">
        <f>IF(Certifications!$A341='Employee Transcript'!$C$4,341,"")</f>
        <v/>
      </c>
      <c r="CE341" t="str">
        <f>IF(CD341="","",COUNTIF($CD$4:CD341,"&gt;0"))</f>
        <v/>
      </c>
    </row>
    <row r="342" spans="80:83">
      <c r="CB342" t="str">
        <f>IF(AND('Competency Event Log'!$B342='Employee Transcript'!$C$4,'Competency Event Log'!$I342&lt;&gt;"Yes"),'Competency Event Log'!$K342,"")</f>
        <v/>
      </c>
      <c r="CC342" t="str">
        <f t="shared" si="45"/>
        <v/>
      </c>
      <c r="CD342" t="str">
        <f>IF(Certifications!$A342='Employee Transcript'!$C$4,342,"")</f>
        <v/>
      </c>
      <c r="CE342" t="str">
        <f>IF(CD342="","",COUNTIF($CD$4:CD342,"&gt;0"))</f>
        <v/>
      </c>
    </row>
    <row r="343" spans="80:83">
      <c r="CB343" t="str">
        <f>IF(AND('Competency Event Log'!$B343='Employee Transcript'!$C$4,'Competency Event Log'!$I343&lt;&gt;"Yes"),'Competency Event Log'!$K343,"")</f>
        <v/>
      </c>
      <c r="CC343" t="str">
        <f t="shared" si="45"/>
        <v/>
      </c>
      <c r="CD343" t="str">
        <f>IF(Certifications!$A343='Employee Transcript'!$C$4,343,"")</f>
        <v/>
      </c>
      <c r="CE343" t="str">
        <f>IF(CD343="","",COUNTIF($CD$4:CD343,"&gt;0"))</f>
        <v/>
      </c>
    </row>
    <row r="344" spans="80:83">
      <c r="CB344" t="str">
        <f>IF(AND('Competency Event Log'!$B344='Employee Transcript'!$C$4,'Competency Event Log'!$I344&lt;&gt;"Yes"),'Competency Event Log'!$K344,"")</f>
        <v/>
      </c>
      <c r="CC344" t="str">
        <f t="shared" si="45"/>
        <v/>
      </c>
      <c r="CD344" t="str">
        <f>IF(Certifications!$A344='Employee Transcript'!$C$4,344,"")</f>
        <v/>
      </c>
      <c r="CE344" t="str">
        <f>IF(CD344="","",COUNTIF($CD$4:CD344,"&gt;0"))</f>
        <v/>
      </c>
    </row>
    <row r="345" spans="80:83">
      <c r="CB345" t="str">
        <f>IF(AND('Competency Event Log'!$B345='Employee Transcript'!$C$4,'Competency Event Log'!$I345&lt;&gt;"Yes"),'Competency Event Log'!$K345,"")</f>
        <v/>
      </c>
      <c r="CC345" t="str">
        <f t="shared" si="45"/>
        <v/>
      </c>
      <c r="CD345" t="str">
        <f>IF(Certifications!$A345='Employee Transcript'!$C$4,345,"")</f>
        <v/>
      </c>
      <c r="CE345" t="str">
        <f>IF(CD345="","",COUNTIF($CD$4:CD345,"&gt;0"))</f>
        <v/>
      </c>
    </row>
    <row r="346" spans="80:83">
      <c r="CB346" t="str">
        <f>IF(AND('Competency Event Log'!$B346='Employee Transcript'!$C$4,'Competency Event Log'!$I346&lt;&gt;"Yes"),'Competency Event Log'!$K346,"")</f>
        <v/>
      </c>
      <c r="CC346" t="str">
        <f t="shared" si="45"/>
        <v/>
      </c>
      <c r="CD346" t="str">
        <f>IF(Certifications!$A346='Employee Transcript'!$C$4,346,"")</f>
        <v/>
      </c>
      <c r="CE346" t="str">
        <f>IF(CD346="","",COUNTIF($CD$4:CD346,"&gt;0"))</f>
        <v/>
      </c>
    </row>
    <row r="347" spans="80:83">
      <c r="CB347" t="str">
        <f>IF(AND('Competency Event Log'!$B347='Employee Transcript'!$C$4,'Competency Event Log'!$I347&lt;&gt;"Yes"),'Competency Event Log'!$K347,"")</f>
        <v/>
      </c>
      <c r="CC347" t="str">
        <f t="shared" si="45"/>
        <v/>
      </c>
      <c r="CD347" t="str">
        <f>IF(Certifications!$A347='Employee Transcript'!$C$4,347,"")</f>
        <v/>
      </c>
      <c r="CE347" t="str">
        <f>IF(CD347="","",COUNTIF($CD$4:CD347,"&gt;0"))</f>
        <v/>
      </c>
    </row>
    <row r="348" spans="80:83">
      <c r="CB348" t="str">
        <f>IF(AND('Competency Event Log'!$B348='Employee Transcript'!$C$4,'Competency Event Log'!$I348&lt;&gt;"Yes"),'Competency Event Log'!$K348,"")</f>
        <v/>
      </c>
      <c r="CC348" t="str">
        <f t="shared" si="45"/>
        <v/>
      </c>
      <c r="CD348" t="str">
        <f>IF(Certifications!$A348='Employee Transcript'!$C$4,348,"")</f>
        <v/>
      </c>
      <c r="CE348" t="str">
        <f>IF(CD348="","",COUNTIF($CD$4:CD348,"&gt;0"))</f>
        <v/>
      </c>
    </row>
    <row r="349" spans="80:83">
      <c r="CB349" t="str">
        <f>IF(AND('Competency Event Log'!$B349='Employee Transcript'!$C$4,'Competency Event Log'!$I349&lt;&gt;"Yes"),'Competency Event Log'!$K349,"")</f>
        <v/>
      </c>
      <c r="CC349" t="str">
        <f t="shared" si="45"/>
        <v/>
      </c>
      <c r="CD349" t="str">
        <f>IF(Certifications!$A349='Employee Transcript'!$C$4,349,"")</f>
        <v/>
      </c>
      <c r="CE349" t="str">
        <f>IF(CD349="","",COUNTIF($CD$4:CD349,"&gt;0"))</f>
        <v/>
      </c>
    </row>
    <row r="350" spans="80:83">
      <c r="CB350" t="str">
        <f>IF(AND('Competency Event Log'!$B350='Employee Transcript'!$C$4,'Competency Event Log'!$I350&lt;&gt;"Yes"),'Competency Event Log'!$K350,"")</f>
        <v/>
      </c>
      <c r="CC350" t="str">
        <f t="shared" si="45"/>
        <v/>
      </c>
      <c r="CD350" t="str">
        <f>IF(Certifications!$A350='Employee Transcript'!$C$4,350,"")</f>
        <v/>
      </c>
      <c r="CE350" t="str">
        <f>IF(CD350="","",COUNTIF($CD$4:CD350,"&gt;0"))</f>
        <v/>
      </c>
    </row>
    <row r="351" spans="80:83">
      <c r="CB351" t="str">
        <f>IF(AND('Competency Event Log'!$B351='Employee Transcript'!$C$4,'Competency Event Log'!$I351&lt;&gt;"Yes"),'Competency Event Log'!$K351,"")</f>
        <v/>
      </c>
      <c r="CC351" t="str">
        <f t="shared" si="45"/>
        <v/>
      </c>
      <c r="CD351" t="str">
        <f>IF(Certifications!$A351='Employee Transcript'!$C$4,351,"")</f>
        <v/>
      </c>
      <c r="CE351" t="str">
        <f>IF(CD351="","",COUNTIF($CD$4:CD351,"&gt;0"))</f>
        <v/>
      </c>
    </row>
    <row r="352" spans="80:83">
      <c r="CB352" t="str">
        <f>IF(AND('Competency Event Log'!$B352='Employee Transcript'!$C$4,'Competency Event Log'!$I352&lt;&gt;"Yes"),'Competency Event Log'!$K352,"")</f>
        <v/>
      </c>
      <c r="CC352" t="str">
        <f t="shared" si="45"/>
        <v/>
      </c>
      <c r="CD352" t="str">
        <f>IF(Certifications!$A352='Employee Transcript'!$C$4,352,"")</f>
        <v/>
      </c>
      <c r="CE352" t="str">
        <f>IF(CD352="","",COUNTIF($CD$4:CD352,"&gt;0"))</f>
        <v/>
      </c>
    </row>
    <row r="353" spans="80:83">
      <c r="CB353" t="str">
        <f>IF(AND('Competency Event Log'!$B353='Employee Transcript'!$C$4,'Competency Event Log'!$I353&lt;&gt;"Yes"),'Competency Event Log'!$K353,"")</f>
        <v/>
      </c>
      <c r="CC353" t="str">
        <f t="shared" si="45"/>
        <v/>
      </c>
      <c r="CD353" t="str">
        <f>IF(Certifications!$A353='Employee Transcript'!$C$4,353,"")</f>
        <v/>
      </c>
      <c r="CE353" t="str">
        <f>IF(CD353="","",COUNTIF($CD$4:CD353,"&gt;0"))</f>
        <v/>
      </c>
    </row>
    <row r="354" spans="80:83">
      <c r="CB354" t="str">
        <f>IF(AND('Competency Event Log'!$B354='Employee Transcript'!$C$4,'Competency Event Log'!$I354&lt;&gt;"Yes"),'Competency Event Log'!$K354,"")</f>
        <v/>
      </c>
      <c r="CC354" t="str">
        <f t="shared" si="45"/>
        <v/>
      </c>
      <c r="CD354" t="str">
        <f>IF(Certifications!$A354='Employee Transcript'!$C$4,354,"")</f>
        <v/>
      </c>
      <c r="CE354" t="str">
        <f>IF(CD354="","",COUNTIF($CD$4:CD354,"&gt;0"))</f>
        <v/>
      </c>
    </row>
    <row r="355" spans="80:83">
      <c r="CB355" t="str">
        <f>IF(AND('Competency Event Log'!$B355='Employee Transcript'!$C$4,'Competency Event Log'!$I355&lt;&gt;"Yes"),'Competency Event Log'!$K355,"")</f>
        <v/>
      </c>
      <c r="CC355" t="str">
        <f t="shared" si="45"/>
        <v/>
      </c>
      <c r="CD355" t="str">
        <f>IF(Certifications!$A355='Employee Transcript'!$C$4,355,"")</f>
        <v/>
      </c>
      <c r="CE355" t="str">
        <f>IF(CD355="","",COUNTIF($CD$4:CD355,"&gt;0"))</f>
        <v/>
      </c>
    </row>
    <row r="356" spans="80:83">
      <c r="CB356" t="str">
        <f>IF(AND('Competency Event Log'!$B356='Employee Transcript'!$C$4,'Competency Event Log'!$I356&lt;&gt;"Yes"),'Competency Event Log'!$K356,"")</f>
        <v/>
      </c>
      <c r="CC356" t="str">
        <f t="shared" si="45"/>
        <v/>
      </c>
      <c r="CD356" t="str">
        <f>IF(Certifications!$A356='Employee Transcript'!$C$4,356,"")</f>
        <v/>
      </c>
      <c r="CE356" t="str">
        <f>IF(CD356="","",COUNTIF($CD$4:CD356,"&gt;0"))</f>
        <v/>
      </c>
    </row>
    <row r="357" spans="80:83">
      <c r="CB357" t="str">
        <f>IF(AND('Competency Event Log'!$B357='Employee Transcript'!$C$4,'Competency Event Log'!$I357&lt;&gt;"Yes"),'Competency Event Log'!$K357,"")</f>
        <v/>
      </c>
      <c r="CC357" t="str">
        <f t="shared" si="45"/>
        <v/>
      </c>
      <c r="CD357" t="str">
        <f>IF(Certifications!$A357='Employee Transcript'!$C$4,357,"")</f>
        <v/>
      </c>
      <c r="CE357" t="str">
        <f>IF(CD357="","",COUNTIF($CD$4:CD357,"&gt;0"))</f>
        <v/>
      </c>
    </row>
    <row r="358" spans="80:83">
      <c r="CB358" t="str">
        <f>IF(AND('Competency Event Log'!$B358='Employee Transcript'!$C$4,'Competency Event Log'!$I358&lt;&gt;"Yes"),'Competency Event Log'!$K358,"")</f>
        <v/>
      </c>
      <c r="CC358" t="str">
        <f t="shared" si="45"/>
        <v/>
      </c>
      <c r="CD358" t="str">
        <f>IF(Certifications!$A358='Employee Transcript'!$C$4,358,"")</f>
        <v/>
      </c>
      <c r="CE358" t="str">
        <f>IF(CD358="","",COUNTIF($CD$4:CD358,"&gt;0"))</f>
        <v/>
      </c>
    </row>
    <row r="359" spans="80:83">
      <c r="CB359" t="str">
        <f>IF(AND('Competency Event Log'!$B359='Employee Transcript'!$C$4,'Competency Event Log'!$I359&lt;&gt;"Yes"),'Competency Event Log'!$K359,"")</f>
        <v/>
      </c>
      <c r="CC359" t="str">
        <f t="shared" si="45"/>
        <v/>
      </c>
      <c r="CD359" t="str">
        <f>IF(Certifications!$A359='Employee Transcript'!$C$4,359,"")</f>
        <v/>
      </c>
      <c r="CE359" t="str">
        <f>IF(CD359="","",COUNTIF($CD$4:CD359,"&gt;0"))</f>
        <v/>
      </c>
    </row>
    <row r="360" spans="80:83">
      <c r="CB360" t="str">
        <f>IF(AND('Competency Event Log'!$B360='Employee Transcript'!$C$4,'Competency Event Log'!$I360&lt;&gt;"Yes"),'Competency Event Log'!$K360,"")</f>
        <v/>
      </c>
      <c r="CC360" t="str">
        <f t="shared" si="45"/>
        <v/>
      </c>
      <c r="CD360" t="str">
        <f>IF(Certifications!$A360='Employee Transcript'!$C$4,360,"")</f>
        <v/>
      </c>
      <c r="CE360" t="str">
        <f>IF(CD360="","",COUNTIF($CD$4:CD360,"&gt;0"))</f>
        <v/>
      </c>
    </row>
    <row r="361" spans="80:83">
      <c r="CB361" t="str">
        <f>IF(AND('Competency Event Log'!$B361='Employee Transcript'!$C$4,'Competency Event Log'!$I361&lt;&gt;"Yes"),'Competency Event Log'!$K361,"")</f>
        <v/>
      </c>
      <c r="CC361" t="str">
        <f t="shared" si="45"/>
        <v/>
      </c>
      <c r="CD361" t="str">
        <f>IF(Certifications!$A361='Employee Transcript'!$C$4,361,"")</f>
        <v/>
      </c>
      <c r="CE361" t="str">
        <f>IF(CD361="","",COUNTIF($CD$4:CD361,"&gt;0"))</f>
        <v/>
      </c>
    </row>
    <row r="362" spans="80:83">
      <c r="CB362" t="str">
        <f>IF(AND('Competency Event Log'!$B362='Employee Transcript'!$C$4,'Competency Event Log'!$I362&lt;&gt;"Yes"),'Competency Event Log'!$K362,"")</f>
        <v/>
      </c>
      <c r="CC362" t="str">
        <f t="shared" si="45"/>
        <v/>
      </c>
      <c r="CD362" t="str">
        <f>IF(Certifications!$A362='Employee Transcript'!$C$4,362,"")</f>
        <v/>
      </c>
      <c r="CE362" t="str">
        <f>IF(CD362="","",COUNTIF($CD$4:CD362,"&gt;0"))</f>
        <v/>
      </c>
    </row>
    <row r="363" spans="80:83">
      <c r="CB363" t="str">
        <f>IF(AND('Competency Event Log'!$B363='Employee Transcript'!$C$4,'Competency Event Log'!$I363&lt;&gt;"Yes"),'Competency Event Log'!$K363,"")</f>
        <v/>
      </c>
      <c r="CC363" t="str">
        <f t="shared" si="45"/>
        <v/>
      </c>
      <c r="CD363" t="str">
        <f>IF(Certifications!$A363='Employee Transcript'!$C$4,363,"")</f>
        <v/>
      </c>
      <c r="CE363" t="str">
        <f>IF(CD363="","",COUNTIF($CD$4:CD363,"&gt;0"))</f>
        <v/>
      </c>
    </row>
    <row r="364" spans="80:83">
      <c r="CB364" t="str">
        <f>IF(AND('Competency Event Log'!$B364='Employee Transcript'!$C$4,'Competency Event Log'!$I364&lt;&gt;"Yes"),'Competency Event Log'!$K364,"")</f>
        <v/>
      </c>
      <c r="CC364" t="str">
        <f t="shared" si="45"/>
        <v/>
      </c>
      <c r="CD364" t="str">
        <f>IF(Certifications!$A364='Employee Transcript'!$C$4,364,"")</f>
        <v/>
      </c>
      <c r="CE364" t="str">
        <f>IF(CD364="","",COUNTIF($CD$4:CD364,"&gt;0"))</f>
        <v/>
      </c>
    </row>
    <row r="365" spans="80:83">
      <c r="CB365" t="str">
        <f>IF(AND('Competency Event Log'!$B365='Employee Transcript'!$C$4,'Competency Event Log'!$I365&lt;&gt;"Yes"),'Competency Event Log'!$K365,"")</f>
        <v/>
      </c>
      <c r="CC365" t="str">
        <f t="shared" si="45"/>
        <v/>
      </c>
      <c r="CD365" t="str">
        <f>IF(Certifications!$A365='Employee Transcript'!$C$4,365,"")</f>
        <v/>
      </c>
      <c r="CE365" t="str">
        <f>IF(CD365="","",COUNTIF($CD$4:CD365,"&gt;0"))</f>
        <v/>
      </c>
    </row>
    <row r="366" spans="80:83">
      <c r="CB366" t="str">
        <f>IF(AND('Competency Event Log'!$B366='Employee Transcript'!$C$4,'Competency Event Log'!$I366&lt;&gt;"Yes"),'Competency Event Log'!$K366,"")</f>
        <v/>
      </c>
      <c r="CC366" t="str">
        <f t="shared" si="45"/>
        <v/>
      </c>
      <c r="CD366" t="str">
        <f>IF(Certifications!$A366='Employee Transcript'!$C$4,366,"")</f>
        <v/>
      </c>
      <c r="CE366" t="str">
        <f>IF(CD366="","",COUNTIF($CD$4:CD366,"&gt;0"))</f>
        <v/>
      </c>
    </row>
    <row r="367" spans="80:83">
      <c r="CB367" t="str">
        <f>IF(AND('Competency Event Log'!$B367='Employee Transcript'!$C$4,'Competency Event Log'!$I367&lt;&gt;"Yes"),'Competency Event Log'!$K367,"")</f>
        <v/>
      </c>
      <c r="CC367" t="str">
        <f t="shared" si="45"/>
        <v/>
      </c>
      <c r="CD367" t="str">
        <f>IF(Certifications!$A367='Employee Transcript'!$C$4,367,"")</f>
        <v/>
      </c>
      <c r="CE367" t="str">
        <f>IF(CD367="","",COUNTIF($CD$4:CD367,"&gt;0"))</f>
        <v/>
      </c>
    </row>
    <row r="368" spans="80:83">
      <c r="CB368" t="str">
        <f>IF(AND('Competency Event Log'!$B368='Employee Transcript'!$C$4,'Competency Event Log'!$I368&lt;&gt;"Yes"),'Competency Event Log'!$K368,"")</f>
        <v/>
      </c>
      <c r="CC368" t="str">
        <f t="shared" si="45"/>
        <v/>
      </c>
      <c r="CD368" t="str">
        <f>IF(Certifications!$A368='Employee Transcript'!$C$4,368,"")</f>
        <v/>
      </c>
      <c r="CE368" t="str">
        <f>IF(CD368="","",COUNTIF($CD$4:CD368,"&gt;0"))</f>
        <v/>
      </c>
    </row>
    <row r="369" spans="80:83">
      <c r="CB369" t="str">
        <f>IF(AND('Competency Event Log'!$B369='Employee Transcript'!$C$4,'Competency Event Log'!$I369&lt;&gt;"Yes"),'Competency Event Log'!$K369,"")</f>
        <v/>
      </c>
      <c r="CC369" t="str">
        <f t="shared" si="45"/>
        <v/>
      </c>
      <c r="CD369" t="str">
        <f>IF(Certifications!$A369='Employee Transcript'!$C$4,369,"")</f>
        <v/>
      </c>
      <c r="CE369" t="str">
        <f>IF(CD369="","",COUNTIF($CD$4:CD369,"&gt;0"))</f>
        <v/>
      </c>
    </row>
    <row r="370" spans="80:83">
      <c r="CB370" t="str">
        <f>IF(AND('Competency Event Log'!$B370='Employee Transcript'!$C$4,'Competency Event Log'!$I370&lt;&gt;"Yes"),'Competency Event Log'!$K370,"")</f>
        <v/>
      </c>
      <c r="CC370" t="str">
        <f t="shared" si="45"/>
        <v/>
      </c>
      <c r="CD370" t="str">
        <f>IF(Certifications!$A370='Employee Transcript'!$C$4,370,"")</f>
        <v/>
      </c>
      <c r="CE370" t="str">
        <f>IF(CD370="","",COUNTIF($CD$4:CD370,"&gt;0"))</f>
        <v/>
      </c>
    </row>
    <row r="371" spans="80:83">
      <c r="CB371" t="str">
        <f>IF(AND('Competency Event Log'!$B371='Employee Transcript'!$C$4,'Competency Event Log'!$I371&lt;&gt;"Yes"),'Competency Event Log'!$K371,"")</f>
        <v/>
      </c>
      <c r="CC371" t="str">
        <f t="shared" si="45"/>
        <v/>
      </c>
      <c r="CD371" t="str">
        <f>IF(Certifications!$A371='Employee Transcript'!$C$4,371,"")</f>
        <v/>
      </c>
      <c r="CE371" t="str">
        <f>IF(CD371="","",COUNTIF($CD$4:CD371,"&gt;0"))</f>
        <v/>
      </c>
    </row>
    <row r="372" spans="80:83">
      <c r="CB372" t="str">
        <f>IF(AND('Competency Event Log'!$B372='Employee Transcript'!$C$4,'Competency Event Log'!$I372&lt;&gt;"Yes"),'Competency Event Log'!$K372,"")</f>
        <v/>
      </c>
      <c r="CC372" t="str">
        <f t="shared" si="45"/>
        <v/>
      </c>
      <c r="CD372" t="str">
        <f>IF(Certifications!$A372='Employee Transcript'!$C$4,372,"")</f>
        <v/>
      </c>
      <c r="CE372" t="str">
        <f>IF(CD372="","",COUNTIF($CD$4:CD372,"&gt;0"))</f>
        <v/>
      </c>
    </row>
    <row r="373" spans="80:83">
      <c r="CB373" t="str">
        <f>IF(AND('Competency Event Log'!$B373='Employee Transcript'!$C$4,'Competency Event Log'!$I373&lt;&gt;"Yes"),'Competency Event Log'!$K373,"")</f>
        <v/>
      </c>
      <c r="CC373" t="str">
        <f t="shared" si="45"/>
        <v/>
      </c>
      <c r="CD373" t="str">
        <f>IF(Certifications!$A373='Employee Transcript'!$C$4,373,"")</f>
        <v/>
      </c>
      <c r="CE373" t="str">
        <f>IF(CD373="","",COUNTIF($CD$4:CD373,"&gt;0"))</f>
        <v/>
      </c>
    </row>
    <row r="374" spans="80:83">
      <c r="CB374" t="str">
        <f>IF(AND('Competency Event Log'!$B374='Employee Transcript'!$C$4,'Competency Event Log'!$I374&lt;&gt;"Yes"),'Competency Event Log'!$K374,"")</f>
        <v/>
      </c>
      <c r="CC374" t="str">
        <f t="shared" si="45"/>
        <v/>
      </c>
      <c r="CD374" t="str">
        <f>IF(Certifications!$A374='Employee Transcript'!$C$4,374,"")</f>
        <v/>
      </c>
      <c r="CE374" t="str">
        <f>IF(CD374="","",COUNTIF($CD$4:CD374,"&gt;0"))</f>
        <v/>
      </c>
    </row>
    <row r="375" spans="80:83">
      <c r="CB375" t="str">
        <f>IF(AND('Competency Event Log'!$B375='Employee Transcript'!$C$4,'Competency Event Log'!$I375&lt;&gt;"Yes"),'Competency Event Log'!$K375,"")</f>
        <v/>
      </c>
      <c r="CC375" t="str">
        <f t="shared" si="45"/>
        <v/>
      </c>
      <c r="CD375" t="str">
        <f>IF(Certifications!$A375='Employee Transcript'!$C$4,375,"")</f>
        <v/>
      </c>
      <c r="CE375" t="str">
        <f>IF(CD375="","",COUNTIF($CD$4:CD375,"&gt;0"))</f>
        <v/>
      </c>
    </row>
    <row r="376" spans="80:83">
      <c r="CB376" t="str">
        <f>IF(AND('Competency Event Log'!$B376='Employee Transcript'!$C$4,'Competency Event Log'!$I376&lt;&gt;"Yes"),'Competency Event Log'!$K376,"")</f>
        <v/>
      </c>
      <c r="CC376" t="str">
        <f t="shared" si="45"/>
        <v/>
      </c>
      <c r="CD376" t="str">
        <f>IF(Certifications!$A376='Employee Transcript'!$C$4,376,"")</f>
        <v/>
      </c>
      <c r="CE376" t="str">
        <f>IF(CD376="","",COUNTIF($CD$4:CD376,"&gt;0"))</f>
        <v/>
      </c>
    </row>
    <row r="377" spans="80:83">
      <c r="CB377" t="str">
        <f>IF(AND('Competency Event Log'!$B377='Employee Transcript'!$C$4,'Competency Event Log'!$I377&lt;&gt;"Yes"),'Competency Event Log'!$K377,"")</f>
        <v/>
      </c>
      <c r="CC377" t="str">
        <f t="shared" si="45"/>
        <v/>
      </c>
      <c r="CD377" t="str">
        <f>IF(Certifications!$A377='Employee Transcript'!$C$4,377,"")</f>
        <v/>
      </c>
      <c r="CE377" t="str">
        <f>IF(CD377="","",COUNTIF($CD$4:CD377,"&gt;0"))</f>
        <v/>
      </c>
    </row>
    <row r="378" spans="80:83">
      <c r="CB378" t="str">
        <f>IF(AND('Competency Event Log'!$B378='Employee Transcript'!$C$4,'Competency Event Log'!$I378&lt;&gt;"Yes"),'Competency Event Log'!$K378,"")</f>
        <v/>
      </c>
      <c r="CC378" t="str">
        <f t="shared" si="45"/>
        <v/>
      </c>
      <c r="CD378" t="str">
        <f>IF(Certifications!$A378='Employee Transcript'!$C$4,378,"")</f>
        <v/>
      </c>
      <c r="CE378" t="str">
        <f>IF(CD378="","",COUNTIF($CD$4:CD378,"&gt;0"))</f>
        <v/>
      </c>
    </row>
    <row r="379" spans="80:83">
      <c r="CB379" t="str">
        <f>IF(AND('Competency Event Log'!$B379='Employee Transcript'!$C$4,'Competency Event Log'!$I379&lt;&gt;"Yes"),'Competency Event Log'!$K379,"")</f>
        <v/>
      </c>
      <c r="CC379" t="str">
        <f t="shared" si="45"/>
        <v/>
      </c>
      <c r="CD379" t="str">
        <f>IF(Certifications!$A379='Employee Transcript'!$C$4,379,"")</f>
        <v/>
      </c>
      <c r="CE379" t="str">
        <f>IF(CD379="","",COUNTIF($CD$4:CD379,"&gt;0"))</f>
        <v/>
      </c>
    </row>
    <row r="380" spans="80:83">
      <c r="CB380" t="str">
        <f>IF(AND('Competency Event Log'!$B380='Employee Transcript'!$C$4,'Competency Event Log'!$I380&lt;&gt;"Yes"),'Competency Event Log'!$K380,"")</f>
        <v/>
      </c>
      <c r="CC380" t="str">
        <f t="shared" si="45"/>
        <v/>
      </c>
      <c r="CD380" t="str">
        <f>IF(Certifications!$A380='Employee Transcript'!$C$4,380,"")</f>
        <v/>
      </c>
      <c r="CE380" t="str">
        <f>IF(CD380="","",COUNTIF($CD$4:CD380,"&gt;0"))</f>
        <v/>
      </c>
    </row>
    <row r="381" spans="80:83">
      <c r="CB381" t="str">
        <f>IF(AND('Competency Event Log'!$B381='Employee Transcript'!$C$4,'Competency Event Log'!$I381&lt;&gt;"Yes"),'Competency Event Log'!$K381,"")</f>
        <v/>
      </c>
      <c r="CC381" t="str">
        <f t="shared" si="45"/>
        <v/>
      </c>
      <c r="CD381" t="str">
        <f>IF(Certifications!$A381='Employee Transcript'!$C$4,381,"")</f>
        <v/>
      </c>
      <c r="CE381" t="str">
        <f>IF(CD381="","",COUNTIF($CD$4:CD381,"&gt;0"))</f>
        <v/>
      </c>
    </row>
    <row r="382" spans="80:83">
      <c r="CB382" t="str">
        <f>IF(AND('Competency Event Log'!$B382='Employee Transcript'!$C$4,'Competency Event Log'!$I382&lt;&gt;"Yes"),'Competency Event Log'!$K382,"")</f>
        <v/>
      </c>
      <c r="CC382" t="str">
        <f t="shared" si="45"/>
        <v/>
      </c>
      <c r="CD382" t="str">
        <f>IF(Certifications!$A382='Employee Transcript'!$C$4,382,"")</f>
        <v/>
      </c>
      <c r="CE382" t="str">
        <f>IF(CD382="","",COUNTIF($CD$4:CD382,"&gt;0"))</f>
        <v/>
      </c>
    </row>
    <row r="383" spans="80:83">
      <c r="CB383" t="str">
        <f>IF(AND('Competency Event Log'!$B383='Employee Transcript'!$C$4,'Competency Event Log'!$I383&lt;&gt;"Yes"),'Competency Event Log'!$K383,"")</f>
        <v/>
      </c>
      <c r="CC383" t="str">
        <f t="shared" si="45"/>
        <v/>
      </c>
      <c r="CD383" t="str">
        <f>IF(Certifications!$A383='Employee Transcript'!$C$4,383,"")</f>
        <v/>
      </c>
      <c r="CE383" t="str">
        <f>IF(CD383="","",COUNTIF($CD$4:CD383,"&gt;0"))</f>
        <v/>
      </c>
    </row>
    <row r="384" spans="80:83">
      <c r="CB384" t="str">
        <f>IF(AND('Competency Event Log'!$B384='Employee Transcript'!$C$4,'Competency Event Log'!$I384&lt;&gt;"Yes"),'Competency Event Log'!$K384,"")</f>
        <v/>
      </c>
      <c r="CC384" t="str">
        <f t="shared" si="45"/>
        <v/>
      </c>
      <c r="CD384" t="str">
        <f>IF(Certifications!$A384='Employee Transcript'!$C$4,384,"")</f>
        <v/>
      </c>
      <c r="CE384" t="str">
        <f>IF(CD384="","",COUNTIF($CD$4:CD384,"&gt;0"))</f>
        <v/>
      </c>
    </row>
    <row r="385" spans="80:83">
      <c r="CB385" t="str">
        <f>IF(AND('Competency Event Log'!$B385='Employee Transcript'!$C$4,'Competency Event Log'!$I385&lt;&gt;"Yes"),'Competency Event Log'!$K385,"")</f>
        <v/>
      </c>
      <c r="CC385" t="str">
        <f t="shared" si="45"/>
        <v/>
      </c>
      <c r="CD385" t="str">
        <f>IF(Certifications!$A385='Employee Transcript'!$C$4,385,"")</f>
        <v/>
      </c>
      <c r="CE385" t="str">
        <f>IF(CD385="","",COUNTIF($CD$4:CD385,"&gt;0"))</f>
        <v/>
      </c>
    </row>
    <row r="386" spans="80:83">
      <c r="CB386" t="str">
        <f>IF(AND('Competency Event Log'!$B386='Employee Transcript'!$C$4,'Competency Event Log'!$I386&lt;&gt;"Yes"),'Competency Event Log'!$K386,"")</f>
        <v/>
      </c>
      <c r="CC386" t="str">
        <f t="shared" si="45"/>
        <v/>
      </c>
      <c r="CD386" t="str">
        <f>IF(Certifications!$A386='Employee Transcript'!$C$4,386,"")</f>
        <v/>
      </c>
      <c r="CE386" t="str">
        <f>IF(CD386="","",COUNTIF($CD$4:CD386,"&gt;0"))</f>
        <v/>
      </c>
    </row>
    <row r="387" spans="80:83">
      <c r="CB387" t="str">
        <f>IF(AND('Competency Event Log'!$B387='Employee Transcript'!$C$4,'Competency Event Log'!$I387&lt;&gt;"Yes"),'Competency Event Log'!$K387,"")</f>
        <v/>
      </c>
      <c r="CC387" t="str">
        <f t="shared" si="45"/>
        <v/>
      </c>
      <c r="CD387" t="str">
        <f>IF(Certifications!$A387='Employee Transcript'!$C$4,387,"")</f>
        <v/>
      </c>
      <c r="CE387" t="str">
        <f>IF(CD387="","",COUNTIF($CD$4:CD387,"&gt;0"))</f>
        <v/>
      </c>
    </row>
    <row r="388" spans="80:83">
      <c r="CB388" t="str">
        <f>IF(AND('Competency Event Log'!$B388='Employee Transcript'!$C$4,'Competency Event Log'!$I388&lt;&gt;"Yes"),'Competency Event Log'!$K388,"")</f>
        <v/>
      </c>
      <c r="CC388" t="str">
        <f t="shared" ref="CC388:CC451" si="46">IF(CB388="","",COUNTIF($CB$4:$CB$803,"&gt;"&amp;CB388)+1)</f>
        <v/>
      </c>
      <c r="CD388" t="str">
        <f>IF(Certifications!$A388='Employee Transcript'!$C$4,388,"")</f>
        <v/>
      </c>
      <c r="CE388" t="str">
        <f>IF(CD388="","",COUNTIF($CD$4:CD388,"&gt;0"))</f>
        <v/>
      </c>
    </row>
    <row r="389" spans="80:83">
      <c r="CB389" t="str">
        <f>IF(AND('Competency Event Log'!$B389='Employee Transcript'!$C$4,'Competency Event Log'!$I389&lt;&gt;"Yes"),'Competency Event Log'!$K389,"")</f>
        <v/>
      </c>
      <c r="CC389" t="str">
        <f t="shared" si="46"/>
        <v/>
      </c>
      <c r="CD389" t="str">
        <f>IF(Certifications!$A389='Employee Transcript'!$C$4,389,"")</f>
        <v/>
      </c>
      <c r="CE389" t="str">
        <f>IF(CD389="","",COUNTIF($CD$4:CD389,"&gt;0"))</f>
        <v/>
      </c>
    </row>
    <row r="390" spans="80:83">
      <c r="CB390" t="str">
        <f>IF(AND('Competency Event Log'!$B390='Employee Transcript'!$C$4,'Competency Event Log'!$I390&lt;&gt;"Yes"),'Competency Event Log'!$K390,"")</f>
        <v/>
      </c>
      <c r="CC390" t="str">
        <f t="shared" si="46"/>
        <v/>
      </c>
      <c r="CD390" t="str">
        <f>IF(Certifications!$A390='Employee Transcript'!$C$4,390,"")</f>
        <v/>
      </c>
      <c r="CE390" t="str">
        <f>IF(CD390="","",COUNTIF($CD$4:CD390,"&gt;0"))</f>
        <v/>
      </c>
    </row>
    <row r="391" spans="80:83">
      <c r="CB391" t="str">
        <f>IF(AND('Competency Event Log'!$B391='Employee Transcript'!$C$4,'Competency Event Log'!$I391&lt;&gt;"Yes"),'Competency Event Log'!$K391,"")</f>
        <v/>
      </c>
      <c r="CC391" t="str">
        <f t="shared" si="46"/>
        <v/>
      </c>
      <c r="CD391" t="str">
        <f>IF(Certifications!$A391='Employee Transcript'!$C$4,391,"")</f>
        <v/>
      </c>
      <c r="CE391" t="str">
        <f>IF(CD391="","",COUNTIF($CD$4:CD391,"&gt;0"))</f>
        <v/>
      </c>
    </row>
    <row r="392" spans="80:83">
      <c r="CB392" t="str">
        <f>IF(AND('Competency Event Log'!$B392='Employee Transcript'!$C$4,'Competency Event Log'!$I392&lt;&gt;"Yes"),'Competency Event Log'!$K392,"")</f>
        <v/>
      </c>
      <c r="CC392" t="str">
        <f t="shared" si="46"/>
        <v/>
      </c>
      <c r="CD392" t="str">
        <f>IF(Certifications!$A392='Employee Transcript'!$C$4,392,"")</f>
        <v/>
      </c>
      <c r="CE392" t="str">
        <f>IF(CD392="","",COUNTIF($CD$4:CD392,"&gt;0"))</f>
        <v/>
      </c>
    </row>
    <row r="393" spans="80:83">
      <c r="CB393" t="str">
        <f>IF(AND('Competency Event Log'!$B393='Employee Transcript'!$C$4,'Competency Event Log'!$I393&lt;&gt;"Yes"),'Competency Event Log'!$K393,"")</f>
        <v/>
      </c>
      <c r="CC393" t="str">
        <f t="shared" si="46"/>
        <v/>
      </c>
      <c r="CD393" t="str">
        <f>IF(Certifications!$A393='Employee Transcript'!$C$4,393,"")</f>
        <v/>
      </c>
      <c r="CE393" t="str">
        <f>IF(CD393="","",COUNTIF($CD$4:CD393,"&gt;0"))</f>
        <v/>
      </c>
    </row>
    <row r="394" spans="80:83">
      <c r="CB394" t="str">
        <f>IF(AND('Competency Event Log'!$B394='Employee Transcript'!$C$4,'Competency Event Log'!$I394&lt;&gt;"Yes"),'Competency Event Log'!$K394,"")</f>
        <v/>
      </c>
      <c r="CC394" t="str">
        <f t="shared" si="46"/>
        <v/>
      </c>
      <c r="CD394" t="str">
        <f>IF(Certifications!$A394='Employee Transcript'!$C$4,394,"")</f>
        <v/>
      </c>
      <c r="CE394" t="str">
        <f>IF(CD394="","",COUNTIF($CD$4:CD394,"&gt;0"))</f>
        <v/>
      </c>
    </row>
    <row r="395" spans="80:83">
      <c r="CB395" t="str">
        <f>IF(AND('Competency Event Log'!$B395='Employee Transcript'!$C$4,'Competency Event Log'!$I395&lt;&gt;"Yes"),'Competency Event Log'!$K395,"")</f>
        <v/>
      </c>
      <c r="CC395" t="str">
        <f t="shared" si="46"/>
        <v/>
      </c>
      <c r="CD395" t="str">
        <f>IF(Certifications!$A395='Employee Transcript'!$C$4,395,"")</f>
        <v/>
      </c>
      <c r="CE395" t="str">
        <f>IF(CD395="","",COUNTIF($CD$4:CD395,"&gt;0"))</f>
        <v/>
      </c>
    </row>
    <row r="396" spans="80:83">
      <c r="CB396" t="str">
        <f>IF(AND('Competency Event Log'!$B396='Employee Transcript'!$C$4,'Competency Event Log'!$I396&lt;&gt;"Yes"),'Competency Event Log'!$K396,"")</f>
        <v/>
      </c>
      <c r="CC396" t="str">
        <f t="shared" si="46"/>
        <v/>
      </c>
      <c r="CD396" t="str">
        <f>IF(Certifications!$A396='Employee Transcript'!$C$4,396,"")</f>
        <v/>
      </c>
      <c r="CE396" t="str">
        <f>IF(CD396="","",COUNTIF($CD$4:CD396,"&gt;0"))</f>
        <v/>
      </c>
    </row>
    <row r="397" spans="80:83">
      <c r="CB397" t="str">
        <f>IF(AND('Competency Event Log'!$B397='Employee Transcript'!$C$4,'Competency Event Log'!$I397&lt;&gt;"Yes"),'Competency Event Log'!$K397,"")</f>
        <v/>
      </c>
      <c r="CC397" t="str">
        <f t="shared" si="46"/>
        <v/>
      </c>
      <c r="CD397" t="str">
        <f>IF(Certifications!$A397='Employee Transcript'!$C$4,397,"")</f>
        <v/>
      </c>
      <c r="CE397" t="str">
        <f>IF(CD397="","",COUNTIF($CD$4:CD397,"&gt;0"))</f>
        <v/>
      </c>
    </row>
    <row r="398" spans="80:83">
      <c r="CB398" t="str">
        <f>IF(AND('Competency Event Log'!$B398='Employee Transcript'!$C$4,'Competency Event Log'!$I398&lt;&gt;"Yes"),'Competency Event Log'!$K398,"")</f>
        <v/>
      </c>
      <c r="CC398" t="str">
        <f t="shared" si="46"/>
        <v/>
      </c>
      <c r="CD398" t="str">
        <f>IF(Certifications!$A398='Employee Transcript'!$C$4,398,"")</f>
        <v/>
      </c>
      <c r="CE398" t="str">
        <f>IF(CD398="","",COUNTIF($CD$4:CD398,"&gt;0"))</f>
        <v/>
      </c>
    </row>
    <row r="399" spans="80:83">
      <c r="CB399" t="str">
        <f>IF(AND('Competency Event Log'!$B399='Employee Transcript'!$C$4,'Competency Event Log'!$I399&lt;&gt;"Yes"),'Competency Event Log'!$K399,"")</f>
        <v/>
      </c>
      <c r="CC399" t="str">
        <f t="shared" si="46"/>
        <v/>
      </c>
      <c r="CD399" t="str">
        <f>IF(Certifications!$A399='Employee Transcript'!$C$4,399,"")</f>
        <v/>
      </c>
      <c r="CE399" t="str">
        <f>IF(CD399="","",COUNTIF($CD$4:CD399,"&gt;0"))</f>
        <v/>
      </c>
    </row>
    <row r="400" spans="80:83">
      <c r="CB400" t="str">
        <f>IF(AND('Competency Event Log'!$B400='Employee Transcript'!$C$4,'Competency Event Log'!$I400&lt;&gt;"Yes"),'Competency Event Log'!$K400,"")</f>
        <v/>
      </c>
      <c r="CC400" t="str">
        <f t="shared" si="46"/>
        <v/>
      </c>
      <c r="CD400" t="str">
        <f>IF(Certifications!$A400='Employee Transcript'!$C$4,400,"")</f>
        <v/>
      </c>
      <c r="CE400" t="str">
        <f>IF(CD400="","",COUNTIF($CD$4:CD400,"&gt;0"))</f>
        <v/>
      </c>
    </row>
    <row r="401" spans="80:83">
      <c r="CB401" t="str">
        <f>IF(AND('Competency Event Log'!$B401='Employee Transcript'!$C$4,'Competency Event Log'!$I401&lt;&gt;"Yes"),'Competency Event Log'!$K401,"")</f>
        <v/>
      </c>
      <c r="CC401" t="str">
        <f t="shared" si="46"/>
        <v/>
      </c>
      <c r="CD401" t="str">
        <f>IF(Certifications!$A401='Employee Transcript'!$C$4,401,"")</f>
        <v/>
      </c>
      <c r="CE401" t="str">
        <f>IF(CD401="","",COUNTIF($CD$4:CD401,"&gt;0"))</f>
        <v/>
      </c>
    </row>
    <row r="402" spans="80:83">
      <c r="CB402" t="str">
        <f>IF(AND('Competency Event Log'!$B402='Employee Transcript'!$C$4,'Competency Event Log'!$I402&lt;&gt;"Yes"),'Competency Event Log'!$K402,"")</f>
        <v/>
      </c>
      <c r="CC402" t="str">
        <f t="shared" si="46"/>
        <v/>
      </c>
      <c r="CD402" t="str">
        <f>IF(Certifications!$A402='Employee Transcript'!$C$4,402,"")</f>
        <v/>
      </c>
      <c r="CE402" t="str">
        <f>IF(CD402="","",COUNTIF($CD$4:CD402,"&gt;0"))</f>
        <v/>
      </c>
    </row>
    <row r="403" spans="80:83">
      <c r="CB403" t="str">
        <f>IF(AND('Competency Event Log'!$B403='Employee Transcript'!$C$4,'Competency Event Log'!$I403&lt;&gt;"Yes"),'Competency Event Log'!$K403,"")</f>
        <v/>
      </c>
      <c r="CC403" t="str">
        <f t="shared" si="46"/>
        <v/>
      </c>
      <c r="CD403" t="str">
        <f>IF(Certifications!$A403='Employee Transcript'!$C$4,403,"")</f>
        <v/>
      </c>
      <c r="CE403" t="str">
        <f>IF(CD403="","",COUNTIF($CD$4:CD403,"&gt;0"))</f>
        <v/>
      </c>
    </row>
    <row r="404" spans="80:83">
      <c r="CB404" t="str">
        <f>IF(AND('Competency Event Log'!$B404='Employee Transcript'!$C$4,'Competency Event Log'!$I404&lt;&gt;"Yes"),'Competency Event Log'!$K404,"")</f>
        <v/>
      </c>
      <c r="CC404" t="str">
        <f t="shared" si="46"/>
        <v/>
      </c>
      <c r="CD404" t="str">
        <f>IF(Certifications!$A404='Employee Transcript'!$C$4,404,"")</f>
        <v/>
      </c>
      <c r="CE404" t="str">
        <f>IF(CD404="","",COUNTIF($CD$4:CD404,"&gt;0"))</f>
        <v/>
      </c>
    </row>
    <row r="405" spans="80:83">
      <c r="CB405" t="str">
        <f>IF(AND('Competency Event Log'!$B405='Employee Transcript'!$C$4,'Competency Event Log'!$I405&lt;&gt;"Yes"),'Competency Event Log'!$K405,"")</f>
        <v/>
      </c>
      <c r="CC405" t="str">
        <f t="shared" si="46"/>
        <v/>
      </c>
      <c r="CD405" t="str">
        <f>IF(Certifications!$A405='Employee Transcript'!$C$4,405,"")</f>
        <v/>
      </c>
      <c r="CE405" t="str">
        <f>IF(CD405="","",COUNTIF($CD$4:CD405,"&gt;0"))</f>
        <v/>
      </c>
    </row>
    <row r="406" spans="80:83">
      <c r="CB406" t="str">
        <f>IF(AND('Competency Event Log'!$B406='Employee Transcript'!$C$4,'Competency Event Log'!$I406&lt;&gt;"Yes"),'Competency Event Log'!$K406,"")</f>
        <v/>
      </c>
      <c r="CC406" t="str">
        <f t="shared" si="46"/>
        <v/>
      </c>
      <c r="CD406" t="str">
        <f>IF(Certifications!$A406='Employee Transcript'!$C$4,406,"")</f>
        <v/>
      </c>
      <c r="CE406" t="str">
        <f>IF(CD406="","",COUNTIF($CD$4:CD406,"&gt;0"))</f>
        <v/>
      </c>
    </row>
    <row r="407" spans="80:83">
      <c r="CB407" t="str">
        <f>IF(AND('Competency Event Log'!$B407='Employee Transcript'!$C$4,'Competency Event Log'!$I407&lt;&gt;"Yes"),'Competency Event Log'!$K407,"")</f>
        <v/>
      </c>
      <c r="CC407" t="str">
        <f t="shared" si="46"/>
        <v/>
      </c>
      <c r="CD407" t="str">
        <f>IF(Certifications!$A407='Employee Transcript'!$C$4,407,"")</f>
        <v/>
      </c>
      <c r="CE407" t="str">
        <f>IF(CD407="","",COUNTIF($CD$4:CD407,"&gt;0"))</f>
        <v/>
      </c>
    </row>
    <row r="408" spans="80:83">
      <c r="CB408" t="str">
        <f>IF(AND('Competency Event Log'!$B408='Employee Transcript'!$C$4,'Competency Event Log'!$I408&lt;&gt;"Yes"),'Competency Event Log'!$K408,"")</f>
        <v/>
      </c>
      <c r="CC408" t="str">
        <f t="shared" si="46"/>
        <v/>
      </c>
      <c r="CD408" t="str">
        <f>IF(Certifications!$A408='Employee Transcript'!$C$4,408,"")</f>
        <v/>
      </c>
      <c r="CE408" t="str">
        <f>IF(CD408="","",COUNTIF($CD$4:CD408,"&gt;0"))</f>
        <v/>
      </c>
    </row>
    <row r="409" spans="80:83">
      <c r="CB409" t="str">
        <f>IF(AND('Competency Event Log'!$B409='Employee Transcript'!$C$4,'Competency Event Log'!$I409&lt;&gt;"Yes"),'Competency Event Log'!$K409,"")</f>
        <v/>
      </c>
      <c r="CC409" t="str">
        <f t="shared" si="46"/>
        <v/>
      </c>
      <c r="CD409" t="str">
        <f>IF(Certifications!$A409='Employee Transcript'!$C$4,409,"")</f>
        <v/>
      </c>
      <c r="CE409" t="str">
        <f>IF(CD409="","",COUNTIF($CD$4:CD409,"&gt;0"))</f>
        <v/>
      </c>
    </row>
    <row r="410" spans="80:83">
      <c r="CB410" t="str">
        <f>IF(AND('Competency Event Log'!$B410='Employee Transcript'!$C$4,'Competency Event Log'!$I410&lt;&gt;"Yes"),'Competency Event Log'!$K410,"")</f>
        <v/>
      </c>
      <c r="CC410" t="str">
        <f t="shared" si="46"/>
        <v/>
      </c>
      <c r="CD410" t="str">
        <f>IF(Certifications!$A410='Employee Transcript'!$C$4,410,"")</f>
        <v/>
      </c>
      <c r="CE410" t="str">
        <f>IF(CD410="","",COUNTIF($CD$4:CD410,"&gt;0"))</f>
        <v/>
      </c>
    </row>
    <row r="411" spans="80:83">
      <c r="CB411" t="str">
        <f>IF(AND('Competency Event Log'!$B411='Employee Transcript'!$C$4,'Competency Event Log'!$I411&lt;&gt;"Yes"),'Competency Event Log'!$K411,"")</f>
        <v/>
      </c>
      <c r="CC411" t="str">
        <f t="shared" si="46"/>
        <v/>
      </c>
      <c r="CD411" t="str">
        <f>IF(Certifications!$A411='Employee Transcript'!$C$4,411,"")</f>
        <v/>
      </c>
      <c r="CE411" t="str">
        <f>IF(CD411="","",COUNTIF($CD$4:CD411,"&gt;0"))</f>
        <v/>
      </c>
    </row>
    <row r="412" spans="80:83">
      <c r="CB412" t="str">
        <f>IF(AND('Competency Event Log'!$B412='Employee Transcript'!$C$4,'Competency Event Log'!$I412&lt;&gt;"Yes"),'Competency Event Log'!$K412,"")</f>
        <v/>
      </c>
      <c r="CC412" t="str">
        <f t="shared" si="46"/>
        <v/>
      </c>
      <c r="CD412" t="str">
        <f>IF(Certifications!$A412='Employee Transcript'!$C$4,412,"")</f>
        <v/>
      </c>
      <c r="CE412" t="str">
        <f>IF(CD412="","",COUNTIF($CD$4:CD412,"&gt;0"))</f>
        <v/>
      </c>
    </row>
    <row r="413" spans="80:83">
      <c r="CB413" t="str">
        <f>IF(AND('Competency Event Log'!$B413='Employee Transcript'!$C$4,'Competency Event Log'!$I413&lt;&gt;"Yes"),'Competency Event Log'!$K413,"")</f>
        <v/>
      </c>
      <c r="CC413" t="str">
        <f t="shared" si="46"/>
        <v/>
      </c>
      <c r="CD413" t="str">
        <f>IF(Certifications!$A413='Employee Transcript'!$C$4,413,"")</f>
        <v/>
      </c>
      <c r="CE413" t="str">
        <f>IF(CD413="","",COUNTIF($CD$4:CD413,"&gt;0"))</f>
        <v/>
      </c>
    </row>
    <row r="414" spans="80:83">
      <c r="CB414" t="str">
        <f>IF(AND('Competency Event Log'!$B414='Employee Transcript'!$C$4,'Competency Event Log'!$I414&lt;&gt;"Yes"),'Competency Event Log'!$K414,"")</f>
        <v/>
      </c>
      <c r="CC414" t="str">
        <f t="shared" si="46"/>
        <v/>
      </c>
      <c r="CD414" t="str">
        <f>IF(Certifications!$A414='Employee Transcript'!$C$4,414,"")</f>
        <v/>
      </c>
      <c r="CE414" t="str">
        <f>IF(CD414="","",COUNTIF($CD$4:CD414,"&gt;0"))</f>
        <v/>
      </c>
    </row>
    <row r="415" spans="80:83">
      <c r="CB415" t="str">
        <f>IF(AND('Competency Event Log'!$B415='Employee Transcript'!$C$4,'Competency Event Log'!$I415&lt;&gt;"Yes"),'Competency Event Log'!$K415,"")</f>
        <v/>
      </c>
      <c r="CC415" t="str">
        <f t="shared" si="46"/>
        <v/>
      </c>
      <c r="CD415" t="str">
        <f>IF(Certifications!$A415='Employee Transcript'!$C$4,415,"")</f>
        <v/>
      </c>
      <c r="CE415" t="str">
        <f>IF(CD415="","",COUNTIF($CD$4:CD415,"&gt;0"))</f>
        <v/>
      </c>
    </row>
    <row r="416" spans="80:83">
      <c r="CB416" t="str">
        <f>IF(AND('Competency Event Log'!$B416='Employee Transcript'!$C$4,'Competency Event Log'!$I416&lt;&gt;"Yes"),'Competency Event Log'!$K416,"")</f>
        <v/>
      </c>
      <c r="CC416" t="str">
        <f t="shared" si="46"/>
        <v/>
      </c>
      <c r="CD416" t="str">
        <f>IF(Certifications!$A416='Employee Transcript'!$C$4,416,"")</f>
        <v/>
      </c>
      <c r="CE416" t="str">
        <f>IF(CD416="","",COUNTIF($CD$4:CD416,"&gt;0"))</f>
        <v/>
      </c>
    </row>
    <row r="417" spans="80:83">
      <c r="CB417" t="str">
        <f>IF(AND('Competency Event Log'!$B417='Employee Transcript'!$C$4,'Competency Event Log'!$I417&lt;&gt;"Yes"),'Competency Event Log'!$K417,"")</f>
        <v/>
      </c>
      <c r="CC417" t="str">
        <f t="shared" si="46"/>
        <v/>
      </c>
      <c r="CD417" t="str">
        <f>IF(Certifications!$A417='Employee Transcript'!$C$4,417,"")</f>
        <v/>
      </c>
      <c r="CE417" t="str">
        <f>IF(CD417="","",COUNTIF($CD$4:CD417,"&gt;0"))</f>
        <v/>
      </c>
    </row>
    <row r="418" spans="80:83">
      <c r="CB418" t="str">
        <f>IF(AND('Competency Event Log'!$B418='Employee Transcript'!$C$4,'Competency Event Log'!$I418&lt;&gt;"Yes"),'Competency Event Log'!$K418,"")</f>
        <v/>
      </c>
      <c r="CC418" t="str">
        <f t="shared" si="46"/>
        <v/>
      </c>
      <c r="CD418" t="str">
        <f>IF(Certifications!$A418='Employee Transcript'!$C$4,418,"")</f>
        <v/>
      </c>
      <c r="CE418" t="str">
        <f>IF(CD418="","",COUNTIF($CD$4:CD418,"&gt;0"))</f>
        <v/>
      </c>
    </row>
    <row r="419" spans="80:83">
      <c r="CB419" t="str">
        <f>IF(AND('Competency Event Log'!$B419='Employee Transcript'!$C$4,'Competency Event Log'!$I419&lt;&gt;"Yes"),'Competency Event Log'!$K419,"")</f>
        <v/>
      </c>
      <c r="CC419" t="str">
        <f t="shared" si="46"/>
        <v/>
      </c>
      <c r="CD419" t="str">
        <f>IF(Certifications!$A419='Employee Transcript'!$C$4,419,"")</f>
        <v/>
      </c>
      <c r="CE419" t="str">
        <f>IF(CD419="","",COUNTIF($CD$4:CD419,"&gt;0"))</f>
        <v/>
      </c>
    </row>
    <row r="420" spans="80:83">
      <c r="CB420" t="str">
        <f>IF(AND('Competency Event Log'!$B420='Employee Transcript'!$C$4,'Competency Event Log'!$I420&lt;&gt;"Yes"),'Competency Event Log'!$K420,"")</f>
        <v/>
      </c>
      <c r="CC420" t="str">
        <f t="shared" si="46"/>
        <v/>
      </c>
      <c r="CD420" t="str">
        <f>IF(Certifications!$A420='Employee Transcript'!$C$4,420,"")</f>
        <v/>
      </c>
      <c r="CE420" t="str">
        <f>IF(CD420="","",COUNTIF($CD$4:CD420,"&gt;0"))</f>
        <v/>
      </c>
    </row>
    <row r="421" spans="80:83">
      <c r="CB421" t="str">
        <f>IF(AND('Competency Event Log'!$B421='Employee Transcript'!$C$4,'Competency Event Log'!$I421&lt;&gt;"Yes"),'Competency Event Log'!$K421,"")</f>
        <v/>
      </c>
      <c r="CC421" t="str">
        <f t="shared" si="46"/>
        <v/>
      </c>
      <c r="CD421" t="str">
        <f>IF(Certifications!$A421='Employee Transcript'!$C$4,421,"")</f>
        <v/>
      </c>
      <c r="CE421" t="str">
        <f>IF(CD421="","",COUNTIF($CD$4:CD421,"&gt;0"))</f>
        <v/>
      </c>
    </row>
    <row r="422" spans="80:83">
      <c r="CB422" t="str">
        <f>IF(AND('Competency Event Log'!$B422='Employee Transcript'!$C$4,'Competency Event Log'!$I422&lt;&gt;"Yes"),'Competency Event Log'!$K422,"")</f>
        <v/>
      </c>
      <c r="CC422" t="str">
        <f t="shared" si="46"/>
        <v/>
      </c>
      <c r="CD422" t="str">
        <f>IF(Certifications!$A422='Employee Transcript'!$C$4,422,"")</f>
        <v/>
      </c>
      <c r="CE422" t="str">
        <f>IF(CD422="","",COUNTIF($CD$4:CD422,"&gt;0"))</f>
        <v/>
      </c>
    </row>
    <row r="423" spans="80:83">
      <c r="CB423" t="str">
        <f>IF(AND('Competency Event Log'!$B423='Employee Transcript'!$C$4,'Competency Event Log'!$I423&lt;&gt;"Yes"),'Competency Event Log'!$K423,"")</f>
        <v/>
      </c>
      <c r="CC423" t="str">
        <f t="shared" si="46"/>
        <v/>
      </c>
      <c r="CD423" t="str">
        <f>IF(Certifications!$A423='Employee Transcript'!$C$4,423,"")</f>
        <v/>
      </c>
      <c r="CE423" t="str">
        <f>IF(CD423="","",COUNTIF($CD$4:CD423,"&gt;0"))</f>
        <v/>
      </c>
    </row>
    <row r="424" spans="80:83">
      <c r="CB424" t="str">
        <f>IF(AND('Competency Event Log'!$B424='Employee Transcript'!$C$4,'Competency Event Log'!$I424&lt;&gt;"Yes"),'Competency Event Log'!$K424,"")</f>
        <v/>
      </c>
      <c r="CC424" t="str">
        <f t="shared" si="46"/>
        <v/>
      </c>
      <c r="CD424" t="str">
        <f>IF(Certifications!$A424='Employee Transcript'!$C$4,424,"")</f>
        <v/>
      </c>
      <c r="CE424" t="str">
        <f>IF(CD424="","",COUNTIF($CD$4:CD424,"&gt;0"))</f>
        <v/>
      </c>
    </row>
    <row r="425" spans="80:83">
      <c r="CB425" t="str">
        <f>IF(AND('Competency Event Log'!$B425='Employee Transcript'!$C$4,'Competency Event Log'!$I425&lt;&gt;"Yes"),'Competency Event Log'!$K425,"")</f>
        <v/>
      </c>
      <c r="CC425" t="str">
        <f t="shared" si="46"/>
        <v/>
      </c>
      <c r="CD425" t="str">
        <f>IF(Certifications!$A425='Employee Transcript'!$C$4,425,"")</f>
        <v/>
      </c>
      <c r="CE425" t="str">
        <f>IF(CD425="","",COUNTIF($CD$4:CD425,"&gt;0"))</f>
        <v/>
      </c>
    </row>
    <row r="426" spans="80:83">
      <c r="CB426" t="str">
        <f>IF(AND('Competency Event Log'!$B426='Employee Transcript'!$C$4,'Competency Event Log'!$I426&lt;&gt;"Yes"),'Competency Event Log'!$K426,"")</f>
        <v/>
      </c>
      <c r="CC426" t="str">
        <f t="shared" si="46"/>
        <v/>
      </c>
      <c r="CD426" t="str">
        <f>IF(Certifications!$A426='Employee Transcript'!$C$4,426,"")</f>
        <v/>
      </c>
      <c r="CE426" t="str">
        <f>IF(CD426="","",COUNTIF($CD$4:CD426,"&gt;0"))</f>
        <v/>
      </c>
    </row>
    <row r="427" spans="80:83">
      <c r="CB427" t="str">
        <f>IF(AND('Competency Event Log'!$B427='Employee Transcript'!$C$4,'Competency Event Log'!$I427&lt;&gt;"Yes"),'Competency Event Log'!$K427,"")</f>
        <v/>
      </c>
      <c r="CC427" t="str">
        <f t="shared" si="46"/>
        <v/>
      </c>
      <c r="CD427" t="str">
        <f>IF(Certifications!$A427='Employee Transcript'!$C$4,427,"")</f>
        <v/>
      </c>
      <c r="CE427" t="str">
        <f>IF(CD427="","",COUNTIF($CD$4:CD427,"&gt;0"))</f>
        <v/>
      </c>
    </row>
    <row r="428" spans="80:83">
      <c r="CB428" t="str">
        <f>IF(AND('Competency Event Log'!$B428='Employee Transcript'!$C$4,'Competency Event Log'!$I428&lt;&gt;"Yes"),'Competency Event Log'!$K428,"")</f>
        <v/>
      </c>
      <c r="CC428" t="str">
        <f t="shared" si="46"/>
        <v/>
      </c>
      <c r="CD428" t="str">
        <f>IF(Certifications!$A428='Employee Transcript'!$C$4,428,"")</f>
        <v/>
      </c>
      <c r="CE428" t="str">
        <f>IF(CD428="","",COUNTIF($CD$4:CD428,"&gt;0"))</f>
        <v/>
      </c>
    </row>
    <row r="429" spans="80:83">
      <c r="CB429" t="str">
        <f>IF(AND('Competency Event Log'!$B429='Employee Transcript'!$C$4,'Competency Event Log'!$I429&lt;&gt;"Yes"),'Competency Event Log'!$K429,"")</f>
        <v/>
      </c>
      <c r="CC429" t="str">
        <f t="shared" si="46"/>
        <v/>
      </c>
      <c r="CD429" t="str">
        <f>IF(Certifications!$A429='Employee Transcript'!$C$4,429,"")</f>
        <v/>
      </c>
      <c r="CE429" t="str">
        <f>IF(CD429="","",COUNTIF($CD$4:CD429,"&gt;0"))</f>
        <v/>
      </c>
    </row>
    <row r="430" spans="80:83">
      <c r="CB430" t="str">
        <f>IF(AND('Competency Event Log'!$B430='Employee Transcript'!$C$4,'Competency Event Log'!$I430&lt;&gt;"Yes"),'Competency Event Log'!$K430,"")</f>
        <v/>
      </c>
      <c r="CC430" t="str">
        <f t="shared" si="46"/>
        <v/>
      </c>
      <c r="CD430" t="str">
        <f>IF(Certifications!$A430='Employee Transcript'!$C$4,430,"")</f>
        <v/>
      </c>
      <c r="CE430" t="str">
        <f>IF(CD430="","",COUNTIF($CD$4:CD430,"&gt;0"))</f>
        <v/>
      </c>
    </row>
    <row r="431" spans="80:83">
      <c r="CB431" t="str">
        <f>IF(AND('Competency Event Log'!$B431='Employee Transcript'!$C$4,'Competency Event Log'!$I431&lt;&gt;"Yes"),'Competency Event Log'!$K431,"")</f>
        <v/>
      </c>
      <c r="CC431" t="str">
        <f t="shared" si="46"/>
        <v/>
      </c>
      <c r="CD431" t="str">
        <f>IF(Certifications!$A431='Employee Transcript'!$C$4,431,"")</f>
        <v/>
      </c>
      <c r="CE431" t="str">
        <f>IF(CD431="","",COUNTIF($CD$4:CD431,"&gt;0"))</f>
        <v/>
      </c>
    </row>
    <row r="432" spans="80:83">
      <c r="CB432" t="str">
        <f>IF(AND('Competency Event Log'!$B432='Employee Transcript'!$C$4,'Competency Event Log'!$I432&lt;&gt;"Yes"),'Competency Event Log'!$K432,"")</f>
        <v/>
      </c>
      <c r="CC432" t="str">
        <f t="shared" si="46"/>
        <v/>
      </c>
      <c r="CD432" t="str">
        <f>IF(Certifications!$A432='Employee Transcript'!$C$4,432,"")</f>
        <v/>
      </c>
      <c r="CE432" t="str">
        <f>IF(CD432="","",COUNTIF($CD$4:CD432,"&gt;0"))</f>
        <v/>
      </c>
    </row>
    <row r="433" spans="80:83">
      <c r="CB433" t="str">
        <f>IF(AND('Competency Event Log'!$B433='Employee Transcript'!$C$4,'Competency Event Log'!$I433&lt;&gt;"Yes"),'Competency Event Log'!$K433,"")</f>
        <v/>
      </c>
      <c r="CC433" t="str">
        <f t="shared" si="46"/>
        <v/>
      </c>
      <c r="CD433" t="str">
        <f>IF(Certifications!$A433='Employee Transcript'!$C$4,433,"")</f>
        <v/>
      </c>
      <c r="CE433" t="str">
        <f>IF(CD433="","",COUNTIF($CD$4:CD433,"&gt;0"))</f>
        <v/>
      </c>
    </row>
    <row r="434" spans="80:83">
      <c r="CB434" t="str">
        <f>IF(AND('Competency Event Log'!$B434='Employee Transcript'!$C$4,'Competency Event Log'!$I434&lt;&gt;"Yes"),'Competency Event Log'!$K434,"")</f>
        <v/>
      </c>
      <c r="CC434" t="str">
        <f t="shared" si="46"/>
        <v/>
      </c>
      <c r="CD434" t="str">
        <f>IF(Certifications!$A434='Employee Transcript'!$C$4,434,"")</f>
        <v/>
      </c>
      <c r="CE434" t="str">
        <f>IF(CD434="","",COUNTIF($CD$4:CD434,"&gt;0"))</f>
        <v/>
      </c>
    </row>
    <row r="435" spans="80:83">
      <c r="CB435" t="str">
        <f>IF(AND('Competency Event Log'!$B435='Employee Transcript'!$C$4,'Competency Event Log'!$I435&lt;&gt;"Yes"),'Competency Event Log'!$K435,"")</f>
        <v/>
      </c>
      <c r="CC435" t="str">
        <f t="shared" si="46"/>
        <v/>
      </c>
      <c r="CD435" t="str">
        <f>IF(Certifications!$A435='Employee Transcript'!$C$4,435,"")</f>
        <v/>
      </c>
      <c r="CE435" t="str">
        <f>IF(CD435="","",COUNTIF($CD$4:CD435,"&gt;0"))</f>
        <v/>
      </c>
    </row>
    <row r="436" spans="80:83">
      <c r="CB436" t="str">
        <f>IF(AND('Competency Event Log'!$B436='Employee Transcript'!$C$4,'Competency Event Log'!$I436&lt;&gt;"Yes"),'Competency Event Log'!$K436,"")</f>
        <v/>
      </c>
      <c r="CC436" t="str">
        <f t="shared" si="46"/>
        <v/>
      </c>
      <c r="CD436" t="str">
        <f>IF(Certifications!$A436='Employee Transcript'!$C$4,436,"")</f>
        <v/>
      </c>
      <c r="CE436" t="str">
        <f>IF(CD436="","",COUNTIF($CD$4:CD436,"&gt;0"))</f>
        <v/>
      </c>
    </row>
    <row r="437" spans="80:83">
      <c r="CB437" t="str">
        <f>IF(AND('Competency Event Log'!$B437='Employee Transcript'!$C$4,'Competency Event Log'!$I437&lt;&gt;"Yes"),'Competency Event Log'!$K437,"")</f>
        <v/>
      </c>
      <c r="CC437" t="str">
        <f t="shared" si="46"/>
        <v/>
      </c>
      <c r="CD437" t="str">
        <f>IF(Certifications!$A437='Employee Transcript'!$C$4,437,"")</f>
        <v/>
      </c>
      <c r="CE437" t="str">
        <f>IF(CD437="","",COUNTIF($CD$4:CD437,"&gt;0"))</f>
        <v/>
      </c>
    </row>
    <row r="438" spans="80:83">
      <c r="CB438" t="str">
        <f>IF(AND('Competency Event Log'!$B438='Employee Transcript'!$C$4,'Competency Event Log'!$I438&lt;&gt;"Yes"),'Competency Event Log'!$K438,"")</f>
        <v/>
      </c>
      <c r="CC438" t="str">
        <f t="shared" si="46"/>
        <v/>
      </c>
      <c r="CD438" t="str">
        <f>IF(Certifications!$A438='Employee Transcript'!$C$4,438,"")</f>
        <v/>
      </c>
      <c r="CE438" t="str">
        <f>IF(CD438="","",COUNTIF($CD$4:CD438,"&gt;0"))</f>
        <v/>
      </c>
    </row>
    <row r="439" spans="80:83">
      <c r="CB439" t="str">
        <f>IF(AND('Competency Event Log'!$B439='Employee Transcript'!$C$4,'Competency Event Log'!$I439&lt;&gt;"Yes"),'Competency Event Log'!$K439,"")</f>
        <v/>
      </c>
      <c r="CC439" t="str">
        <f t="shared" si="46"/>
        <v/>
      </c>
      <c r="CD439" t="str">
        <f>IF(Certifications!$A439='Employee Transcript'!$C$4,439,"")</f>
        <v/>
      </c>
      <c r="CE439" t="str">
        <f>IF(CD439="","",COUNTIF($CD$4:CD439,"&gt;0"))</f>
        <v/>
      </c>
    </row>
    <row r="440" spans="80:83">
      <c r="CB440" t="str">
        <f>IF(AND('Competency Event Log'!$B440='Employee Transcript'!$C$4,'Competency Event Log'!$I440&lt;&gt;"Yes"),'Competency Event Log'!$K440,"")</f>
        <v/>
      </c>
      <c r="CC440" t="str">
        <f t="shared" si="46"/>
        <v/>
      </c>
      <c r="CD440" t="str">
        <f>IF(Certifications!$A440='Employee Transcript'!$C$4,440,"")</f>
        <v/>
      </c>
      <c r="CE440" t="str">
        <f>IF(CD440="","",COUNTIF($CD$4:CD440,"&gt;0"))</f>
        <v/>
      </c>
    </row>
    <row r="441" spans="80:83">
      <c r="CB441" t="str">
        <f>IF(AND('Competency Event Log'!$B441='Employee Transcript'!$C$4,'Competency Event Log'!$I441&lt;&gt;"Yes"),'Competency Event Log'!$K441,"")</f>
        <v/>
      </c>
      <c r="CC441" t="str">
        <f t="shared" si="46"/>
        <v/>
      </c>
      <c r="CD441" t="str">
        <f>IF(Certifications!$A441='Employee Transcript'!$C$4,441,"")</f>
        <v/>
      </c>
      <c r="CE441" t="str">
        <f>IF(CD441="","",COUNTIF($CD$4:CD441,"&gt;0"))</f>
        <v/>
      </c>
    </row>
    <row r="442" spans="80:83">
      <c r="CB442" t="str">
        <f>IF(AND('Competency Event Log'!$B442='Employee Transcript'!$C$4,'Competency Event Log'!$I442&lt;&gt;"Yes"),'Competency Event Log'!$K442,"")</f>
        <v/>
      </c>
      <c r="CC442" t="str">
        <f t="shared" si="46"/>
        <v/>
      </c>
      <c r="CD442" t="str">
        <f>IF(Certifications!$A442='Employee Transcript'!$C$4,442,"")</f>
        <v/>
      </c>
      <c r="CE442" t="str">
        <f>IF(CD442="","",COUNTIF($CD$4:CD442,"&gt;0"))</f>
        <v/>
      </c>
    </row>
    <row r="443" spans="80:83">
      <c r="CB443" t="str">
        <f>IF(AND('Competency Event Log'!$B443='Employee Transcript'!$C$4,'Competency Event Log'!$I443&lt;&gt;"Yes"),'Competency Event Log'!$K443,"")</f>
        <v/>
      </c>
      <c r="CC443" t="str">
        <f t="shared" si="46"/>
        <v/>
      </c>
      <c r="CD443" t="str">
        <f>IF(Certifications!$A443='Employee Transcript'!$C$4,443,"")</f>
        <v/>
      </c>
      <c r="CE443" t="str">
        <f>IF(CD443="","",COUNTIF($CD$4:CD443,"&gt;0"))</f>
        <v/>
      </c>
    </row>
    <row r="444" spans="80:83">
      <c r="CB444" t="str">
        <f>IF(AND('Competency Event Log'!$B444='Employee Transcript'!$C$4,'Competency Event Log'!$I444&lt;&gt;"Yes"),'Competency Event Log'!$K444,"")</f>
        <v/>
      </c>
      <c r="CC444" t="str">
        <f t="shared" si="46"/>
        <v/>
      </c>
      <c r="CD444" t="str">
        <f>IF(Certifications!$A444='Employee Transcript'!$C$4,444,"")</f>
        <v/>
      </c>
      <c r="CE444" t="str">
        <f>IF(CD444="","",COUNTIF($CD$4:CD444,"&gt;0"))</f>
        <v/>
      </c>
    </row>
    <row r="445" spans="80:83">
      <c r="CB445" t="str">
        <f>IF(AND('Competency Event Log'!$B445='Employee Transcript'!$C$4,'Competency Event Log'!$I445&lt;&gt;"Yes"),'Competency Event Log'!$K445,"")</f>
        <v/>
      </c>
      <c r="CC445" t="str">
        <f t="shared" si="46"/>
        <v/>
      </c>
      <c r="CD445" t="str">
        <f>IF(Certifications!$A445='Employee Transcript'!$C$4,445,"")</f>
        <v/>
      </c>
      <c r="CE445" t="str">
        <f>IF(CD445="","",COUNTIF($CD$4:CD445,"&gt;0"))</f>
        <v/>
      </c>
    </row>
    <row r="446" spans="80:83">
      <c r="CB446" t="str">
        <f>IF(AND('Competency Event Log'!$B446='Employee Transcript'!$C$4,'Competency Event Log'!$I446&lt;&gt;"Yes"),'Competency Event Log'!$K446,"")</f>
        <v/>
      </c>
      <c r="CC446" t="str">
        <f t="shared" si="46"/>
        <v/>
      </c>
      <c r="CD446" t="str">
        <f>IF(Certifications!$A446='Employee Transcript'!$C$4,446,"")</f>
        <v/>
      </c>
      <c r="CE446" t="str">
        <f>IF(CD446="","",COUNTIF($CD$4:CD446,"&gt;0"))</f>
        <v/>
      </c>
    </row>
    <row r="447" spans="80:83">
      <c r="CB447" t="str">
        <f>IF(AND('Competency Event Log'!$B447='Employee Transcript'!$C$4,'Competency Event Log'!$I447&lt;&gt;"Yes"),'Competency Event Log'!$K447,"")</f>
        <v/>
      </c>
      <c r="CC447" t="str">
        <f t="shared" si="46"/>
        <v/>
      </c>
      <c r="CD447" t="str">
        <f>IF(Certifications!$A447='Employee Transcript'!$C$4,447,"")</f>
        <v/>
      </c>
      <c r="CE447" t="str">
        <f>IF(CD447="","",COUNTIF($CD$4:CD447,"&gt;0"))</f>
        <v/>
      </c>
    </row>
    <row r="448" spans="80:83">
      <c r="CB448" t="str">
        <f>IF(AND('Competency Event Log'!$B448='Employee Transcript'!$C$4,'Competency Event Log'!$I448&lt;&gt;"Yes"),'Competency Event Log'!$K448,"")</f>
        <v/>
      </c>
      <c r="CC448" t="str">
        <f t="shared" si="46"/>
        <v/>
      </c>
      <c r="CD448" t="str">
        <f>IF(Certifications!$A448='Employee Transcript'!$C$4,448,"")</f>
        <v/>
      </c>
      <c r="CE448" t="str">
        <f>IF(CD448="","",COUNTIF($CD$4:CD448,"&gt;0"))</f>
        <v/>
      </c>
    </row>
    <row r="449" spans="80:83">
      <c r="CB449" t="str">
        <f>IF(AND('Competency Event Log'!$B449='Employee Transcript'!$C$4,'Competency Event Log'!$I449&lt;&gt;"Yes"),'Competency Event Log'!$K449,"")</f>
        <v/>
      </c>
      <c r="CC449" t="str">
        <f t="shared" si="46"/>
        <v/>
      </c>
      <c r="CD449" t="str">
        <f>IF(Certifications!$A449='Employee Transcript'!$C$4,449,"")</f>
        <v/>
      </c>
      <c r="CE449" t="str">
        <f>IF(CD449="","",COUNTIF($CD$4:CD449,"&gt;0"))</f>
        <v/>
      </c>
    </row>
    <row r="450" spans="80:83">
      <c r="CB450" t="str">
        <f>IF(AND('Competency Event Log'!$B450='Employee Transcript'!$C$4,'Competency Event Log'!$I450&lt;&gt;"Yes"),'Competency Event Log'!$K450,"")</f>
        <v/>
      </c>
      <c r="CC450" t="str">
        <f t="shared" si="46"/>
        <v/>
      </c>
      <c r="CD450" t="str">
        <f>IF(Certifications!$A450='Employee Transcript'!$C$4,450,"")</f>
        <v/>
      </c>
      <c r="CE450" t="str">
        <f>IF(CD450="","",COUNTIF($CD$4:CD450,"&gt;0"))</f>
        <v/>
      </c>
    </row>
    <row r="451" spans="80:83">
      <c r="CB451" t="str">
        <f>IF(AND('Competency Event Log'!$B451='Employee Transcript'!$C$4,'Competency Event Log'!$I451&lt;&gt;"Yes"),'Competency Event Log'!$K451,"")</f>
        <v/>
      </c>
      <c r="CC451" t="str">
        <f t="shared" si="46"/>
        <v/>
      </c>
      <c r="CD451" t="str">
        <f>IF(Certifications!$A451='Employee Transcript'!$C$4,451,"")</f>
        <v/>
      </c>
      <c r="CE451" t="str">
        <f>IF(CD451="","",COUNTIF($CD$4:CD451,"&gt;0"))</f>
        <v/>
      </c>
    </row>
    <row r="452" spans="80:83">
      <c r="CB452" t="str">
        <f>IF(AND('Competency Event Log'!$B452='Employee Transcript'!$C$4,'Competency Event Log'!$I452&lt;&gt;"Yes"),'Competency Event Log'!$K452,"")</f>
        <v/>
      </c>
      <c r="CC452" t="str">
        <f t="shared" ref="CC452:CC515" si="47">IF(CB452="","",COUNTIF($CB$4:$CB$803,"&gt;"&amp;CB452)+1)</f>
        <v/>
      </c>
      <c r="CD452" t="str">
        <f>IF(Certifications!$A452='Employee Transcript'!$C$4,452,"")</f>
        <v/>
      </c>
      <c r="CE452" t="str">
        <f>IF(CD452="","",COUNTIF($CD$4:CD452,"&gt;0"))</f>
        <v/>
      </c>
    </row>
    <row r="453" spans="80:83">
      <c r="CB453" t="str">
        <f>IF(AND('Competency Event Log'!$B453='Employee Transcript'!$C$4,'Competency Event Log'!$I453&lt;&gt;"Yes"),'Competency Event Log'!$K453,"")</f>
        <v/>
      </c>
      <c r="CC453" t="str">
        <f t="shared" si="47"/>
        <v/>
      </c>
      <c r="CD453" t="str">
        <f>IF(Certifications!$A453='Employee Transcript'!$C$4,453,"")</f>
        <v/>
      </c>
      <c r="CE453" t="str">
        <f>IF(CD453="","",COUNTIF($CD$4:CD453,"&gt;0"))</f>
        <v/>
      </c>
    </row>
    <row r="454" spans="80:83">
      <c r="CB454" t="str">
        <f>IF(AND('Competency Event Log'!$B454='Employee Transcript'!$C$4,'Competency Event Log'!$I454&lt;&gt;"Yes"),'Competency Event Log'!$K454,"")</f>
        <v/>
      </c>
      <c r="CC454" t="str">
        <f t="shared" si="47"/>
        <v/>
      </c>
      <c r="CD454" t="str">
        <f>IF(Certifications!$A454='Employee Transcript'!$C$4,454,"")</f>
        <v/>
      </c>
      <c r="CE454" t="str">
        <f>IF(CD454="","",COUNTIF($CD$4:CD454,"&gt;0"))</f>
        <v/>
      </c>
    </row>
    <row r="455" spans="80:83">
      <c r="CB455" t="str">
        <f>IF(AND('Competency Event Log'!$B455='Employee Transcript'!$C$4,'Competency Event Log'!$I455&lt;&gt;"Yes"),'Competency Event Log'!$K455,"")</f>
        <v/>
      </c>
      <c r="CC455" t="str">
        <f t="shared" si="47"/>
        <v/>
      </c>
      <c r="CD455" t="str">
        <f>IF(Certifications!$A455='Employee Transcript'!$C$4,455,"")</f>
        <v/>
      </c>
      <c r="CE455" t="str">
        <f>IF(CD455="","",COUNTIF($CD$4:CD455,"&gt;0"))</f>
        <v/>
      </c>
    </row>
    <row r="456" spans="80:83">
      <c r="CB456" t="str">
        <f>IF(AND('Competency Event Log'!$B456='Employee Transcript'!$C$4,'Competency Event Log'!$I456&lt;&gt;"Yes"),'Competency Event Log'!$K456,"")</f>
        <v/>
      </c>
      <c r="CC456" t="str">
        <f t="shared" si="47"/>
        <v/>
      </c>
      <c r="CD456" t="str">
        <f>IF(Certifications!$A456='Employee Transcript'!$C$4,456,"")</f>
        <v/>
      </c>
      <c r="CE456" t="str">
        <f>IF(CD456="","",COUNTIF($CD$4:CD456,"&gt;0"))</f>
        <v/>
      </c>
    </row>
    <row r="457" spans="80:83">
      <c r="CB457" t="str">
        <f>IF(AND('Competency Event Log'!$B457='Employee Transcript'!$C$4,'Competency Event Log'!$I457&lt;&gt;"Yes"),'Competency Event Log'!$K457,"")</f>
        <v/>
      </c>
      <c r="CC457" t="str">
        <f t="shared" si="47"/>
        <v/>
      </c>
      <c r="CD457" t="str">
        <f>IF(Certifications!$A457='Employee Transcript'!$C$4,457,"")</f>
        <v/>
      </c>
      <c r="CE457" t="str">
        <f>IF(CD457="","",COUNTIF($CD$4:CD457,"&gt;0"))</f>
        <v/>
      </c>
    </row>
    <row r="458" spans="80:83">
      <c r="CB458" t="str">
        <f>IF(AND('Competency Event Log'!$B458='Employee Transcript'!$C$4,'Competency Event Log'!$I458&lt;&gt;"Yes"),'Competency Event Log'!$K458,"")</f>
        <v/>
      </c>
      <c r="CC458" t="str">
        <f t="shared" si="47"/>
        <v/>
      </c>
      <c r="CD458" t="str">
        <f>IF(Certifications!$A458='Employee Transcript'!$C$4,458,"")</f>
        <v/>
      </c>
      <c r="CE458" t="str">
        <f>IF(CD458="","",COUNTIF($CD$4:CD458,"&gt;0"))</f>
        <v/>
      </c>
    </row>
    <row r="459" spans="80:83">
      <c r="CB459" t="str">
        <f>IF(AND('Competency Event Log'!$B459='Employee Transcript'!$C$4,'Competency Event Log'!$I459&lt;&gt;"Yes"),'Competency Event Log'!$K459,"")</f>
        <v/>
      </c>
      <c r="CC459" t="str">
        <f t="shared" si="47"/>
        <v/>
      </c>
      <c r="CD459" t="str">
        <f>IF(Certifications!$A459='Employee Transcript'!$C$4,459,"")</f>
        <v/>
      </c>
      <c r="CE459" t="str">
        <f>IF(CD459="","",COUNTIF($CD$4:CD459,"&gt;0"))</f>
        <v/>
      </c>
    </row>
    <row r="460" spans="80:83">
      <c r="CB460" t="str">
        <f>IF(AND('Competency Event Log'!$B460='Employee Transcript'!$C$4,'Competency Event Log'!$I460&lt;&gt;"Yes"),'Competency Event Log'!$K460,"")</f>
        <v/>
      </c>
      <c r="CC460" t="str">
        <f t="shared" si="47"/>
        <v/>
      </c>
      <c r="CD460" t="str">
        <f>IF(Certifications!$A460='Employee Transcript'!$C$4,460,"")</f>
        <v/>
      </c>
      <c r="CE460" t="str">
        <f>IF(CD460="","",COUNTIF($CD$4:CD460,"&gt;0"))</f>
        <v/>
      </c>
    </row>
    <row r="461" spans="80:83">
      <c r="CB461" t="str">
        <f>IF(AND('Competency Event Log'!$B461='Employee Transcript'!$C$4,'Competency Event Log'!$I461&lt;&gt;"Yes"),'Competency Event Log'!$K461,"")</f>
        <v/>
      </c>
      <c r="CC461" t="str">
        <f t="shared" si="47"/>
        <v/>
      </c>
      <c r="CD461" t="str">
        <f>IF(Certifications!$A461='Employee Transcript'!$C$4,461,"")</f>
        <v/>
      </c>
      <c r="CE461" t="str">
        <f>IF(CD461="","",COUNTIF($CD$4:CD461,"&gt;0"))</f>
        <v/>
      </c>
    </row>
    <row r="462" spans="80:83">
      <c r="CB462" t="str">
        <f>IF(AND('Competency Event Log'!$B462='Employee Transcript'!$C$4,'Competency Event Log'!$I462&lt;&gt;"Yes"),'Competency Event Log'!$K462,"")</f>
        <v/>
      </c>
      <c r="CC462" t="str">
        <f t="shared" si="47"/>
        <v/>
      </c>
      <c r="CD462" t="str">
        <f>IF(Certifications!$A462='Employee Transcript'!$C$4,462,"")</f>
        <v/>
      </c>
      <c r="CE462" t="str">
        <f>IF(CD462="","",COUNTIF($CD$4:CD462,"&gt;0"))</f>
        <v/>
      </c>
    </row>
    <row r="463" spans="80:83">
      <c r="CB463" t="str">
        <f>IF(AND('Competency Event Log'!$B463='Employee Transcript'!$C$4,'Competency Event Log'!$I463&lt;&gt;"Yes"),'Competency Event Log'!$K463,"")</f>
        <v/>
      </c>
      <c r="CC463" t="str">
        <f t="shared" si="47"/>
        <v/>
      </c>
      <c r="CD463" t="str">
        <f>IF(Certifications!$A463='Employee Transcript'!$C$4,463,"")</f>
        <v/>
      </c>
      <c r="CE463" t="str">
        <f>IF(CD463="","",COUNTIF($CD$4:CD463,"&gt;0"))</f>
        <v/>
      </c>
    </row>
    <row r="464" spans="80:83">
      <c r="CB464" t="str">
        <f>IF(AND('Competency Event Log'!$B464='Employee Transcript'!$C$4,'Competency Event Log'!$I464&lt;&gt;"Yes"),'Competency Event Log'!$K464,"")</f>
        <v/>
      </c>
      <c r="CC464" t="str">
        <f t="shared" si="47"/>
        <v/>
      </c>
      <c r="CD464" t="str">
        <f>IF(Certifications!$A464='Employee Transcript'!$C$4,464,"")</f>
        <v/>
      </c>
      <c r="CE464" t="str">
        <f>IF(CD464="","",COUNTIF($CD$4:CD464,"&gt;0"))</f>
        <v/>
      </c>
    </row>
    <row r="465" spans="80:83">
      <c r="CB465" t="str">
        <f>IF(AND('Competency Event Log'!$B465='Employee Transcript'!$C$4,'Competency Event Log'!$I465&lt;&gt;"Yes"),'Competency Event Log'!$K465,"")</f>
        <v/>
      </c>
      <c r="CC465" t="str">
        <f t="shared" si="47"/>
        <v/>
      </c>
      <c r="CD465" t="str">
        <f>IF(Certifications!$A465='Employee Transcript'!$C$4,465,"")</f>
        <v/>
      </c>
      <c r="CE465" t="str">
        <f>IF(CD465="","",COUNTIF($CD$4:CD465,"&gt;0"))</f>
        <v/>
      </c>
    </row>
    <row r="466" spans="80:83">
      <c r="CB466" t="str">
        <f>IF(AND('Competency Event Log'!$B466='Employee Transcript'!$C$4,'Competency Event Log'!$I466&lt;&gt;"Yes"),'Competency Event Log'!$K466,"")</f>
        <v/>
      </c>
      <c r="CC466" t="str">
        <f t="shared" si="47"/>
        <v/>
      </c>
      <c r="CD466" t="str">
        <f>IF(Certifications!$A466='Employee Transcript'!$C$4,466,"")</f>
        <v/>
      </c>
      <c r="CE466" t="str">
        <f>IF(CD466="","",COUNTIF($CD$4:CD466,"&gt;0"))</f>
        <v/>
      </c>
    </row>
    <row r="467" spans="80:83">
      <c r="CB467" t="str">
        <f>IF(AND('Competency Event Log'!$B467='Employee Transcript'!$C$4,'Competency Event Log'!$I467&lt;&gt;"Yes"),'Competency Event Log'!$K467,"")</f>
        <v/>
      </c>
      <c r="CC467" t="str">
        <f t="shared" si="47"/>
        <v/>
      </c>
      <c r="CD467" t="str">
        <f>IF(Certifications!$A467='Employee Transcript'!$C$4,467,"")</f>
        <v/>
      </c>
      <c r="CE467" t="str">
        <f>IF(CD467="","",COUNTIF($CD$4:CD467,"&gt;0"))</f>
        <v/>
      </c>
    </row>
    <row r="468" spans="80:83">
      <c r="CB468" t="str">
        <f>IF(AND('Competency Event Log'!$B468='Employee Transcript'!$C$4,'Competency Event Log'!$I468&lt;&gt;"Yes"),'Competency Event Log'!$K468,"")</f>
        <v/>
      </c>
      <c r="CC468" t="str">
        <f t="shared" si="47"/>
        <v/>
      </c>
      <c r="CD468" t="str">
        <f>IF(Certifications!$A468='Employee Transcript'!$C$4,468,"")</f>
        <v/>
      </c>
      <c r="CE468" t="str">
        <f>IF(CD468="","",COUNTIF($CD$4:CD468,"&gt;0"))</f>
        <v/>
      </c>
    </row>
    <row r="469" spans="80:83">
      <c r="CB469" t="str">
        <f>IF(AND('Competency Event Log'!$B469='Employee Transcript'!$C$4,'Competency Event Log'!$I469&lt;&gt;"Yes"),'Competency Event Log'!$K469,"")</f>
        <v/>
      </c>
      <c r="CC469" t="str">
        <f t="shared" si="47"/>
        <v/>
      </c>
      <c r="CD469" t="str">
        <f>IF(Certifications!$A469='Employee Transcript'!$C$4,469,"")</f>
        <v/>
      </c>
      <c r="CE469" t="str">
        <f>IF(CD469="","",COUNTIF($CD$4:CD469,"&gt;0"))</f>
        <v/>
      </c>
    </row>
    <row r="470" spans="80:83">
      <c r="CB470" t="str">
        <f>IF(AND('Competency Event Log'!$B470='Employee Transcript'!$C$4,'Competency Event Log'!$I470&lt;&gt;"Yes"),'Competency Event Log'!$K470,"")</f>
        <v/>
      </c>
      <c r="CC470" t="str">
        <f t="shared" si="47"/>
        <v/>
      </c>
      <c r="CD470" t="str">
        <f>IF(Certifications!$A470='Employee Transcript'!$C$4,470,"")</f>
        <v/>
      </c>
      <c r="CE470" t="str">
        <f>IF(CD470="","",COUNTIF($CD$4:CD470,"&gt;0"))</f>
        <v/>
      </c>
    </row>
    <row r="471" spans="80:83">
      <c r="CB471" t="str">
        <f>IF(AND('Competency Event Log'!$B471='Employee Transcript'!$C$4,'Competency Event Log'!$I471&lt;&gt;"Yes"),'Competency Event Log'!$K471,"")</f>
        <v/>
      </c>
      <c r="CC471" t="str">
        <f t="shared" si="47"/>
        <v/>
      </c>
      <c r="CD471" t="str">
        <f>IF(Certifications!$A471='Employee Transcript'!$C$4,471,"")</f>
        <v/>
      </c>
      <c r="CE471" t="str">
        <f>IF(CD471="","",COUNTIF($CD$4:CD471,"&gt;0"))</f>
        <v/>
      </c>
    </row>
    <row r="472" spans="80:83">
      <c r="CB472" t="str">
        <f>IF(AND('Competency Event Log'!$B472='Employee Transcript'!$C$4,'Competency Event Log'!$I472&lt;&gt;"Yes"),'Competency Event Log'!$K472,"")</f>
        <v/>
      </c>
      <c r="CC472" t="str">
        <f t="shared" si="47"/>
        <v/>
      </c>
      <c r="CD472" t="str">
        <f>IF(Certifications!$A472='Employee Transcript'!$C$4,472,"")</f>
        <v/>
      </c>
      <c r="CE472" t="str">
        <f>IF(CD472="","",COUNTIF($CD$4:CD472,"&gt;0"))</f>
        <v/>
      </c>
    </row>
    <row r="473" spans="80:83">
      <c r="CB473" t="str">
        <f>IF(AND('Competency Event Log'!$B473='Employee Transcript'!$C$4,'Competency Event Log'!$I473&lt;&gt;"Yes"),'Competency Event Log'!$K473,"")</f>
        <v/>
      </c>
      <c r="CC473" t="str">
        <f t="shared" si="47"/>
        <v/>
      </c>
      <c r="CD473" t="str">
        <f>IF(Certifications!$A473='Employee Transcript'!$C$4,473,"")</f>
        <v/>
      </c>
      <c r="CE473" t="str">
        <f>IF(CD473="","",COUNTIF($CD$4:CD473,"&gt;0"))</f>
        <v/>
      </c>
    </row>
    <row r="474" spans="80:83">
      <c r="CB474" t="str">
        <f>IF(AND('Competency Event Log'!$B474='Employee Transcript'!$C$4,'Competency Event Log'!$I474&lt;&gt;"Yes"),'Competency Event Log'!$K474,"")</f>
        <v/>
      </c>
      <c r="CC474" t="str">
        <f t="shared" si="47"/>
        <v/>
      </c>
      <c r="CD474" t="str">
        <f>IF(Certifications!$A474='Employee Transcript'!$C$4,474,"")</f>
        <v/>
      </c>
      <c r="CE474" t="str">
        <f>IF(CD474="","",COUNTIF($CD$4:CD474,"&gt;0"))</f>
        <v/>
      </c>
    </row>
    <row r="475" spans="80:83">
      <c r="CB475" t="str">
        <f>IF(AND('Competency Event Log'!$B475='Employee Transcript'!$C$4,'Competency Event Log'!$I475&lt;&gt;"Yes"),'Competency Event Log'!$K475,"")</f>
        <v/>
      </c>
      <c r="CC475" t="str">
        <f t="shared" si="47"/>
        <v/>
      </c>
      <c r="CD475" t="str">
        <f>IF(Certifications!$A475='Employee Transcript'!$C$4,475,"")</f>
        <v/>
      </c>
      <c r="CE475" t="str">
        <f>IF(CD475="","",COUNTIF($CD$4:CD475,"&gt;0"))</f>
        <v/>
      </c>
    </row>
    <row r="476" spans="80:83">
      <c r="CB476" t="str">
        <f>IF(AND('Competency Event Log'!$B476='Employee Transcript'!$C$4,'Competency Event Log'!$I476&lt;&gt;"Yes"),'Competency Event Log'!$K476,"")</f>
        <v/>
      </c>
      <c r="CC476" t="str">
        <f t="shared" si="47"/>
        <v/>
      </c>
      <c r="CD476" t="str">
        <f>IF(Certifications!$A476='Employee Transcript'!$C$4,476,"")</f>
        <v/>
      </c>
      <c r="CE476" t="str">
        <f>IF(CD476="","",COUNTIF($CD$4:CD476,"&gt;0"))</f>
        <v/>
      </c>
    </row>
    <row r="477" spans="80:83">
      <c r="CB477" t="str">
        <f>IF(AND('Competency Event Log'!$B477='Employee Transcript'!$C$4,'Competency Event Log'!$I477&lt;&gt;"Yes"),'Competency Event Log'!$K477,"")</f>
        <v/>
      </c>
      <c r="CC477" t="str">
        <f t="shared" si="47"/>
        <v/>
      </c>
      <c r="CD477" t="str">
        <f>IF(Certifications!$A477='Employee Transcript'!$C$4,477,"")</f>
        <v/>
      </c>
      <c r="CE477" t="str">
        <f>IF(CD477="","",COUNTIF($CD$4:CD477,"&gt;0"))</f>
        <v/>
      </c>
    </row>
    <row r="478" spans="80:83">
      <c r="CB478" t="str">
        <f>IF(AND('Competency Event Log'!$B478='Employee Transcript'!$C$4,'Competency Event Log'!$I478&lt;&gt;"Yes"),'Competency Event Log'!$K478,"")</f>
        <v/>
      </c>
      <c r="CC478" t="str">
        <f t="shared" si="47"/>
        <v/>
      </c>
      <c r="CD478" t="str">
        <f>IF(Certifications!$A478='Employee Transcript'!$C$4,478,"")</f>
        <v/>
      </c>
      <c r="CE478" t="str">
        <f>IF(CD478="","",COUNTIF($CD$4:CD478,"&gt;0"))</f>
        <v/>
      </c>
    </row>
    <row r="479" spans="80:83">
      <c r="CB479" t="str">
        <f>IF(AND('Competency Event Log'!$B479='Employee Transcript'!$C$4,'Competency Event Log'!$I479&lt;&gt;"Yes"),'Competency Event Log'!$K479,"")</f>
        <v/>
      </c>
      <c r="CC479" t="str">
        <f t="shared" si="47"/>
        <v/>
      </c>
      <c r="CD479" t="str">
        <f>IF(Certifications!$A479='Employee Transcript'!$C$4,479,"")</f>
        <v/>
      </c>
      <c r="CE479" t="str">
        <f>IF(CD479="","",COUNTIF($CD$4:CD479,"&gt;0"))</f>
        <v/>
      </c>
    </row>
    <row r="480" spans="80:83">
      <c r="CB480" t="str">
        <f>IF(AND('Competency Event Log'!$B480='Employee Transcript'!$C$4,'Competency Event Log'!$I480&lt;&gt;"Yes"),'Competency Event Log'!$K480,"")</f>
        <v/>
      </c>
      <c r="CC480" t="str">
        <f t="shared" si="47"/>
        <v/>
      </c>
      <c r="CD480" t="str">
        <f>IF(Certifications!$A480='Employee Transcript'!$C$4,480,"")</f>
        <v/>
      </c>
      <c r="CE480" t="str">
        <f>IF(CD480="","",COUNTIF($CD$4:CD480,"&gt;0"))</f>
        <v/>
      </c>
    </row>
    <row r="481" spans="80:83">
      <c r="CB481" t="str">
        <f>IF(AND('Competency Event Log'!$B481='Employee Transcript'!$C$4,'Competency Event Log'!$I481&lt;&gt;"Yes"),'Competency Event Log'!$K481,"")</f>
        <v/>
      </c>
      <c r="CC481" t="str">
        <f t="shared" si="47"/>
        <v/>
      </c>
      <c r="CD481" t="str">
        <f>IF(Certifications!$A481='Employee Transcript'!$C$4,481,"")</f>
        <v/>
      </c>
      <c r="CE481" t="str">
        <f>IF(CD481="","",COUNTIF($CD$4:CD481,"&gt;0"))</f>
        <v/>
      </c>
    </row>
    <row r="482" spans="80:83">
      <c r="CB482" t="str">
        <f>IF(AND('Competency Event Log'!$B482='Employee Transcript'!$C$4,'Competency Event Log'!$I482&lt;&gt;"Yes"),'Competency Event Log'!$K482,"")</f>
        <v/>
      </c>
      <c r="CC482" t="str">
        <f t="shared" si="47"/>
        <v/>
      </c>
      <c r="CD482" t="str">
        <f>IF(Certifications!$A482='Employee Transcript'!$C$4,482,"")</f>
        <v/>
      </c>
      <c r="CE482" t="str">
        <f>IF(CD482="","",COUNTIF($CD$4:CD482,"&gt;0"))</f>
        <v/>
      </c>
    </row>
    <row r="483" spans="80:83">
      <c r="CB483" t="str">
        <f>IF(AND('Competency Event Log'!$B483='Employee Transcript'!$C$4,'Competency Event Log'!$I483&lt;&gt;"Yes"),'Competency Event Log'!$K483,"")</f>
        <v/>
      </c>
      <c r="CC483" t="str">
        <f t="shared" si="47"/>
        <v/>
      </c>
      <c r="CD483" t="str">
        <f>IF(Certifications!$A483='Employee Transcript'!$C$4,483,"")</f>
        <v/>
      </c>
      <c r="CE483" t="str">
        <f>IF(CD483="","",COUNTIF($CD$4:CD483,"&gt;0"))</f>
        <v/>
      </c>
    </row>
    <row r="484" spans="80:83">
      <c r="CB484" t="str">
        <f>IF(AND('Competency Event Log'!$B484='Employee Transcript'!$C$4,'Competency Event Log'!$I484&lt;&gt;"Yes"),'Competency Event Log'!$K484,"")</f>
        <v/>
      </c>
      <c r="CC484" t="str">
        <f t="shared" si="47"/>
        <v/>
      </c>
      <c r="CD484" t="str">
        <f>IF(Certifications!$A484='Employee Transcript'!$C$4,484,"")</f>
        <v/>
      </c>
      <c r="CE484" t="str">
        <f>IF(CD484="","",COUNTIF($CD$4:CD484,"&gt;0"))</f>
        <v/>
      </c>
    </row>
    <row r="485" spans="80:83">
      <c r="CB485" t="str">
        <f>IF(AND('Competency Event Log'!$B485='Employee Transcript'!$C$4,'Competency Event Log'!$I485&lt;&gt;"Yes"),'Competency Event Log'!$K485,"")</f>
        <v/>
      </c>
      <c r="CC485" t="str">
        <f t="shared" si="47"/>
        <v/>
      </c>
      <c r="CD485" t="str">
        <f>IF(Certifications!$A485='Employee Transcript'!$C$4,485,"")</f>
        <v/>
      </c>
      <c r="CE485" t="str">
        <f>IF(CD485="","",COUNTIF($CD$4:CD485,"&gt;0"))</f>
        <v/>
      </c>
    </row>
    <row r="486" spans="80:83">
      <c r="CB486" t="str">
        <f>IF(AND('Competency Event Log'!$B486='Employee Transcript'!$C$4,'Competency Event Log'!$I486&lt;&gt;"Yes"),'Competency Event Log'!$K486,"")</f>
        <v/>
      </c>
      <c r="CC486" t="str">
        <f t="shared" si="47"/>
        <v/>
      </c>
      <c r="CD486" t="str">
        <f>IF(Certifications!$A486='Employee Transcript'!$C$4,486,"")</f>
        <v/>
      </c>
      <c r="CE486" t="str">
        <f>IF(CD486="","",COUNTIF($CD$4:CD486,"&gt;0"))</f>
        <v/>
      </c>
    </row>
    <row r="487" spans="80:83">
      <c r="CB487" t="str">
        <f>IF(AND('Competency Event Log'!$B487='Employee Transcript'!$C$4,'Competency Event Log'!$I487&lt;&gt;"Yes"),'Competency Event Log'!$K487,"")</f>
        <v/>
      </c>
      <c r="CC487" t="str">
        <f t="shared" si="47"/>
        <v/>
      </c>
      <c r="CD487" t="str">
        <f>IF(Certifications!$A487='Employee Transcript'!$C$4,487,"")</f>
        <v/>
      </c>
      <c r="CE487" t="str">
        <f>IF(CD487="","",COUNTIF($CD$4:CD487,"&gt;0"))</f>
        <v/>
      </c>
    </row>
    <row r="488" spans="80:83">
      <c r="CB488" t="str">
        <f>IF(AND('Competency Event Log'!$B488='Employee Transcript'!$C$4,'Competency Event Log'!$I488&lt;&gt;"Yes"),'Competency Event Log'!$K488,"")</f>
        <v/>
      </c>
      <c r="CC488" t="str">
        <f t="shared" si="47"/>
        <v/>
      </c>
      <c r="CD488" t="str">
        <f>IF(Certifications!$A488='Employee Transcript'!$C$4,488,"")</f>
        <v/>
      </c>
      <c r="CE488" t="str">
        <f>IF(CD488="","",COUNTIF($CD$4:CD488,"&gt;0"))</f>
        <v/>
      </c>
    </row>
    <row r="489" spans="80:83">
      <c r="CB489" t="str">
        <f>IF(AND('Competency Event Log'!$B489='Employee Transcript'!$C$4,'Competency Event Log'!$I489&lt;&gt;"Yes"),'Competency Event Log'!$K489,"")</f>
        <v/>
      </c>
      <c r="CC489" t="str">
        <f t="shared" si="47"/>
        <v/>
      </c>
      <c r="CD489" t="str">
        <f>IF(Certifications!$A489='Employee Transcript'!$C$4,489,"")</f>
        <v/>
      </c>
      <c r="CE489" t="str">
        <f>IF(CD489="","",COUNTIF($CD$4:CD489,"&gt;0"))</f>
        <v/>
      </c>
    </row>
    <row r="490" spans="80:83">
      <c r="CB490" t="str">
        <f>IF(AND('Competency Event Log'!$B490='Employee Transcript'!$C$4,'Competency Event Log'!$I490&lt;&gt;"Yes"),'Competency Event Log'!$K490,"")</f>
        <v/>
      </c>
      <c r="CC490" t="str">
        <f t="shared" si="47"/>
        <v/>
      </c>
      <c r="CD490" t="str">
        <f>IF(Certifications!$A490='Employee Transcript'!$C$4,490,"")</f>
        <v/>
      </c>
      <c r="CE490" t="str">
        <f>IF(CD490="","",COUNTIF($CD$4:CD490,"&gt;0"))</f>
        <v/>
      </c>
    </row>
    <row r="491" spans="80:83">
      <c r="CB491" t="str">
        <f>IF(AND('Competency Event Log'!$B491='Employee Transcript'!$C$4,'Competency Event Log'!$I491&lt;&gt;"Yes"),'Competency Event Log'!$K491,"")</f>
        <v/>
      </c>
      <c r="CC491" t="str">
        <f t="shared" si="47"/>
        <v/>
      </c>
      <c r="CD491" t="str">
        <f>IF(Certifications!$A491='Employee Transcript'!$C$4,491,"")</f>
        <v/>
      </c>
      <c r="CE491" t="str">
        <f>IF(CD491="","",COUNTIF($CD$4:CD491,"&gt;0"))</f>
        <v/>
      </c>
    </row>
    <row r="492" spans="80:83">
      <c r="CB492" t="str">
        <f>IF(AND('Competency Event Log'!$B492='Employee Transcript'!$C$4,'Competency Event Log'!$I492&lt;&gt;"Yes"),'Competency Event Log'!$K492,"")</f>
        <v/>
      </c>
      <c r="CC492" t="str">
        <f t="shared" si="47"/>
        <v/>
      </c>
      <c r="CD492" t="str">
        <f>IF(Certifications!$A492='Employee Transcript'!$C$4,492,"")</f>
        <v/>
      </c>
      <c r="CE492" t="str">
        <f>IF(CD492="","",COUNTIF($CD$4:CD492,"&gt;0"))</f>
        <v/>
      </c>
    </row>
    <row r="493" spans="80:83">
      <c r="CB493" t="str">
        <f>IF(AND('Competency Event Log'!$B493='Employee Transcript'!$C$4,'Competency Event Log'!$I493&lt;&gt;"Yes"),'Competency Event Log'!$K493,"")</f>
        <v/>
      </c>
      <c r="CC493" t="str">
        <f t="shared" si="47"/>
        <v/>
      </c>
      <c r="CD493" t="str">
        <f>IF(Certifications!$A493='Employee Transcript'!$C$4,493,"")</f>
        <v/>
      </c>
      <c r="CE493" t="str">
        <f>IF(CD493="","",COUNTIF($CD$4:CD493,"&gt;0"))</f>
        <v/>
      </c>
    </row>
    <row r="494" spans="80:83">
      <c r="CB494" t="str">
        <f>IF(AND('Competency Event Log'!$B494='Employee Transcript'!$C$4,'Competency Event Log'!$I494&lt;&gt;"Yes"),'Competency Event Log'!$K494,"")</f>
        <v/>
      </c>
      <c r="CC494" t="str">
        <f t="shared" si="47"/>
        <v/>
      </c>
      <c r="CD494" t="str">
        <f>IF(Certifications!$A494='Employee Transcript'!$C$4,494,"")</f>
        <v/>
      </c>
      <c r="CE494" t="str">
        <f>IF(CD494="","",COUNTIF($CD$4:CD494,"&gt;0"))</f>
        <v/>
      </c>
    </row>
    <row r="495" spans="80:83">
      <c r="CB495" t="str">
        <f>IF(AND('Competency Event Log'!$B495='Employee Transcript'!$C$4,'Competency Event Log'!$I495&lt;&gt;"Yes"),'Competency Event Log'!$K495,"")</f>
        <v/>
      </c>
      <c r="CC495" t="str">
        <f t="shared" si="47"/>
        <v/>
      </c>
      <c r="CD495" t="str">
        <f>IF(Certifications!$A495='Employee Transcript'!$C$4,495,"")</f>
        <v/>
      </c>
      <c r="CE495" t="str">
        <f>IF(CD495="","",COUNTIF($CD$4:CD495,"&gt;0"))</f>
        <v/>
      </c>
    </row>
    <row r="496" spans="80:83">
      <c r="CB496" t="str">
        <f>IF(AND('Competency Event Log'!$B496='Employee Transcript'!$C$4,'Competency Event Log'!$I496&lt;&gt;"Yes"),'Competency Event Log'!$K496,"")</f>
        <v/>
      </c>
      <c r="CC496" t="str">
        <f t="shared" si="47"/>
        <v/>
      </c>
      <c r="CD496" t="str">
        <f>IF(Certifications!$A496='Employee Transcript'!$C$4,496,"")</f>
        <v/>
      </c>
      <c r="CE496" t="str">
        <f>IF(CD496="","",COUNTIF($CD$4:CD496,"&gt;0"))</f>
        <v/>
      </c>
    </row>
    <row r="497" spans="80:83">
      <c r="CB497" t="str">
        <f>IF(AND('Competency Event Log'!$B497='Employee Transcript'!$C$4,'Competency Event Log'!$I497&lt;&gt;"Yes"),'Competency Event Log'!$K497,"")</f>
        <v/>
      </c>
      <c r="CC497" t="str">
        <f t="shared" si="47"/>
        <v/>
      </c>
      <c r="CD497" t="str">
        <f>IF(Certifications!$A497='Employee Transcript'!$C$4,497,"")</f>
        <v/>
      </c>
      <c r="CE497" t="str">
        <f>IF(CD497="","",COUNTIF($CD$4:CD497,"&gt;0"))</f>
        <v/>
      </c>
    </row>
    <row r="498" spans="80:83">
      <c r="CB498" t="str">
        <f>IF(AND('Competency Event Log'!$B498='Employee Transcript'!$C$4,'Competency Event Log'!$I498&lt;&gt;"Yes"),'Competency Event Log'!$K498,"")</f>
        <v/>
      </c>
      <c r="CC498" t="str">
        <f t="shared" si="47"/>
        <v/>
      </c>
      <c r="CD498" t="str">
        <f>IF(Certifications!$A498='Employee Transcript'!$C$4,498,"")</f>
        <v/>
      </c>
      <c r="CE498" t="str">
        <f>IF(CD498="","",COUNTIF($CD$4:CD498,"&gt;0"))</f>
        <v/>
      </c>
    </row>
    <row r="499" spans="80:83">
      <c r="CB499" t="str">
        <f>IF(AND('Competency Event Log'!$B499='Employee Transcript'!$C$4,'Competency Event Log'!$I499&lt;&gt;"Yes"),'Competency Event Log'!$K499,"")</f>
        <v/>
      </c>
      <c r="CC499" t="str">
        <f t="shared" si="47"/>
        <v/>
      </c>
      <c r="CD499" t="str">
        <f>IF(Certifications!$A499='Employee Transcript'!$C$4,499,"")</f>
        <v/>
      </c>
      <c r="CE499" t="str">
        <f>IF(CD499="","",COUNTIF($CD$4:CD499,"&gt;0"))</f>
        <v/>
      </c>
    </row>
    <row r="500" spans="80:83">
      <c r="CB500" t="str">
        <f>IF(AND('Competency Event Log'!$B500='Employee Transcript'!$C$4,'Competency Event Log'!$I500&lt;&gt;"Yes"),'Competency Event Log'!$K500,"")</f>
        <v/>
      </c>
      <c r="CC500" t="str">
        <f t="shared" si="47"/>
        <v/>
      </c>
      <c r="CD500" t="str">
        <f>IF(Certifications!$A500='Employee Transcript'!$C$4,500,"")</f>
        <v/>
      </c>
      <c r="CE500" t="str">
        <f>IF(CD500="","",COUNTIF($CD$4:CD500,"&gt;0"))</f>
        <v/>
      </c>
    </row>
    <row r="501" spans="80:83">
      <c r="CB501" t="str">
        <f>IF(AND('Competency Event Log'!$B501='Employee Transcript'!$C$4,'Competency Event Log'!$I501&lt;&gt;"Yes"),'Competency Event Log'!$K501,"")</f>
        <v/>
      </c>
      <c r="CC501" t="str">
        <f t="shared" si="47"/>
        <v/>
      </c>
      <c r="CD501" t="str">
        <f>IF(Certifications!$A501='Employee Transcript'!$C$4,501,"")</f>
        <v/>
      </c>
      <c r="CE501" t="str">
        <f>IF(CD501="","",COUNTIF($CD$4:CD501,"&gt;0"))</f>
        <v/>
      </c>
    </row>
    <row r="502" spans="80:83">
      <c r="CB502" t="str">
        <f>IF(AND('Competency Event Log'!$B502='Employee Transcript'!$C$4,'Competency Event Log'!$I502&lt;&gt;"Yes"),'Competency Event Log'!$K502,"")</f>
        <v/>
      </c>
      <c r="CC502" t="str">
        <f t="shared" si="47"/>
        <v/>
      </c>
      <c r="CD502" t="str">
        <f>IF(Certifications!$A502='Employee Transcript'!$C$4,502,"")</f>
        <v/>
      </c>
      <c r="CE502" t="str">
        <f>IF(CD502="","",COUNTIF($CD$4:CD502,"&gt;0"))</f>
        <v/>
      </c>
    </row>
    <row r="503" spans="80:83">
      <c r="CB503" t="str">
        <f>IF(AND('Competency Event Log'!$B503='Employee Transcript'!$C$4,'Competency Event Log'!$I503&lt;&gt;"Yes"),'Competency Event Log'!$K503,"")</f>
        <v/>
      </c>
      <c r="CC503" t="str">
        <f t="shared" si="47"/>
        <v/>
      </c>
      <c r="CD503" t="str">
        <f>IF(Certifications!$A503='Employee Transcript'!$C$4,503,"")</f>
        <v/>
      </c>
      <c r="CE503" t="str">
        <f>IF(CD503="","",COUNTIF($CD$4:CD503,"&gt;0"))</f>
        <v/>
      </c>
    </row>
    <row r="504" spans="80:83">
      <c r="CB504" t="str">
        <f>IF(AND('Competency Event Log'!$B504='Employee Transcript'!$C$4,'Competency Event Log'!$I504&lt;&gt;"Yes"),'Competency Event Log'!$K504,"")</f>
        <v/>
      </c>
      <c r="CC504" t="str">
        <f t="shared" si="47"/>
        <v/>
      </c>
    </row>
    <row r="505" spans="80:83">
      <c r="CB505" t="str">
        <f>IF(AND('Competency Event Log'!$B505='Employee Transcript'!$C$4,'Competency Event Log'!$I505&lt;&gt;"Yes"),'Competency Event Log'!$K505,"")</f>
        <v/>
      </c>
      <c r="CC505" t="str">
        <f t="shared" si="47"/>
        <v/>
      </c>
    </row>
    <row r="506" spans="80:83">
      <c r="CB506" t="str">
        <f>IF(AND('Competency Event Log'!$B506='Employee Transcript'!$C$4,'Competency Event Log'!$I506&lt;&gt;"Yes"),'Competency Event Log'!$K506,"")</f>
        <v/>
      </c>
      <c r="CC506" t="str">
        <f t="shared" si="47"/>
        <v/>
      </c>
    </row>
    <row r="507" spans="80:83">
      <c r="CB507" t="str">
        <f>IF(AND('Competency Event Log'!$B507='Employee Transcript'!$C$4,'Competency Event Log'!$I507&lt;&gt;"Yes"),'Competency Event Log'!$K507,"")</f>
        <v/>
      </c>
      <c r="CC507" t="str">
        <f t="shared" si="47"/>
        <v/>
      </c>
    </row>
    <row r="508" spans="80:83">
      <c r="CB508" t="str">
        <f>IF(AND('Competency Event Log'!$B508='Employee Transcript'!$C$4,'Competency Event Log'!$I508&lt;&gt;"Yes"),'Competency Event Log'!$K508,"")</f>
        <v/>
      </c>
      <c r="CC508" t="str">
        <f t="shared" si="47"/>
        <v/>
      </c>
    </row>
    <row r="509" spans="80:83">
      <c r="CB509" t="str">
        <f>IF(AND('Competency Event Log'!$B509='Employee Transcript'!$C$4,'Competency Event Log'!$I509&lt;&gt;"Yes"),'Competency Event Log'!$K509,"")</f>
        <v/>
      </c>
      <c r="CC509" t="str">
        <f t="shared" si="47"/>
        <v/>
      </c>
    </row>
    <row r="510" spans="80:83">
      <c r="CB510" t="str">
        <f>IF(AND('Competency Event Log'!$B510='Employee Transcript'!$C$4,'Competency Event Log'!$I510&lt;&gt;"Yes"),'Competency Event Log'!$K510,"")</f>
        <v/>
      </c>
      <c r="CC510" t="str">
        <f t="shared" si="47"/>
        <v/>
      </c>
    </row>
    <row r="511" spans="80:83">
      <c r="CB511" t="str">
        <f>IF(AND('Competency Event Log'!$B511='Employee Transcript'!$C$4,'Competency Event Log'!$I511&lt;&gt;"Yes"),'Competency Event Log'!$K511,"")</f>
        <v/>
      </c>
      <c r="CC511" t="str">
        <f t="shared" si="47"/>
        <v/>
      </c>
    </row>
    <row r="512" spans="80:83">
      <c r="CB512" t="str">
        <f>IF(AND('Competency Event Log'!$B512='Employee Transcript'!$C$4,'Competency Event Log'!$I512&lt;&gt;"Yes"),'Competency Event Log'!$K512,"")</f>
        <v/>
      </c>
      <c r="CC512" t="str">
        <f t="shared" si="47"/>
        <v/>
      </c>
    </row>
    <row r="513" spans="80:81">
      <c r="CB513" t="str">
        <f>IF(AND('Competency Event Log'!$B513='Employee Transcript'!$C$4,'Competency Event Log'!$I513&lt;&gt;"Yes"),'Competency Event Log'!$K513,"")</f>
        <v/>
      </c>
      <c r="CC513" t="str">
        <f t="shared" si="47"/>
        <v/>
      </c>
    </row>
    <row r="514" spans="80:81">
      <c r="CB514" t="str">
        <f>IF(AND('Competency Event Log'!$B514='Employee Transcript'!$C$4,'Competency Event Log'!$I514&lt;&gt;"Yes"),'Competency Event Log'!$K514,"")</f>
        <v/>
      </c>
      <c r="CC514" t="str">
        <f t="shared" si="47"/>
        <v/>
      </c>
    </row>
    <row r="515" spans="80:81">
      <c r="CB515" t="str">
        <f>IF(AND('Competency Event Log'!$B515='Employee Transcript'!$C$4,'Competency Event Log'!$I515&lt;&gt;"Yes"),'Competency Event Log'!$K515,"")</f>
        <v/>
      </c>
      <c r="CC515" t="str">
        <f t="shared" si="47"/>
        <v/>
      </c>
    </row>
    <row r="516" spans="80:81">
      <c r="CB516" t="str">
        <f>IF(AND('Competency Event Log'!$B516='Employee Transcript'!$C$4,'Competency Event Log'!$I516&lt;&gt;"Yes"),'Competency Event Log'!$K516,"")</f>
        <v/>
      </c>
      <c r="CC516" t="str">
        <f t="shared" ref="CC516:CC579" si="48">IF(CB516="","",COUNTIF($CB$4:$CB$803,"&gt;"&amp;CB516)+1)</f>
        <v/>
      </c>
    </row>
    <row r="517" spans="80:81">
      <c r="CB517" t="str">
        <f>IF(AND('Competency Event Log'!$B517='Employee Transcript'!$C$4,'Competency Event Log'!$I517&lt;&gt;"Yes"),'Competency Event Log'!$K517,"")</f>
        <v/>
      </c>
      <c r="CC517" t="str">
        <f t="shared" si="48"/>
        <v/>
      </c>
    </row>
    <row r="518" spans="80:81">
      <c r="CB518" t="str">
        <f>IF(AND('Competency Event Log'!$B518='Employee Transcript'!$C$4,'Competency Event Log'!$I518&lt;&gt;"Yes"),'Competency Event Log'!$K518,"")</f>
        <v/>
      </c>
      <c r="CC518" t="str">
        <f t="shared" si="48"/>
        <v/>
      </c>
    </row>
    <row r="519" spans="80:81">
      <c r="CB519" t="str">
        <f>IF(AND('Competency Event Log'!$B519='Employee Transcript'!$C$4,'Competency Event Log'!$I519&lt;&gt;"Yes"),'Competency Event Log'!$K519,"")</f>
        <v/>
      </c>
      <c r="CC519" t="str">
        <f t="shared" si="48"/>
        <v/>
      </c>
    </row>
    <row r="520" spans="80:81">
      <c r="CB520" t="str">
        <f>IF(AND('Competency Event Log'!$B520='Employee Transcript'!$C$4,'Competency Event Log'!$I520&lt;&gt;"Yes"),'Competency Event Log'!$K520,"")</f>
        <v/>
      </c>
      <c r="CC520" t="str">
        <f t="shared" si="48"/>
        <v/>
      </c>
    </row>
    <row r="521" spans="80:81">
      <c r="CB521" t="str">
        <f>IF(AND('Competency Event Log'!$B521='Employee Transcript'!$C$4,'Competency Event Log'!$I521&lt;&gt;"Yes"),'Competency Event Log'!$K521,"")</f>
        <v/>
      </c>
      <c r="CC521" t="str">
        <f t="shared" si="48"/>
        <v/>
      </c>
    </row>
    <row r="522" spans="80:81">
      <c r="CB522" t="str">
        <f>IF(AND('Competency Event Log'!$B522='Employee Transcript'!$C$4,'Competency Event Log'!$I522&lt;&gt;"Yes"),'Competency Event Log'!$K522,"")</f>
        <v/>
      </c>
      <c r="CC522" t="str">
        <f t="shared" si="48"/>
        <v/>
      </c>
    </row>
    <row r="523" spans="80:81">
      <c r="CB523" t="str">
        <f>IF(AND('Competency Event Log'!$B523='Employee Transcript'!$C$4,'Competency Event Log'!$I523&lt;&gt;"Yes"),'Competency Event Log'!$K523,"")</f>
        <v/>
      </c>
      <c r="CC523" t="str">
        <f t="shared" si="48"/>
        <v/>
      </c>
    </row>
    <row r="524" spans="80:81">
      <c r="CB524" t="str">
        <f>IF(AND('Competency Event Log'!$B524='Employee Transcript'!$C$4,'Competency Event Log'!$I524&lt;&gt;"Yes"),'Competency Event Log'!$K524,"")</f>
        <v/>
      </c>
      <c r="CC524" t="str">
        <f t="shared" si="48"/>
        <v/>
      </c>
    </row>
    <row r="525" spans="80:81">
      <c r="CB525" t="str">
        <f>IF(AND('Competency Event Log'!$B525='Employee Transcript'!$C$4,'Competency Event Log'!$I525&lt;&gt;"Yes"),'Competency Event Log'!$K525,"")</f>
        <v/>
      </c>
      <c r="CC525" t="str">
        <f t="shared" si="48"/>
        <v/>
      </c>
    </row>
    <row r="526" spans="80:81">
      <c r="CB526" t="str">
        <f>IF(AND('Competency Event Log'!$B526='Employee Transcript'!$C$4,'Competency Event Log'!$I526&lt;&gt;"Yes"),'Competency Event Log'!$K526,"")</f>
        <v/>
      </c>
      <c r="CC526" t="str">
        <f t="shared" si="48"/>
        <v/>
      </c>
    </row>
    <row r="527" spans="80:81">
      <c r="CB527" t="str">
        <f>IF(AND('Competency Event Log'!$B527='Employee Transcript'!$C$4,'Competency Event Log'!$I527&lt;&gt;"Yes"),'Competency Event Log'!$K527,"")</f>
        <v/>
      </c>
      <c r="CC527" t="str">
        <f t="shared" si="48"/>
        <v/>
      </c>
    </row>
    <row r="528" spans="80:81">
      <c r="CB528" t="str">
        <f>IF(AND('Competency Event Log'!$B528='Employee Transcript'!$C$4,'Competency Event Log'!$I528&lt;&gt;"Yes"),'Competency Event Log'!$K528,"")</f>
        <v/>
      </c>
      <c r="CC528" t="str">
        <f t="shared" si="48"/>
        <v/>
      </c>
    </row>
    <row r="529" spans="80:81">
      <c r="CB529" t="str">
        <f>IF(AND('Competency Event Log'!$B529='Employee Transcript'!$C$4,'Competency Event Log'!$I529&lt;&gt;"Yes"),'Competency Event Log'!$K529,"")</f>
        <v/>
      </c>
      <c r="CC529" t="str">
        <f t="shared" si="48"/>
        <v/>
      </c>
    </row>
    <row r="530" spans="80:81">
      <c r="CB530" t="str">
        <f>IF(AND('Competency Event Log'!$B530='Employee Transcript'!$C$4,'Competency Event Log'!$I530&lt;&gt;"Yes"),'Competency Event Log'!$K530,"")</f>
        <v/>
      </c>
      <c r="CC530" t="str">
        <f t="shared" si="48"/>
        <v/>
      </c>
    </row>
    <row r="531" spans="80:81">
      <c r="CB531" t="str">
        <f>IF(AND('Competency Event Log'!$B531='Employee Transcript'!$C$4,'Competency Event Log'!$I531&lt;&gt;"Yes"),'Competency Event Log'!$K531,"")</f>
        <v/>
      </c>
      <c r="CC531" t="str">
        <f t="shared" si="48"/>
        <v/>
      </c>
    </row>
    <row r="532" spans="80:81">
      <c r="CB532" t="str">
        <f>IF(AND('Competency Event Log'!$B532='Employee Transcript'!$C$4,'Competency Event Log'!$I532&lt;&gt;"Yes"),'Competency Event Log'!$K532,"")</f>
        <v/>
      </c>
      <c r="CC532" t="str">
        <f t="shared" si="48"/>
        <v/>
      </c>
    </row>
    <row r="533" spans="80:81">
      <c r="CB533" t="str">
        <f>IF(AND('Competency Event Log'!$B533='Employee Transcript'!$C$4,'Competency Event Log'!$I533&lt;&gt;"Yes"),'Competency Event Log'!$K533,"")</f>
        <v/>
      </c>
      <c r="CC533" t="str">
        <f t="shared" si="48"/>
        <v/>
      </c>
    </row>
    <row r="534" spans="80:81">
      <c r="CB534" t="str">
        <f>IF(AND('Competency Event Log'!$B534='Employee Transcript'!$C$4,'Competency Event Log'!$I534&lt;&gt;"Yes"),'Competency Event Log'!$K534,"")</f>
        <v/>
      </c>
      <c r="CC534" t="str">
        <f t="shared" si="48"/>
        <v/>
      </c>
    </row>
    <row r="535" spans="80:81">
      <c r="CB535" t="str">
        <f>IF(AND('Competency Event Log'!$B535='Employee Transcript'!$C$4,'Competency Event Log'!$I535&lt;&gt;"Yes"),'Competency Event Log'!$K535,"")</f>
        <v/>
      </c>
      <c r="CC535" t="str">
        <f t="shared" si="48"/>
        <v/>
      </c>
    </row>
    <row r="536" spans="80:81">
      <c r="CB536" t="str">
        <f>IF(AND('Competency Event Log'!$B536='Employee Transcript'!$C$4,'Competency Event Log'!$I536&lt;&gt;"Yes"),'Competency Event Log'!$K536,"")</f>
        <v/>
      </c>
      <c r="CC536" t="str">
        <f t="shared" si="48"/>
        <v/>
      </c>
    </row>
    <row r="537" spans="80:81">
      <c r="CB537" t="str">
        <f>IF(AND('Competency Event Log'!$B537='Employee Transcript'!$C$4,'Competency Event Log'!$I537&lt;&gt;"Yes"),'Competency Event Log'!$K537,"")</f>
        <v/>
      </c>
      <c r="CC537" t="str">
        <f t="shared" si="48"/>
        <v/>
      </c>
    </row>
    <row r="538" spans="80:81">
      <c r="CB538" t="str">
        <f>IF(AND('Competency Event Log'!$B538='Employee Transcript'!$C$4,'Competency Event Log'!$I538&lt;&gt;"Yes"),'Competency Event Log'!$K538,"")</f>
        <v/>
      </c>
      <c r="CC538" t="str">
        <f t="shared" si="48"/>
        <v/>
      </c>
    </row>
    <row r="539" spans="80:81">
      <c r="CB539" t="str">
        <f>IF(AND('Competency Event Log'!$B539='Employee Transcript'!$C$4,'Competency Event Log'!$I539&lt;&gt;"Yes"),'Competency Event Log'!$K539,"")</f>
        <v/>
      </c>
      <c r="CC539" t="str">
        <f t="shared" si="48"/>
        <v/>
      </c>
    </row>
    <row r="540" spans="80:81">
      <c r="CB540" t="str">
        <f>IF(AND('Competency Event Log'!$B540='Employee Transcript'!$C$4,'Competency Event Log'!$I540&lt;&gt;"Yes"),'Competency Event Log'!$K540,"")</f>
        <v/>
      </c>
      <c r="CC540" t="str">
        <f t="shared" si="48"/>
        <v/>
      </c>
    </row>
    <row r="541" spans="80:81">
      <c r="CB541" t="str">
        <f>IF(AND('Competency Event Log'!$B541='Employee Transcript'!$C$4,'Competency Event Log'!$I541&lt;&gt;"Yes"),'Competency Event Log'!$K541,"")</f>
        <v/>
      </c>
      <c r="CC541" t="str">
        <f t="shared" si="48"/>
        <v/>
      </c>
    </row>
    <row r="542" spans="80:81">
      <c r="CB542" t="str">
        <f>IF(AND('Competency Event Log'!$B542='Employee Transcript'!$C$4,'Competency Event Log'!$I542&lt;&gt;"Yes"),'Competency Event Log'!$K542,"")</f>
        <v/>
      </c>
      <c r="CC542" t="str">
        <f t="shared" si="48"/>
        <v/>
      </c>
    </row>
    <row r="543" spans="80:81">
      <c r="CB543" t="str">
        <f>IF(AND('Competency Event Log'!$B543='Employee Transcript'!$C$4,'Competency Event Log'!$I543&lt;&gt;"Yes"),'Competency Event Log'!$K543,"")</f>
        <v/>
      </c>
      <c r="CC543" t="str">
        <f t="shared" si="48"/>
        <v/>
      </c>
    </row>
    <row r="544" spans="80:81">
      <c r="CB544" t="str">
        <f>IF(AND('Competency Event Log'!$B544='Employee Transcript'!$C$4,'Competency Event Log'!$I544&lt;&gt;"Yes"),'Competency Event Log'!$K544,"")</f>
        <v/>
      </c>
      <c r="CC544" t="str">
        <f t="shared" si="48"/>
        <v/>
      </c>
    </row>
    <row r="545" spans="80:81">
      <c r="CB545" t="str">
        <f>IF(AND('Competency Event Log'!$B545='Employee Transcript'!$C$4,'Competency Event Log'!$I545&lt;&gt;"Yes"),'Competency Event Log'!$K545,"")</f>
        <v/>
      </c>
      <c r="CC545" t="str">
        <f t="shared" si="48"/>
        <v/>
      </c>
    </row>
    <row r="546" spans="80:81">
      <c r="CB546" t="str">
        <f>IF(AND('Competency Event Log'!$B546='Employee Transcript'!$C$4,'Competency Event Log'!$I546&lt;&gt;"Yes"),'Competency Event Log'!$K546,"")</f>
        <v/>
      </c>
      <c r="CC546" t="str">
        <f t="shared" si="48"/>
        <v/>
      </c>
    </row>
    <row r="547" spans="80:81">
      <c r="CB547" t="str">
        <f>IF(AND('Competency Event Log'!$B547='Employee Transcript'!$C$4,'Competency Event Log'!$I547&lt;&gt;"Yes"),'Competency Event Log'!$K547,"")</f>
        <v/>
      </c>
      <c r="CC547" t="str">
        <f t="shared" si="48"/>
        <v/>
      </c>
    </row>
    <row r="548" spans="80:81">
      <c r="CB548" t="str">
        <f>IF(AND('Competency Event Log'!$B548='Employee Transcript'!$C$4,'Competency Event Log'!$I548&lt;&gt;"Yes"),'Competency Event Log'!$K548,"")</f>
        <v/>
      </c>
      <c r="CC548" t="str">
        <f t="shared" si="48"/>
        <v/>
      </c>
    </row>
    <row r="549" spans="80:81">
      <c r="CB549" t="str">
        <f>IF(AND('Competency Event Log'!$B549='Employee Transcript'!$C$4,'Competency Event Log'!$I549&lt;&gt;"Yes"),'Competency Event Log'!$K549,"")</f>
        <v/>
      </c>
      <c r="CC549" t="str">
        <f t="shared" si="48"/>
        <v/>
      </c>
    </row>
    <row r="550" spans="80:81">
      <c r="CB550" t="str">
        <f>IF(AND('Competency Event Log'!$B550='Employee Transcript'!$C$4,'Competency Event Log'!$I550&lt;&gt;"Yes"),'Competency Event Log'!$K550,"")</f>
        <v/>
      </c>
      <c r="CC550" t="str">
        <f t="shared" si="48"/>
        <v/>
      </c>
    </row>
    <row r="551" spans="80:81">
      <c r="CB551" t="str">
        <f>IF(AND('Competency Event Log'!$B551='Employee Transcript'!$C$4,'Competency Event Log'!$I551&lt;&gt;"Yes"),'Competency Event Log'!$K551,"")</f>
        <v/>
      </c>
      <c r="CC551" t="str">
        <f t="shared" si="48"/>
        <v/>
      </c>
    </row>
    <row r="552" spans="80:81">
      <c r="CB552" t="str">
        <f>IF(AND('Competency Event Log'!$B552='Employee Transcript'!$C$4,'Competency Event Log'!$I552&lt;&gt;"Yes"),'Competency Event Log'!$K552,"")</f>
        <v/>
      </c>
      <c r="CC552" t="str">
        <f t="shared" si="48"/>
        <v/>
      </c>
    </row>
    <row r="553" spans="80:81">
      <c r="CB553" t="str">
        <f>IF(AND('Competency Event Log'!$B553='Employee Transcript'!$C$4,'Competency Event Log'!$I553&lt;&gt;"Yes"),'Competency Event Log'!$K553,"")</f>
        <v/>
      </c>
      <c r="CC553" t="str">
        <f t="shared" si="48"/>
        <v/>
      </c>
    </row>
    <row r="554" spans="80:81">
      <c r="CB554" t="str">
        <f>IF(AND('Competency Event Log'!$B554='Employee Transcript'!$C$4,'Competency Event Log'!$I554&lt;&gt;"Yes"),'Competency Event Log'!$K554,"")</f>
        <v/>
      </c>
      <c r="CC554" t="str">
        <f t="shared" si="48"/>
        <v/>
      </c>
    </row>
    <row r="555" spans="80:81">
      <c r="CB555" t="str">
        <f>IF(AND('Competency Event Log'!$B555='Employee Transcript'!$C$4,'Competency Event Log'!$I555&lt;&gt;"Yes"),'Competency Event Log'!$K555,"")</f>
        <v/>
      </c>
      <c r="CC555" t="str">
        <f t="shared" si="48"/>
        <v/>
      </c>
    </row>
    <row r="556" spans="80:81">
      <c r="CB556" t="str">
        <f>IF(AND('Competency Event Log'!$B556='Employee Transcript'!$C$4,'Competency Event Log'!$I556&lt;&gt;"Yes"),'Competency Event Log'!$K556,"")</f>
        <v/>
      </c>
      <c r="CC556" t="str">
        <f t="shared" si="48"/>
        <v/>
      </c>
    </row>
    <row r="557" spans="80:81">
      <c r="CB557" t="str">
        <f>IF(AND('Competency Event Log'!$B557='Employee Transcript'!$C$4,'Competency Event Log'!$I557&lt;&gt;"Yes"),'Competency Event Log'!$K557,"")</f>
        <v/>
      </c>
      <c r="CC557" t="str">
        <f t="shared" si="48"/>
        <v/>
      </c>
    </row>
    <row r="558" spans="80:81">
      <c r="CB558" t="str">
        <f>IF(AND('Competency Event Log'!$B558='Employee Transcript'!$C$4,'Competency Event Log'!$I558&lt;&gt;"Yes"),'Competency Event Log'!$K558,"")</f>
        <v/>
      </c>
      <c r="CC558" t="str">
        <f t="shared" si="48"/>
        <v/>
      </c>
    </row>
    <row r="559" spans="80:81">
      <c r="CB559" t="str">
        <f>IF(AND('Competency Event Log'!$B559='Employee Transcript'!$C$4,'Competency Event Log'!$I559&lt;&gt;"Yes"),'Competency Event Log'!$K559,"")</f>
        <v/>
      </c>
      <c r="CC559" t="str">
        <f t="shared" si="48"/>
        <v/>
      </c>
    </row>
    <row r="560" spans="80:81">
      <c r="CB560" t="str">
        <f>IF(AND('Competency Event Log'!$B560='Employee Transcript'!$C$4,'Competency Event Log'!$I560&lt;&gt;"Yes"),'Competency Event Log'!$K560,"")</f>
        <v/>
      </c>
      <c r="CC560" t="str">
        <f t="shared" si="48"/>
        <v/>
      </c>
    </row>
    <row r="561" spans="80:81">
      <c r="CB561" t="str">
        <f>IF(AND('Competency Event Log'!$B561='Employee Transcript'!$C$4,'Competency Event Log'!$I561&lt;&gt;"Yes"),'Competency Event Log'!$K561,"")</f>
        <v/>
      </c>
      <c r="CC561" t="str">
        <f t="shared" si="48"/>
        <v/>
      </c>
    </row>
    <row r="562" spans="80:81">
      <c r="CB562" t="str">
        <f>IF(AND('Competency Event Log'!$B562='Employee Transcript'!$C$4,'Competency Event Log'!$I562&lt;&gt;"Yes"),'Competency Event Log'!$K562,"")</f>
        <v/>
      </c>
      <c r="CC562" t="str">
        <f t="shared" si="48"/>
        <v/>
      </c>
    </row>
    <row r="563" spans="80:81">
      <c r="CB563" t="str">
        <f>IF(AND('Competency Event Log'!$B563='Employee Transcript'!$C$4,'Competency Event Log'!$I563&lt;&gt;"Yes"),'Competency Event Log'!$K563,"")</f>
        <v/>
      </c>
      <c r="CC563" t="str">
        <f t="shared" si="48"/>
        <v/>
      </c>
    </row>
    <row r="564" spans="80:81">
      <c r="CB564" t="str">
        <f>IF(AND('Competency Event Log'!$B564='Employee Transcript'!$C$4,'Competency Event Log'!$I564&lt;&gt;"Yes"),'Competency Event Log'!$K564,"")</f>
        <v/>
      </c>
      <c r="CC564" t="str">
        <f t="shared" si="48"/>
        <v/>
      </c>
    </row>
    <row r="565" spans="80:81">
      <c r="CB565" t="str">
        <f>IF(AND('Competency Event Log'!$B565='Employee Transcript'!$C$4,'Competency Event Log'!$I565&lt;&gt;"Yes"),'Competency Event Log'!$K565,"")</f>
        <v/>
      </c>
      <c r="CC565" t="str">
        <f t="shared" si="48"/>
        <v/>
      </c>
    </row>
    <row r="566" spans="80:81">
      <c r="CB566" t="str">
        <f>IF(AND('Competency Event Log'!$B566='Employee Transcript'!$C$4,'Competency Event Log'!$I566&lt;&gt;"Yes"),'Competency Event Log'!$K566,"")</f>
        <v/>
      </c>
      <c r="CC566" t="str">
        <f t="shared" si="48"/>
        <v/>
      </c>
    </row>
    <row r="567" spans="80:81">
      <c r="CB567" t="str">
        <f>IF(AND('Competency Event Log'!$B567='Employee Transcript'!$C$4,'Competency Event Log'!$I567&lt;&gt;"Yes"),'Competency Event Log'!$K567,"")</f>
        <v/>
      </c>
      <c r="CC567" t="str">
        <f t="shared" si="48"/>
        <v/>
      </c>
    </row>
    <row r="568" spans="80:81">
      <c r="CB568" t="str">
        <f>IF(AND('Competency Event Log'!$B568='Employee Transcript'!$C$4,'Competency Event Log'!$I568&lt;&gt;"Yes"),'Competency Event Log'!$K568,"")</f>
        <v/>
      </c>
      <c r="CC568" t="str">
        <f t="shared" si="48"/>
        <v/>
      </c>
    </row>
    <row r="569" spans="80:81">
      <c r="CB569" t="str">
        <f>IF(AND('Competency Event Log'!$B569='Employee Transcript'!$C$4,'Competency Event Log'!$I569&lt;&gt;"Yes"),'Competency Event Log'!$K569,"")</f>
        <v/>
      </c>
      <c r="CC569" t="str">
        <f t="shared" si="48"/>
        <v/>
      </c>
    </row>
    <row r="570" spans="80:81">
      <c r="CB570" t="str">
        <f>IF(AND('Competency Event Log'!$B570='Employee Transcript'!$C$4,'Competency Event Log'!$I570&lt;&gt;"Yes"),'Competency Event Log'!$K570,"")</f>
        <v/>
      </c>
      <c r="CC570" t="str">
        <f t="shared" si="48"/>
        <v/>
      </c>
    </row>
    <row r="571" spans="80:81">
      <c r="CB571" t="str">
        <f>IF(AND('Competency Event Log'!$B571='Employee Transcript'!$C$4,'Competency Event Log'!$I571&lt;&gt;"Yes"),'Competency Event Log'!$K571,"")</f>
        <v/>
      </c>
      <c r="CC571" t="str">
        <f t="shared" si="48"/>
        <v/>
      </c>
    </row>
    <row r="572" spans="80:81">
      <c r="CB572" t="str">
        <f>IF(AND('Competency Event Log'!$B572='Employee Transcript'!$C$4,'Competency Event Log'!$I572&lt;&gt;"Yes"),'Competency Event Log'!$K572,"")</f>
        <v/>
      </c>
      <c r="CC572" t="str">
        <f t="shared" si="48"/>
        <v/>
      </c>
    </row>
    <row r="573" spans="80:81">
      <c r="CB573" t="str">
        <f>IF(AND('Competency Event Log'!$B573='Employee Transcript'!$C$4,'Competency Event Log'!$I573&lt;&gt;"Yes"),'Competency Event Log'!$K573,"")</f>
        <v/>
      </c>
      <c r="CC573" t="str">
        <f t="shared" si="48"/>
        <v/>
      </c>
    </row>
    <row r="574" spans="80:81">
      <c r="CB574" t="str">
        <f>IF(AND('Competency Event Log'!$B574='Employee Transcript'!$C$4,'Competency Event Log'!$I574&lt;&gt;"Yes"),'Competency Event Log'!$K574,"")</f>
        <v/>
      </c>
      <c r="CC574" t="str">
        <f t="shared" si="48"/>
        <v/>
      </c>
    </row>
    <row r="575" spans="80:81">
      <c r="CB575" t="str">
        <f>IF(AND('Competency Event Log'!$B575='Employee Transcript'!$C$4,'Competency Event Log'!$I575&lt;&gt;"Yes"),'Competency Event Log'!$K575,"")</f>
        <v/>
      </c>
      <c r="CC575" t="str">
        <f t="shared" si="48"/>
        <v/>
      </c>
    </row>
    <row r="576" spans="80:81">
      <c r="CB576" t="str">
        <f>IF(AND('Competency Event Log'!$B576='Employee Transcript'!$C$4,'Competency Event Log'!$I576&lt;&gt;"Yes"),'Competency Event Log'!$K576,"")</f>
        <v/>
      </c>
      <c r="CC576" t="str">
        <f t="shared" si="48"/>
        <v/>
      </c>
    </row>
    <row r="577" spans="80:81">
      <c r="CB577" t="str">
        <f>IF(AND('Competency Event Log'!$B577='Employee Transcript'!$C$4,'Competency Event Log'!$I577&lt;&gt;"Yes"),'Competency Event Log'!$K577,"")</f>
        <v/>
      </c>
      <c r="CC577" t="str">
        <f t="shared" si="48"/>
        <v/>
      </c>
    </row>
    <row r="578" spans="80:81">
      <c r="CB578" t="str">
        <f>IF(AND('Competency Event Log'!$B578='Employee Transcript'!$C$4,'Competency Event Log'!$I578&lt;&gt;"Yes"),'Competency Event Log'!$K578,"")</f>
        <v/>
      </c>
      <c r="CC578" t="str">
        <f t="shared" si="48"/>
        <v/>
      </c>
    </row>
    <row r="579" spans="80:81">
      <c r="CB579" t="str">
        <f>IF(AND('Competency Event Log'!$B579='Employee Transcript'!$C$4,'Competency Event Log'!$I579&lt;&gt;"Yes"),'Competency Event Log'!$K579,"")</f>
        <v/>
      </c>
      <c r="CC579" t="str">
        <f t="shared" si="48"/>
        <v/>
      </c>
    </row>
    <row r="580" spans="80:81">
      <c r="CB580" t="str">
        <f>IF(AND('Competency Event Log'!$B580='Employee Transcript'!$C$4,'Competency Event Log'!$I580&lt;&gt;"Yes"),'Competency Event Log'!$K580,"")</f>
        <v/>
      </c>
      <c r="CC580" t="str">
        <f t="shared" ref="CC580:CC643" si="49">IF(CB580="","",COUNTIF($CB$4:$CB$803,"&gt;"&amp;CB580)+1)</f>
        <v/>
      </c>
    </row>
    <row r="581" spans="80:81">
      <c r="CB581" t="str">
        <f>IF(AND('Competency Event Log'!$B581='Employee Transcript'!$C$4,'Competency Event Log'!$I581&lt;&gt;"Yes"),'Competency Event Log'!$K581,"")</f>
        <v/>
      </c>
      <c r="CC581" t="str">
        <f t="shared" si="49"/>
        <v/>
      </c>
    </row>
    <row r="582" spans="80:81">
      <c r="CB582" t="str">
        <f>IF(AND('Competency Event Log'!$B582='Employee Transcript'!$C$4,'Competency Event Log'!$I582&lt;&gt;"Yes"),'Competency Event Log'!$K582,"")</f>
        <v/>
      </c>
      <c r="CC582" t="str">
        <f t="shared" si="49"/>
        <v/>
      </c>
    </row>
    <row r="583" spans="80:81">
      <c r="CB583" t="str">
        <f>IF(AND('Competency Event Log'!$B583='Employee Transcript'!$C$4,'Competency Event Log'!$I583&lt;&gt;"Yes"),'Competency Event Log'!$K583,"")</f>
        <v/>
      </c>
      <c r="CC583" t="str">
        <f t="shared" si="49"/>
        <v/>
      </c>
    </row>
    <row r="584" spans="80:81">
      <c r="CB584" t="str">
        <f>IF(AND('Competency Event Log'!$B584='Employee Transcript'!$C$4,'Competency Event Log'!$I584&lt;&gt;"Yes"),'Competency Event Log'!$K584,"")</f>
        <v/>
      </c>
      <c r="CC584" t="str">
        <f t="shared" si="49"/>
        <v/>
      </c>
    </row>
    <row r="585" spans="80:81">
      <c r="CB585" t="str">
        <f>IF(AND('Competency Event Log'!$B585='Employee Transcript'!$C$4,'Competency Event Log'!$I585&lt;&gt;"Yes"),'Competency Event Log'!$K585,"")</f>
        <v/>
      </c>
      <c r="CC585" t="str">
        <f t="shared" si="49"/>
        <v/>
      </c>
    </row>
    <row r="586" spans="80:81">
      <c r="CB586" t="str">
        <f>IF(AND('Competency Event Log'!$B586='Employee Transcript'!$C$4,'Competency Event Log'!$I586&lt;&gt;"Yes"),'Competency Event Log'!$K586,"")</f>
        <v/>
      </c>
      <c r="CC586" t="str">
        <f t="shared" si="49"/>
        <v/>
      </c>
    </row>
    <row r="587" spans="80:81">
      <c r="CB587" t="str">
        <f>IF(AND('Competency Event Log'!$B587='Employee Transcript'!$C$4,'Competency Event Log'!$I587&lt;&gt;"Yes"),'Competency Event Log'!$K587,"")</f>
        <v/>
      </c>
      <c r="CC587" t="str">
        <f t="shared" si="49"/>
        <v/>
      </c>
    </row>
    <row r="588" spans="80:81">
      <c r="CB588" t="str">
        <f>IF(AND('Competency Event Log'!$B588='Employee Transcript'!$C$4,'Competency Event Log'!$I588&lt;&gt;"Yes"),'Competency Event Log'!$K588,"")</f>
        <v/>
      </c>
      <c r="CC588" t="str">
        <f t="shared" si="49"/>
        <v/>
      </c>
    </row>
    <row r="589" spans="80:81">
      <c r="CB589" t="str">
        <f>IF(AND('Competency Event Log'!$B589='Employee Transcript'!$C$4,'Competency Event Log'!$I589&lt;&gt;"Yes"),'Competency Event Log'!$K589,"")</f>
        <v/>
      </c>
      <c r="CC589" t="str">
        <f t="shared" si="49"/>
        <v/>
      </c>
    </row>
    <row r="590" spans="80:81">
      <c r="CB590" t="str">
        <f>IF(AND('Competency Event Log'!$B590='Employee Transcript'!$C$4,'Competency Event Log'!$I590&lt;&gt;"Yes"),'Competency Event Log'!$K590,"")</f>
        <v/>
      </c>
      <c r="CC590" t="str">
        <f t="shared" si="49"/>
        <v/>
      </c>
    </row>
    <row r="591" spans="80:81">
      <c r="CB591" t="str">
        <f>IF(AND('Competency Event Log'!$B591='Employee Transcript'!$C$4,'Competency Event Log'!$I591&lt;&gt;"Yes"),'Competency Event Log'!$K591,"")</f>
        <v/>
      </c>
      <c r="CC591" t="str">
        <f t="shared" si="49"/>
        <v/>
      </c>
    </row>
    <row r="592" spans="80:81">
      <c r="CB592" t="str">
        <f>IF(AND('Competency Event Log'!$B592='Employee Transcript'!$C$4,'Competency Event Log'!$I592&lt;&gt;"Yes"),'Competency Event Log'!$K592,"")</f>
        <v/>
      </c>
      <c r="CC592" t="str">
        <f t="shared" si="49"/>
        <v/>
      </c>
    </row>
    <row r="593" spans="80:81">
      <c r="CB593" t="str">
        <f>IF(AND('Competency Event Log'!$B593='Employee Transcript'!$C$4,'Competency Event Log'!$I593&lt;&gt;"Yes"),'Competency Event Log'!$K593,"")</f>
        <v/>
      </c>
      <c r="CC593" t="str">
        <f t="shared" si="49"/>
        <v/>
      </c>
    </row>
    <row r="594" spans="80:81">
      <c r="CB594" t="str">
        <f>IF(AND('Competency Event Log'!$B594='Employee Transcript'!$C$4,'Competency Event Log'!$I594&lt;&gt;"Yes"),'Competency Event Log'!$K594,"")</f>
        <v/>
      </c>
      <c r="CC594" t="str">
        <f t="shared" si="49"/>
        <v/>
      </c>
    </row>
    <row r="595" spans="80:81">
      <c r="CB595" t="str">
        <f>IF(AND('Competency Event Log'!$B595='Employee Transcript'!$C$4,'Competency Event Log'!$I595&lt;&gt;"Yes"),'Competency Event Log'!$K595,"")</f>
        <v/>
      </c>
      <c r="CC595" t="str">
        <f t="shared" si="49"/>
        <v/>
      </c>
    </row>
    <row r="596" spans="80:81">
      <c r="CB596" t="str">
        <f>IF(AND('Competency Event Log'!$B596='Employee Transcript'!$C$4,'Competency Event Log'!$I596&lt;&gt;"Yes"),'Competency Event Log'!$K596,"")</f>
        <v/>
      </c>
      <c r="CC596" t="str">
        <f t="shared" si="49"/>
        <v/>
      </c>
    </row>
    <row r="597" spans="80:81">
      <c r="CB597" t="str">
        <f>IF(AND('Competency Event Log'!$B597='Employee Transcript'!$C$4,'Competency Event Log'!$I597&lt;&gt;"Yes"),'Competency Event Log'!$K597,"")</f>
        <v/>
      </c>
      <c r="CC597" t="str">
        <f t="shared" si="49"/>
        <v/>
      </c>
    </row>
    <row r="598" spans="80:81">
      <c r="CB598" t="str">
        <f>IF(AND('Competency Event Log'!$B598='Employee Transcript'!$C$4,'Competency Event Log'!$I598&lt;&gt;"Yes"),'Competency Event Log'!$K598,"")</f>
        <v/>
      </c>
      <c r="CC598" t="str">
        <f t="shared" si="49"/>
        <v/>
      </c>
    </row>
    <row r="599" spans="80:81">
      <c r="CB599" t="str">
        <f>IF(AND('Competency Event Log'!$B599='Employee Transcript'!$C$4,'Competency Event Log'!$I599&lt;&gt;"Yes"),'Competency Event Log'!$K599,"")</f>
        <v/>
      </c>
      <c r="CC599" t="str">
        <f t="shared" si="49"/>
        <v/>
      </c>
    </row>
    <row r="600" spans="80:81">
      <c r="CB600" t="str">
        <f>IF(AND('Competency Event Log'!$B600='Employee Transcript'!$C$4,'Competency Event Log'!$I600&lt;&gt;"Yes"),'Competency Event Log'!$K600,"")</f>
        <v/>
      </c>
      <c r="CC600" t="str">
        <f t="shared" si="49"/>
        <v/>
      </c>
    </row>
    <row r="601" spans="80:81">
      <c r="CB601" t="str">
        <f>IF(AND('Competency Event Log'!$B601='Employee Transcript'!$C$4,'Competency Event Log'!$I601&lt;&gt;"Yes"),'Competency Event Log'!$K601,"")</f>
        <v/>
      </c>
      <c r="CC601" t="str">
        <f t="shared" si="49"/>
        <v/>
      </c>
    </row>
    <row r="602" spans="80:81">
      <c r="CB602" t="str">
        <f>IF(AND('Competency Event Log'!$B602='Employee Transcript'!$C$4,'Competency Event Log'!$I602&lt;&gt;"Yes"),'Competency Event Log'!$K602,"")</f>
        <v/>
      </c>
      <c r="CC602" t="str">
        <f t="shared" si="49"/>
        <v/>
      </c>
    </row>
    <row r="603" spans="80:81">
      <c r="CB603" t="str">
        <f>IF(AND('Competency Event Log'!$B603='Employee Transcript'!$C$4,'Competency Event Log'!$I603&lt;&gt;"Yes"),'Competency Event Log'!$K603,"")</f>
        <v/>
      </c>
      <c r="CC603" t="str">
        <f t="shared" si="49"/>
        <v/>
      </c>
    </row>
    <row r="604" spans="80:81">
      <c r="CB604" t="str">
        <f>IF(AND('Competency Event Log'!$B604='Employee Transcript'!$C$4,'Competency Event Log'!$I604&lt;&gt;"Yes"),'Competency Event Log'!$K604,"")</f>
        <v/>
      </c>
      <c r="CC604" t="str">
        <f t="shared" si="49"/>
        <v/>
      </c>
    </row>
    <row r="605" spans="80:81">
      <c r="CB605" t="str">
        <f>IF(AND('Competency Event Log'!$B605='Employee Transcript'!$C$4,'Competency Event Log'!$I605&lt;&gt;"Yes"),'Competency Event Log'!$K605,"")</f>
        <v/>
      </c>
      <c r="CC605" t="str">
        <f t="shared" si="49"/>
        <v/>
      </c>
    </row>
    <row r="606" spans="80:81">
      <c r="CB606" t="str">
        <f>IF(AND('Competency Event Log'!$B606='Employee Transcript'!$C$4,'Competency Event Log'!$I606&lt;&gt;"Yes"),'Competency Event Log'!$K606,"")</f>
        <v/>
      </c>
      <c r="CC606" t="str">
        <f t="shared" si="49"/>
        <v/>
      </c>
    </row>
    <row r="607" spans="80:81">
      <c r="CB607" t="str">
        <f>IF(AND('Competency Event Log'!$B607='Employee Transcript'!$C$4,'Competency Event Log'!$I607&lt;&gt;"Yes"),'Competency Event Log'!$K607,"")</f>
        <v/>
      </c>
      <c r="CC607" t="str">
        <f t="shared" si="49"/>
        <v/>
      </c>
    </row>
    <row r="608" spans="80:81">
      <c r="CB608" t="str">
        <f>IF(AND('Competency Event Log'!$B608='Employee Transcript'!$C$4,'Competency Event Log'!$I608&lt;&gt;"Yes"),'Competency Event Log'!$K608,"")</f>
        <v/>
      </c>
      <c r="CC608" t="str">
        <f t="shared" si="49"/>
        <v/>
      </c>
    </row>
    <row r="609" spans="80:81">
      <c r="CB609" t="str">
        <f>IF(AND('Competency Event Log'!$B609='Employee Transcript'!$C$4,'Competency Event Log'!$I609&lt;&gt;"Yes"),'Competency Event Log'!$K609,"")</f>
        <v/>
      </c>
      <c r="CC609" t="str">
        <f t="shared" si="49"/>
        <v/>
      </c>
    </row>
    <row r="610" spans="80:81">
      <c r="CB610" t="str">
        <f>IF(AND('Competency Event Log'!$B610='Employee Transcript'!$C$4,'Competency Event Log'!$I610&lt;&gt;"Yes"),'Competency Event Log'!$K610,"")</f>
        <v/>
      </c>
      <c r="CC610" t="str">
        <f t="shared" si="49"/>
        <v/>
      </c>
    </row>
    <row r="611" spans="80:81">
      <c r="CB611" t="str">
        <f>IF(AND('Competency Event Log'!$B611='Employee Transcript'!$C$4,'Competency Event Log'!$I611&lt;&gt;"Yes"),'Competency Event Log'!$K611,"")</f>
        <v/>
      </c>
      <c r="CC611" t="str">
        <f t="shared" si="49"/>
        <v/>
      </c>
    </row>
    <row r="612" spans="80:81">
      <c r="CB612" t="str">
        <f>IF(AND('Competency Event Log'!$B612='Employee Transcript'!$C$4,'Competency Event Log'!$I612&lt;&gt;"Yes"),'Competency Event Log'!$K612,"")</f>
        <v/>
      </c>
      <c r="CC612" t="str">
        <f t="shared" si="49"/>
        <v/>
      </c>
    </row>
    <row r="613" spans="80:81">
      <c r="CB613" t="str">
        <f>IF(AND('Competency Event Log'!$B613='Employee Transcript'!$C$4,'Competency Event Log'!$I613&lt;&gt;"Yes"),'Competency Event Log'!$K613,"")</f>
        <v/>
      </c>
      <c r="CC613" t="str">
        <f t="shared" si="49"/>
        <v/>
      </c>
    </row>
    <row r="614" spans="80:81">
      <c r="CB614" t="str">
        <f>IF(AND('Competency Event Log'!$B614='Employee Transcript'!$C$4,'Competency Event Log'!$I614&lt;&gt;"Yes"),'Competency Event Log'!$K614,"")</f>
        <v/>
      </c>
      <c r="CC614" t="str">
        <f t="shared" si="49"/>
        <v/>
      </c>
    </row>
    <row r="615" spans="80:81">
      <c r="CB615" t="str">
        <f>IF(AND('Competency Event Log'!$B615='Employee Transcript'!$C$4,'Competency Event Log'!$I615&lt;&gt;"Yes"),'Competency Event Log'!$K615,"")</f>
        <v/>
      </c>
      <c r="CC615" t="str">
        <f t="shared" si="49"/>
        <v/>
      </c>
    </row>
    <row r="616" spans="80:81">
      <c r="CB616" t="str">
        <f>IF(AND('Competency Event Log'!$B616='Employee Transcript'!$C$4,'Competency Event Log'!$I616&lt;&gt;"Yes"),'Competency Event Log'!$K616,"")</f>
        <v/>
      </c>
      <c r="CC616" t="str">
        <f t="shared" si="49"/>
        <v/>
      </c>
    </row>
    <row r="617" spans="80:81">
      <c r="CB617" t="str">
        <f>IF(AND('Competency Event Log'!$B617='Employee Transcript'!$C$4,'Competency Event Log'!$I617&lt;&gt;"Yes"),'Competency Event Log'!$K617,"")</f>
        <v/>
      </c>
      <c r="CC617" t="str">
        <f t="shared" si="49"/>
        <v/>
      </c>
    </row>
    <row r="618" spans="80:81">
      <c r="CB618" t="str">
        <f>IF(AND('Competency Event Log'!$B618='Employee Transcript'!$C$4,'Competency Event Log'!$I618&lt;&gt;"Yes"),'Competency Event Log'!$K618,"")</f>
        <v/>
      </c>
      <c r="CC618" t="str">
        <f t="shared" si="49"/>
        <v/>
      </c>
    </row>
    <row r="619" spans="80:81">
      <c r="CB619" t="str">
        <f>IF(AND('Competency Event Log'!$B619='Employee Transcript'!$C$4,'Competency Event Log'!$I619&lt;&gt;"Yes"),'Competency Event Log'!$K619,"")</f>
        <v/>
      </c>
      <c r="CC619" t="str">
        <f t="shared" si="49"/>
        <v/>
      </c>
    </row>
    <row r="620" spans="80:81">
      <c r="CB620" t="str">
        <f>IF(AND('Competency Event Log'!$B620='Employee Transcript'!$C$4,'Competency Event Log'!$I620&lt;&gt;"Yes"),'Competency Event Log'!$K620,"")</f>
        <v/>
      </c>
      <c r="CC620" t="str">
        <f t="shared" si="49"/>
        <v/>
      </c>
    </row>
    <row r="621" spans="80:81">
      <c r="CB621" t="str">
        <f>IF(AND('Competency Event Log'!$B621='Employee Transcript'!$C$4,'Competency Event Log'!$I621&lt;&gt;"Yes"),'Competency Event Log'!$K621,"")</f>
        <v/>
      </c>
      <c r="CC621" t="str">
        <f t="shared" si="49"/>
        <v/>
      </c>
    </row>
    <row r="622" spans="80:81">
      <c r="CB622" t="str">
        <f>IF(AND('Competency Event Log'!$B622='Employee Transcript'!$C$4,'Competency Event Log'!$I622&lt;&gt;"Yes"),'Competency Event Log'!$K622,"")</f>
        <v/>
      </c>
      <c r="CC622" t="str">
        <f t="shared" si="49"/>
        <v/>
      </c>
    </row>
    <row r="623" spans="80:81">
      <c r="CB623" t="str">
        <f>IF(AND('Competency Event Log'!$B623='Employee Transcript'!$C$4,'Competency Event Log'!$I623&lt;&gt;"Yes"),'Competency Event Log'!$K623,"")</f>
        <v/>
      </c>
      <c r="CC623" t="str">
        <f t="shared" si="49"/>
        <v/>
      </c>
    </row>
    <row r="624" spans="80:81">
      <c r="CB624" t="str">
        <f>IF(AND('Competency Event Log'!$B624='Employee Transcript'!$C$4,'Competency Event Log'!$I624&lt;&gt;"Yes"),'Competency Event Log'!$K624,"")</f>
        <v/>
      </c>
      <c r="CC624" t="str">
        <f t="shared" si="49"/>
        <v/>
      </c>
    </row>
    <row r="625" spans="80:81">
      <c r="CB625" t="str">
        <f>IF(AND('Competency Event Log'!$B625='Employee Transcript'!$C$4,'Competency Event Log'!$I625&lt;&gt;"Yes"),'Competency Event Log'!$K625,"")</f>
        <v/>
      </c>
      <c r="CC625" t="str">
        <f t="shared" si="49"/>
        <v/>
      </c>
    </row>
    <row r="626" spans="80:81">
      <c r="CB626" t="str">
        <f>IF(AND('Competency Event Log'!$B626='Employee Transcript'!$C$4,'Competency Event Log'!$I626&lt;&gt;"Yes"),'Competency Event Log'!$K626,"")</f>
        <v/>
      </c>
      <c r="CC626" t="str">
        <f t="shared" si="49"/>
        <v/>
      </c>
    </row>
    <row r="627" spans="80:81">
      <c r="CB627" t="str">
        <f>IF(AND('Competency Event Log'!$B627='Employee Transcript'!$C$4,'Competency Event Log'!$I627&lt;&gt;"Yes"),'Competency Event Log'!$K627,"")</f>
        <v/>
      </c>
      <c r="CC627" t="str">
        <f t="shared" si="49"/>
        <v/>
      </c>
    </row>
    <row r="628" spans="80:81">
      <c r="CB628" t="str">
        <f>IF(AND('Competency Event Log'!$B628='Employee Transcript'!$C$4,'Competency Event Log'!$I628&lt;&gt;"Yes"),'Competency Event Log'!$K628,"")</f>
        <v/>
      </c>
      <c r="CC628" t="str">
        <f t="shared" si="49"/>
        <v/>
      </c>
    </row>
    <row r="629" spans="80:81">
      <c r="CB629" t="str">
        <f>IF(AND('Competency Event Log'!$B629='Employee Transcript'!$C$4,'Competency Event Log'!$I629&lt;&gt;"Yes"),'Competency Event Log'!$K629,"")</f>
        <v/>
      </c>
      <c r="CC629" t="str">
        <f t="shared" si="49"/>
        <v/>
      </c>
    </row>
    <row r="630" spans="80:81">
      <c r="CB630" t="str">
        <f>IF(AND('Competency Event Log'!$B630='Employee Transcript'!$C$4,'Competency Event Log'!$I630&lt;&gt;"Yes"),'Competency Event Log'!$K630,"")</f>
        <v/>
      </c>
      <c r="CC630" t="str">
        <f t="shared" si="49"/>
        <v/>
      </c>
    </row>
    <row r="631" spans="80:81">
      <c r="CB631" t="str">
        <f>IF(AND('Competency Event Log'!$B631='Employee Transcript'!$C$4,'Competency Event Log'!$I631&lt;&gt;"Yes"),'Competency Event Log'!$K631,"")</f>
        <v/>
      </c>
      <c r="CC631" t="str">
        <f t="shared" si="49"/>
        <v/>
      </c>
    </row>
    <row r="632" spans="80:81">
      <c r="CB632" t="str">
        <f>IF(AND('Competency Event Log'!$B632='Employee Transcript'!$C$4,'Competency Event Log'!$I632&lt;&gt;"Yes"),'Competency Event Log'!$K632,"")</f>
        <v/>
      </c>
      <c r="CC632" t="str">
        <f t="shared" si="49"/>
        <v/>
      </c>
    </row>
    <row r="633" spans="80:81">
      <c r="CB633" t="str">
        <f>IF(AND('Competency Event Log'!$B633='Employee Transcript'!$C$4,'Competency Event Log'!$I633&lt;&gt;"Yes"),'Competency Event Log'!$K633,"")</f>
        <v/>
      </c>
      <c r="CC633" t="str">
        <f t="shared" si="49"/>
        <v/>
      </c>
    </row>
    <row r="634" spans="80:81">
      <c r="CB634" t="str">
        <f>IF(AND('Competency Event Log'!$B634='Employee Transcript'!$C$4,'Competency Event Log'!$I634&lt;&gt;"Yes"),'Competency Event Log'!$K634,"")</f>
        <v/>
      </c>
      <c r="CC634" t="str">
        <f t="shared" si="49"/>
        <v/>
      </c>
    </row>
    <row r="635" spans="80:81">
      <c r="CB635" t="str">
        <f>IF(AND('Competency Event Log'!$B635='Employee Transcript'!$C$4,'Competency Event Log'!$I635&lt;&gt;"Yes"),'Competency Event Log'!$K635,"")</f>
        <v/>
      </c>
      <c r="CC635" t="str">
        <f t="shared" si="49"/>
        <v/>
      </c>
    </row>
    <row r="636" spans="80:81">
      <c r="CB636" t="str">
        <f>IF(AND('Competency Event Log'!$B636='Employee Transcript'!$C$4,'Competency Event Log'!$I636&lt;&gt;"Yes"),'Competency Event Log'!$K636,"")</f>
        <v/>
      </c>
      <c r="CC636" t="str">
        <f t="shared" si="49"/>
        <v/>
      </c>
    </row>
    <row r="637" spans="80:81">
      <c r="CB637" t="str">
        <f>IF(AND('Competency Event Log'!$B637='Employee Transcript'!$C$4,'Competency Event Log'!$I637&lt;&gt;"Yes"),'Competency Event Log'!$K637,"")</f>
        <v/>
      </c>
      <c r="CC637" t="str">
        <f t="shared" si="49"/>
        <v/>
      </c>
    </row>
    <row r="638" spans="80:81">
      <c r="CB638" t="str">
        <f>IF(AND('Competency Event Log'!$B638='Employee Transcript'!$C$4,'Competency Event Log'!$I638&lt;&gt;"Yes"),'Competency Event Log'!$K638,"")</f>
        <v/>
      </c>
      <c r="CC638" t="str">
        <f t="shared" si="49"/>
        <v/>
      </c>
    </row>
    <row r="639" spans="80:81">
      <c r="CB639" t="str">
        <f>IF(AND('Competency Event Log'!$B639='Employee Transcript'!$C$4,'Competency Event Log'!$I639&lt;&gt;"Yes"),'Competency Event Log'!$K639,"")</f>
        <v/>
      </c>
      <c r="CC639" t="str">
        <f t="shared" si="49"/>
        <v/>
      </c>
    </row>
    <row r="640" spans="80:81">
      <c r="CB640" t="str">
        <f>IF(AND('Competency Event Log'!$B640='Employee Transcript'!$C$4,'Competency Event Log'!$I640&lt;&gt;"Yes"),'Competency Event Log'!$K640,"")</f>
        <v/>
      </c>
      <c r="CC640" t="str">
        <f t="shared" si="49"/>
        <v/>
      </c>
    </row>
    <row r="641" spans="80:81">
      <c r="CB641" t="str">
        <f>IF(AND('Competency Event Log'!$B641='Employee Transcript'!$C$4,'Competency Event Log'!$I641&lt;&gt;"Yes"),'Competency Event Log'!$K641,"")</f>
        <v/>
      </c>
      <c r="CC641" t="str">
        <f t="shared" si="49"/>
        <v/>
      </c>
    </row>
    <row r="642" spans="80:81">
      <c r="CB642" t="str">
        <f>IF(AND('Competency Event Log'!$B642='Employee Transcript'!$C$4,'Competency Event Log'!$I642&lt;&gt;"Yes"),'Competency Event Log'!$K642,"")</f>
        <v/>
      </c>
      <c r="CC642" t="str">
        <f t="shared" si="49"/>
        <v/>
      </c>
    </row>
    <row r="643" spans="80:81">
      <c r="CB643" t="str">
        <f>IF(AND('Competency Event Log'!$B643='Employee Transcript'!$C$4,'Competency Event Log'!$I643&lt;&gt;"Yes"),'Competency Event Log'!$K643,"")</f>
        <v/>
      </c>
      <c r="CC643" t="str">
        <f t="shared" si="49"/>
        <v/>
      </c>
    </row>
    <row r="644" spans="80:81">
      <c r="CB644" t="str">
        <f>IF(AND('Competency Event Log'!$B644='Employee Transcript'!$C$4,'Competency Event Log'!$I644&lt;&gt;"Yes"),'Competency Event Log'!$K644,"")</f>
        <v/>
      </c>
      <c r="CC644" t="str">
        <f t="shared" ref="CC644:CC707" si="50">IF(CB644="","",COUNTIF($CB$4:$CB$803,"&gt;"&amp;CB644)+1)</f>
        <v/>
      </c>
    </row>
    <row r="645" spans="80:81">
      <c r="CB645" t="str">
        <f>IF(AND('Competency Event Log'!$B645='Employee Transcript'!$C$4,'Competency Event Log'!$I645&lt;&gt;"Yes"),'Competency Event Log'!$K645,"")</f>
        <v/>
      </c>
      <c r="CC645" t="str">
        <f t="shared" si="50"/>
        <v/>
      </c>
    </row>
    <row r="646" spans="80:81">
      <c r="CB646" t="str">
        <f>IF(AND('Competency Event Log'!$B646='Employee Transcript'!$C$4,'Competency Event Log'!$I646&lt;&gt;"Yes"),'Competency Event Log'!$K646,"")</f>
        <v/>
      </c>
      <c r="CC646" t="str">
        <f t="shared" si="50"/>
        <v/>
      </c>
    </row>
    <row r="647" spans="80:81">
      <c r="CB647" t="str">
        <f>IF(AND('Competency Event Log'!$B647='Employee Transcript'!$C$4,'Competency Event Log'!$I647&lt;&gt;"Yes"),'Competency Event Log'!$K647,"")</f>
        <v/>
      </c>
      <c r="CC647" t="str">
        <f t="shared" si="50"/>
        <v/>
      </c>
    </row>
    <row r="648" spans="80:81">
      <c r="CB648" t="str">
        <f>IF(AND('Competency Event Log'!$B648='Employee Transcript'!$C$4,'Competency Event Log'!$I648&lt;&gt;"Yes"),'Competency Event Log'!$K648,"")</f>
        <v/>
      </c>
      <c r="CC648" t="str">
        <f t="shared" si="50"/>
        <v/>
      </c>
    </row>
    <row r="649" spans="80:81">
      <c r="CB649" t="str">
        <f>IF(AND('Competency Event Log'!$B649='Employee Transcript'!$C$4,'Competency Event Log'!$I649&lt;&gt;"Yes"),'Competency Event Log'!$K649,"")</f>
        <v/>
      </c>
      <c r="CC649" t="str">
        <f t="shared" si="50"/>
        <v/>
      </c>
    </row>
    <row r="650" spans="80:81">
      <c r="CB650" t="str">
        <f>IF(AND('Competency Event Log'!$B650='Employee Transcript'!$C$4,'Competency Event Log'!$I650&lt;&gt;"Yes"),'Competency Event Log'!$K650,"")</f>
        <v/>
      </c>
      <c r="CC650" t="str">
        <f t="shared" si="50"/>
        <v/>
      </c>
    </row>
    <row r="651" spans="80:81">
      <c r="CB651" t="str">
        <f>IF(AND('Competency Event Log'!$B651='Employee Transcript'!$C$4,'Competency Event Log'!$I651&lt;&gt;"Yes"),'Competency Event Log'!$K651,"")</f>
        <v/>
      </c>
      <c r="CC651" t="str">
        <f t="shared" si="50"/>
        <v/>
      </c>
    </row>
    <row r="652" spans="80:81">
      <c r="CB652" t="str">
        <f>IF(AND('Competency Event Log'!$B652='Employee Transcript'!$C$4,'Competency Event Log'!$I652&lt;&gt;"Yes"),'Competency Event Log'!$K652,"")</f>
        <v/>
      </c>
      <c r="CC652" t="str">
        <f t="shared" si="50"/>
        <v/>
      </c>
    </row>
    <row r="653" spans="80:81">
      <c r="CB653" t="str">
        <f>IF(AND('Competency Event Log'!$B653='Employee Transcript'!$C$4,'Competency Event Log'!$I653&lt;&gt;"Yes"),'Competency Event Log'!$K653,"")</f>
        <v/>
      </c>
      <c r="CC653" t="str">
        <f t="shared" si="50"/>
        <v/>
      </c>
    </row>
    <row r="654" spans="80:81">
      <c r="CB654" t="str">
        <f>IF(AND('Competency Event Log'!$B654='Employee Transcript'!$C$4,'Competency Event Log'!$I654&lt;&gt;"Yes"),'Competency Event Log'!$K654,"")</f>
        <v/>
      </c>
      <c r="CC654" t="str">
        <f t="shared" si="50"/>
        <v/>
      </c>
    </row>
    <row r="655" spans="80:81">
      <c r="CB655" t="str">
        <f>IF(AND('Competency Event Log'!$B655='Employee Transcript'!$C$4,'Competency Event Log'!$I655&lt;&gt;"Yes"),'Competency Event Log'!$K655,"")</f>
        <v/>
      </c>
      <c r="CC655" t="str">
        <f t="shared" si="50"/>
        <v/>
      </c>
    </row>
    <row r="656" spans="80:81">
      <c r="CB656" t="str">
        <f>IF(AND('Competency Event Log'!$B656='Employee Transcript'!$C$4,'Competency Event Log'!$I656&lt;&gt;"Yes"),'Competency Event Log'!$K656,"")</f>
        <v/>
      </c>
      <c r="CC656" t="str">
        <f t="shared" si="50"/>
        <v/>
      </c>
    </row>
    <row r="657" spans="80:81">
      <c r="CB657" t="str">
        <f>IF(AND('Competency Event Log'!$B657='Employee Transcript'!$C$4,'Competency Event Log'!$I657&lt;&gt;"Yes"),'Competency Event Log'!$K657,"")</f>
        <v/>
      </c>
      <c r="CC657" t="str">
        <f t="shared" si="50"/>
        <v/>
      </c>
    </row>
    <row r="658" spans="80:81">
      <c r="CB658" t="str">
        <f>IF(AND('Competency Event Log'!$B658='Employee Transcript'!$C$4,'Competency Event Log'!$I658&lt;&gt;"Yes"),'Competency Event Log'!$K658,"")</f>
        <v/>
      </c>
      <c r="CC658" t="str">
        <f t="shared" si="50"/>
        <v/>
      </c>
    </row>
    <row r="659" spans="80:81">
      <c r="CB659" t="str">
        <f>IF(AND('Competency Event Log'!$B659='Employee Transcript'!$C$4,'Competency Event Log'!$I659&lt;&gt;"Yes"),'Competency Event Log'!$K659,"")</f>
        <v/>
      </c>
      <c r="CC659" t="str">
        <f t="shared" si="50"/>
        <v/>
      </c>
    </row>
    <row r="660" spans="80:81">
      <c r="CB660" t="str">
        <f>IF(AND('Competency Event Log'!$B660='Employee Transcript'!$C$4,'Competency Event Log'!$I660&lt;&gt;"Yes"),'Competency Event Log'!$K660,"")</f>
        <v/>
      </c>
      <c r="CC660" t="str">
        <f t="shared" si="50"/>
        <v/>
      </c>
    </row>
    <row r="661" spans="80:81">
      <c r="CB661" t="str">
        <f>IF(AND('Competency Event Log'!$B661='Employee Transcript'!$C$4,'Competency Event Log'!$I661&lt;&gt;"Yes"),'Competency Event Log'!$K661,"")</f>
        <v/>
      </c>
      <c r="CC661" t="str">
        <f t="shared" si="50"/>
        <v/>
      </c>
    </row>
    <row r="662" spans="80:81">
      <c r="CB662" t="str">
        <f>IF(AND('Competency Event Log'!$B662='Employee Transcript'!$C$4,'Competency Event Log'!$I662&lt;&gt;"Yes"),'Competency Event Log'!$K662,"")</f>
        <v/>
      </c>
      <c r="CC662" t="str">
        <f t="shared" si="50"/>
        <v/>
      </c>
    </row>
    <row r="663" spans="80:81">
      <c r="CB663" t="str">
        <f>IF(AND('Competency Event Log'!$B663='Employee Transcript'!$C$4,'Competency Event Log'!$I663&lt;&gt;"Yes"),'Competency Event Log'!$K663,"")</f>
        <v/>
      </c>
      <c r="CC663" t="str">
        <f t="shared" si="50"/>
        <v/>
      </c>
    </row>
    <row r="664" spans="80:81">
      <c r="CB664" t="str">
        <f>IF(AND('Competency Event Log'!$B664='Employee Transcript'!$C$4,'Competency Event Log'!$I664&lt;&gt;"Yes"),'Competency Event Log'!$K664,"")</f>
        <v/>
      </c>
      <c r="CC664" t="str">
        <f t="shared" si="50"/>
        <v/>
      </c>
    </row>
    <row r="665" spans="80:81">
      <c r="CB665" t="str">
        <f>IF(AND('Competency Event Log'!$B665='Employee Transcript'!$C$4,'Competency Event Log'!$I665&lt;&gt;"Yes"),'Competency Event Log'!$K665,"")</f>
        <v/>
      </c>
      <c r="CC665" t="str">
        <f t="shared" si="50"/>
        <v/>
      </c>
    </row>
    <row r="666" spans="80:81">
      <c r="CB666" t="str">
        <f>IF(AND('Competency Event Log'!$B666='Employee Transcript'!$C$4,'Competency Event Log'!$I666&lt;&gt;"Yes"),'Competency Event Log'!$K666,"")</f>
        <v/>
      </c>
      <c r="CC666" t="str">
        <f t="shared" si="50"/>
        <v/>
      </c>
    </row>
    <row r="667" spans="80:81">
      <c r="CB667" t="str">
        <f>IF(AND('Competency Event Log'!$B667='Employee Transcript'!$C$4,'Competency Event Log'!$I667&lt;&gt;"Yes"),'Competency Event Log'!$K667,"")</f>
        <v/>
      </c>
      <c r="CC667" t="str">
        <f t="shared" si="50"/>
        <v/>
      </c>
    </row>
    <row r="668" spans="80:81">
      <c r="CB668" t="str">
        <f>IF(AND('Competency Event Log'!$B668='Employee Transcript'!$C$4,'Competency Event Log'!$I668&lt;&gt;"Yes"),'Competency Event Log'!$K668,"")</f>
        <v/>
      </c>
      <c r="CC668" t="str">
        <f t="shared" si="50"/>
        <v/>
      </c>
    </row>
    <row r="669" spans="80:81">
      <c r="CB669" t="str">
        <f>IF(AND('Competency Event Log'!$B669='Employee Transcript'!$C$4,'Competency Event Log'!$I669&lt;&gt;"Yes"),'Competency Event Log'!$K669,"")</f>
        <v/>
      </c>
      <c r="CC669" t="str">
        <f t="shared" si="50"/>
        <v/>
      </c>
    </row>
    <row r="670" spans="80:81">
      <c r="CB670" t="str">
        <f>IF(AND('Competency Event Log'!$B670='Employee Transcript'!$C$4,'Competency Event Log'!$I670&lt;&gt;"Yes"),'Competency Event Log'!$K670,"")</f>
        <v/>
      </c>
      <c r="CC670" t="str">
        <f t="shared" si="50"/>
        <v/>
      </c>
    </row>
    <row r="671" spans="80:81">
      <c r="CB671" t="str">
        <f>IF(AND('Competency Event Log'!$B671='Employee Transcript'!$C$4,'Competency Event Log'!$I671&lt;&gt;"Yes"),'Competency Event Log'!$K671,"")</f>
        <v/>
      </c>
      <c r="CC671" t="str">
        <f t="shared" si="50"/>
        <v/>
      </c>
    </row>
    <row r="672" spans="80:81">
      <c r="CB672" t="str">
        <f>IF(AND('Competency Event Log'!$B672='Employee Transcript'!$C$4,'Competency Event Log'!$I672&lt;&gt;"Yes"),'Competency Event Log'!$K672,"")</f>
        <v/>
      </c>
      <c r="CC672" t="str">
        <f t="shared" si="50"/>
        <v/>
      </c>
    </row>
    <row r="673" spans="80:81">
      <c r="CB673" t="str">
        <f>IF(AND('Competency Event Log'!$B673='Employee Transcript'!$C$4,'Competency Event Log'!$I673&lt;&gt;"Yes"),'Competency Event Log'!$K673,"")</f>
        <v/>
      </c>
      <c r="CC673" t="str">
        <f t="shared" si="50"/>
        <v/>
      </c>
    </row>
    <row r="674" spans="80:81">
      <c r="CB674" t="str">
        <f>IF(AND('Competency Event Log'!$B674='Employee Transcript'!$C$4,'Competency Event Log'!$I674&lt;&gt;"Yes"),'Competency Event Log'!$K674,"")</f>
        <v/>
      </c>
      <c r="CC674" t="str">
        <f t="shared" si="50"/>
        <v/>
      </c>
    </row>
    <row r="675" spans="80:81">
      <c r="CB675" t="str">
        <f>IF(AND('Competency Event Log'!$B675='Employee Transcript'!$C$4,'Competency Event Log'!$I675&lt;&gt;"Yes"),'Competency Event Log'!$K675,"")</f>
        <v/>
      </c>
      <c r="CC675" t="str">
        <f t="shared" si="50"/>
        <v/>
      </c>
    </row>
    <row r="676" spans="80:81">
      <c r="CB676" t="str">
        <f>IF(AND('Competency Event Log'!$B676='Employee Transcript'!$C$4,'Competency Event Log'!$I676&lt;&gt;"Yes"),'Competency Event Log'!$K676,"")</f>
        <v/>
      </c>
      <c r="CC676" t="str">
        <f t="shared" si="50"/>
        <v/>
      </c>
    </row>
    <row r="677" spans="80:81">
      <c r="CB677" t="str">
        <f>IF(AND('Competency Event Log'!$B677='Employee Transcript'!$C$4,'Competency Event Log'!$I677&lt;&gt;"Yes"),'Competency Event Log'!$K677,"")</f>
        <v/>
      </c>
      <c r="CC677" t="str">
        <f t="shared" si="50"/>
        <v/>
      </c>
    </row>
    <row r="678" spans="80:81">
      <c r="CB678" t="str">
        <f>IF(AND('Competency Event Log'!$B678='Employee Transcript'!$C$4,'Competency Event Log'!$I678&lt;&gt;"Yes"),'Competency Event Log'!$K678,"")</f>
        <v/>
      </c>
      <c r="CC678" t="str">
        <f t="shared" si="50"/>
        <v/>
      </c>
    </row>
    <row r="679" spans="80:81">
      <c r="CB679" t="str">
        <f>IF(AND('Competency Event Log'!$B679='Employee Transcript'!$C$4,'Competency Event Log'!$I679&lt;&gt;"Yes"),'Competency Event Log'!$K679,"")</f>
        <v/>
      </c>
      <c r="CC679" t="str">
        <f t="shared" si="50"/>
        <v/>
      </c>
    </row>
    <row r="680" spans="80:81">
      <c r="CB680" t="str">
        <f>IF(AND('Competency Event Log'!$B680='Employee Transcript'!$C$4,'Competency Event Log'!$I680&lt;&gt;"Yes"),'Competency Event Log'!$K680,"")</f>
        <v/>
      </c>
      <c r="CC680" t="str">
        <f t="shared" si="50"/>
        <v/>
      </c>
    </row>
    <row r="681" spans="80:81">
      <c r="CB681" t="str">
        <f>IF(AND('Competency Event Log'!$B681='Employee Transcript'!$C$4,'Competency Event Log'!$I681&lt;&gt;"Yes"),'Competency Event Log'!$K681,"")</f>
        <v/>
      </c>
      <c r="CC681" t="str">
        <f t="shared" si="50"/>
        <v/>
      </c>
    </row>
    <row r="682" spans="80:81">
      <c r="CB682" t="str">
        <f>IF(AND('Competency Event Log'!$B682='Employee Transcript'!$C$4,'Competency Event Log'!$I682&lt;&gt;"Yes"),'Competency Event Log'!$K682,"")</f>
        <v/>
      </c>
      <c r="CC682" t="str">
        <f t="shared" si="50"/>
        <v/>
      </c>
    </row>
    <row r="683" spans="80:81">
      <c r="CB683" t="str">
        <f>IF(AND('Competency Event Log'!$B683='Employee Transcript'!$C$4,'Competency Event Log'!$I683&lt;&gt;"Yes"),'Competency Event Log'!$K683,"")</f>
        <v/>
      </c>
      <c r="CC683" t="str">
        <f t="shared" si="50"/>
        <v/>
      </c>
    </row>
    <row r="684" spans="80:81">
      <c r="CB684" t="str">
        <f>IF(AND('Competency Event Log'!$B684='Employee Transcript'!$C$4,'Competency Event Log'!$I684&lt;&gt;"Yes"),'Competency Event Log'!$K684,"")</f>
        <v/>
      </c>
      <c r="CC684" t="str">
        <f t="shared" si="50"/>
        <v/>
      </c>
    </row>
    <row r="685" spans="80:81">
      <c r="CB685" t="str">
        <f>IF(AND('Competency Event Log'!$B685='Employee Transcript'!$C$4,'Competency Event Log'!$I685&lt;&gt;"Yes"),'Competency Event Log'!$K685,"")</f>
        <v/>
      </c>
      <c r="CC685" t="str">
        <f t="shared" si="50"/>
        <v/>
      </c>
    </row>
    <row r="686" spans="80:81">
      <c r="CB686" t="str">
        <f>IF(AND('Competency Event Log'!$B686='Employee Transcript'!$C$4,'Competency Event Log'!$I686&lt;&gt;"Yes"),'Competency Event Log'!$K686,"")</f>
        <v/>
      </c>
      <c r="CC686" t="str">
        <f t="shared" si="50"/>
        <v/>
      </c>
    </row>
    <row r="687" spans="80:81">
      <c r="CB687" t="str">
        <f>IF(AND('Competency Event Log'!$B687='Employee Transcript'!$C$4,'Competency Event Log'!$I687&lt;&gt;"Yes"),'Competency Event Log'!$K687,"")</f>
        <v/>
      </c>
      <c r="CC687" t="str">
        <f t="shared" si="50"/>
        <v/>
      </c>
    </row>
    <row r="688" spans="80:81">
      <c r="CB688" t="str">
        <f>IF(AND('Competency Event Log'!$B688='Employee Transcript'!$C$4,'Competency Event Log'!$I688&lt;&gt;"Yes"),'Competency Event Log'!$K688,"")</f>
        <v/>
      </c>
      <c r="CC688" t="str">
        <f t="shared" si="50"/>
        <v/>
      </c>
    </row>
    <row r="689" spans="80:81">
      <c r="CB689" t="str">
        <f>IF(AND('Competency Event Log'!$B689='Employee Transcript'!$C$4,'Competency Event Log'!$I689&lt;&gt;"Yes"),'Competency Event Log'!$K689,"")</f>
        <v/>
      </c>
      <c r="CC689" t="str">
        <f t="shared" si="50"/>
        <v/>
      </c>
    </row>
    <row r="690" spans="80:81">
      <c r="CB690" t="str">
        <f>IF(AND('Competency Event Log'!$B690='Employee Transcript'!$C$4,'Competency Event Log'!$I690&lt;&gt;"Yes"),'Competency Event Log'!$K690,"")</f>
        <v/>
      </c>
      <c r="CC690" t="str">
        <f t="shared" si="50"/>
        <v/>
      </c>
    </row>
    <row r="691" spans="80:81">
      <c r="CB691" t="str">
        <f>IF(AND('Competency Event Log'!$B691='Employee Transcript'!$C$4,'Competency Event Log'!$I691&lt;&gt;"Yes"),'Competency Event Log'!$K691,"")</f>
        <v/>
      </c>
      <c r="CC691" t="str">
        <f t="shared" si="50"/>
        <v/>
      </c>
    </row>
    <row r="692" spans="80:81">
      <c r="CB692" t="str">
        <f>IF(AND('Competency Event Log'!$B692='Employee Transcript'!$C$4,'Competency Event Log'!$I692&lt;&gt;"Yes"),'Competency Event Log'!$K692,"")</f>
        <v/>
      </c>
      <c r="CC692" t="str">
        <f t="shared" si="50"/>
        <v/>
      </c>
    </row>
    <row r="693" spans="80:81">
      <c r="CB693" t="str">
        <f>IF(AND('Competency Event Log'!$B693='Employee Transcript'!$C$4,'Competency Event Log'!$I693&lt;&gt;"Yes"),'Competency Event Log'!$K693,"")</f>
        <v/>
      </c>
      <c r="CC693" t="str">
        <f t="shared" si="50"/>
        <v/>
      </c>
    </row>
    <row r="694" spans="80:81">
      <c r="CB694" t="str">
        <f>IF(AND('Competency Event Log'!$B694='Employee Transcript'!$C$4,'Competency Event Log'!$I694&lt;&gt;"Yes"),'Competency Event Log'!$K694,"")</f>
        <v/>
      </c>
      <c r="CC694" t="str">
        <f t="shared" si="50"/>
        <v/>
      </c>
    </row>
    <row r="695" spans="80:81">
      <c r="CB695" t="str">
        <f>IF(AND('Competency Event Log'!$B695='Employee Transcript'!$C$4,'Competency Event Log'!$I695&lt;&gt;"Yes"),'Competency Event Log'!$K695,"")</f>
        <v/>
      </c>
      <c r="CC695" t="str">
        <f t="shared" si="50"/>
        <v/>
      </c>
    </row>
    <row r="696" spans="80:81">
      <c r="CB696" t="str">
        <f>IF(AND('Competency Event Log'!$B696='Employee Transcript'!$C$4,'Competency Event Log'!$I696&lt;&gt;"Yes"),'Competency Event Log'!$K696,"")</f>
        <v/>
      </c>
      <c r="CC696" t="str">
        <f t="shared" si="50"/>
        <v/>
      </c>
    </row>
    <row r="697" spans="80:81">
      <c r="CB697" t="str">
        <f>IF(AND('Competency Event Log'!$B697='Employee Transcript'!$C$4,'Competency Event Log'!$I697&lt;&gt;"Yes"),'Competency Event Log'!$K697,"")</f>
        <v/>
      </c>
      <c r="CC697" t="str">
        <f t="shared" si="50"/>
        <v/>
      </c>
    </row>
    <row r="698" spans="80:81">
      <c r="CB698" t="str">
        <f>IF(AND('Competency Event Log'!$B698='Employee Transcript'!$C$4,'Competency Event Log'!$I698&lt;&gt;"Yes"),'Competency Event Log'!$K698,"")</f>
        <v/>
      </c>
      <c r="CC698" t="str">
        <f t="shared" si="50"/>
        <v/>
      </c>
    </row>
    <row r="699" spans="80:81">
      <c r="CB699" t="str">
        <f>IF(AND('Competency Event Log'!$B699='Employee Transcript'!$C$4,'Competency Event Log'!$I699&lt;&gt;"Yes"),'Competency Event Log'!$K699,"")</f>
        <v/>
      </c>
      <c r="CC699" t="str">
        <f t="shared" si="50"/>
        <v/>
      </c>
    </row>
    <row r="700" spans="80:81">
      <c r="CB700" t="str">
        <f>IF(AND('Competency Event Log'!$B700='Employee Transcript'!$C$4,'Competency Event Log'!$I700&lt;&gt;"Yes"),'Competency Event Log'!$K700,"")</f>
        <v/>
      </c>
      <c r="CC700" t="str">
        <f t="shared" si="50"/>
        <v/>
      </c>
    </row>
    <row r="701" spans="80:81">
      <c r="CB701" t="str">
        <f>IF(AND('Competency Event Log'!$B701='Employee Transcript'!$C$4,'Competency Event Log'!$I701&lt;&gt;"Yes"),'Competency Event Log'!$K701,"")</f>
        <v/>
      </c>
      <c r="CC701" t="str">
        <f t="shared" si="50"/>
        <v/>
      </c>
    </row>
    <row r="702" spans="80:81">
      <c r="CB702" t="str">
        <f>IF(AND('Competency Event Log'!$B702='Employee Transcript'!$C$4,'Competency Event Log'!$I702&lt;&gt;"Yes"),'Competency Event Log'!$K702,"")</f>
        <v/>
      </c>
      <c r="CC702" t="str">
        <f t="shared" si="50"/>
        <v/>
      </c>
    </row>
    <row r="703" spans="80:81">
      <c r="CB703" t="str">
        <f>IF(AND('Competency Event Log'!$B703='Employee Transcript'!$C$4,'Competency Event Log'!$I703&lt;&gt;"Yes"),'Competency Event Log'!$K703,"")</f>
        <v/>
      </c>
      <c r="CC703" t="str">
        <f t="shared" si="50"/>
        <v/>
      </c>
    </row>
    <row r="704" spans="80:81">
      <c r="CB704" t="str">
        <f>IF(AND('Competency Event Log'!$B704='Employee Transcript'!$C$4,'Competency Event Log'!$I704&lt;&gt;"Yes"),'Competency Event Log'!$K704,"")</f>
        <v/>
      </c>
      <c r="CC704" t="str">
        <f t="shared" si="50"/>
        <v/>
      </c>
    </row>
    <row r="705" spans="80:81">
      <c r="CB705" t="str">
        <f>IF(AND('Competency Event Log'!$B705='Employee Transcript'!$C$4,'Competency Event Log'!$I705&lt;&gt;"Yes"),'Competency Event Log'!$K705,"")</f>
        <v/>
      </c>
      <c r="CC705" t="str">
        <f t="shared" si="50"/>
        <v/>
      </c>
    </row>
    <row r="706" spans="80:81">
      <c r="CB706" t="str">
        <f>IF(AND('Competency Event Log'!$B706='Employee Transcript'!$C$4,'Competency Event Log'!$I706&lt;&gt;"Yes"),'Competency Event Log'!$K706,"")</f>
        <v/>
      </c>
      <c r="CC706" t="str">
        <f t="shared" si="50"/>
        <v/>
      </c>
    </row>
    <row r="707" spans="80:81">
      <c r="CB707" t="str">
        <f>IF(AND('Competency Event Log'!$B707='Employee Transcript'!$C$4,'Competency Event Log'!$I707&lt;&gt;"Yes"),'Competency Event Log'!$K707,"")</f>
        <v/>
      </c>
      <c r="CC707" t="str">
        <f t="shared" si="50"/>
        <v/>
      </c>
    </row>
    <row r="708" spans="80:81">
      <c r="CB708" t="str">
        <f>IF(AND('Competency Event Log'!$B708='Employee Transcript'!$C$4,'Competency Event Log'!$I708&lt;&gt;"Yes"),'Competency Event Log'!$K708,"")</f>
        <v/>
      </c>
      <c r="CC708" t="str">
        <f t="shared" ref="CC708:CC771" si="51">IF(CB708="","",COUNTIF($CB$4:$CB$803,"&gt;"&amp;CB708)+1)</f>
        <v/>
      </c>
    </row>
    <row r="709" spans="80:81">
      <c r="CB709" t="str">
        <f>IF(AND('Competency Event Log'!$B709='Employee Transcript'!$C$4,'Competency Event Log'!$I709&lt;&gt;"Yes"),'Competency Event Log'!$K709,"")</f>
        <v/>
      </c>
      <c r="CC709" t="str">
        <f t="shared" si="51"/>
        <v/>
      </c>
    </row>
    <row r="710" spans="80:81">
      <c r="CB710" t="str">
        <f>IF(AND('Competency Event Log'!$B710='Employee Transcript'!$C$4,'Competency Event Log'!$I710&lt;&gt;"Yes"),'Competency Event Log'!$K710,"")</f>
        <v/>
      </c>
      <c r="CC710" t="str">
        <f t="shared" si="51"/>
        <v/>
      </c>
    </row>
    <row r="711" spans="80:81">
      <c r="CB711" t="str">
        <f>IF(AND('Competency Event Log'!$B711='Employee Transcript'!$C$4,'Competency Event Log'!$I711&lt;&gt;"Yes"),'Competency Event Log'!$K711,"")</f>
        <v/>
      </c>
      <c r="CC711" t="str">
        <f t="shared" si="51"/>
        <v/>
      </c>
    </row>
    <row r="712" spans="80:81">
      <c r="CB712" t="str">
        <f>IF(AND('Competency Event Log'!$B712='Employee Transcript'!$C$4,'Competency Event Log'!$I712&lt;&gt;"Yes"),'Competency Event Log'!$K712,"")</f>
        <v/>
      </c>
      <c r="CC712" t="str">
        <f t="shared" si="51"/>
        <v/>
      </c>
    </row>
    <row r="713" spans="80:81">
      <c r="CB713" t="str">
        <f>IF(AND('Competency Event Log'!$B713='Employee Transcript'!$C$4,'Competency Event Log'!$I713&lt;&gt;"Yes"),'Competency Event Log'!$K713,"")</f>
        <v/>
      </c>
      <c r="CC713" t="str">
        <f t="shared" si="51"/>
        <v/>
      </c>
    </row>
    <row r="714" spans="80:81">
      <c r="CB714" t="str">
        <f>IF(AND('Competency Event Log'!$B714='Employee Transcript'!$C$4,'Competency Event Log'!$I714&lt;&gt;"Yes"),'Competency Event Log'!$K714,"")</f>
        <v/>
      </c>
      <c r="CC714" t="str">
        <f t="shared" si="51"/>
        <v/>
      </c>
    </row>
    <row r="715" spans="80:81">
      <c r="CB715" t="str">
        <f>IF(AND('Competency Event Log'!$B715='Employee Transcript'!$C$4,'Competency Event Log'!$I715&lt;&gt;"Yes"),'Competency Event Log'!$K715,"")</f>
        <v/>
      </c>
      <c r="CC715" t="str">
        <f t="shared" si="51"/>
        <v/>
      </c>
    </row>
    <row r="716" spans="80:81">
      <c r="CB716" t="str">
        <f>IF(AND('Competency Event Log'!$B716='Employee Transcript'!$C$4,'Competency Event Log'!$I716&lt;&gt;"Yes"),'Competency Event Log'!$K716,"")</f>
        <v/>
      </c>
      <c r="CC716" t="str">
        <f t="shared" si="51"/>
        <v/>
      </c>
    </row>
    <row r="717" spans="80:81">
      <c r="CB717" t="str">
        <f>IF(AND('Competency Event Log'!$B717='Employee Transcript'!$C$4,'Competency Event Log'!$I717&lt;&gt;"Yes"),'Competency Event Log'!$K717,"")</f>
        <v/>
      </c>
      <c r="CC717" t="str">
        <f t="shared" si="51"/>
        <v/>
      </c>
    </row>
    <row r="718" spans="80:81">
      <c r="CB718" t="str">
        <f>IF(AND('Competency Event Log'!$B718='Employee Transcript'!$C$4,'Competency Event Log'!$I718&lt;&gt;"Yes"),'Competency Event Log'!$K718,"")</f>
        <v/>
      </c>
      <c r="CC718" t="str">
        <f t="shared" si="51"/>
        <v/>
      </c>
    </row>
    <row r="719" spans="80:81">
      <c r="CB719" t="str">
        <f>IF(AND('Competency Event Log'!$B719='Employee Transcript'!$C$4,'Competency Event Log'!$I719&lt;&gt;"Yes"),'Competency Event Log'!$K719,"")</f>
        <v/>
      </c>
      <c r="CC719" t="str">
        <f t="shared" si="51"/>
        <v/>
      </c>
    </row>
    <row r="720" spans="80:81">
      <c r="CB720" t="str">
        <f>IF(AND('Competency Event Log'!$B720='Employee Transcript'!$C$4,'Competency Event Log'!$I720&lt;&gt;"Yes"),'Competency Event Log'!$K720,"")</f>
        <v/>
      </c>
      <c r="CC720" t="str">
        <f t="shared" si="51"/>
        <v/>
      </c>
    </row>
    <row r="721" spans="80:81">
      <c r="CB721" t="str">
        <f>IF(AND('Competency Event Log'!$B721='Employee Transcript'!$C$4,'Competency Event Log'!$I721&lt;&gt;"Yes"),'Competency Event Log'!$K721,"")</f>
        <v/>
      </c>
      <c r="CC721" t="str">
        <f t="shared" si="51"/>
        <v/>
      </c>
    </row>
    <row r="722" spans="80:81">
      <c r="CB722" t="str">
        <f>IF(AND('Competency Event Log'!$B722='Employee Transcript'!$C$4,'Competency Event Log'!$I722&lt;&gt;"Yes"),'Competency Event Log'!$K722,"")</f>
        <v/>
      </c>
      <c r="CC722" t="str">
        <f t="shared" si="51"/>
        <v/>
      </c>
    </row>
    <row r="723" spans="80:81">
      <c r="CB723" t="str">
        <f>IF(AND('Competency Event Log'!$B723='Employee Transcript'!$C$4,'Competency Event Log'!$I723&lt;&gt;"Yes"),'Competency Event Log'!$K723,"")</f>
        <v/>
      </c>
      <c r="CC723" t="str">
        <f t="shared" si="51"/>
        <v/>
      </c>
    </row>
    <row r="724" spans="80:81">
      <c r="CB724" t="str">
        <f>IF(AND('Competency Event Log'!$B724='Employee Transcript'!$C$4,'Competency Event Log'!$I724&lt;&gt;"Yes"),'Competency Event Log'!$K724,"")</f>
        <v/>
      </c>
      <c r="CC724" t="str">
        <f t="shared" si="51"/>
        <v/>
      </c>
    </row>
    <row r="725" spans="80:81">
      <c r="CB725" t="str">
        <f>IF(AND('Competency Event Log'!$B725='Employee Transcript'!$C$4,'Competency Event Log'!$I725&lt;&gt;"Yes"),'Competency Event Log'!$K725,"")</f>
        <v/>
      </c>
      <c r="CC725" t="str">
        <f t="shared" si="51"/>
        <v/>
      </c>
    </row>
    <row r="726" spans="80:81">
      <c r="CB726" t="str">
        <f>IF(AND('Competency Event Log'!$B726='Employee Transcript'!$C$4,'Competency Event Log'!$I726&lt;&gt;"Yes"),'Competency Event Log'!$K726,"")</f>
        <v/>
      </c>
      <c r="CC726" t="str">
        <f t="shared" si="51"/>
        <v/>
      </c>
    </row>
    <row r="727" spans="80:81">
      <c r="CB727" t="str">
        <f>IF(AND('Competency Event Log'!$B727='Employee Transcript'!$C$4,'Competency Event Log'!$I727&lt;&gt;"Yes"),'Competency Event Log'!$K727,"")</f>
        <v/>
      </c>
      <c r="CC727" t="str">
        <f t="shared" si="51"/>
        <v/>
      </c>
    </row>
    <row r="728" spans="80:81">
      <c r="CB728" t="str">
        <f>IF(AND('Competency Event Log'!$B728='Employee Transcript'!$C$4,'Competency Event Log'!$I728&lt;&gt;"Yes"),'Competency Event Log'!$K728,"")</f>
        <v/>
      </c>
      <c r="CC728" t="str">
        <f t="shared" si="51"/>
        <v/>
      </c>
    </row>
    <row r="729" spans="80:81">
      <c r="CB729" t="str">
        <f>IF(AND('Competency Event Log'!$B729='Employee Transcript'!$C$4,'Competency Event Log'!$I729&lt;&gt;"Yes"),'Competency Event Log'!$K729,"")</f>
        <v/>
      </c>
      <c r="CC729" t="str">
        <f t="shared" si="51"/>
        <v/>
      </c>
    </row>
    <row r="730" spans="80:81">
      <c r="CB730" t="str">
        <f>IF(AND('Competency Event Log'!$B730='Employee Transcript'!$C$4,'Competency Event Log'!$I730&lt;&gt;"Yes"),'Competency Event Log'!$K730,"")</f>
        <v/>
      </c>
      <c r="CC730" t="str">
        <f t="shared" si="51"/>
        <v/>
      </c>
    </row>
    <row r="731" spans="80:81">
      <c r="CB731" t="str">
        <f>IF(AND('Competency Event Log'!$B731='Employee Transcript'!$C$4,'Competency Event Log'!$I731&lt;&gt;"Yes"),'Competency Event Log'!$K731,"")</f>
        <v/>
      </c>
      <c r="CC731" t="str">
        <f t="shared" si="51"/>
        <v/>
      </c>
    </row>
    <row r="732" spans="80:81">
      <c r="CB732" t="str">
        <f>IF(AND('Competency Event Log'!$B732='Employee Transcript'!$C$4,'Competency Event Log'!$I732&lt;&gt;"Yes"),'Competency Event Log'!$K732,"")</f>
        <v/>
      </c>
      <c r="CC732" t="str">
        <f t="shared" si="51"/>
        <v/>
      </c>
    </row>
    <row r="733" spans="80:81">
      <c r="CB733" t="str">
        <f>IF(AND('Competency Event Log'!$B733='Employee Transcript'!$C$4,'Competency Event Log'!$I733&lt;&gt;"Yes"),'Competency Event Log'!$K733,"")</f>
        <v/>
      </c>
      <c r="CC733" t="str">
        <f t="shared" si="51"/>
        <v/>
      </c>
    </row>
    <row r="734" spans="80:81">
      <c r="CB734" t="str">
        <f>IF(AND('Competency Event Log'!$B734='Employee Transcript'!$C$4,'Competency Event Log'!$I734&lt;&gt;"Yes"),'Competency Event Log'!$K734,"")</f>
        <v/>
      </c>
      <c r="CC734" t="str">
        <f t="shared" si="51"/>
        <v/>
      </c>
    </row>
    <row r="735" spans="80:81">
      <c r="CB735" t="str">
        <f>IF(AND('Competency Event Log'!$B735='Employee Transcript'!$C$4,'Competency Event Log'!$I735&lt;&gt;"Yes"),'Competency Event Log'!$K735,"")</f>
        <v/>
      </c>
      <c r="CC735" t="str">
        <f t="shared" si="51"/>
        <v/>
      </c>
    </row>
    <row r="736" spans="80:81">
      <c r="CB736" t="str">
        <f>IF(AND('Competency Event Log'!$B736='Employee Transcript'!$C$4,'Competency Event Log'!$I736&lt;&gt;"Yes"),'Competency Event Log'!$K736,"")</f>
        <v/>
      </c>
      <c r="CC736" t="str">
        <f t="shared" si="51"/>
        <v/>
      </c>
    </row>
    <row r="737" spans="80:81">
      <c r="CB737" t="str">
        <f>IF(AND('Competency Event Log'!$B737='Employee Transcript'!$C$4,'Competency Event Log'!$I737&lt;&gt;"Yes"),'Competency Event Log'!$K737,"")</f>
        <v/>
      </c>
      <c r="CC737" t="str">
        <f t="shared" si="51"/>
        <v/>
      </c>
    </row>
    <row r="738" spans="80:81">
      <c r="CB738" t="str">
        <f>IF(AND('Competency Event Log'!$B738='Employee Transcript'!$C$4,'Competency Event Log'!$I738&lt;&gt;"Yes"),'Competency Event Log'!$K738,"")</f>
        <v/>
      </c>
      <c r="CC738" t="str">
        <f t="shared" si="51"/>
        <v/>
      </c>
    </row>
    <row r="739" spans="80:81">
      <c r="CB739" t="str">
        <f>IF(AND('Competency Event Log'!$B739='Employee Transcript'!$C$4,'Competency Event Log'!$I739&lt;&gt;"Yes"),'Competency Event Log'!$K739,"")</f>
        <v/>
      </c>
      <c r="CC739" t="str">
        <f t="shared" si="51"/>
        <v/>
      </c>
    </row>
    <row r="740" spans="80:81">
      <c r="CB740" t="str">
        <f>IF(AND('Competency Event Log'!$B740='Employee Transcript'!$C$4,'Competency Event Log'!$I740&lt;&gt;"Yes"),'Competency Event Log'!$K740,"")</f>
        <v/>
      </c>
      <c r="CC740" t="str">
        <f t="shared" si="51"/>
        <v/>
      </c>
    </row>
    <row r="741" spans="80:81">
      <c r="CB741" t="str">
        <f>IF(AND('Competency Event Log'!$B741='Employee Transcript'!$C$4,'Competency Event Log'!$I741&lt;&gt;"Yes"),'Competency Event Log'!$K741,"")</f>
        <v/>
      </c>
      <c r="CC741" t="str">
        <f t="shared" si="51"/>
        <v/>
      </c>
    </row>
    <row r="742" spans="80:81">
      <c r="CB742" t="str">
        <f>IF(AND('Competency Event Log'!$B742='Employee Transcript'!$C$4,'Competency Event Log'!$I742&lt;&gt;"Yes"),'Competency Event Log'!$K742,"")</f>
        <v/>
      </c>
      <c r="CC742" t="str">
        <f t="shared" si="51"/>
        <v/>
      </c>
    </row>
    <row r="743" spans="80:81">
      <c r="CB743" t="str">
        <f>IF(AND('Competency Event Log'!$B743='Employee Transcript'!$C$4,'Competency Event Log'!$I743&lt;&gt;"Yes"),'Competency Event Log'!$K743,"")</f>
        <v/>
      </c>
      <c r="CC743" t="str">
        <f t="shared" si="51"/>
        <v/>
      </c>
    </row>
    <row r="744" spans="80:81">
      <c r="CB744" t="str">
        <f>IF(AND('Competency Event Log'!$B744='Employee Transcript'!$C$4,'Competency Event Log'!$I744&lt;&gt;"Yes"),'Competency Event Log'!$K744,"")</f>
        <v/>
      </c>
      <c r="CC744" t="str">
        <f t="shared" si="51"/>
        <v/>
      </c>
    </row>
    <row r="745" spans="80:81">
      <c r="CB745" t="str">
        <f>IF(AND('Competency Event Log'!$B745='Employee Transcript'!$C$4,'Competency Event Log'!$I745&lt;&gt;"Yes"),'Competency Event Log'!$K745,"")</f>
        <v/>
      </c>
      <c r="CC745" t="str">
        <f t="shared" si="51"/>
        <v/>
      </c>
    </row>
    <row r="746" spans="80:81">
      <c r="CB746" t="str">
        <f>IF(AND('Competency Event Log'!$B746='Employee Transcript'!$C$4,'Competency Event Log'!$I746&lt;&gt;"Yes"),'Competency Event Log'!$K746,"")</f>
        <v/>
      </c>
      <c r="CC746" t="str">
        <f t="shared" si="51"/>
        <v/>
      </c>
    </row>
    <row r="747" spans="80:81">
      <c r="CB747" t="str">
        <f>IF(AND('Competency Event Log'!$B747='Employee Transcript'!$C$4,'Competency Event Log'!$I747&lt;&gt;"Yes"),'Competency Event Log'!$K747,"")</f>
        <v/>
      </c>
      <c r="CC747" t="str">
        <f t="shared" si="51"/>
        <v/>
      </c>
    </row>
    <row r="748" spans="80:81">
      <c r="CB748" t="str">
        <f>IF(AND('Competency Event Log'!$B748='Employee Transcript'!$C$4,'Competency Event Log'!$I748&lt;&gt;"Yes"),'Competency Event Log'!$K748,"")</f>
        <v/>
      </c>
      <c r="CC748" t="str">
        <f t="shared" si="51"/>
        <v/>
      </c>
    </row>
    <row r="749" spans="80:81">
      <c r="CB749" t="str">
        <f>IF(AND('Competency Event Log'!$B749='Employee Transcript'!$C$4,'Competency Event Log'!$I749&lt;&gt;"Yes"),'Competency Event Log'!$K749,"")</f>
        <v/>
      </c>
      <c r="CC749" t="str">
        <f t="shared" si="51"/>
        <v/>
      </c>
    </row>
    <row r="750" spans="80:81">
      <c r="CB750" t="str">
        <f>IF(AND('Competency Event Log'!$B750='Employee Transcript'!$C$4,'Competency Event Log'!$I750&lt;&gt;"Yes"),'Competency Event Log'!$K750,"")</f>
        <v/>
      </c>
      <c r="CC750" t="str">
        <f t="shared" si="51"/>
        <v/>
      </c>
    </row>
    <row r="751" spans="80:81">
      <c r="CB751" t="str">
        <f>IF(AND('Competency Event Log'!$B751='Employee Transcript'!$C$4,'Competency Event Log'!$I751&lt;&gt;"Yes"),'Competency Event Log'!$K751,"")</f>
        <v/>
      </c>
      <c r="CC751" t="str">
        <f t="shared" si="51"/>
        <v/>
      </c>
    </row>
    <row r="752" spans="80:81">
      <c r="CB752" t="str">
        <f>IF(AND('Competency Event Log'!$B752='Employee Transcript'!$C$4,'Competency Event Log'!$I752&lt;&gt;"Yes"),'Competency Event Log'!$K752,"")</f>
        <v/>
      </c>
      <c r="CC752" t="str">
        <f t="shared" si="51"/>
        <v/>
      </c>
    </row>
    <row r="753" spans="80:81">
      <c r="CB753" t="str">
        <f>IF(AND('Competency Event Log'!$B753='Employee Transcript'!$C$4,'Competency Event Log'!$I753&lt;&gt;"Yes"),'Competency Event Log'!$K753,"")</f>
        <v/>
      </c>
      <c r="CC753" t="str">
        <f t="shared" si="51"/>
        <v/>
      </c>
    </row>
    <row r="754" spans="80:81">
      <c r="CB754" t="str">
        <f>IF(AND('Competency Event Log'!$B754='Employee Transcript'!$C$4,'Competency Event Log'!$I754&lt;&gt;"Yes"),'Competency Event Log'!$K754,"")</f>
        <v/>
      </c>
      <c r="CC754" t="str">
        <f t="shared" si="51"/>
        <v/>
      </c>
    </row>
    <row r="755" spans="80:81">
      <c r="CB755" t="str">
        <f>IF(AND('Competency Event Log'!$B755='Employee Transcript'!$C$4,'Competency Event Log'!$I755&lt;&gt;"Yes"),'Competency Event Log'!$K755,"")</f>
        <v/>
      </c>
      <c r="CC755" t="str">
        <f t="shared" si="51"/>
        <v/>
      </c>
    </row>
    <row r="756" spans="80:81">
      <c r="CB756" t="str">
        <f>IF(AND('Competency Event Log'!$B756='Employee Transcript'!$C$4,'Competency Event Log'!$I756&lt;&gt;"Yes"),'Competency Event Log'!$K756,"")</f>
        <v/>
      </c>
      <c r="CC756" t="str">
        <f t="shared" si="51"/>
        <v/>
      </c>
    </row>
    <row r="757" spans="80:81">
      <c r="CB757" t="str">
        <f>IF(AND('Competency Event Log'!$B757='Employee Transcript'!$C$4,'Competency Event Log'!$I757&lt;&gt;"Yes"),'Competency Event Log'!$K757,"")</f>
        <v/>
      </c>
      <c r="CC757" t="str">
        <f t="shared" si="51"/>
        <v/>
      </c>
    </row>
    <row r="758" spans="80:81">
      <c r="CB758" t="str">
        <f>IF(AND('Competency Event Log'!$B758='Employee Transcript'!$C$4,'Competency Event Log'!$I758&lt;&gt;"Yes"),'Competency Event Log'!$K758,"")</f>
        <v/>
      </c>
      <c r="CC758" t="str">
        <f t="shared" si="51"/>
        <v/>
      </c>
    </row>
    <row r="759" spans="80:81">
      <c r="CB759" t="str">
        <f>IF(AND('Competency Event Log'!$B759='Employee Transcript'!$C$4,'Competency Event Log'!$I759&lt;&gt;"Yes"),'Competency Event Log'!$K759,"")</f>
        <v/>
      </c>
      <c r="CC759" t="str">
        <f t="shared" si="51"/>
        <v/>
      </c>
    </row>
    <row r="760" spans="80:81">
      <c r="CB760" t="str">
        <f>IF(AND('Competency Event Log'!$B760='Employee Transcript'!$C$4,'Competency Event Log'!$I760&lt;&gt;"Yes"),'Competency Event Log'!$K760,"")</f>
        <v/>
      </c>
      <c r="CC760" t="str">
        <f t="shared" si="51"/>
        <v/>
      </c>
    </row>
    <row r="761" spans="80:81">
      <c r="CB761" t="str">
        <f>IF(AND('Competency Event Log'!$B761='Employee Transcript'!$C$4,'Competency Event Log'!$I761&lt;&gt;"Yes"),'Competency Event Log'!$K761,"")</f>
        <v/>
      </c>
      <c r="CC761" t="str">
        <f t="shared" si="51"/>
        <v/>
      </c>
    </row>
    <row r="762" spans="80:81">
      <c r="CB762" t="str">
        <f>IF(AND('Competency Event Log'!$B762='Employee Transcript'!$C$4,'Competency Event Log'!$I762&lt;&gt;"Yes"),'Competency Event Log'!$K762,"")</f>
        <v/>
      </c>
      <c r="CC762" t="str">
        <f t="shared" si="51"/>
        <v/>
      </c>
    </row>
    <row r="763" spans="80:81">
      <c r="CB763" t="str">
        <f>IF(AND('Competency Event Log'!$B763='Employee Transcript'!$C$4,'Competency Event Log'!$I763&lt;&gt;"Yes"),'Competency Event Log'!$K763,"")</f>
        <v/>
      </c>
      <c r="CC763" t="str">
        <f t="shared" si="51"/>
        <v/>
      </c>
    </row>
    <row r="764" spans="80:81">
      <c r="CB764" t="str">
        <f>IF(AND('Competency Event Log'!$B764='Employee Transcript'!$C$4,'Competency Event Log'!$I764&lt;&gt;"Yes"),'Competency Event Log'!$K764,"")</f>
        <v/>
      </c>
      <c r="CC764" t="str">
        <f t="shared" si="51"/>
        <v/>
      </c>
    </row>
    <row r="765" spans="80:81">
      <c r="CB765" t="str">
        <f>IF(AND('Competency Event Log'!$B765='Employee Transcript'!$C$4,'Competency Event Log'!$I765&lt;&gt;"Yes"),'Competency Event Log'!$K765,"")</f>
        <v/>
      </c>
      <c r="CC765" t="str">
        <f t="shared" si="51"/>
        <v/>
      </c>
    </row>
    <row r="766" spans="80:81">
      <c r="CB766" t="str">
        <f>IF(AND('Competency Event Log'!$B766='Employee Transcript'!$C$4,'Competency Event Log'!$I766&lt;&gt;"Yes"),'Competency Event Log'!$K766,"")</f>
        <v/>
      </c>
      <c r="CC766" t="str">
        <f t="shared" si="51"/>
        <v/>
      </c>
    </row>
    <row r="767" spans="80:81">
      <c r="CB767" t="str">
        <f>IF(AND('Competency Event Log'!$B767='Employee Transcript'!$C$4,'Competency Event Log'!$I767&lt;&gt;"Yes"),'Competency Event Log'!$K767,"")</f>
        <v/>
      </c>
      <c r="CC767" t="str">
        <f t="shared" si="51"/>
        <v/>
      </c>
    </row>
    <row r="768" spans="80:81">
      <c r="CB768" t="str">
        <f>IF(AND('Competency Event Log'!$B768='Employee Transcript'!$C$4,'Competency Event Log'!$I768&lt;&gt;"Yes"),'Competency Event Log'!$K768,"")</f>
        <v/>
      </c>
      <c r="CC768" t="str">
        <f t="shared" si="51"/>
        <v/>
      </c>
    </row>
    <row r="769" spans="80:81">
      <c r="CB769" t="str">
        <f>IF(AND('Competency Event Log'!$B769='Employee Transcript'!$C$4,'Competency Event Log'!$I769&lt;&gt;"Yes"),'Competency Event Log'!$K769,"")</f>
        <v/>
      </c>
      <c r="CC769" t="str">
        <f t="shared" si="51"/>
        <v/>
      </c>
    </row>
    <row r="770" spans="80:81">
      <c r="CB770" t="str">
        <f>IF(AND('Competency Event Log'!$B770='Employee Transcript'!$C$4,'Competency Event Log'!$I770&lt;&gt;"Yes"),'Competency Event Log'!$K770,"")</f>
        <v/>
      </c>
      <c r="CC770" t="str">
        <f t="shared" si="51"/>
        <v/>
      </c>
    </row>
    <row r="771" spans="80:81">
      <c r="CB771" t="str">
        <f>IF(AND('Competency Event Log'!$B771='Employee Transcript'!$C$4,'Competency Event Log'!$I771&lt;&gt;"Yes"),'Competency Event Log'!$K771,"")</f>
        <v/>
      </c>
      <c r="CC771" t="str">
        <f t="shared" si="51"/>
        <v/>
      </c>
    </row>
    <row r="772" spans="80:81">
      <c r="CB772" t="str">
        <f>IF(AND('Competency Event Log'!$B772='Employee Transcript'!$C$4,'Competency Event Log'!$I772&lt;&gt;"Yes"),'Competency Event Log'!$K772,"")</f>
        <v/>
      </c>
      <c r="CC772" t="str">
        <f t="shared" ref="CC772:CC835" si="52">IF(CB772="","",COUNTIF($CB$4:$CB$803,"&gt;"&amp;CB772)+1)</f>
        <v/>
      </c>
    </row>
    <row r="773" spans="80:81">
      <c r="CB773" t="str">
        <f>IF(AND('Competency Event Log'!$B773='Employee Transcript'!$C$4,'Competency Event Log'!$I773&lt;&gt;"Yes"),'Competency Event Log'!$K773,"")</f>
        <v/>
      </c>
      <c r="CC773" t="str">
        <f t="shared" si="52"/>
        <v/>
      </c>
    </row>
    <row r="774" spans="80:81">
      <c r="CB774" t="str">
        <f>IF(AND('Competency Event Log'!$B774='Employee Transcript'!$C$4,'Competency Event Log'!$I774&lt;&gt;"Yes"),'Competency Event Log'!$K774,"")</f>
        <v/>
      </c>
      <c r="CC774" t="str">
        <f t="shared" si="52"/>
        <v/>
      </c>
    </row>
    <row r="775" spans="80:81">
      <c r="CB775" t="str">
        <f>IF(AND('Competency Event Log'!$B775='Employee Transcript'!$C$4,'Competency Event Log'!$I775&lt;&gt;"Yes"),'Competency Event Log'!$K775,"")</f>
        <v/>
      </c>
      <c r="CC775" t="str">
        <f t="shared" si="52"/>
        <v/>
      </c>
    </row>
    <row r="776" spans="80:81">
      <c r="CB776" t="str">
        <f>IF(AND('Competency Event Log'!$B776='Employee Transcript'!$C$4,'Competency Event Log'!$I776&lt;&gt;"Yes"),'Competency Event Log'!$K776,"")</f>
        <v/>
      </c>
      <c r="CC776" t="str">
        <f t="shared" si="52"/>
        <v/>
      </c>
    </row>
    <row r="777" spans="80:81">
      <c r="CB777" t="str">
        <f>IF(AND('Competency Event Log'!$B777='Employee Transcript'!$C$4,'Competency Event Log'!$I777&lt;&gt;"Yes"),'Competency Event Log'!$K777,"")</f>
        <v/>
      </c>
      <c r="CC777" t="str">
        <f t="shared" si="52"/>
        <v/>
      </c>
    </row>
    <row r="778" spans="80:81">
      <c r="CB778" t="str">
        <f>IF(AND('Competency Event Log'!$B778='Employee Transcript'!$C$4,'Competency Event Log'!$I778&lt;&gt;"Yes"),'Competency Event Log'!$K778,"")</f>
        <v/>
      </c>
      <c r="CC778" t="str">
        <f t="shared" si="52"/>
        <v/>
      </c>
    </row>
    <row r="779" spans="80:81">
      <c r="CB779" t="str">
        <f>IF(AND('Competency Event Log'!$B779='Employee Transcript'!$C$4,'Competency Event Log'!$I779&lt;&gt;"Yes"),'Competency Event Log'!$K779,"")</f>
        <v/>
      </c>
      <c r="CC779" t="str">
        <f t="shared" si="52"/>
        <v/>
      </c>
    </row>
    <row r="780" spans="80:81">
      <c r="CB780" t="str">
        <f>IF(AND('Competency Event Log'!$B780='Employee Transcript'!$C$4,'Competency Event Log'!$I780&lt;&gt;"Yes"),'Competency Event Log'!$K780,"")</f>
        <v/>
      </c>
      <c r="CC780" t="str">
        <f t="shared" si="52"/>
        <v/>
      </c>
    </row>
    <row r="781" spans="80:81">
      <c r="CB781" t="str">
        <f>IF(AND('Competency Event Log'!$B781='Employee Transcript'!$C$4,'Competency Event Log'!$I781&lt;&gt;"Yes"),'Competency Event Log'!$K781,"")</f>
        <v/>
      </c>
      <c r="CC781" t="str">
        <f t="shared" si="52"/>
        <v/>
      </c>
    </row>
    <row r="782" spans="80:81">
      <c r="CB782" t="str">
        <f>IF(AND('Competency Event Log'!$B782='Employee Transcript'!$C$4,'Competency Event Log'!$I782&lt;&gt;"Yes"),'Competency Event Log'!$K782,"")</f>
        <v/>
      </c>
      <c r="CC782" t="str">
        <f t="shared" si="52"/>
        <v/>
      </c>
    </row>
    <row r="783" spans="80:81">
      <c r="CB783" t="str">
        <f>IF(AND('Competency Event Log'!$B783='Employee Transcript'!$C$4,'Competency Event Log'!$I783&lt;&gt;"Yes"),'Competency Event Log'!$K783,"")</f>
        <v/>
      </c>
      <c r="CC783" t="str">
        <f t="shared" si="52"/>
        <v/>
      </c>
    </row>
    <row r="784" spans="80:81">
      <c r="CB784" t="str">
        <f>IF(AND('Competency Event Log'!$B784='Employee Transcript'!$C$4,'Competency Event Log'!$I784&lt;&gt;"Yes"),'Competency Event Log'!$K784,"")</f>
        <v/>
      </c>
      <c r="CC784" t="str">
        <f t="shared" si="52"/>
        <v/>
      </c>
    </row>
    <row r="785" spans="80:81">
      <c r="CB785" t="str">
        <f>IF(AND('Competency Event Log'!$B785='Employee Transcript'!$C$4,'Competency Event Log'!$I785&lt;&gt;"Yes"),'Competency Event Log'!$K785,"")</f>
        <v/>
      </c>
      <c r="CC785" t="str">
        <f t="shared" si="52"/>
        <v/>
      </c>
    </row>
    <row r="786" spans="80:81">
      <c r="CB786" t="str">
        <f>IF(AND('Competency Event Log'!$B786='Employee Transcript'!$C$4,'Competency Event Log'!$I786&lt;&gt;"Yes"),'Competency Event Log'!$K786,"")</f>
        <v/>
      </c>
      <c r="CC786" t="str">
        <f t="shared" si="52"/>
        <v/>
      </c>
    </row>
    <row r="787" spans="80:81">
      <c r="CB787" t="str">
        <f>IF(AND('Competency Event Log'!$B787='Employee Transcript'!$C$4,'Competency Event Log'!$I787&lt;&gt;"Yes"),'Competency Event Log'!$K787,"")</f>
        <v/>
      </c>
      <c r="CC787" t="str">
        <f t="shared" si="52"/>
        <v/>
      </c>
    </row>
    <row r="788" spans="80:81">
      <c r="CB788" t="str">
        <f>IF(AND('Competency Event Log'!$B788='Employee Transcript'!$C$4,'Competency Event Log'!$I788&lt;&gt;"Yes"),'Competency Event Log'!$K788,"")</f>
        <v/>
      </c>
      <c r="CC788" t="str">
        <f t="shared" si="52"/>
        <v/>
      </c>
    </row>
    <row r="789" spans="80:81">
      <c r="CB789" t="str">
        <f>IF(AND('Competency Event Log'!$B789='Employee Transcript'!$C$4,'Competency Event Log'!$I789&lt;&gt;"Yes"),'Competency Event Log'!$K789,"")</f>
        <v/>
      </c>
      <c r="CC789" t="str">
        <f t="shared" si="52"/>
        <v/>
      </c>
    </row>
    <row r="790" spans="80:81">
      <c r="CB790" t="str">
        <f>IF(AND('Competency Event Log'!$B790='Employee Transcript'!$C$4,'Competency Event Log'!$I790&lt;&gt;"Yes"),'Competency Event Log'!$K790,"")</f>
        <v/>
      </c>
      <c r="CC790" t="str">
        <f t="shared" si="52"/>
        <v/>
      </c>
    </row>
    <row r="791" spans="80:81">
      <c r="CB791" t="str">
        <f>IF(AND('Competency Event Log'!$B791='Employee Transcript'!$C$4,'Competency Event Log'!$I791&lt;&gt;"Yes"),'Competency Event Log'!$K791,"")</f>
        <v/>
      </c>
      <c r="CC791" t="str">
        <f t="shared" si="52"/>
        <v/>
      </c>
    </row>
    <row r="792" spans="80:81">
      <c r="CB792" t="str">
        <f>IF(AND('Competency Event Log'!$B792='Employee Transcript'!$C$4,'Competency Event Log'!$I792&lt;&gt;"Yes"),'Competency Event Log'!$K792,"")</f>
        <v/>
      </c>
      <c r="CC792" t="str">
        <f t="shared" si="52"/>
        <v/>
      </c>
    </row>
    <row r="793" spans="80:81">
      <c r="CB793" t="str">
        <f>IF(AND('Competency Event Log'!$B793='Employee Transcript'!$C$4,'Competency Event Log'!$I793&lt;&gt;"Yes"),'Competency Event Log'!$K793,"")</f>
        <v/>
      </c>
      <c r="CC793" t="str">
        <f t="shared" si="52"/>
        <v/>
      </c>
    </row>
    <row r="794" spans="80:81">
      <c r="CB794" t="str">
        <f>IF(AND('Competency Event Log'!$B794='Employee Transcript'!$C$4,'Competency Event Log'!$I794&lt;&gt;"Yes"),'Competency Event Log'!$K794,"")</f>
        <v/>
      </c>
      <c r="CC794" t="str">
        <f t="shared" si="52"/>
        <v/>
      </c>
    </row>
    <row r="795" spans="80:81">
      <c r="CB795" t="str">
        <f>IF(AND('Competency Event Log'!$B795='Employee Transcript'!$C$4,'Competency Event Log'!$I795&lt;&gt;"Yes"),'Competency Event Log'!$K795,"")</f>
        <v/>
      </c>
      <c r="CC795" t="str">
        <f t="shared" si="52"/>
        <v/>
      </c>
    </row>
    <row r="796" spans="80:81">
      <c r="CB796" t="str">
        <f>IF(AND('Competency Event Log'!$B796='Employee Transcript'!$C$4,'Competency Event Log'!$I796&lt;&gt;"Yes"),'Competency Event Log'!$K796,"")</f>
        <v/>
      </c>
      <c r="CC796" t="str">
        <f t="shared" si="52"/>
        <v/>
      </c>
    </row>
    <row r="797" spans="80:81">
      <c r="CB797" t="str">
        <f>IF(AND('Competency Event Log'!$B797='Employee Transcript'!$C$4,'Competency Event Log'!$I797&lt;&gt;"Yes"),'Competency Event Log'!$K797,"")</f>
        <v/>
      </c>
      <c r="CC797" t="str">
        <f t="shared" si="52"/>
        <v/>
      </c>
    </row>
    <row r="798" spans="80:81">
      <c r="CB798" t="str">
        <f>IF(AND('Competency Event Log'!$B798='Employee Transcript'!$C$4,'Competency Event Log'!$I798&lt;&gt;"Yes"),'Competency Event Log'!$K798,"")</f>
        <v/>
      </c>
      <c r="CC798" t="str">
        <f t="shared" si="52"/>
        <v/>
      </c>
    </row>
    <row r="799" spans="80:81">
      <c r="CB799" t="str">
        <f>IF(AND('Competency Event Log'!$B799='Employee Transcript'!$C$4,'Competency Event Log'!$I799&lt;&gt;"Yes"),'Competency Event Log'!$K799,"")</f>
        <v/>
      </c>
      <c r="CC799" t="str">
        <f t="shared" si="52"/>
        <v/>
      </c>
    </row>
    <row r="800" spans="80:81">
      <c r="CB800" t="str">
        <f>IF(AND('Competency Event Log'!$B800='Employee Transcript'!$C$4,'Competency Event Log'!$I800&lt;&gt;"Yes"),'Competency Event Log'!$K800,"")</f>
        <v/>
      </c>
      <c r="CC800" t="str">
        <f t="shared" si="52"/>
        <v/>
      </c>
    </row>
    <row r="801" spans="80:81">
      <c r="CB801" t="str">
        <f>IF(AND('Competency Event Log'!$B801='Employee Transcript'!$C$4,'Competency Event Log'!$I801&lt;&gt;"Yes"),'Competency Event Log'!$K801,"")</f>
        <v/>
      </c>
      <c r="CC801" t="str">
        <f t="shared" si="52"/>
        <v/>
      </c>
    </row>
    <row r="802" spans="80:81">
      <c r="CB802" t="str">
        <f>IF(AND('Competency Event Log'!$B802='Employee Transcript'!$C$4,'Competency Event Log'!$I802&lt;&gt;"Yes"),'Competency Event Log'!$K802,"")</f>
        <v/>
      </c>
      <c r="CC802" t="str">
        <f t="shared" si="52"/>
        <v/>
      </c>
    </row>
    <row r="803" spans="80:81">
      <c r="CB803" t="str">
        <f>IF(AND('Competency Event Log'!$B803='Employee Transcript'!$C$4,'Competency Event Log'!$I803&lt;&gt;"Yes"),'Competency Event Log'!$K803,"")</f>
        <v/>
      </c>
      <c r="CC803" t="str">
        <f t="shared" si="52"/>
        <v/>
      </c>
    </row>
  </sheetData>
  <mergeCells count="12">
    <mergeCell ref="CD2:CE2"/>
    <mergeCell ref="BT2:CA2"/>
    <mergeCell ref="CB2:CC2"/>
    <mergeCell ref="CF2:CG2"/>
    <mergeCell ref="BA2:BJ2"/>
    <mergeCell ref="W2:AE2"/>
    <mergeCell ref="A1:N1"/>
    <mergeCell ref="AP2:AY2"/>
    <mergeCell ref="P2:U2"/>
    <mergeCell ref="I2:N2"/>
    <mergeCell ref="A2:H2"/>
    <mergeCell ref="AF2:AL2"/>
  </mergeCells>
  <dataValidations count="3">
    <dataValidation type="list" sqref="G4:G203" xr:uid="{00000000-0002-0000-0900-000000000000}">
      <formula1>"Active,Inactive,Leave,Temp"</formula1>
    </dataValidation>
    <dataValidation type="list" sqref="L4:L143 N4:N143" xr:uid="{00000000-0002-0000-0900-000001000000}">
      <formula1>"Yes,No"</formula1>
    </dataValidation>
    <dataValidation type="list" allowBlank="1" sqref="H4:H203" xr:uid="{00000000-0002-0000-0900-000002000000}">
      <formula1>TrainingProfileCatalog</formula1>
    </dataValidation>
  </dataValidations>
  <pageMargins left="0.7" right="0.7" top="0.75" bottom="0.75" header="0.3" footer="0.3"/>
  <legacy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396"/>
  <sheetViews>
    <sheetView workbookViewId="0"/>
  </sheetViews>
  <sheetFormatPr defaultRowHeight="13.8"/>
  <cols>
    <col min="22" max="31" width="13" hidden="1" customWidth="1"/>
  </cols>
  <sheetData>
    <row r="1" spans="1:31">
      <c r="A1" t="s">
        <v>1280</v>
      </c>
      <c r="C1" t="s">
        <v>1281</v>
      </c>
      <c r="E1" t="s">
        <v>1282</v>
      </c>
      <c r="G1" t="s">
        <v>1283</v>
      </c>
      <c r="I1" t="s">
        <v>1284</v>
      </c>
      <c r="K1" t="s">
        <v>1285</v>
      </c>
      <c r="M1" t="s">
        <v>1286</v>
      </c>
      <c r="O1" t="s">
        <v>1287</v>
      </c>
      <c r="Q1" t="s">
        <v>1288</v>
      </c>
      <c r="S1" t="s">
        <v>1289</v>
      </c>
      <c r="U1" t="s">
        <v>1216</v>
      </c>
      <c r="V1" t="s">
        <v>1290</v>
      </c>
      <c r="W1" t="s">
        <v>1291</v>
      </c>
      <c r="X1" t="s">
        <v>1292</v>
      </c>
      <c r="Y1" t="s">
        <v>1293</v>
      </c>
      <c r="Z1" t="s">
        <v>1294</v>
      </c>
      <c r="AA1" t="s">
        <v>1295</v>
      </c>
      <c r="AB1" t="s">
        <v>1296</v>
      </c>
      <c r="AC1" t="s">
        <v>1297</v>
      </c>
      <c r="AD1" t="s">
        <v>1298</v>
      </c>
      <c r="AE1" t="s">
        <v>1299</v>
      </c>
    </row>
    <row r="2" spans="1:31">
      <c r="A2" t="s">
        <v>304</v>
      </c>
      <c r="C2" t="str">
        <f>IFERROR(INDEX(Lists!$J$4:$J$143,MATCH(1,$V$2:$V$141,0)),"")</f>
        <v>Zendesk Queue Triage</v>
      </c>
      <c r="E2" t="str">
        <f>IFERROR(INDEX(Lists!$J$4:$J$143,MATCH(1,$W$2:$W$141,0)),"")</f>
        <v>Linux Administration</v>
      </c>
      <c r="G2" t="str">
        <f>IFERROR(INDEX(Lists!$J$4:$J$143,MATCH(1,$X$2:$X$141,0)),"")</f>
        <v>Git Workflow</v>
      </c>
      <c r="I2" t="str">
        <f>IFERROR(INDEX(Lists!$J$4:$J$143,MATCH(1,$Y$2:$Y$141,0)),"")</f>
        <v>Endpoint Provisioning</v>
      </c>
      <c r="K2" t="str">
        <f>IFERROR(INDEX(Lists!$J$4:$J$143,MATCH(1,$Z$2:$Z$141,0)),"")</f>
        <v>Test Case Design</v>
      </c>
      <c r="M2" t="str">
        <f>IFERROR(INDEX(Lists!$J$4:$J$143,MATCH(1,$AA$2:$AA$141,0)),"")</f>
        <v>Security Awareness</v>
      </c>
      <c r="O2" t="str">
        <f>IFERROR(INDEX(Lists!$J$4:$J$143,MATCH(1,$AB$2:$AB$141,0)),"")</f>
        <v>Incident Response</v>
      </c>
      <c r="Q2" t="str">
        <f>IFERROR(INDEX(Lists!$J$4:$J$143,MATCH(1,$AC$2:$AC$141,0)),"")</f>
        <v>SQL Fundamentals</v>
      </c>
      <c r="S2" t="str">
        <f>IFERROR(INDEX(Lists!$J$4:$J$143,MATCH(1,$AD$2:$AD$141,0)),"")</f>
        <v>Alert Triage</v>
      </c>
      <c r="U2" t="str">
        <f>IFERROR(INDEX('Role Requirements'!$B$6:$B$400,MATCH(1,$AE$2:$AE$396,0)),"")</f>
        <v>Support Systems Specialist</v>
      </c>
      <c r="V2">
        <f>IF(OR(Lists!$J4="",Lists!$K4&lt;&gt;"Customer Support"),"",COUNTIFS(Lists!$K$4:'Lists'!$K4,"Customer Support",Lists!$J$4:'Lists'!$J4,"&lt;&gt;"))</f>
        <v>1</v>
      </c>
      <c r="W2" t="str">
        <f>IF(OR(Lists!$J4="",Lists!$K4&lt;&gt;"Platform Operations"),"",COUNTIFS(Lists!$K$4:'Lists'!$K4,"Platform Operations",Lists!$J$4:'Lists'!$J4,"&lt;&gt;"))</f>
        <v/>
      </c>
      <c r="X2" t="str">
        <f>IF(OR(Lists!$J4="",Lists!$K4&lt;&gt;"Software Engineering"),"",COUNTIFS(Lists!$K$4:'Lists'!$K4,"Software Engineering",Lists!$J$4:'Lists'!$J4,"&lt;&gt;"))</f>
        <v/>
      </c>
      <c r="Y2" t="str">
        <f>IF(OR(Lists!$J4="",Lists!$K4&lt;&gt;"IT Operations"),"",COUNTIFS(Lists!$K$4:'Lists'!$K4,"IT Operations",Lists!$J$4:'Lists'!$J4,"&lt;&gt;"))</f>
        <v/>
      </c>
      <c r="Z2" t="str">
        <f>IF(OR(Lists!$J4="",Lists!$K4&lt;&gt;"Quality Assurance"),"",COUNTIFS(Lists!$K$4:'Lists'!$K4,"Quality Assurance",Lists!$J$4:'Lists'!$J4,"&lt;&gt;"))</f>
        <v/>
      </c>
      <c r="AA2" t="str">
        <f>IF(OR(Lists!$J4="",Lists!$K4&lt;&gt;"Compliance &amp; Core Training"),"",COUNTIFS(Lists!$K$4:'Lists'!$K4,"Compliance &amp; Core Training",Lists!$J$4:'Lists'!$J4,"&lt;&gt;"))</f>
        <v/>
      </c>
      <c r="AB2" t="str">
        <f>IF(OR(Lists!$J4="",Lists!$K4&lt;&gt;"Cloud &amp; Reliability"),"",COUNTIFS(Lists!$K$4:'Lists'!$K4,"Cloud &amp; Reliability",Lists!$J$4:'Lists'!$J4,"&lt;&gt;"))</f>
        <v/>
      </c>
      <c r="AC2" t="str">
        <f>IF(OR(Lists!$J4="",Lists!$K4&lt;&gt;"Data &amp; Analytics"),"",COUNTIFS(Lists!$K$4:'Lists'!$K4,"Data &amp; Analytics",Lists!$J$4:'Lists'!$J4,"&lt;&gt;"))</f>
        <v/>
      </c>
      <c r="AD2" t="str">
        <f>IF(OR(Lists!$J4="",Lists!$K4&lt;&gt;"Cybersecurity"),"",COUNTIFS(Lists!$K$4:'Lists'!$K4,"Cybersecurity",Lists!$J$4:'Lists'!$J4,"&lt;&gt;"))</f>
        <v/>
      </c>
      <c r="AE2">
        <f>IF('Role Requirements'!$B6="","",IF(COUNTIF('Role Requirements'!$B$6:$B6,'Role Requirements'!$B6)=1,COUNT($AE$1:AE1)+1,""))</f>
        <v>1</v>
      </c>
    </row>
    <row r="3" spans="1:31">
      <c r="A3" t="s">
        <v>305</v>
      </c>
      <c r="C3" t="str">
        <f>IFERROR(INDEX(Lists!$J$4:$J$143,MATCH(2,$V$2:$V$141,0)),"")</f>
        <v>ServiceNow Ticket Handling</v>
      </c>
      <c r="E3" t="str">
        <f>IFERROR(INDEX(Lists!$J$4:$J$143,MATCH(2,$W$2:$W$141,0)),"")</f>
        <v>Windows Server Administration</v>
      </c>
      <c r="G3" t="str">
        <f>IFERROR(INDEX(Lists!$J$4:$J$143,MATCH(2,$X$2:$X$141,0)),"")</f>
        <v>Pull Request Review</v>
      </c>
      <c r="I3" t="str">
        <f>IFERROR(INDEX(Lists!$J$4:$J$143,MATCH(2,$Y$2:$Y$141,0)),"")</f>
        <v>Identity &amp; Access Specialist</v>
      </c>
      <c r="K3" t="str">
        <f>IFERROR(INDEX(Lists!$J$4:$J$143,MATCH(2,$Z$2:$Z$141,0)),"")</f>
        <v>Regression Testing</v>
      </c>
      <c r="M3" t="str">
        <f>IFERROR(INDEX(Lists!$J$4:$J$143,MATCH(2,$AA$2:$AA$141,0)),"")</f>
        <v>Data Privacy &amp; Acceptable Use</v>
      </c>
      <c r="O3" t="str">
        <f>IFERROR(INDEX(Lists!$J$4:$J$143,MATCH(2,$AB$2:$AB$141,0)),"")</f>
        <v>On-Call Handoff</v>
      </c>
      <c r="Q3" t="str">
        <f>IFERROR(INDEX(Lists!$J$4:$J$143,MATCH(2,$AC$2:$AC$141,0)),"")</f>
        <v>Data Validation</v>
      </c>
      <c r="S3" t="str">
        <f>IFERROR(INDEX(Lists!$J$4:$J$143,MATCH(2,$AD$2:$AD$141,0)),"")</f>
        <v>SIEM Investigation</v>
      </c>
      <c r="U3" t="str">
        <f>IFERROR(INDEX('Role Requirements'!$B$6:$B$400,MATCH(2,$AE$2:$AE$396,0)),"")</f>
        <v>Support Specialist</v>
      </c>
      <c r="V3">
        <f>IF(OR(Lists!$J5="",Lists!$K5&lt;&gt;"Customer Support"),"",COUNTIFS(Lists!$K$4:'Lists'!$K5,"Customer Support",Lists!$J$4:'Lists'!$J5,"&lt;&gt;"))</f>
        <v>2</v>
      </c>
      <c r="W3" t="str">
        <f>IF(OR(Lists!$J5="",Lists!$K5&lt;&gt;"Platform Operations"),"",COUNTIFS(Lists!$K$4:'Lists'!$K5,"Platform Operations",Lists!$J$4:'Lists'!$J5,"&lt;&gt;"))</f>
        <v/>
      </c>
      <c r="X3" t="str">
        <f>IF(OR(Lists!$J5="",Lists!$K5&lt;&gt;"Software Engineering"),"",COUNTIFS(Lists!$K$4:'Lists'!$K5,"Software Engineering",Lists!$J$4:'Lists'!$J5,"&lt;&gt;"))</f>
        <v/>
      </c>
      <c r="Y3" t="str">
        <f>IF(OR(Lists!$J5="",Lists!$K5&lt;&gt;"IT Operations"),"",COUNTIFS(Lists!$K$4:'Lists'!$K5,"IT Operations",Lists!$J$4:'Lists'!$J5,"&lt;&gt;"))</f>
        <v/>
      </c>
      <c r="Z3" t="str">
        <f>IF(OR(Lists!$J5="",Lists!$K5&lt;&gt;"Quality Assurance"),"",COUNTIFS(Lists!$K$4:'Lists'!$K5,"Quality Assurance",Lists!$J$4:'Lists'!$J5,"&lt;&gt;"))</f>
        <v/>
      </c>
      <c r="AA3" t="str">
        <f>IF(OR(Lists!$J5="",Lists!$K5&lt;&gt;"Compliance &amp; Core Training"),"",COUNTIFS(Lists!$K$4:'Lists'!$K5,"Compliance &amp; Core Training",Lists!$J$4:'Lists'!$J5,"&lt;&gt;"))</f>
        <v/>
      </c>
      <c r="AB3" t="str">
        <f>IF(OR(Lists!$J5="",Lists!$K5&lt;&gt;"Cloud &amp; Reliability"),"",COUNTIFS(Lists!$K$4:'Lists'!$K5,"Cloud &amp; Reliability",Lists!$J$4:'Lists'!$J5,"&lt;&gt;"))</f>
        <v/>
      </c>
      <c r="AC3" t="str">
        <f>IF(OR(Lists!$J5="",Lists!$K5&lt;&gt;"Data &amp; Analytics"),"",COUNTIFS(Lists!$K$4:'Lists'!$K5,"Data &amp; Analytics",Lists!$J$4:'Lists'!$J5,"&lt;&gt;"))</f>
        <v/>
      </c>
      <c r="AD3" t="str">
        <f>IF(OR(Lists!$J5="",Lists!$K5&lt;&gt;"Cybersecurity"),"",COUNTIFS(Lists!$K$4:'Lists'!$K5,"Cybersecurity",Lists!$J$4:'Lists'!$J5,"&lt;&gt;"))</f>
        <v/>
      </c>
      <c r="AE3">
        <f>IF('Role Requirements'!$B7="","",IF(COUNTIF('Role Requirements'!$B$6:$B7,'Role Requirements'!$B7)=1,COUNT($AE$1:AE2)+1,""))</f>
        <v>2</v>
      </c>
    </row>
    <row r="4" spans="1:31">
      <c r="A4" t="s">
        <v>306</v>
      </c>
      <c r="C4" t="str">
        <f>IFERROR(INDEX(Lists!$J$4:$J$143,MATCH(3,$V$2:$V$141,0)),"")</f>
        <v>CRM Case Management</v>
      </c>
      <c r="E4" t="str">
        <f>IFERROR(INDEX(Lists!$J$4:$J$143,MATCH(3,$W$2:$W$141,0)),"")</f>
        <v>Identity Provisioning</v>
      </c>
      <c r="G4" t="str">
        <f>IFERROR(INDEX(Lists!$J$4:$J$143,MATCH(3,$X$2:$X$141,0)),"")</f>
        <v>Unit Testing</v>
      </c>
      <c r="I4" t="str">
        <f>IFERROR(INDEX(Lists!$J$4:$J$143,MATCH(3,$Y$2:$Y$141,0)),"")</f>
        <v>IT Service Analyst</v>
      </c>
      <c r="K4" t="str">
        <f>IFERROR(INDEX(Lists!$J$4:$J$143,MATCH(3,$Z$2:$Z$141,0)),"")</f>
        <v>Exploratory Testing</v>
      </c>
      <c r="M4" t="str">
        <f>IFERROR(INDEX(Lists!$J$4:$J$143,MATCH(3,$AA$2:$AA$141,0)),"")</f>
        <v>Business Continuity Basics</v>
      </c>
      <c r="O4" t="str">
        <f>IFERROR(INDEX(Lists!$J$4:$J$143,MATCH(3,$AB$2:$AB$141,0)),"")</f>
        <v>AWS Core Services</v>
      </c>
      <c r="Q4" t="str">
        <f>IFERROR(INDEX(Lists!$J$4:$J$143,MATCH(3,$AC$2:$AC$141,0)),"")</f>
        <v>Dashboard QA</v>
      </c>
      <c r="S4" t="str">
        <f>IFERROR(INDEX(Lists!$J$4:$J$143,MATCH(3,$AD$2:$AD$141,0)),"")</f>
        <v>Vulnerability Analyst</v>
      </c>
      <c r="U4" t="str">
        <f>IFERROR(INDEX('Role Requirements'!$B$6:$B$400,MATCH(3,$AE$2:$AE$396,0)),"")</f>
        <v>Senior Support Specialist</v>
      </c>
      <c r="V4">
        <f>IF(OR(Lists!$J6="",Lists!$K6&lt;&gt;"Customer Support"),"",COUNTIFS(Lists!$K$4:'Lists'!$K6,"Customer Support",Lists!$J$4:'Lists'!$J6,"&lt;&gt;"))</f>
        <v>3</v>
      </c>
      <c r="W4" t="str">
        <f>IF(OR(Lists!$J6="",Lists!$K6&lt;&gt;"Platform Operations"),"",COUNTIFS(Lists!$K$4:'Lists'!$K6,"Platform Operations",Lists!$J$4:'Lists'!$J6,"&lt;&gt;"))</f>
        <v/>
      </c>
      <c r="X4" t="str">
        <f>IF(OR(Lists!$J6="",Lists!$K6&lt;&gt;"Software Engineering"),"",COUNTIFS(Lists!$K$4:'Lists'!$K6,"Software Engineering",Lists!$J$4:'Lists'!$J6,"&lt;&gt;"))</f>
        <v/>
      </c>
      <c r="Y4" t="str">
        <f>IF(OR(Lists!$J6="",Lists!$K6&lt;&gt;"IT Operations"),"",COUNTIFS(Lists!$K$4:'Lists'!$K6,"IT Operations",Lists!$J$4:'Lists'!$J6,"&lt;&gt;"))</f>
        <v/>
      </c>
      <c r="Z4" t="str">
        <f>IF(OR(Lists!$J6="",Lists!$K6&lt;&gt;"Quality Assurance"),"",COUNTIFS(Lists!$K$4:'Lists'!$K6,"Quality Assurance",Lists!$J$4:'Lists'!$J6,"&lt;&gt;"))</f>
        <v/>
      </c>
      <c r="AA4" t="str">
        <f>IF(OR(Lists!$J6="",Lists!$K6&lt;&gt;"Compliance &amp; Core Training"),"",COUNTIFS(Lists!$K$4:'Lists'!$K6,"Compliance &amp; Core Training",Lists!$J$4:'Lists'!$J6,"&lt;&gt;"))</f>
        <v/>
      </c>
      <c r="AB4" t="str">
        <f>IF(OR(Lists!$J6="",Lists!$K6&lt;&gt;"Cloud &amp; Reliability"),"",COUNTIFS(Lists!$K$4:'Lists'!$K6,"Cloud &amp; Reliability",Lists!$J$4:'Lists'!$J6,"&lt;&gt;"))</f>
        <v/>
      </c>
      <c r="AC4" t="str">
        <f>IF(OR(Lists!$J6="",Lists!$K6&lt;&gt;"Data &amp; Analytics"),"",COUNTIFS(Lists!$K$4:'Lists'!$K6,"Data &amp; Analytics",Lists!$J$4:'Lists'!$J6,"&lt;&gt;"))</f>
        <v/>
      </c>
      <c r="AD4" t="str">
        <f>IF(OR(Lists!$J6="",Lists!$K6&lt;&gt;"Cybersecurity"),"",COUNTIFS(Lists!$K$4:'Lists'!$K6,"Cybersecurity",Lists!$J$4:'Lists'!$J6,"&lt;&gt;"))</f>
        <v/>
      </c>
      <c r="AE4">
        <f>IF('Role Requirements'!$B8="","",IF(COUNTIF('Role Requirements'!$B$6:$B8,'Role Requirements'!$B8)=1,COUNT($AE$1:AE3)+1,""))</f>
        <v>3</v>
      </c>
    </row>
    <row r="5" spans="1:31">
      <c r="A5" t="s">
        <v>307</v>
      </c>
      <c r="C5" t="str">
        <f>IFERROR(INDEX(Lists!$J$4:$J$143,MATCH(4,$V$2:$V$141,0)),"")</f>
        <v>Knowledge Base Authoring</v>
      </c>
      <c r="E5" t="str">
        <f>IFERROR(INDEX(Lists!$J$4:$J$143,MATCH(4,$W$2:$W$141,0)),"")</f>
        <v>SSO Configuration</v>
      </c>
      <c r="G5" t="str">
        <f>IFERROR(INDEX(Lists!$J$4:$J$143,MATCH(4,$X$2:$X$141,0)),"")</f>
        <v>Integration Testing</v>
      </c>
      <c r="I5" t="str">
        <f>IFERROR(INDEX(Lists!$J$4:$J$143,MATCH(4,$Y$2:$Y$141,0)),"")</f>
        <v>VPN Administration</v>
      </c>
      <c r="K5" t="str">
        <f>IFERROR(INDEX(Lists!$J$4:$J$143,MATCH(4,$Z$2:$Z$141,0)),"")</f>
        <v>Defect Documentation</v>
      </c>
      <c r="M5" t="str">
        <f>IFERROR(INDEX(Lists!$J$4:$J$143,MATCH(4,$AA$2:$AA$141,0)),"")</f>
        <v/>
      </c>
      <c r="O5" t="str">
        <f>IFERROR(INDEX(Lists!$J$4:$J$143,MATCH(4,$AB$2:$AB$141,0)),"")</f>
        <v>Azure Core Services</v>
      </c>
      <c r="Q5" t="str">
        <f>IFERROR(INDEX(Lists!$J$4:$J$143,MATCH(4,$AC$2:$AC$141,0)),"")</f>
        <v>QA Engineer I</v>
      </c>
      <c r="S5" t="str">
        <f>IFERROR(INDEX(Lists!$J$4:$J$143,MATCH(4,$AD$2:$AD$141,0)),"")</f>
        <v>Endpoint Detection &amp; Response</v>
      </c>
      <c r="U5" t="str">
        <f>IFERROR(INDEX('Role Requirements'!$B$6:$B$400,MATCH(4,$AE$2:$AE$396,0)),"")</f>
        <v>Support Quality Analyst</v>
      </c>
      <c r="V5">
        <f>IF(OR(Lists!$J7="",Lists!$K7&lt;&gt;"Customer Support"),"",COUNTIFS(Lists!$K$4:'Lists'!$K7,"Customer Support",Lists!$J$4:'Lists'!$J7,"&lt;&gt;"))</f>
        <v>4</v>
      </c>
      <c r="W5" t="str">
        <f>IF(OR(Lists!$J7="",Lists!$K7&lt;&gt;"Platform Operations"),"",COUNTIFS(Lists!$K$4:'Lists'!$K7,"Platform Operations",Lists!$J$4:'Lists'!$J7,"&lt;&gt;"))</f>
        <v/>
      </c>
      <c r="X5" t="str">
        <f>IF(OR(Lists!$J7="",Lists!$K7&lt;&gt;"Software Engineering"),"",COUNTIFS(Lists!$K$4:'Lists'!$K7,"Software Engineering",Lists!$J$4:'Lists'!$J7,"&lt;&gt;"))</f>
        <v/>
      </c>
      <c r="Y5" t="str">
        <f>IF(OR(Lists!$J7="",Lists!$K7&lt;&gt;"IT Operations"),"",COUNTIFS(Lists!$K$4:'Lists'!$K7,"IT Operations",Lists!$J$4:'Lists'!$J7,"&lt;&gt;"))</f>
        <v/>
      </c>
      <c r="Z5" t="str">
        <f>IF(OR(Lists!$J7="",Lists!$K7&lt;&gt;"Quality Assurance"),"",COUNTIFS(Lists!$K$4:'Lists'!$K7,"Quality Assurance",Lists!$J$4:'Lists'!$J7,"&lt;&gt;"))</f>
        <v/>
      </c>
      <c r="AA5" t="str">
        <f>IF(OR(Lists!$J7="",Lists!$K7&lt;&gt;"Compliance &amp; Core Training"),"",COUNTIFS(Lists!$K$4:'Lists'!$K7,"Compliance &amp; Core Training",Lists!$J$4:'Lists'!$J7,"&lt;&gt;"))</f>
        <v/>
      </c>
      <c r="AB5" t="str">
        <f>IF(OR(Lists!$J7="",Lists!$K7&lt;&gt;"Cloud &amp; Reliability"),"",COUNTIFS(Lists!$K$4:'Lists'!$K7,"Cloud &amp; Reliability",Lists!$J$4:'Lists'!$J7,"&lt;&gt;"))</f>
        <v/>
      </c>
      <c r="AC5" t="str">
        <f>IF(OR(Lists!$J7="",Lists!$K7&lt;&gt;"Data &amp; Analytics"),"",COUNTIFS(Lists!$K$4:'Lists'!$K7,"Data &amp; Analytics",Lists!$J$4:'Lists'!$J7,"&lt;&gt;"))</f>
        <v/>
      </c>
      <c r="AD5" t="str">
        <f>IF(OR(Lists!$J7="",Lists!$K7&lt;&gt;"Cybersecurity"),"",COUNTIFS(Lists!$K$4:'Lists'!$K7,"Cybersecurity",Lists!$J$4:'Lists'!$J7,"&lt;&gt;"))</f>
        <v/>
      </c>
      <c r="AE5">
        <f>IF('Role Requirements'!$B9="","",IF(COUNTIF('Role Requirements'!$B$6:$B9,'Role Requirements'!$B9)=1,COUNT($AE$1:AE4)+1,""))</f>
        <v>4</v>
      </c>
    </row>
    <row r="6" spans="1:31">
      <c r="A6" t="s">
        <v>308</v>
      </c>
      <c r="C6" t="str">
        <f>IFERROR(INDEX(Lists!$J$4:$J$143,MATCH(5,$V$2:$V$141,0)),"")</f>
        <v>Customer Onboarding Workflow</v>
      </c>
      <c r="E6" t="str">
        <f>IFERROR(INDEX(Lists!$J$4:$J$143,MATCH(5,$W$2:$W$141,0)),"")</f>
        <v>API Credential Management</v>
      </c>
      <c r="G6" t="str">
        <f>IFERROR(INDEX(Lists!$J$4:$J$143,MATCH(5,$X$2:$X$141,0)),"")</f>
        <v>Feature Flag Management</v>
      </c>
      <c r="I6" t="str">
        <f>IFERROR(INDEX(Lists!$J$4:$J$143,MATCH(5,$Y$2:$Y$141,0)),"")</f>
        <v>Device Provisioning Specialist</v>
      </c>
      <c r="K6" t="str">
        <f>IFERROR(INDEX(Lists!$J$4:$J$143,MATCH(5,$Z$2:$Z$141,0)),"")</f>
        <v>Browser Compatibility Testing</v>
      </c>
      <c r="M6" t="str">
        <f>IFERROR(INDEX(Lists!$J$4:$J$143,MATCH(5,$AA$2:$AA$141,0)),"")</f>
        <v/>
      </c>
      <c r="O6" t="str">
        <f>IFERROR(INDEX(Lists!$J$4:$J$143,MATCH(5,$AB$2:$AB$141,0)),"")</f>
        <v>Container Runtime Operations</v>
      </c>
      <c r="Q6" t="str">
        <f>IFERROR(INDEX(Lists!$J$4:$J$143,MATCH(5,$AC$2:$AC$141,0)),"")</f>
        <v>QA Engineer II</v>
      </c>
      <c r="S6" t="str">
        <f>IFERROR(INDEX(Lists!$J$4:$J$143,MATCH(5,$AD$2:$AD$141,0)),"")</f>
        <v>Vulnerability Scanning</v>
      </c>
      <c r="U6" t="str">
        <f>IFERROR(INDEX('Role Requirements'!$B$6:$B$400,MATCH(5,$AE$2:$AE$396,0)),"")</f>
        <v>Customer Onboarding Specialist</v>
      </c>
      <c r="V6">
        <f>IF(OR(Lists!$J8="",Lists!$K8&lt;&gt;"Customer Support"),"",COUNTIFS(Lists!$K$4:'Lists'!$K8,"Customer Support",Lists!$J$4:'Lists'!$J8,"&lt;&gt;"))</f>
        <v>5</v>
      </c>
      <c r="W6" t="str">
        <f>IF(OR(Lists!$J8="",Lists!$K8&lt;&gt;"Platform Operations"),"",COUNTIFS(Lists!$K$4:'Lists'!$K8,"Platform Operations",Lists!$J$4:'Lists'!$J8,"&lt;&gt;"))</f>
        <v/>
      </c>
      <c r="X6" t="str">
        <f>IF(OR(Lists!$J8="",Lists!$K8&lt;&gt;"Software Engineering"),"",COUNTIFS(Lists!$K$4:'Lists'!$K8,"Software Engineering",Lists!$J$4:'Lists'!$J8,"&lt;&gt;"))</f>
        <v/>
      </c>
      <c r="Y6" t="str">
        <f>IF(OR(Lists!$J8="",Lists!$K8&lt;&gt;"IT Operations"),"",COUNTIFS(Lists!$K$4:'Lists'!$K8,"IT Operations",Lists!$J$4:'Lists'!$J8,"&lt;&gt;"))</f>
        <v/>
      </c>
      <c r="Z6" t="str">
        <f>IF(OR(Lists!$J8="",Lists!$K8&lt;&gt;"Quality Assurance"),"",COUNTIFS(Lists!$K$4:'Lists'!$K8,"Quality Assurance",Lists!$J$4:'Lists'!$J8,"&lt;&gt;"))</f>
        <v/>
      </c>
      <c r="AA6" t="str">
        <f>IF(OR(Lists!$J8="",Lists!$K8&lt;&gt;"Compliance &amp; Core Training"),"",COUNTIFS(Lists!$K$4:'Lists'!$K8,"Compliance &amp; Core Training",Lists!$J$4:'Lists'!$J8,"&lt;&gt;"))</f>
        <v/>
      </c>
      <c r="AB6" t="str">
        <f>IF(OR(Lists!$J8="",Lists!$K8&lt;&gt;"Cloud &amp; Reliability"),"",COUNTIFS(Lists!$K$4:'Lists'!$K8,"Cloud &amp; Reliability",Lists!$J$4:'Lists'!$J8,"&lt;&gt;"))</f>
        <v/>
      </c>
      <c r="AC6" t="str">
        <f>IF(OR(Lists!$J8="",Lists!$K8&lt;&gt;"Data &amp; Analytics"),"",COUNTIFS(Lists!$K$4:'Lists'!$K8,"Data &amp; Analytics",Lists!$J$4:'Lists'!$J8,"&lt;&gt;"))</f>
        <v/>
      </c>
      <c r="AD6" t="str">
        <f>IF(OR(Lists!$J8="",Lists!$K8&lt;&gt;"Cybersecurity"),"",COUNTIFS(Lists!$K$4:'Lists'!$K8,"Cybersecurity",Lists!$J$4:'Lists'!$J8,"&lt;&gt;"))</f>
        <v/>
      </c>
      <c r="AE6">
        <f>IF('Role Requirements'!$B10="","",IF(COUNTIF('Role Requirements'!$B$6:$B10,'Role Requirements'!$B10)=1,COUNT($AE$1:AE5)+1,""))</f>
        <v>5</v>
      </c>
    </row>
    <row r="7" spans="1:31">
      <c r="A7" t="s">
        <v>213</v>
      </c>
      <c r="C7" t="str">
        <f>IFERROR(INDEX(Lists!$J$4:$J$143,MATCH(6,$V$2:$V$141,0)),"")</f>
        <v>Escalation Management</v>
      </c>
      <c r="E7" t="str">
        <f>IFERROR(INDEX(Lists!$J$4:$J$143,MATCH(6,$W$2:$W$141,0)),"")</f>
        <v>Configuration Management</v>
      </c>
      <c r="G7" t="str">
        <f>IFERROR(INDEX(Lists!$J$4:$J$143,MATCH(6,$X$2:$X$141,0)),"")</f>
        <v>Deployment Procedures</v>
      </c>
      <c r="I7" t="str">
        <f>IFERROR(INDEX(Lists!$J$4:$J$143,MATCH(6,$Y$2:$Y$141,0)),"")</f>
        <v>Asset Lifecycle Management</v>
      </c>
      <c r="K7" t="str">
        <f>IFERROR(INDEX(Lists!$J$4:$J$143,MATCH(6,$Z$2:$Z$141,0)),"")</f>
        <v>Automation Test Execution</v>
      </c>
      <c r="M7" t="str">
        <f>IFERROR(INDEX(Lists!$J$4:$J$143,MATCH(6,$AA$2:$AA$141,0)),"")</f>
        <v/>
      </c>
      <c r="O7" t="str">
        <f>IFERROR(INDEX(Lists!$J$4:$J$143,MATCH(6,$AB$2:$AB$141,0)),"")</f>
        <v>Kubernetes Operations</v>
      </c>
      <c r="Q7" t="str">
        <f>IFERROR(INDEX(Lists!$J$4:$J$143,MATCH(6,$AC$2:$AC$141,0)),"")</f>
        <v>Data Reconciliation</v>
      </c>
      <c r="S7" t="str">
        <f>IFERROR(INDEX(Lists!$J$4:$J$143,MATCH(6,$AD$2:$AD$141,0)),"")</f>
        <v>Vulnerability Remediation</v>
      </c>
      <c r="U7" t="str">
        <f>IFERROR(INDEX('Role Requirements'!$B$6:$B$400,MATCH(6,$AE$2:$AE$396,0)),"")</f>
        <v>Platform Operations Analyst</v>
      </c>
      <c r="V7">
        <f>IF(OR(Lists!$J9="",Lists!$K9&lt;&gt;"Customer Support"),"",COUNTIFS(Lists!$K$4:'Lists'!$K9,"Customer Support",Lists!$J$4:'Lists'!$J9,"&lt;&gt;"))</f>
        <v>6</v>
      </c>
      <c r="W7" t="str">
        <f>IF(OR(Lists!$J9="",Lists!$K9&lt;&gt;"Platform Operations"),"",COUNTIFS(Lists!$K$4:'Lists'!$K9,"Platform Operations",Lists!$J$4:'Lists'!$J9,"&lt;&gt;"))</f>
        <v/>
      </c>
      <c r="X7" t="str">
        <f>IF(OR(Lists!$J9="",Lists!$K9&lt;&gt;"Software Engineering"),"",COUNTIFS(Lists!$K$4:'Lists'!$K9,"Software Engineering",Lists!$J$4:'Lists'!$J9,"&lt;&gt;"))</f>
        <v/>
      </c>
      <c r="Y7" t="str">
        <f>IF(OR(Lists!$J9="",Lists!$K9&lt;&gt;"IT Operations"),"",COUNTIFS(Lists!$K$4:'Lists'!$K9,"IT Operations",Lists!$J$4:'Lists'!$J9,"&lt;&gt;"))</f>
        <v/>
      </c>
      <c r="Z7" t="str">
        <f>IF(OR(Lists!$J9="",Lists!$K9&lt;&gt;"Quality Assurance"),"",COUNTIFS(Lists!$K$4:'Lists'!$K9,"Quality Assurance",Lists!$J$4:'Lists'!$J9,"&lt;&gt;"))</f>
        <v/>
      </c>
      <c r="AA7" t="str">
        <f>IF(OR(Lists!$J9="",Lists!$K9&lt;&gt;"Compliance &amp; Core Training"),"",COUNTIFS(Lists!$K$4:'Lists'!$K9,"Compliance &amp; Core Training",Lists!$J$4:'Lists'!$J9,"&lt;&gt;"))</f>
        <v/>
      </c>
      <c r="AB7" t="str">
        <f>IF(OR(Lists!$J9="",Lists!$K9&lt;&gt;"Cloud &amp; Reliability"),"",COUNTIFS(Lists!$K$4:'Lists'!$K9,"Cloud &amp; Reliability",Lists!$J$4:'Lists'!$J9,"&lt;&gt;"))</f>
        <v/>
      </c>
      <c r="AC7" t="str">
        <f>IF(OR(Lists!$J9="",Lists!$K9&lt;&gt;"Data &amp; Analytics"),"",COUNTIFS(Lists!$K$4:'Lists'!$K9,"Data &amp; Analytics",Lists!$J$4:'Lists'!$J9,"&lt;&gt;"))</f>
        <v/>
      </c>
      <c r="AD7" t="str">
        <f>IF(OR(Lists!$J9="",Lists!$K9&lt;&gt;"Cybersecurity"),"",COUNTIFS(Lists!$K$4:'Lists'!$K9,"Cybersecurity",Lists!$J$4:'Lists'!$J9,"&lt;&gt;"))</f>
        <v/>
      </c>
      <c r="AE7">
        <f>IF('Role Requirements'!$B11="","",IF(COUNTIF('Role Requirements'!$B$6:$B11,'Role Requirements'!$B11)=1,COUNT($AE$1:AE6)+1,""))</f>
        <v>6</v>
      </c>
    </row>
    <row r="8" spans="1:31">
      <c r="A8" t="s">
        <v>309</v>
      </c>
      <c r="C8" t="str">
        <f>IFERROR(INDEX(Lists!$J$4:$J$143,MATCH(7,$V$2:$V$141,0)),"")</f>
        <v>SLA Prioritization</v>
      </c>
      <c r="E8" t="str">
        <f>IFERROR(INDEX(Lists!$J$4:$J$143,MATCH(7,$W$2:$W$141,0)),"")</f>
        <v>Kubernetes Basics</v>
      </c>
      <c r="G8" t="str">
        <f>IFERROR(INDEX(Lists!$J$4:$J$143,MATCH(7,$X$2:$X$141,0)),"")</f>
        <v>Release Branching</v>
      </c>
      <c r="I8" t="str">
        <f>IFERROR(INDEX(Lists!$J$4:$J$143,MATCH(7,$Y$2:$Y$141,0)),"")</f>
        <v>Mobile Device Management</v>
      </c>
      <c r="K8" t="str">
        <f>IFERROR(INDEX(Lists!$J$4:$J$143,MATCH(7,$Z$2:$Z$141,0)),"")</f>
        <v/>
      </c>
      <c r="M8" t="str">
        <f>IFERROR(INDEX(Lists!$J$4:$J$143,MATCH(7,$AA$2:$AA$141,0)),"")</f>
        <v/>
      </c>
      <c r="O8" t="str">
        <f>IFERROR(INDEX(Lists!$J$4:$J$143,MATCH(7,$AB$2:$AB$141,0)),"")</f>
        <v>Cloud Cost Monitoring</v>
      </c>
      <c r="Q8" t="str">
        <f>IFERROR(INDEX(Lists!$J$4:$J$143,MATCH(7,$AC$2:$AC$141,0)),"")</f>
        <v>Performance Test Analyst</v>
      </c>
      <c r="S8" t="str">
        <f>IFERROR(INDEX(Lists!$J$4:$J$143,MATCH(7,$AD$2:$AD$141,0)),"")</f>
        <v>Identity Threat Detection</v>
      </c>
      <c r="U8" t="str">
        <f>IFERROR(INDEX('Role Requirements'!$B$6:$B$400,MATCH(7,$AE$2:$AE$396,0)),"")</f>
        <v>Platform Support Analyst</v>
      </c>
      <c r="V8">
        <f>IF(OR(Lists!$J10="",Lists!$K10&lt;&gt;"Customer Support"),"",COUNTIFS(Lists!$K$4:'Lists'!$K10,"Customer Support",Lists!$J$4:'Lists'!$J10,"&lt;&gt;"))</f>
        <v>7</v>
      </c>
      <c r="W8" t="str">
        <f>IF(OR(Lists!$J10="",Lists!$K10&lt;&gt;"Platform Operations"),"",COUNTIFS(Lists!$K$4:'Lists'!$K10,"Platform Operations",Lists!$J$4:'Lists'!$J10,"&lt;&gt;"))</f>
        <v/>
      </c>
      <c r="X8" t="str">
        <f>IF(OR(Lists!$J10="",Lists!$K10&lt;&gt;"Software Engineering"),"",COUNTIFS(Lists!$K$4:'Lists'!$K10,"Software Engineering",Lists!$J$4:'Lists'!$J10,"&lt;&gt;"))</f>
        <v/>
      </c>
      <c r="Y8" t="str">
        <f>IF(OR(Lists!$J10="",Lists!$K10&lt;&gt;"IT Operations"),"",COUNTIFS(Lists!$K$4:'Lists'!$K10,"IT Operations",Lists!$J$4:'Lists'!$J10,"&lt;&gt;"))</f>
        <v/>
      </c>
      <c r="Z8" t="str">
        <f>IF(OR(Lists!$J10="",Lists!$K10&lt;&gt;"Quality Assurance"),"",COUNTIFS(Lists!$K$4:'Lists'!$K10,"Quality Assurance",Lists!$J$4:'Lists'!$J10,"&lt;&gt;"))</f>
        <v/>
      </c>
      <c r="AA8" t="str">
        <f>IF(OR(Lists!$J10="",Lists!$K10&lt;&gt;"Compliance &amp; Core Training"),"",COUNTIFS(Lists!$K$4:'Lists'!$K10,"Compliance &amp; Core Training",Lists!$J$4:'Lists'!$J10,"&lt;&gt;"))</f>
        <v/>
      </c>
      <c r="AB8" t="str">
        <f>IF(OR(Lists!$J10="",Lists!$K10&lt;&gt;"Cloud &amp; Reliability"),"",COUNTIFS(Lists!$K$4:'Lists'!$K10,"Cloud &amp; Reliability",Lists!$J$4:'Lists'!$J10,"&lt;&gt;"))</f>
        <v/>
      </c>
      <c r="AC8" t="str">
        <f>IF(OR(Lists!$J10="",Lists!$K10&lt;&gt;"Data &amp; Analytics"),"",COUNTIFS(Lists!$K$4:'Lists'!$K10,"Data &amp; Analytics",Lists!$J$4:'Lists'!$J10,"&lt;&gt;"))</f>
        <v/>
      </c>
      <c r="AD8" t="str">
        <f>IF(OR(Lists!$J10="",Lists!$K10&lt;&gt;"Cybersecurity"),"",COUNTIFS(Lists!$K$4:'Lists'!$K10,"Cybersecurity",Lists!$J$4:'Lists'!$J10,"&lt;&gt;"))</f>
        <v/>
      </c>
      <c r="AE8" t="str">
        <f>IF('Role Requirements'!$B12="","",IF(COUNTIF('Role Requirements'!$B$6:$B12,'Role Requirements'!$B12)=1,COUNT($AE$1:AE7)+1,""))</f>
        <v/>
      </c>
    </row>
    <row r="9" spans="1:31">
      <c r="A9" t="s">
        <v>310</v>
      </c>
      <c r="C9" t="str">
        <f>IFERROR(INDEX(Lists!$J$4:$J$143,MATCH(8,$V$2:$V$141,0)),"")</f>
        <v>Incident Communication</v>
      </c>
      <c r="E9" t="str">
        <f>IFERROR(INDEX(Lists!$J$4:$J$143,MATCH(8,$W$2:$W$141,0)),"")</f>
        <v>CI/CD Pipeline Operations</v>
      </c>
      <c r="G9" t="str">
        <f>IFERROR(INDEX(Lists!$J$4:$J$143,MATCH(8,$X$2:$X$141,0)),"")</f>
        <v>Secure Coding Basics</v>
      </c>
      <c r="I9" t="str">
        <f>IFERROR(INDEX(Lists!$J$4:$J$143,MATCH(8,$Y$2:$Y$141,0)),"")</f>
        <v>Remote Access Support</v>
      </c>
      <c r="K9" t="str">
        <f>IFERROR(INDEX(Lists!$J$4:$J$143,MATCH(8,$Z$2:$Z$141,0)),"")</f>
        <v/>
      </c>
      <c r="M9" t="str">
        <f>IFERROR(INDEX(Lists!$J$4:$J$143,MATCH(8,$AA$2:$AA$141,0)),"")</f>
        <v/>
      </c>
      <c r="O9" t="str">
        <f>IFERROR(INDEX(Lists!$J$4:$J$143,MATCH(8,$AB$2:$AB$141,0)),"")</f>
        <v>Disaster Recovery</v>
      </c>
      <c r="Q9" t="str">
        <f>IFERROR(INDEX(Lists!$J$4:$J$143,MATCH(8,$AC$2:$AC$141,0)),"")</f>
        <v>Defect Triage Analyst</v>
      </c>
      <c r="S9" t="str">
        <f>IFERROR(INDEX(Lists!$J$4:$J$143,MATCH(8,$AD$2:$AD$141,0)),"")</f>
        <v>Privileged Access Review</v>
      </c>
      <c r="U9" t="str">
        <f>IFERROR(INDEX('Role Requirements'!$B$6:$B$400,MATCH(8,$AE$2:$AE$396,0)),"")</f>
        <v>Platform Configuration Specialist</v>
      </c>
      <c r="V9">
        <f>IF(OR(Lists!$J11="",Lists!$K11&lt;&gt;"Customer Support"),"",COUNTIFS(Lists!$K$4:'Lists'!$K11,"Customer Support",Lists!$J$4:'Lists'!$J11,"&lt;&gt;"))</f>
        <v>8</v>
      </c>
      <c r="W9" t="str">
        <f>IF(OR(Lists!$J11="",Lists!$K11&lt;&gt;"Platform Operations"),"",COUNTIFS(Lists!$K$4:'Lists'!$K11,"Platform Operations",Lists!$J$4:'Lists'!$J11,"&lt;&gt;"))</f>
        <v/>
      </c>
      <c r="X9" t="str">
        <f>IF(OR(Lists!$J11="",Lists!$K11&lt;&gt;"Software Engineering"),"",COUNTIFS(Lists!$K$4:'Lists'!$K11,"Software Engineering",Lists!$J$4:'Lists'!$J11,"&lt;&gt;"))</f>
        <v/>
      </c>
      <c r="Y9" t="str">
        <f>IF(OR(Lists!$J11="",Lists!$K11&lt;&gt;"IT Operations"),"",COUNTIFS(Lists!$K$4:'Lists'!$K11,"IT Operations",Lists!$J$4:'Lists'!$J11,"&lt;&gt;"))</f>
        <v/>
      </c>
      <c r="Z9" t="str">
        <f>IF(OR(Lists!$J11="",Lists!$K11&lt;&gt;"Quality Assurance"),"",COUNTIFS(Lists!$K$4:'Lists'!$K11,"Quality Assurance",Lists!$J$4:'Lists'!$J11,"&lt;&gt;"))</f>
        <v/>
      </c>
      <c r="AA9" t="str">
        <f>IF(OR(Lists!$J11="",Lists!$K11&lt;&gt;"Compliance &amp; Core Training"),"",COUNTIFS(Lists!$K$4:'Lists'!$K11,"Compliance &amp; Core Training",Lists!$J$4:'Lists'!$J11,"&lt;&gt;"))</f>
        <v/>
      </c>
      <c r="AB9" t="str">
        <f>IF(OR(Lists!$J11="",Lists!$K11&lt;&gt;"Cloud &amp; Reliability"),"",COUNTIFS(Lists!$K$4:'Lists'!$K11,"Cloud &amp; Reliability",Lists!$J$4:'Lists'!$J11,"&lt;&gt;"))</f>
        <v/>
      </c>
      <c r="AC9" t="str">
        <f>IF(OR(Lists!$J11="",Lists!$K11&lt;&gt;"Data &amp; Analytics"),"",COUNTIFS(Lists!$K$4:'Lists'!$K11,"Data &amp; Analytics",Lists!$J$4:'Lists'!$J11,"&lt;&gt;"))</f>
        <v/>
      </c>
      <c r="AD9" t="str">
        <f>IF(OR(Lists!$J11="",Lists!$K11&lt;&gt;"Cybersecurity"),"",COUNTIFS(Lists!$K$4:'Lists'!$K11,"Cybersecurity",Lists!$J$4:'Lists'!$J11,"&lt;&gt;"))</f>
        <v/>
      </c>
      <c r="AE9">
        <f>IF('Role Requirements'!$B13="","",IF(COUNTIF('Role Requirements'!$B$6:$B13,'Role Requirements'!$B13)=1,COUNT($AE$1:AE8)+1,""))</f>
        <v>7</v>
      </c>
    </row>
    <row r="10" spans="1:31">
      <c r="A10" t="s">
        <v>311</v>
      </c>
      <c r="C10" t="str">
        <f>IFERROR(INDEX(Lists!$J$4:$J$143,MATCH(9,$V$2:$V$141,0)),"")</f>
        <v>Account Access Support</v>
      </c>
      <c r="E10" t="str">
        <f>IFERROR(INDEX(Lists!$J$4:$J$143,MATCH(9,$W$2:$W$141,0)),"")</f>
        <v>Infrastructure as Code</v>
      </c>
      <c r="G10" t="str">
        <f>IFERROR(INDEX(Lists!$J$4:$J$143,MATCH(9,$X$2:$X$141,0)),"")</f>
        <v/>
      </c>
      <c r="I10" t="str">
        <f>IFERROR(INDEX(Lists!$J$4:$J$143,MATCH(9,$Y$2:$Y$141,0)),"")</f>
        <v>Network Support Analyst</v>
      </c>
      <c r="K10" t="str">
        <f>IFERROR(INDEX(Lists!$J$4:$J$143,MATCH(9,$Z$2:$Z$141,0)),"")</f>
        <v/>
      </c>
      <c r="M10" t="str">
        <f>IFERROR(INDEX(Lists!$J$4:$J$143,MATCH(9,$AA$2:$AA$141,0)),"")</f>
        <v/>
      </c>
      <c r="O10" t="str">
        <f>IFERROR(INDEX(Lists!$J$4:$J$143,MATCH(9,$AB$2:$AB$141,0)),"")</f>
        <v>Load Balancing</v>
      </c>
      <c r="Q10" t="str">
        <f>IFERROR(INDEX(Lists!$J$4:$J$143,MATCH(9,$AC$2:$AC$141,0)),"")</f>
        <v>Data Incident Triage</v>
      </c>
      <c r="S10" t="str">
        <f>IFERROR(INDEX(Lists!$J$4:$J$143,MATCH(9,$AD$2:$AD$141,0)),"")</f>
        <v>Log Correlation</v>
      </c>
      <c r="U10" t="str">
        <f>IFERROR(INDEX('Role Requirements'!$B$6:$B$400,MATCH(9,$AE$2:$AE$396,0)),"")</f>
        <v>Automation Specialist</v>
      </c>
      <c r="V10">
        <f>IF(OR(Lists!$J12="",Lists!$K12&lt;&gt;"Customer Support"),"",COUNTIFS(Lists!$K$4:'Lists'!$K12,"Customer Support",Lists!$J$4:'Lists'!$J12,"&lt;&gt;"))</f>
        <v>9</v>
      </c>
      <c r="W10" t="str">
        <f>IF(OR(Lists!$J12="",Lists!$K12&lt;&gt;"Platform Operations"),"",COUNTIFS(Lists!$K$4:'Lists'!$K12,"Platform Operations",Lists!$J$4:'Lists'!$J12,"&lt;&gt;"))</f>
        <v/>
      </c>
      <c r="X10" t="str">
        <f>IF(OR(Lists!$J12="",Lists!$K12&lt;&gt;"Software Engineering"),"",COUNTIFS(Lists!$K$4:'Lists'!$K12,"Software Engineering",Lists!$J$4:'Lists'!$J12,"&lt;&gt;"))</f>
        <v/>
      </c>
      <c r="Y10" t="str">
        <f>IF(OR(Lists!$J12="",Lists!$K12&lt;&gt;"IT Operations"),"",COUNTIFS(Lists!$K$4:'Lists'!$K12,"IT Operations",Lists!$J$4:'Lists'!$J12,"&lt;&gt;"))</f>
        <v/>
      </c>
      <c r="Z10" t="str">
        <f>IF(OR(Lists!$J12="",Lists!$K12&lt;&gt;"Quality Assurance"),"",COUNTIFS(Lists!$K$4:'Lists'!$K12,"Quality Assurance",Lists!$J$4:'Lists'!$J12,"&lt;&gt;"))</f>
        <v/>
      </c>
      <c r="AA10" t="str">
        <f>IF(OR(Lists!$J12="",Lists!$K12&lt;&gt;"Compliance &amp; Core Training"),"",COUNTIFS(Lists!$K$4:'Lists'!$K12,"Compliance &amp; Core Training",Lists!$J$4:'Lists'!$J12,"&lt;&gt;"))</f>
        <v/>
      </c>
      <c r="AB10" t="str">
        <f>IF(OR(Lists!$J12="",Lists!$K12&lt;&gt;"Cloud &amp; Reliability"),"",COUNTIFS(Lists!$K$4:'Lists'!$K12,"Cloud &amp; Reliability",Lists!$J$4:'Lists'!$J12,"&lt;&gt;"))</f>
        <v/>
      </c>
      <c r="AC10" t="str">
        <f>IF(OR(Lists!$J12="",Lists!$K12&lt;&gt;"Data &amp; Analytics"),"",COUNTIFS(Lists!$K$4:'Lists'!$K12,"Data &amp; Analytics",Lists!$J$4:'Lists'!$J12,"&lt;&gt;"))</f>
        <v/>
      </c>
      <c r="AD10" t="str">
        <f>IF(OR(Lists!$J12="",Lists!$K12&lt;&gt;"Cybersecurity"),"",COUNTIFS(Lists!$K$4:'Lists'!$K12,"Cybersecurity",Lists!$J$4:'Lists'!$J12,"&lt;&gt;"))</f>
        <v/>
      </c>
      <c r="AE10" t="str">
        <f>IF('Role Requirements'!$B14="","",IF(COUNTIF('Role Requirements'!$B$6:$B14,'Role Requirements'!$B14)=1,COUNT($AE$1:AE9)+1,""))</f>
        <v/>
      </c>
    </row>
    <row r="11" spans="1:31">
      <c r="C11" t="str">
        <f>IFERROR(INDEX(Lists!$J$4:$J$143,MATCH(10,$V$2:$V$141,0)),"")</f>
        <v>Subscription &amp; Billing Support</v>
      </c>
      <c r="E11" t="str">
        <f>IFERROR(INDEX(Lists!$J$4:$J$143,MATCH(10,$W$2:$W$141,0)),"")</f>
        <v>Monitoring &amp; Alerting</v>
      </c>
      <c r="G11" t="str">
        <f>IFERROR(INDEX(Lists!$J$4:$J$143,MATCH(10,$X$2:$X$141,0)),"")</f>
        <v/>
      </c>
      <c r="I11" t="str">
        <f>IFERROR(INDEX(Lists!$J$4:$J$143,MATCH(10,$Y$2:$Y$141,0)),"")</f>
        <v>IT Service Desk Escalation</v>
      </c>
      <c r="K11" t="str">
        <f>IFERROR(INDEX(Lists!$J$4:$J$143,MATCH(10,$Z$2:$Z$141,0)),"")</f>
        <v/>
      </c>
      <c r="M11" t="str">
        <f>IFERROR(INDEX(Lists!$J$4:$J$143,MATCH(10,$AA$2:$AA$141,0)),"")</f>
        <v/>
      </c>
      <c r="O11" t="str">
        <f>IFERROR(INDEX(Lists!$J$4:$J$143,MATCH(10,$AB$2:$AB$141,0)),"")</f>
        <v>Secrets Management</v>
      </c>
      <c r="Q11" t="str">
        <f>IFERROR(INDEX(Lists!$J$4:$J$143,MATCH(10,$AC$2:$AC$141,0)),"")</f>
        <v/>
      </c>
      <c r="S11" t="str">
        <f>IFERROR(INDEX(Lists!$J$4:$J$143,MATCH(10,$AD$2:$AD$141,0)),"")</f>
        <v>Threat Hunting</v>
      </c>
      <c r="U11" t="str">
        <f>IFERROR(INDEX('Role Requirements'!$B$6:$B$400,MATCH(10,$AE$2:$AE$396,0)),"")</f>
        <v>Software Engineer</v>
      </c>
      <c r="V11">
        <f>IF(OR(Lists!$J13="",Lists!$K13&lt;&gt;"Customer Support"),"",COUNTIFS(Lists!$K$4:'Lists'!$K13,"Customer Support",Lists!$J$4:'Lists'!$J13,"&lt;&gt;"))</f>
        <v>10</v>
      </c>
      <c r="W11" t="str">
        <f>IF(OR(Lists!$J13="",Lists!$K13&lt;&gt;"Platform Operations"),"",COUNTIFS(Lists!$K$4:'Lists'!$K13,"Platform Operations",Lists!$J$4:'Lists'!$J13,"&lt;&gt;"))</f>
        <v/>
      </c>
      <c r="X11" t="str">
        <f>IF(OR(Lists!$J13="",Lists!$K13&lt;&gt;"Software Engineering"),"",COUNTIFS(Lists!$K$4:'Lists'!$K13,"Software Engineering",Lists!$J$4:'Lists'!$J13,"&lt;&gt;"))</f>
        <v/>
      </c>
      <c r="Y11" t="str">
        <f>IF(OR(Lists!$J13="",Lists!$K13&lt;&gt;"IT Operations"),"",COUNTIFS(Lists!$K$4:'Lists'!$K13,"IT Operations",Lists!$J$4:'Lists'!$J13,"&lt;&gt;"))</f>
        <v/>
      </c>
      <c r="Z11" t="str">
        <f>IF(OR(Lists!$J13="",Lists!$K13&lt;&gt;"Quality Assurance"),"",COUNTIFS(Lists!$K$4:'Lists'!$K13,"Quality Assurance",Lists!$J$4:'Lists'!$J13,"&lt;&gt;"))</f>
        <v/>
      </c>
      <c r="AA11" t="str">
        <f>IF(OR(Lists!$J13="",Lists!$K13&lt;&gt;"Compliance &amp; Core Training"),"",COUNTIFS(Lists!$K$4:'Lists'!$K13,"Compliance &amp; Core Training",Lists!$J$4:'Lists'!$J13,"&lt;&gt;"))</f>
        <v/>
      </c>
      <c r="AB11" t="str">
        <f>IF(OR(Lists!$J13="",Lists!$K13&lt;&gt;"Cloud &amp; Reliability"),"",COUNTIFS(Lists!$K$4:'Lists'!$K13,"Cloud &amp; Reliability",Lists!$J$4:'Lists'!$J13,"&lt;&gt;"))</f>
        <v/>
      </c>
      <c r="AC11" t="str">
        <f>IF(OR(Lists!$J13="",Lists!$K13&lt;&gt;"Data &amp; Analytics"),"",COUNTIFS(Lists!$K$4:'Lists'!$K13,"Data &amp; Analytics",Lists!$J$4:'Lists'!$J13,"&lt;&gt;"))</f>
        <v/>
      </c>
      <c r="AD11" t="str">
        <f>IF(OR(Lists!$J13="",Lists!$K13&lt;&gt;"Cybersecurity"),"",COUNTIFS(Lists!$K$4:'Lists'!$K13,"Cybersecurity",Lists!$J$4:'Lists'!$J13,"&lt;&gt;"))</f>
        <v/>
      </c>
      <c r="AE11">
        <f>IF('Role Requirements'!$B15="","",IF(COUNTIF('Role Requirements'!$B$6:$B15,'Role Requirements'!$B15)=1,COUNT($AE$1:AE10)+1,""))</f>
        <v>8</v>
      </c>
    </row>
    <row r="12" spans="1:31">
      <c r="C12" t="str">
        <f>IFERROR(INDEX(Lists!$J$4:$J$143,MATCH(11,$V$2:$V$141,0)),"")</f>
        <v>Data Privacy Handling</v>
      </c>
      <c r="E12" t="str">
        <f>IFERROR(INDEX(Lists!$J$4:$J$143,MATCH(11,$W$2:$W$141,0)),"")</f>
        <v>Log Analysis</v>
      </c>
      <c r="G12" t="str">
        <f>IFERROR(INDEX(Lists!$J$4:$J$143,MATCH(11,$X$2:$X$141,0)),"")</f>
        <v/>
      </c>
      <c r="I12" t="str">
        <f>IFERROR(INDEX(Lists!$J$4:$J$143,MATCH(11,$Y$2:$Y$141,0)),"")</f>
        <v/>
      </c>
      <c r="K12" t="str">
        <f>IFERROR(INDEX(Lists!$J$4:$J$143,MATCH(11,$Z$2:$Z$141,0)),"")</f>
        <v/>
      </c>
      <c r="M12" t="str">
        <f>IFERROR(INDEX(Lists!$J$4:$J$143,MATCH(11,$AA$2:$AA$141,0)),"")</f>
        <v/>
      </c>
      <c r="O12" t="str">
        <f>IFERROR(INDEX(Lists!$J$4:$J$143,MATCH(11,$AB$2:$AB$141,0)),"")</f>
        <v>Observability Dashboards</v>
      </c>
      <c r="Q12" t="str">
        <f>IFERROR(INDEX(Lists!$J$4:$J$143,MATCH(11,$AC$2:$AC$141,0)),"")</f>
        <v/>
      </c>
      <c r="S12" t="str">
        <f>IFERROR(INDEX(Lists!$J$4:$J$143,MATCH(11,$AD$2:$AD$141,0)),"")</f>
        <v>Incident Containment</v>
      </c>
      <c r="U12" t="str">
        <f>IFERROR(INDEX('Role Requirements'!$B$6:$B$400,MATCH(11,$AE$2:$AE$396,0)),"")</f>
        <v>Application Engineer</v>
      </c>
      <c r="V12">
        <f>IF(OR(Lists!$J14="",Lists!$K14&lt;&gt;"Customer Support"),"",COUNTIFS(Lists!$K$4:'Lists'!$K14,"Customer Support",Lists!$J$4:'Lists'!$J14,"&lt;&gt;"))</f>
        <v>11</v>
      </c>
      <c r="W12" t="str">
        <f>IF(OR(Lists!$J14="",Lists!$K14&lt;&gt;"Platform Operations"),"",COUNTIFS(Lists!$K$4:'Lists'!$K14,"Platform Operations",Lists!$J$4:'Lists'!$J14,"&lt;&gt;"))</f>
        <v/>
      </c>
      <c r="X12" t="str">
        <f>IF(OR(Lists!$J14="",Lists!$K14&lt;&gt;"Software Engineering"),"",COUNTIFS(Lists!$K$4:'Lists'!$K14,"Software Engineering",Lists!$J$4:'Lists'!$J14,"&lt;&gt;"))</f>
        <v/>
      </c>
      <c r="Y12" t="str">
        <f>IF(OR(Lists!$J14="",Lists!$K14&lt;&gt;"IT Operations"),"",COUNTIFS(Lists!$K$4:'Lists'!$K14,"IT Operations",Lists!$J$4:'Lists'!$J14,"&lt;&gt;"))</f>
        <v/>
      </c>
      <c r="Z12" t="str">
        <f>IF(OR(Lists!$J14="",Lists!$K14&lt;&gt;"Quality Assurance"),"",COUNTIFS(Lists!$K$4:'Lists'!$K14,"Quality Assurance",Lists!$J$4:'Lists'!$J14,"&lt;&gt;"))</f>
        <v/>
      </c>
      <c r="AA12" t="str">
        <f>IF(OR(Lists!$J14="",Lists!$K14&lt;&gt;"Compliance &amp; Core Training"),"",COUNTIFS(Lists!$K$4:'Lists'!$K14,"Compliance &amp; Core Training",Lists!$J$4:'Lists'!$J14,"&lt;&gt;"))</f>
        <v/>
      </c>
      <c r="AB12" t="str">
        <f>IF(OR(Lists!$J14="",Lists!$K14&lt;&gt;"Cloud &amp; Reliability"),"",COUNTIFS(Lists!$K$4:'Lists'!$K14,"Cloud &amp; Reliability",Lists!$J$4:'Lists'!$J14,"&lt;&gt;"))</f>
        <v/>
      </c>
      <c r="AC12" t="str">
        <f>IF(OR(Lists!$J14="",Lists!$K14&lt;&gt;"Data &amp; Analytics"),"",COUNTIFS(Lists!$K$4:'Lists'!$K14,"Data &amp; Analytics",Lists!$J$4:'Lists'!$J14,"&lt;&gt;"))</f>
        <v/>
      </c>
      <c r="AD12" t="str">
        <f>IF(OR(Lists!$J14="",Lists!$K14&lt;&gt;"Cybersecurity"),"",COUNTIFS(Lists!$K$4:'Lists'!$K14,"Cybersecurity",Lists!$J$4:'Lists'!$J14,"&lt;&gt;"))</f>
        <v/>
      </c>
      <c r="AE12" t="str">
        <f>IF('Role Requirements'!$B16="","",IF(COUNTIF('Role Requirements'!$B$6:$B16,'Role Requirements'!$B16)=1,COUNT($AE$1:AE11)+1,""))</f>
        <v/>
      </c>
    </row>
    <row r="13" spans="1:31">
      <c r="C13" t="str">
        <f>IFERROR(INDEX(Lists!$J$4:$J$143,MATCH(12,$V$2:$V$141,0)),"")</f>
        <v>Remote Support Session</v>
      </c>
      <c r="E13" t="str">
        <f>IFERROR(INDEX(Lists!$J$4:$J$143,MATCH(12,$W$2:$W$141,0)),"")</f>
        <v>Database Operations</v>
      </c>
      <c r="G13" t="str">
        <f>IFERROR(INDEX(Lists!$J$4:$J$143,MATCH(12,$X$2:$X$141,0)),"")</f>
        <v/>
      </c>
      <c r="I13" t="str">
        <f>IFERROR(INDEX(Lists!$J$4:$J$143,MATCH(12,$Y$2:$Y$141,0)),"")</f>
        <v/>
      </c>
      <c r="K13" t="str">
        <f>IFERROR(INDEX(Lists!$J$4:$J$143,MATCH(12,$Z$2:$Z$141,0)),"")</f>
        <v/>
      </c>
      <c r="M13" t="str">
        <f>IFERROR(INDEX(Lists!$J$4:$J$143,MATCH(12,$AA$2:$AA$141,0)),"")</f>
        <v/>
      </c>
      <c r="O13" t="str">
        <f>IFERROR(INDEX(Lists!$J$4:$J$143,MATCH(12,$AB$2:$AB$141,0)),"")</f>
        <v>SLO &amp; SLI Monitoring</v>
      </c>
      <c r="Q13" t="str">
        <f>IFERROR(INDEX(Lists!$J$4:$J$143,MATCH(12,$AC$2:$AC$141,0)),"")</f>
        <v/>
      </c>
      <c r="S13" t="str">
        <f>IFERROR(INDEX(Lists!$J$4:$J$143,MATCH(12,$AD$2:$AD$141,0)),"")</f>
        <v>Forensic Collection</v>
      </c>
      <c r="U13" t="str">
        <f>IFERROR(INDEX('Role Requirements'!$B$6:$B$400,MATCH(12,$AE$2:$AE$396,0)),"")</f>
        <v>Release Support Engineer</v>
      </c>
      <c r="V13">
        <f>IF(OR(Lists!$J15="",Lists!$K15&lt;&gt;"Customer Support"),"",COUNTIFS(Lists!$K$4:'Lists'!$K15,"Customer Support",Lists!$J$4:'Lists'!$J15,"&lt;&gt;"))</f>
        <v>12</v>
      </c>
      <c r="W13" t="str">
        <f>IF(OR(Lists!$J15="",Lists!$K15&lt;&gt;"Platform Operations"),"",COUNTIFS(Lists!$K$4:'Lists'!$K15,"Platform Operations",Lists!$J$4:'Lists'!$J15,"&lt;&gt;"))</f>
        <v/>
      </c>
      <c r="X13" t="str">
        <f>IF(OR(Lists!$J15="",Lists!$K15&lt;&gt;"Software Engineering"),"",COUNTIFS(Lists!$K$4:'Lists'!$K15,"Software Engineering",Lists!$J$4:'Lists'!$J15,"&lt;&gt;"))</f>
        <v/>
      </c>
      <c r="Y13" t="str">
        <f>IF(OR(Lists!$J15="",Lists!$K15&lt;&gt;"IT Operations"),"",COUNTIFS(Lists!$K$4:'Lists'!$K15,"IT Operations",Lists!$J$4:'Lists'!$J15,"&lt;&gt;"))</f>
        <v/>
      </c>
      <c r="Z13" t="str">
        <f>IF(OR(Lists!$J15="",Lists!$K15&lt;&gt;"Quality Assurance"),"",COUNTIFS(Lists!$K$4:'Lists'!$K15,"Quality Assurance",Lists!$J$4:'Lists'!$J15,"&lt;&gt;"))</f>
        <v/>
      </c>
      <c r="AA13" t="str">
        <f>IF(OR(Lists!$J15="",Lists!$K15&lt;&gt;"Compliance &amp; Core Training"),"",COUNTIFS(Lists!$K$4:'Lists'!$K15,"Compliance &amp; Core Training",Lists!$J$4:'Lists'!$J15,"&lt;&gt;"))</f>
        <v/>
      </c>
      <c r="AB13" t="str">
        <f>IF(OR(Lists!$J15="",Lists!$K15&lt;&gt;"Cloud &amp; Reliability"),"",COUNTIFS(Lists!$K$4:'Lists'!$K15,"Cloud &amp; Reliability",Lists!$J$4:'Lists'!$J15,"&lt;&gt;"))</f>
        <v/>
      </c>
      <c r="AC13" t="str">
        <f>IF(OR(Lists!$J15="",Lists!$K15&lt;&gt;"Data &amp; Analytics"),"",COUNTIFS(Lists!$K$4:'Lists'!$K15,"Data &amp; Analytics",Lists!$J$4:'Lists'!$J15,"&lt;&gt;"))</f>
        <v/>
      </c>
      <c r="AD13" t="str">
        <f>IF(OR(Lists!$J15="",Lists!$K15&lt;&gt;"Cybersecurity"),"",COUNTIFS(Lists!$K$4:'Lists'!$K15,"Cybersecurity",Lists!$J$4:'Lists'!$J15,"&lt;&gt;"))</f>
        <v/>
      </c>
      <c r="AE13">
        <f>IF('Role Requirements'!$B17="","",IF(COUNTIF('Role Requirements'!$B$6:$B17,'Role Requirements'!$B17)=1,COUNT($AE$1:AE12)+1,""))</f>
        <v>9</v>
      </c>
    </row>
    <row r="14" spans="1:31">
      <c r="C14" t="str">
        <f>IFERROR(INDEX(Lists!$J$4:$J$143,MATCH(13,$V$2:$V$141,0)),"")</f>
        <v>Troubleshooting Fundamentals</v>
      </c>
      <c r="E14" t="str">
        <f>IFERROR(INDEX(Lists!$J$4:$J$143,MATCH(13,$W$2:$W$141,0)),"")</f>
        <v>Change Management</v>
      </c>
      <c r="G14" t="str">
        <f>IFERROR(INDEX(Lists!$J$4:$J$143,MATCH(13,$X$2:$X$141,0)),"")</f>
        <v/>
      </c>
      <c r="I14" t="str">
        <f>IFERROR(INDEX(Lists!$J$4:$J$143,MATCH(13,$Y$2:$Y$141,0)),"")</f>
        <v/>
      </c>
      <c r="K14" t="str">
        <f>IFERROR(INDEX(Lists!$J$4:$J$143,MATCH(13,$Z$2:$Z$141,0)),"")</f>
        <v/>
      </c>
      <c r="M14" t="str">
        <f>IFERROR(INDEX(Lists!$J$4:$J$143,MATCH(13,$AA$2:$AA$141,0)),"")</f>
        <v/>
      </c>
      <c r="O14" t="str">
        <f>IFERROR(INDEX(Lists!$J$4:$J$143,MATCH(13,$AB$2:$AB$141,0)),"")</f>
        <v>Backup Validation</v>
      </c>
      <c r="Q14" t="str">
        <f>IFERROR(INDEX(Lists!$J$4:$J$143,MATCH(13,$AC$2:$AC$141,0)),"")</f>
        <v/>
      </c>
      <c r="S14" t="str">
        <f>IFERROR(INDEX(Lists!$J$4:$J$143,MATCH(13,$AD$2:$AD$141,0)),"")</f>
        <v>Malware Triage</v>
      </c>
      <c r="U14" t="str">
        <f>IFERROR(INDEX('Role Requirements'!$B$6:$B$400,MATCH(13,$AE$2:$AE$396,0)),"")</f>
        <v>Cloud Operations Analyst</v>
      </c>
      <c r="V14">
        <f>IF(OR(Lists!$J16="",Lists!$K16&lt;&gt;"Customer Support"),"",COUNTIFS(Lists!$K$4:'Lists'!$K16,"Customer Support",Lists!$J$4:'Lists'!$J16,"&lt;&gt;"))</f>
        <v>13</v>
      </c>
      <c r="W14" t="str">
        <f>IF(OR(Lists!$J16="",Lists!$K16&lt;&gt;"Platform Operations"),"",COUNTIFS(Lists!$K$4:'Lists'!$K16,"Platform Operations",Lists!$J$4:'Lists'!$J16,"&lt;&gt;"))</f>
        <v/>
      </c>
      <c r="X14" t="str">
        <f>IF(OR(Lists!$J16="",Lists!$K16&lt;&gt;"Software Engineering"),"",COUNTIFS(Lists!$K$4:'Lists'!$K16,"Software Engineering",Lists!$J$4:'Lists'!$J16,"&lt;&gt;"))</f>
        <v/>
      </c>
      <c r="Y14" t="str">
        <f>IF(OR(Lists!$J16="",Lists!$K16&lt;&gt;"IT Operations"),"",COUNTIFS(Lists!$K$4:'Lists'!$K16,"IT Operations",Lists!$J$4:'Lists'!$J16,"&lt;&gt;"))</f>
        <v/>
      </c>
      <c r="Z14" t="str">
        <f>IF(OR(Lists!$J16="",Lists!$K16&lt;&gt;"Quality Assurance"),"",COUNTIFS(Lists!$K$4:'Lists'!$K16,"Quality Assurance",Lists!$J$4:'Lists'!$J16,"&lt;&gt;"))</f>
        <v/>
      </c>
      <c r="AA14" t="str">
        <f>IF(OR(Lists!$J16="",Lists!$K16&lt;&gt;"Compliance &amp; Core Training"),"",COUNTIFS(Lists!$K$4:'Lists'!$K16,"Compliance &amp; Core Training",Lists!$J$4:'Lists'!$J16,"&lt;&gt;"))</f>
        <v/>
      </c>
      <c r="AB14" t="str">
        <f>IF(OR(Lists!$J16="",Lists!$K16&lt;&gt;"Cloud &amp; Reliability"),"",COUNTIFS(Lists!$K$4:'Lists'!$K16,"Cloud &amp; Reliability",Lists!$J$4:'Lists'!$J16,"&lt;&gt;"))</f>
        <v/>
      </c>
      <c r="AC14" t="str">
        <f>IF(OR(Lists!$J16="",Lists!$K16&lt;&gt;"Data &amp; Analytics"),"",COUNTIFS(Lists!$K$4:'Lists'!$K16,"Data &amp; Analytics",Lists!$J$4:'Lists'!$J16,"&lt;&gt;"))</f>
        <v/>
      </c>
      <c r="AD14" t="str">
        <f>IF(OR(Lists!$J16="",Lists!$K16&lt;&gt;"Cybersecurity"),"",COUNTIFS(Lists!$K$4:'Lists'!$K16,"Cybersecurity",Lists!$J$4:'Lists'!$J16,"&lt;&gt;"))</f>
        <v/>
      </c>
      <c r="AE14" t="str">
        <f>IF('Role Requirements'!$B18="","",IF(COUNTIF('Role Requirements'!$B$6:$B18,'Role Requirements'!$B18)=1,COUNT($AE$1:AE13)+1,""))</f>
        <v/>
      </c>
    </row>
    <row r="15" spans="1:31">
      <c r="C15" t="str">
        <f>IFERROR(INDEX(Lists!$J$4:$J$143,MATCH(14,$V$2:$V$141,0)),"")</f>
        <v>Support QA Review</v>
      </c>
      <c r="E15" t="str">
        <f>IFERROR(INDEX(Lists!$J$4:$J$143,MATCH(14,$W$2:$W$141,0)),"")</f>
        <v>Backup &amp; Recovery</v>
      </c>
      <c r="G15" t="str">
        <f>IFERROR(INDEX(Lists!$J$4:$J$143,MATCH(14,$X$2:$X$141,0)),"")</f>
        <v/>
      </c>
      <c r="I15" t="str">
        <f>IFERROR(INDEX(Lists!$J$4:$J$143,MATCH(14,$Y$2:$Y$141,0)),"")</f>
        <v/>
      </c>
      <c r="K15" t="str">
        <f>IFERROR(INDEX(Lists!$J$4:$J$143,MATCH(14,$Z$2:$Z$141,0)),"")</f>
        <v/>
      </c>
      <c r="M15" t="str">
        <f>IFERROR(INDEX(Lists!$J$4:$J$143,MATCH(14,$AA$2:$AA$141,0)),"")</f>
        <v/>
      </c>
      <c r="O15" t="str">
        <f>IFERROR(INDEX(Lists!$J$4:$J$143,MATCH(14,$AB$2:$AB$141,0)),"")</f>
        <v>Capacity Planning</v>
      </c>
      <c r="Q15" t="str">
        <f>IFERROR(INDEX(Lists!$J$4:$J$143,MATCH(14,$AC$2:$AC$141,0)),"")</f>
        <v/>
      </c>
      <c r="S15" t="str">
        <f>IFERROR(INDEX(Lists!$J$4:$J$143,MATCH(14,$AD$2:$AD$141,0)),"")</f>
        <v>Security Case Documentation</v>
      </c>
      <c r="U15" t="str">
        <f>IFERROR(INDEX('Role Requirements'!$B$6:$B$400,MATCH(14,$AE$2:$AE$396,0)),"")</f>
        <v>Identity &amp; Access Specialist</v>
      </c>
      <c r="V15">
        <f>IF(OR(Lists!$J17="",Lists!$K17&lt;&gt;"Customer Support"),"",COUNTIFS(Lists!$K$4:'Lists'!$K17,"Customer Support",Lists!$J$4:'Lists'!$J17,"&lt;&gt;"))</f>
        <v>14</v>
      </c>
      <c r="W15" t="str">
        <f>IF(OR(Lists!$J17="",Lists!$K17&lt;&gt;"Platform Operations"),"",COUNTIFS(Lists!$K$4:'Lists'!$K17,"Platform Operations",Lists!$J$4:'Lists'!$J17,"&lt;&gt;"))</f>
        <v/>
      </c>
      <c r="X15" t="str">
        <f>IF(OR(Lists!$J17="",Lists!$K17&lt;&gt;"Software Engineering"),"",COUNTIFS(Lists!$K$4:'Lists'!$K17,"Software Engineering",Lists!$J$4:'Lists'!$J17,"&lt;&gt;"))</f>
        <v/>
      </c>
      <c r="Y15" t="str">
        <f>IF(OR(Lists!$J17="",Lists!$K17&lt;&gt;"IT Operations"),"",COUNTIFS(Lists!$K$4:'Lists'!$K17,"IT Operations",Lists!$J$4:'Lists'!$J17,"&lt;&gt;"))</f>
        <v/>
      </c>
      <c r="Z15" t="str">
        <f>IF(OR(Lists!$J17="",Lists!$K17&lt;&gt;"Quality Assurance"),"",COUNTIFS(Lists!$K$4:'Lists'!$K17,"Quality Assurance",Lists!$J$4:'Lists'!$J17,"&lt;&gt;"))</f>
        <v/>
      </c>
      <c r="AA15" t="str">
        <f>IF(OR(Lists!$J17="",Lists!$K17&lt;&gt;"Compliance &amp; Core Training"),"",COUNTIFS(Lists!$K$4:'Lists'!$K17,"Compliance &amp; Core Training",Lists!$J$4:'Lists'!$J17,"&lt;&gt;"))</f>
        <v/>
      </c>
      <c r="AB15" t="str">
        <f>IF(OR(Lists!$J17="",Lists!$K17&lt;&gt;"Cloud &amp; Reliability"),"",COUNTIFS(Lists!$K$4:'Lists'!$K17,"Cloud &amp; Reliability",Lists!$J$4:'Lists'!$J17,"&lt;&gt;"))</f>
        <v/>
      </c>
      <c r="AC15" t="str">
        <f>IF(OR(Lists!$J17="",Lists!$K17&lt;&gt;"Data &amp; Analytics"),"",COUNTIFS(Lists!$K$4:'Lists'!$K17,"Data &amp; Analytics",Lists!$J$4:'Lists'!$J17,"&lt;&gt;"))</f>
        <v/>
      </c>
      <c r="AD15" t="str">
        <f>IF(OR(Lists!$J17="",Lists!$K17&lt;&gt;"Cybersecurity"),"",COUNTIFS(Lists!$K$4:'Lists'!$K17,"Cybersecurity",Lists!$J$4:'Lists'!$J17,"&lt;&gt;"))</f>
        <v/>
      </c>
      <c r="AE15">
        <f>IF('Role Requirements'!$B19="","",IF(COUNTIF('Role Requirements'!$B$6:$B19,'Role Requirements'!$B19)=1,COUNT($AE$1:AE14)+1,""))</f>
        <v>10</v>
      </c>
    </row>
    <row r="16" spans="1:31">
      <c r="C16" t="str">
        <f>IFERROR(INDEX(Lists!$J$4:$J$143,MATCH(15,$V$2:$V$141,0)),"")</f>
        <v>Customer Configuration Support</v>
      </c>
      <c r="E16" t="str">
        <f>IFERROR(INDEX(Lists!$J$4:$J$143,MATCH(15,$W$2:$W$141,0)),"")</f>
        <v/>
      </c>
      <c r="G16" t="str">
        <f>IFERROR(INDEX(Lists!$J$4:$J$143,MATCH(15,$X$2:$X$141,0)),"")</f>
        <v/>
      </c>
      <c r="I16" t="str">
        <f>IFERROR(INDEX(Lists!$J$4:$J$143,MATCH(15,$Y$2:$Y$141,0)),"")</f>
        <v/>
      </c>
      <c r="K16" t="str">
        <f>IFERROR(INDEX(Lists!$J$4:$J$143,MATCH(15,$Z$2:$Z$141,0)),"")</f>
        <v/>
      </c>
      <c r="M16" t="str">
        <f>IFERROR(INDEX(Lists!$J$4:$J$143,MATCH(15,$AA$2:$AA$141,0)),"")</f>
        <v/>
      </c>
      <c r="O16" t="str">
        <f>IFERROR(INDEX(Lists!$J$4:$J$143,MATCH(15,$AB$2:$AB$141,0)),"")</f>
        <v>Postmortem Facilitation</v>
      </c>
      <c r="Q16" t="str">
        <f>IFERROR(INDEX(Lists!$J$4:$J$143,MATCH(15,$AC$2:$AC$141,0)),"")</f>
        <v/>
      </c>
      <c r="S16" t="str">
        <f>IFERROR(INDEX(Lists!$J$4:$J$143,MATCH(15,$AD$2:$AD$141,0)),"")</f>
        <v>Cloud Security Monitoring</v>
      </c>
      <c r="U16" t="str">
        <f>IFERROR(INDEX('Role Requirements'!$B$6:$B$400,MATCH(15,$AE$2:$AE$396,0)),"")</f>
        <v>IT Service Analyst</v>
      </c>
      <c r="V16">
        <f>IF(OR(Lists!$J18="",Lists!$K18&lt;&gt;"Customer Support"),"",COUNTIFS(Lists!$K$4:'Lists'!$K18,"Customer Support",Lists!$J$4:'Lists'!$J18,"&lt;&gt;"))</f>
        <v>15</v>
      </c>
      <c r="W16" t="str">
        <f>IF(OR(Lists!$J18="",Lists!$K18&lt;&gt;"Platform Operations"),"",COUNTIFS(Lists!$K$4:'Lists'!$K18,"Platform Operations",Lists!$J$4:'Lists'!$J18,"&lt;&gt;"))</f>
        <v/>
      </c>
      <c r="X16" t="str">
        <f>IF(OR(Lists!$J18="",Lists!$K18&lt;&gt;"Software Engineering"),"",COUNTIFS(Lists!$K$4:'Lists'!$K18,"Software Engineering",Lists!$J$4:'Lists'!$J18,"&lt;&gt;"))</f>
        <v/>
      </c>
      <c r="Y16" t="str">
        <f>IF(OR(Lists!$J18="",Lists!$K18&lt;&gt;"IT Operations"),"",COUNTIFS(Lists!$K$4:'Lists'!$K18,"IT Operations",Lists!$J$4:'Lists'!$J18,"&lt;&gt;"))</f>
        <v/>
      </c>
      <c r="Z16" t="str">
        <f>IF(OR(Lists!$J18="",Lists!$K18&lt;&gt;"Quality Assurance"),"",COUNTIFS(Lists!$K$4:'Lists'!$K18,"Quality Assurance",Lists!$J$4:'Lists'!$J18,"&lt;&gt;"))</f>
        <v/>
      </c>
      <c r="AA16" t="str">
        <f>IF(OR(Lists!$J18="",Lists!$K18&lt;&gt;"Compliance &amp; Core Training"),"",COUNTIFS(Lists!$K$4:'Lists'!$K18,"Compliance &amp; Core Training",Lists!$J$4:'Lists'!$J18,"&lt;&gt;"))</f>
        <v/>
      </c>
      <c r="AB16" t="str">
        <f>IF(OR(Lists!$J18="",Lists!$K18&lt;&gt;"Cloud &amp; Reliability"),"",COUNTIFS(Lists!$K$4:'Lists'!$K18,"Cloud &amp; Reliability",Lists!$J$4:'Lists'!$J18,"&lt;&gt;"))</f>
        <v/>
      </c>
      <c r="AC16" t="str">
        <f>IF(OR(Lists!$J18="",Lists!$K18&lt;&gt;"Data &amp; Analytics"),"",COUNTIFS(Lists!$K$4:'Lists'!$K18,"Data &amp; Analytics",Lists!$J$4:'Lists'!$J18,"&lt;&gt;"))</f>
        <v/>
      </c>
      <c r="AD16" t="str">
        <f>IF(OR(Lists!$J18="",Lists!$K18&lt;&gt;"Cybersecurity"),"",COUNTIFS(Lists!$K$4:'Lists'!$K18,"Cybersecurity",Lists!$J$4:'Lists'!$J18,"&lt;&gt;"))</f>
        <v/>
      </c>
      <c r="AE16">
        <f>IF('Role Requirements'!$B20="","",IF(COUNTIF('Role Requirements'!$B$6:$B20,'Role Requirements'!$B20)=1,COUNT($AE$1:AE15)+1,""))</f>
        <v>11</v>
      </c>
    </row>
    <row r="17" spans="3:31">
      <c r="C17" t="str">
        <f>IFERROR(INDEX(Lists!$J$4:$J$143,MATCH(16,$V$2:$V$141,0)),"")</f>
        <v>Support Documentation Standards</v>
      </c>
      <c r="E17" t="str">
        <f>IFERROR(INDEX(Lists!$J$4:$J$143,MATCH(16,$W$2:$W$141,0)),"")</f>
        <v/>
      </c>
      <c r="G17" t="str">
        <f>IFERROR(INDEX(Lists!$J$4:$J$143,MATCH(16,$X$2:$X$141,0)),"")</f>
        <v/>
      </c>
      <c r="I17" t="str">
        <f>IFERROR(INDEX(Lists!$J$4:$J$143,MATCH(16,$Y$2:$Y$141,0)),"")</f>
        <v/>
      </c>
      <c r="K17" t="str">
        <f>IFERROR(INDEX(Lists!$J$4:$J$143,MATCH(16,$Z$2:$Z$141,0)),"")</f>
        <v/>
      </c>
      <c r="M17" t="str">
        <f>IFERROR(INDEX(Lists!$J$4:$J$143,MATCH(16,$AA$2:$AA$141,0)),"")</f>
        <v/>
      </c>
      <c r="O17" t="str">
        <f>IFERROR(INDEX(Lists!$J$4:$J$143,MATCH(16,$AB$2:$AB$141,0)),"")</f>
        <v>Reliability Testing</v>
      </c>
      <c r="Q17" t="str">
        <f>IFERROR(INDEX(Lists!$J$4:$J$143,MATCH(16,$AC$2:$AC$141,0)),"")</f>
        <v/>
      </c>
      <c r="S17" t="str">
        <f>IFERROR(INDEX(Lists!$J$4:$J$143,MATCH(16,$AD$2:$AD$141,0)),"")</f>
        <v>Network Security Monitoring</v>
      </c>
      <c r="U17" t="str">
        <f>IFERROR(INDEX('Role Requirements'!$B$6:$B$400,MATCH(16,$AE$2:$AE$396,0)),"")</f>
        <v>QA Analyst</v>
      </c>
      <c r="V17">
        <f>IF(OR(Lists!$J19="",Lists!$K19&lt;&gt;"Customer Support"),"",COUNTIFS(Lists!$K$4:'Lists'!$K19,"Customer Support",Lists!$J$4:'Lists'!$J19,"&lt;&gt;"))</f>
        <v>16</v>
      </c>
      <c r="W17" t="str">
        <f>IF(OR(Lists!$J19="",Lists!$K19&lt;&gt;"Platform Operations"),"",COUNTIFS(Lists!$K$4:'Lists'!$K19,"Platform Operations",Lists!$J$4:'Lists'!$J19,"&lt;&gt;"))</f>
        <v/>
      </c>
      <c r="X17" t="str">
        <f>IF(OR(Lists!$J19="",Lists!$K19&lt;&gt;"Software Engineering"),"",COUNTIFS(Lists!$K$4:'Lists'!$K19,"Software Engineering",Lists!$J$4:'Lists'!$J19,"&lt;&gt;"))</f>
        <v/>
      </c>
      <c r="Y17" t="str">
        <f>IF(OR(Lists!$J19="",Lists!$K19&lt;&gt;"IT Operations"),"",COUNTIFS(Lists!$K$4:'Lists'!$K19,"IT Operations",Lists!$J$4:'Lists'!$J19,"&lt;&gt;"))</f>
        <v/>
      </c>
      <c r="Z17" t="str">
        <f>IF(OR(Lists!$J19="",Lists!$K19&lt;&gt;"Quality Assurance"),"",COUNTIFS(Lists!$K$4:'Lists'!$K19,"Quality Assurance",Lists!$J$4:'Lists'!$J19,"&lt;&gt;"))</f>
        <v/>
      </c>
      <c r="AA17" t="str">
        <f>IF(OR(Lists!$J19="",Lists!$K19&lt;&gt;"Compliance &amp; Core Training"),"",COUNTIFS(Lists!$K$4:'Lists'!$K19,"Compliance &amp; Core Training",Lists!$J$4:'Lists'!$J19,"&lt;&gt;"))</f>
        <v/>
      </c>
      <c r="AB17" t="str">
        <f>IF(OR(Lists!$J19="",Lists!$K19&lt;&gt;"Cloud &amp; Reliability"),"",COUNTIFS(Lists!$K$4:'Lists'!$K19,"Cloud &amp; Reliability",Lists!$J$4:'Lists'!$J19,"&lt;&gt;"))</f>
        <v/>
      </c>
      <c r="AC17" t="str">
        <f>IF(OR(Lists!$J19="",Lists!$K19&lt;&gt;"Data &amp; Analytics"),"",COUNTIFS(Lists!$K$4:'Lists'!$K19,"Data &amp; Analytics",Lists!$J$4:'Lists'!$J19,"&lt;&gt;"))</f>
        <v/>
      </c>
      <c r="AD17" t="str">
        <f>IF(OR(Lists!$J19="",Lists!$K19&lt;&gt;"Cybersecurity"),"",COUNTIFS(Lists!$K$4:'Lists'!$K19,"Cybersecurity",Lists!$J$4:'Lists'!$J19,"&lt;&gt;"))</f>
        <v/>
      </c>
      <c r="AE17">
        <f>IF('Role Requirements'!$B21="","",IF(COUNTIF('Role Requirements'!$B$6:$B21,'Role Requirements'!$B21)=1,COUNT($AE$1:AE16)+1,""))</f>
        <v>12</v>
      </c>
    </row>
    <row r="18" spans="3:31">
      <c r="C18" t="str">
        <f>IFERROR(INDEX(Lists!$J$4:$J$143,MATCH(17,$V$2:$V$141,0)),"")</f>
        <v/>
      </c>
      <c r="E18" t="str">
        <f>IFERROR(INDEX(Lists!$J$4:$J$143,MATCH(17,$W$2:$W$141,0)),"")</f>
        <v/>
      </c>
      <c r="G18" t="str">
        <f>IFERROR(INDEX(Lists!$J$4:$J$143,MATCH(17,$X$2:$X$141,0)),"")</f>
        <v/>
      </c>
      <c r="I18" t="str">
        <f>IFERROR(INDEX(Lists!$J$4:$J$143,MATCH(17,$Y$2:$Y$141,0)),"")</f>
        <v/>
      </c>
      <c r="K18" t="str">
        <f>IFERROR(INDEX(Lists!$J$4:$J$143,MATCH(17,$Z$2:$Z$141,0)),"")</f>
        <v/>
      </c>
      <c r="M18" t="str">
        <f>IFERROR(INDEX(Lists!$J$4:$J$143,MATCH(17,$AA$2:$AA$141,0)),"")</f>
        <v/>
      </c>
      <c r="O18" t="str">
        <f>IFERROR(INDEX(Lists!$J$4:$J$143,MATCH(17,$AB$2:$AB$141,0)),"")</f>
        <v>Service Dependency Mapping</v>
      </c>
      <c r="Q18" t="str">
        <f>IFERROR(INDEX(Lists!$J$4:$J$143,MATCH(17,$AC$2:$AC$141,0)),"")</f>
        <v/>
      </c>
      <c r="S18" t="str">
        <f>IFERROR(INDEX(Lists!$J$4:$J$143,MATCH(17,$AD$2:$AD$141,0)),"")</f>
        <v>Web Application Security Review</v>
      </c>
      <c r="U18" t="str">
        <f>IFERROR(INDEX('Role Requirements'!$B$6:$B$400,MATCH(17,$AE$2:$AE$396,0)),"")</f>
        <v>Device Provisioning Specialist</v>
      </c>
      <c r="V18" t="str">
        <f>IF(OR(Lists!$J20="",Lists!$K20&lt;&gt;"Customer Support"),"",COUNTIFS(Lists!$K$4:'Lists'!$K20,"Customer Support",Lists!$J$4:'Lists'!$J20,"&lt;&gt;"))</f>
        <v/>
      </c>
      <c r="W18">
        <f>IF(OR(Lists!$J20="",Lists!$K20&lt;&gt;"Platform Operations"),"",COUNTIFS(Lists!$K$4:'Lists'!$K20,"Platform Operations",Lists!$J$4:'Lists'!$J20,"&lt;&gt;"))</f>
        <v>1</v>
      </c>
      <c r="X18" t="str">
        <f>IF(OR(Lists!$J20="",Lists!$K20&lt;&gt;"Software Engineering"),"",COUNTIFS(Lists!$K$4:'Lists'!$K20,"Software Engineering",Lists!$J$4:'Lists'!$J20,"&lt;&gt;"))</f>
        <v/>
      </c>
      <c r="Y18" t="str">
        <f>IF(OR(Lists!$J20="",Lists!$K20&lt;&gt;"IT Operations"),"",COUNTIFS(Lists!$K$4:'Lists'!$K20,"IT Operations",Lists!$J$4:'Lists'!$J20,"&lt;&gt;"))</f>
        <v/>
      </c>
      <c r="Z18" t="str">
        <f>IF(OR(Lists!$J20="",Lists!$K20&lt;&gt;"Quality Assurance"),"",COUNTIFS(Lists!$K$4:'Lists'!$K20,"Quality Assurance",Lists!$J$4:'Lists'!$J20,"&lt;&gt;"))</f>
        <v/>
      </c>
      <c r="AA18" t="str">
        <f>IF(OR(Lists!$J20="",Lists!$K20&lt;&gt;"Compliance &amp; Core Training"),"",COUNTIFS(Lists!$K$4:'Lists'!$K20,"Compliance &amp; Core Training",Lists!$J$4:'Lists'!$J20,"&lt;&gt;"))</f>
        <v/>
      </c>
      <c r="AB18" t="str">
        <f>IF(OR(Lists!$J20="",Lists!$K20&lt;&gt;"Cloud &amp; Reliability"),"",COUNTIFS(Lists!$K$4:'Lists'!$K20,"Cloud &amp; Reliability",Lists!$J$4:'Lists'!$J20,"&lt;&gt;"))</f>
        <v/>
      </c>
      <c r="AC18" t="str">
        <f>IF(OR(Lists!$J20="",Lists!$K20&lt;&gt;"Data &amp; Analytics"),"",COUNTIFS(Lists!$K$4:'Lists'!$K20,"Data &amp; Analytics",Lists!$J$4:'Lists'!$J20,"&lt;&gt;"))</f>
        <v/>
      </c>
      <c r="AD18" t="str">
        <f>IF(OR(Lists!$J20="",Lists!$K20&lt;&gt;"Cybersecurity"),"",COUNTIFS(Lists!$K$4:'Lists'!$K20,"Cybersecurity",Lists!$J$4:'Lists'!$J20,"&lt;&gt;"))</f>
        <v/>
      </c>
      <c r="AE18">
        <f>IF('Role Requirements'!$B22="","",IF(COUNTIF('Role Requirements'!$B$6:$B22,'Role Requirements'!$B22)=1,COUNT($AE$1:AE17)+1,""))</f>
        <v>13</v>
      </c>
    </row>
    <row r="19" spans="3:31">
      <c r="C19" t="str">
        <f>IFERROR(INDEX(Lists!$J$4:$J$143,MATCH(18,$V$2:$V$141,0)),"")</f>
        <v/>
      </c>
      <c r="E19" t="str">
        <f>IFERROR(INDEX(Lists!$J$4:$J$143,MATCH(18,$W$2:$W$141,0)),"")</f>
        <v/>
      </c>
      <c r="G19" t="str">
        <f>IFERROR(INDEX(Lists!$J$4:$J$143,MATCH(18,$X$2:$X$141,0)),"")</f>
        <v/>
      </c>
      <c r="I19" t="str">
        <f>IFERROR(INDEX(Lists!$J$4:$J$143,MATCH(18,$Y$2:$Y$141,0)),"")</f>
        <v/>
      </c>
      <c r="K19" t="str">
        <f>IFERROR(INDEX(Lists!$J$4:$J$143,MATCH(18,$Z$2:$Z$141,0)),"")</f>
        <v/>
      </c>
      <c r="M19" t="str">
        <f>IFERROR(INDEX(Lists!$J$4:$J$143,MATCH(18,$AA$2:$AA$141,0)),"")</f>
        <v/>
      </c>
      <c r="O19" t="str">
        <f>IFERROR(INDEX(Lists!$J$4:$J$143,MATCH(18,$AB$2:$AB$141,0)),"")</f>
        <v/>
      </c>
      <c r="Q19" t="str">
        <f>IFERROR(INDEX(Lists!$J$4:$J$143,MATCH(18,$AC$2:$AC$141,0)),"")</f>
        <v/>
      </c>
      <c r="S19" t="str">
        <f>IFERROR(INDEX(Lists!$J$4:$J$143,MATCH(18,$AD$2:$AD$141,0)),"")</f>
        <v>Secure Configuration Review</v>
      </c>
      <c r="U19" t="str">
        <f>IFERROR(INDEX('Role Requirements'!$B$6:$B$400,MATCH(18,$AE$2:$AE$396,0)),"")</f>
        <v>IT Support Specialist</v>
      </c>
      <c r="V19" t="str">
        <f>IF(OR(Lists!$J21="",Lists!$K21&lt;&gt;"Customer Support"),"",COUNTIFS(Lists!$K$4:'Lists'!$K21,"Customer Support",Lists!$J$4:'Lists'!$J21,"&lt;&gt;"))</f>
        <v/>
      </c>
      <c r="W19">
        <f>IF(OR(Lists!$J21="",Lists!$K21&lt;&gt;"Platform Operations"),"",COUNTIFS(Lists!$K$4:'Lists'!$K21,"Platform Operations",Lists!$J$4:'Lists'!$J21,"&lt;&gt;"))</f>
        <v>2</v>
      </c>
      <c r="X19" t="str">
        <f>IF(OR(Lists!$J21="",Lists!$K21&lt;&gt;"Software Engineering"),"",COUNTIFS(Lists!$K$4:'Lists'!$K21,"Software Engineering",Lists!$J$4:'Lists'!$J21,"&lt;&gt;"))</f>
        <v/>
      </c>
      <c r="Y19" t="str">
        <f>IF(OR(Lists!$J21="",Lists!$K21&lt;&gt;"IT Operations"),"",COUNTIFS(Lists!$K$4:'Lists'!$K21,"IT Operations",Lists!$J$4:'Lists'!$J21,"&lt;&gt;"))</f>
        <v/>
      </c>
      <c r="Z19" t="str">
        <f>IF(OR(Lists!$J21="",Lists!$K21&lt;&gt;"Quality Assurance"),"",COUNTIFS(Lists!$K$4:'Lists'!$K21,"Quality Assurance",Lists!$J$4:'Lists'!$J21,"&lt;&gt;"))</f>
        <v/>
      </c>
      <c r="AA19" t="str">
        <f>IF(OR(Lists!$J21="",Lists!$K21&lt;&gt;"Compliance &amp; Core Training"),"",COUNTIFS(Lists!$K$4:'Lists'!$K21,"Compliance &amp; Core Training",Lists!$J$4:'Lists'!$J21,"&lt;&gt;"))</f>
        <v/>
      </c>
      <c r="AB19" t="str">
        <f>IF(OR(Lists!$J21="",Lists!$K21&lt;&gt;"Cloud &amp; Reliability"),"",COUNTIFS(Lists!$K$4:'Lists'!$K21,"Cloud &amp; Reliability",Lists!$J$4:'Lists'!$J21,"&lt;&gt;"))</f>
        <v/>
      </c>
      <c r="AC19" t="str">
        <f>IF(OR(Lists!$J21="",Lists!$K21&lt;&gt;"Data &amp; Analytics"),"",COUNTIFS(Lists!$K$4:'Lists'!$K21,"Data &amp; Analytics",Lists!$J$4:'Lists'!$J21,"&lt;&gt;"))</f>
        <v/>
      </c>
      <c r="AD19" t="str">
        <f>IF(OR(Lists!$J21="",Lists!$K21&lt;&gt;"Cybersecurity"),"",COUNTIFS(Lists!$K$4:'Lists'!$K21,"Cybersecurity",Lists!$J$4:'Lists'!$J21,"&lt;&gt;"))</f>
        <v/>
      </c>
      <c r="AE19" t="str">
        <f>IF('Role Requirements'!$B23="","",IF(COUNTIF('Role Requirements'!$B$6:$B23,'Role Requirements'!$B23)=1,COUNT($AE$1:AE18)+1,""))</f>
        <v/>
      </c>
    </row>
    <row r="20" spans="3:31">
      <c r="C20" t="str">
        <f>IFERROR(INDEX(Lists!$J$4:$J$143,MATCH(19,$V$2:$V$141,0)),"")</f>
        <v/>
      </c>
      <c r="E20" t="str">
        <f>IFERROR(INDEX(Lists!$J$4:$J$143,MATCH(19,$W$2:$W$141,0)),"")</f>
        <v/>
      </c>
      <c r="G20" t="str">
        <f>IFERROR(INDEX(Lists!$J$4:$J$143,MATCH(19,$X$2:$X$141,0)),"")</f>
        <v/>
      </c>
      <c r="I20" t="str">
        <f>IFERROR(INDEX(Lists!$J$4:$J$143,MATCH(19,$Y$2:$Y$141,0)),"")</f>
        <v/>
      </c>
      <c r="K20" t="str">
        <f>IFERROR(INDEX(Lists!$J$4:$J$143,MATCH(19,$Z$2:$Z$141,0)),"")</f>
        <v/>
      </c>
      <c r="M20" t="str">
        <f>IFERROR(INDEX(Lists!$J$4:$J$143,MATCH(19,$AA$2:$AA$141,0)),"")</f>
        <v/>
      </c>
      <c r="O20" t="str">
        <f>IFERROR(INDEX(Lists!$J$4:$J$143,MATCH(19,$AB$2:$AB$141,0)),"")</f>
        <v/>
      </c>
      <c r="Q20" t="str">
        <f>IFERROR(INDEX(Lists!$J$4:$J$143,MATCH(19,$AC$2:$AC$141,0)),"")</f>
        <v/>
      </c>
      <c r="S20" t="str">
        <f>IFERROR(INDEX(Lists!$J$4:$J$143,MATCH(19,$AD$2:$AD$141,0)),"")</f>
        <v>Risk Assessment</v>
      </c>
      <c r="U20" t="str">
        <f>IFERROR(INDEX('Role Requirements'!$B$6:$B$400,MATCH(19,$AE$2:$AE$396,0)),"")</f>
        <v>Endpoint Support Specialist</v>
      </c>
      <c r="V20" t="str">
        <f>IF(OR(Lists!$J22="",Lists!$K22&lt;&gt;"Customer Support"),"",COUNTIFS(Lists!$K$4:'Lists'!$K22,"Customer Support",Lists!$J$4:'Lists'!$J22,"&lt;&gt;"))</f>
        <v/>
      </c>
      <c r="W20">
        <f>IF(OR(Lists!$J22="",Lists!$K22&lt;&gt;"Platform Operations"),"",COUNTIFS(Lists!$K$4:'Lists'!$K22,"Platform Operations",Lists!$J$4:'Lists'!$J22,"&lt;&gt;"))</f>
        <v>3</v>
      </c>
      <c r="X20" t="str">
        <f>IF(OR(Lists!$J22="",Lists!$K22&lt;&gt;"Software Engineering"),"",COUNTIFS(Lists!$K$4:'Lists'!$K22,"Software Engineering",Lists!$J$4:'Lists'!$J22,"&lt;&gt;"))</f>
        <v/>
      </c>
      <c r="Y20" t="str">
        <f>IF(OR(Lists!$J22="",Lists!$K22&lt;&gt;"IT Operations"),"",COUNTIFS(Lists!$K$4:'Lists'!$K22,"IT Operations",Lists!$J$4:'Lists'!$J22,"&lt;&gt;"))</f>
        <v/>
      </c>
      <c r="Z20" t="str">
        <f>IF(OR(Lists!$J22="",Lists!$K22&lt;&gt;"Quality Assurance"),"",COUNTIFS(Lists!$K$4:'Lists'!$K22,"Quality Assurance",Lists!$J$4:'Lists'!$J22,"&lt;&gt;"))</f>
        <v/>
      </c>
      <c r="AA20" t="str">
        <f>IF(OR(Lists!$J22="",Lists!$K22&lt;&gt;"Compliance &amp; Core Training"),"",COUNTIFS(Lists!$K$4:'Lists'!$K22,"Compliance &amp; Core Training",Lists!$J$4:'Lists'!$J22,"&lt;&gt;"))</f>
        <v/>
      </c>
      <c r="AB20" t="str">
        <f>IF(OR(Lists!$J22="",Lists!$K22&lt;&gt;"Cloud &amp; Reliability"),"",COUNTIFS(Lists!$K$4:'Lists'!$K22,"Cloud &amp; Reliability",Lists!$J$4:'Lists'!$J22,"&lt;&gt;"))</f>
        <v/>
      </c>
      <c r="AC20" t="str">
        <f>IF(OR(Lists!$J22="",Lists!$K22&lt;&gt;"Data &amp; Analytics"),"",COUNTIFS(Lists!$K$4:'Lists'!$K22,"Data &amp; Analytics",Lists!$J$4:'Lists'!$J22,"&lt;&gt;"))</f>
        <v/>
      </c>
      <c r="AD20" t="str">
        <f>IF(OR(Lists!$J22="",Lists!$K22&lt;&gt;"Cybersecurity"),"",COUNTIFS(Lists!$K$4:'Lists'!$K22,"Cybersecurity",Lists!$J$4:'Lists'!$J22,"&lt;&gt;"))</f>
        <v/>
      </c>
      <c r="AE20" t="str">
        <f>IF('Role Requirements'!$B24="","",IF(COUNTIF('Role Requirements'!$B$6:$B24,'Role Requirements'!$B24)=1,COUNT($AE$1:AE19)+1,""))</f>
        <v/>
      </c>
    </row>
    <row r="21" spans="3:31">
      <c r="C21" t="str">
        <f>IFERROR(INDEX(Lists!$J$4:$J$143,MATCH(20,$V$2:$V$141,0)),"")</f>
        <v/>
      </c>
      <c r="E21" t="str">
        <f>IFERROR(INDEX(Lists!$J$4:$J$143,MATCH(20,$W$2:$W$141,0)),"")</f>
        <v/>
      </c>
      <c r="G21" t="str">
        <f>IFERROR(INDEX(Lists!$J$4:$J$143,MATCH(20,$X$2:$X$141,0)),"")</f>
        <v/>
      </c>
      <c r="I21" t="str">
        <f>IFERROR(INDEX(Lists!$J$4:$J$143,MATCH(20,$Y$2:$Y$141,0)),"")</f>
        <v/>
      </c>
      <c r="K21" t="str">
        <f>IFERROR(INDEX(Lists!$J$4:$J$143,MATCH(20,$Z$2:$Z$141,0)),"")</f>
        <v/>
      </c>
      <c r="M21" t="str">
        <f>IFERROR(INDEX(Lists!$J$4:$J$143,MATCH(20,$AA$2:$AA$141,0)),"")</f>
        <v/>
      </c>
      <c r="O21" t="str">
        <f>IFERROR(INDEX(Lists!$J$4:$J$143,MATCH(20,$AB$2:$AB$141,0)),"")</f>
        <v/>
      </c>
      <c r="Q21" t="str">
        <f>IFERROR(INDEX(Lists!$J$4:$J$143,MATCH(20,$AC$2:$AC$141,0)),"")</f>
        <v/>
      </c>
      <c r="S21" t="str">
        <f>IFERROR(INDEX(Lists!$J$4:$J$143,MATCH(20,$AD$2:$AD$141,0)),"")</f>
        <v>Third-Party Security Review</v>
      </c>
      <c r="U21" t="str">
        <f>IFERROR(INDEX('Role Requirements'!$B$6:$B$400,MATCH(20,$AE$2:$AE$396,0)),"")</f>
        <v>Network Support Analyst</v>
      </c>
      <c r="V21" t="str">
        <f>IF(OR(Lists!$J23="",Lists!$K23&lt;&gt;"Customer Support"),"",COUNTIFS(Lists!$K$4:'Lists'!$K23,"Customer Support",Lists!$J$4:'Lists'!$J23,"&lt;&gt;"))</f>
        <v/>
      </c>
      <c r="W21">
        <f>IF(OR(Lists!$J23="",Lists!$K23&lt;&gt;"Platform Operations"),"",COUNTIFS(Lists!$K$4:'Lists'!$K23,"Platform Operations",Lists!$J$4:'Lists'!$J23,"&lt;&gt;"))</f>
        <v>4</v>
      </c>
      <c r="X21" t="str">
        <f>IF(OR(Lists!$J23="",Lists!$K23&lt;&gt;"Software Engineering"),"",COUNTIFS(Lists!$K$4:'Lists'!$K23,"Software Engineering",Lists!$J$4:'Lists'!$J23,"&lt;&gt;"))</f>
        <v/>
      </c>
      <c r="Y21" t="str">
        <f>IF(OR(Lists!$J23="",Lists!$K23&lt;&gt;"IT Operations"),"",COUNTIFS(Lists!$K$4:'Lists'!$K23,"IT Operations",Lists!$J$4:'Lists'!$J23,"&lt;&gt;"))</f>
        <v/>
      </c>
      <c r="Z21" t="str">
        <f>IF(OR(Lists!$J23="",Lists!$K23&lt;&gt;"Quality Assurance"),"",COUNTIFS(Lists!$K$4:'Lists'!$K23,"Quality Assurance",Lists!$J$4:'Lists'!$J23,"&lt;&gt;"))</f>
        <v/>
      </c>
      <c r="AA21" t="str">
        <f>IF(OR(Lists!$J23="",Lists!$K23&lt;&gt;"Compliance &amp; Core Training"),"",COUNTIFS(Lists!$K$4:'Lists'!$K23,"Compliance &amp; Core Training",Lists!$J$4:'Lists'!$J23,"&lt;&gt;"))</f>
        <v/>
      </c>
      <c r="AB21" t="str">
        <f>IF(OR(Lists!$J23="",Lists!$K23&lt;&gt;"Cloud &amp; Reliability"),"",COUNTIFS(Lists!$K$4:'Lists'!$K23,"Cloud &amp; Reliability",Lists!$J$4:'Lists'!$J23,"&lt;&gt;"))</f>
        <v/>
      </c>
      <c r="AC21" t="str">
        <f>IF(OR(Lists!$J23="",Lists!$K23&lt;&gt;"Data &amp; Analytics"),"",COUNTIFS(Lists!$K$4:'Lists'!$K23,"Data &amp; Analytics",Lists!$J$4:'Lists'!$J23,"&lt;&gt;"))</f>
        <v/>
      </c>
      <c r="AD21" t="str">
        <f>IF(OR(Lists!$J23="",Lists!$K23&lt;&gt;"Cybersecurity"),"",COUNTIFS(Lists!$K$4:'Lists'!$K23,"Cybersecurity",Lists!$J$4:'Lists'!$J23,"&lt;&gt;"))</f>
        <v/>
      </c>
      <c r="AE21" t="str">
        <f>IF('Role Requirements'!$B25="","",IF(COUNTIF('Role Requirements'!$B$6:$B25,'Role Requirements'!$B25)=1,COUNT($AE$1:AE20)+1,""))</f>
        <v/>
      </c>
    </row>
    <row r="22" spans="3:31">
      <c r="C22" t="str">
        <f>IFERROR(INDEX(Lists!$J$4:$J$143,MATCH(21,$V$2:$V$141,0)),"")</f>
        <v/>
      </c>
      <c r="E22" t="str">
        <f>IFERROR(INDEX(Lists!$J$4:$J$143,MATCH(21,$W$2:$W$141,0)),"")</f>
        <v/>
      </c>
      <c r="G22" t="str">
        <f>IFERROR(INDEX(Lists!$J$4:$J$143,MATCH(21,$X$2:$X$141,0)),"")</f>
        <v/>
      </c>
      <c r="I22" t="str">
        <f>IFERROR(INDEX(Lists!$J$4:$J$143,MATCH(21,$Y$2:$Y$141,0)),"")</f>
        <v/>
      </c>
      <c r="K22" t="str">
        <f>IFERROR(INDEX(Lists!$J$4:$J$143,MATCH(21,$Z$2:$Z$141,0)),"")</f>
        <v/>
      </c>
      <c r="M22" t="str">
        <f>IFERROR(INDEX(Lists!$J$4:$J$143,MATCH(21,$AA$2:$AA$141,0)),"")</f>
        <v/>
      </c>
      <c r="O22" t="str">
        <f>IFERROR(INDEX(Lists!$J$4:$J$143,MATCH(21,$AB$2:$AB$141,0)),"")</f>
        <v/>
      </c>
      <c r="Q22" t="str">
        <f>IFERROR(INDEX(Lists!$J$4:$J$143,MATCH(21,$AC$2:$AC$141,0)),"")</f>
        <v/>
      </c>
      <c r="S22" t="str">
        <f>IFERROR(INDEX(Lists!$J$4:$J$143,MATCH(21,$AD$2:$AD$141,0)),"")</f>
        <v>Security Control Testing</v>
      </c>
      <c r="U22" t="str">
        <f>IFERROR(INDEX('Role Requirements'!$B$6:$B$400,MATCH(21,$AE$2:$AE$396,0)),"")</f>
        <v>Site Reliability Engineer</v>
      </c>
      <c r="V22" t="str">
        <f>IF(OR(Lists!$J24="",Lists!$K24&lt;&gt;"Customer Support"),"",COUNTIFS(Lists!$K$4:'Lists'!$K24,"Customer Support",Lists!$J$4:'Lists'!$J24,"&lt;&gt;"))</f>
        <v/>
      </c>
      <c r="W22">
        <f>IF(OR(Lists!$J24="",Lists!$K24&lt;&gt;"Platform Operations"),"",COUNTIFS(Lists!$K$4:'Lists'!$K24,"Platform Operations",Lists!$J$4:'Lists'!$J24,"&lt;&gt;"))</f>
        <v>5</v>
      </c>
      <c r="X22" t="str">
        <f>IF(OR(Lists!$J24="",Lists!$K24&lt;&gt;"Software Engineering"),"",COUNTIFS(Lists!$K$4:'Lists'!$K24,"Software Engineering",Lists!$J$4:'Lists'!$J24,"&lt;&gt;"))</f>
        <v/>
      </c>
      <c r="Y22" t="str">
        <f>IF(OR(Lists!$J24="",Lists!$K24&lt;&gt;"IT Operations"),"",COUNTIFS(Lists!$K$4:'Lists'!$K24,"IT Operations",Lists!$J$4:'Lists'!$J24,"&lt;&gt;"))</f>
        <v/>
      </c>
      <c r="Z22" t="str">
        <f>IF(OR(Lists!$J24="",Lists!$K24&lt;&gt;"Quality Assurance"),"",COUNTIFS(Lists!$K$4:'Lists'!$K24,"Quality Assurance",Lists!$J$4:'Lists'!$J24,"&lt;&gt;"))</f>
        <v/>
      </c>
      <c r="AA22" t="str">
        <f>IF(OR(Lists!$J24="",Lists!$K24&lt;&gt;"Compliance &amp; Core Training"),"",COUNTIFS(Lists!$K$4:'Lists'!$K24,"Compliance &amp; Core Training",Lists!$J$4:'Lists'!$J24,"&lt;&gt;"))</f>
        <v/>
      </c>
      <c r="AB22" t="str">
        <f>IF(OR(Lists!$J24="",Lists!$K24&lt;&gt;"Cloud &amp; Reliability"),"",COUNTIFS(Lists!$K$4:'Lists'!$K24,"Cloud &amp; Reliability",Lists!$J$4:'Lists'!$J24,"&lt;&gt;"))</f>
        <v/>
      </c>
      <c r="AC22" t="str">
        <f>IF(OR(Lists!$J24="",Lists!$K24&lt;&gt;"Data &amp; Analytics"),"",COUNTIFS(Lists!$K$4:'Lists'!$K24,"Data &amp; Analytics",Lists!$J$4:'Lists'!$J24,"&lt;&gt;"))</f>
        <v/>
      </c>
      <c r="AD22" t="str">
        <f>IF(OR(Lists!$J24="",Lists!$K24&lt;&gt;"Cybersecurity"),"",COUNTIFS(Lists!$K$4:'Lists'!$K24,"Cybersecurity",Lists!$J$4:'Lists'!$J24,"&lt;&gt;"))</f>
        <v/>
      </c>
      <c r="AE22">
        <f>IF('Role Requirements'!$B26="","",IF(COUNTIF('Role Requirements'!$B$6:$B26,'Role Requirements'!$B26)=1,COUNT($AE$1:AE21)+1,""))</f>
        <v>14</v>
      </c>
    </row>
    <row r="23" spans="3:31">
      <c r="C23" t="str">
        <f>IFERROR(INDEX(Lists!$J$4:$J$143,MATCH(22,$V$2:$V$141,0)),"")</f>
        <v/>
      </c>
      <c r="E23" t="str">
        <f>IFERROR(INDEX(Lists!$J$4:$J$143,MATCH(22,$W$2:$W$141,0)),"")</f>
        <v/>
      </c>
      <c r="G23" t="str">
        <f>IFERROR(INDEX(Lists!$J$4:$J$143,MATCH(22,$X$2:$X$141,0)),"")</f>
        <v/>
      </c>
      <c r="I23" t="str">
        <f>IFERROR(INDEX(Lists!$J$4:$J$143,MATCH(22,$Y$2:$Y$141,0)),"")</f>
        <v/>
      </c>
      <c r="K23" t="str">
        <f>IFERROR(INDEX(Lists!$J$4:$J$143,MATCH(22,$Z$2:$Z$141,0)),"")</f>
        <v/>
      </c>
      <c r="M23" t="str">
        <f>IFERROR(INDEX(Lists!$J$4:$J$143,MATCH(22,$AA$2:$AA$141,0)),"")</f>
        <v/>
      </c>
      <c r="O23" t="str">
        <f>IFERROR(INDEX(Lists!$J$4:$J$143,MATCH(22,$AB$2:$AB$141,0)),"")</f>
        <v/>
      </c>
      <c r="Q23" t="str">
        <f>IFERROR(INDEX(Lists!$J$4:$J$143,MATCH(22,$AC$2:$AC$141,0)),"")</f>
        <v/>
      </c>
      <c r="S23" t="str">
        <f>IFERROR(INDEX(Lists!$J$4:$J$143,MATCH(22,$AD$2:$AD$141,0)),"")</f>
        <v>Security Incident Escalation</v>
      </c>
      <c r="U23" t="str">
        <f>IFERROR(INDEX('Role Requirements'!$B$6:$B$400,MATCH(22,$AE$2:$AE$396,0)),"")</f>
        <v>Data Quality Analyst</v>
      </c>
      <c r="V23" t="str">
        <f>IF(OR(Lists!$J25="",Lists!$K25&lt;&gt;"Customer Support"),"",COUNTIFS(Lists!$K$4:'Lists'!$K25,"Customer Support",Lists!$J$4:'Lists'!$J25,"&lt;&gt;"))</f>
        <v/>
      </c>
      <c r="W23">
        <f>IF(OR(Lists!$J25="",Lists!$K25&lt;&gt;"Platform Operations"),"",COUNTIFS(Lists!$K$4:'Lists'!$K25,"Platform Operations",Lists!$J$4:'Lists'!$J25,"&lt;&gt;"))</f>
        <v>6</v>
      </c>
      <c r="X23" t="str">
        <f>IF(OR(Lists!$J25="",Lists!$K25&lt;&gt;"Software Engineering"),"",COUNTIFS(Lists!$K$4:'Lists'!$K25,"Software Engineering",Lists!$J$4:'Lists'!$J25,"&lt;&gt;"))</f>
        <v/>
      </c>
      <c r="Y23" t="str">
        <f>IF(OR(Lists!$J25="",Lists!$K25&lt;&gt;"IT Operations"),"",COUNTIFS(Lists!$K$4:'Lists'!$K25,"IT Operations",Lists!$J$4:'Lists'!$J25,"&lt;&gt;"))</f>
        <v/>
      </c>
      <c r="Z23" t="str">
        <f>IF(OR(Lists!$J25="",Lists!$K25&lt;&gt;"Quality Assurance"),"",COUNTIFS(Lists!$K$4:'Lists'!$K25,"Quality Assurance",Lists!$J$4:'Lists'!$J25,"&lt;&gt;"))</f>
        <v/>
      </c>
      <c r="AA23" t="str">
        <f>IF(OR(Lists!$J25="",Lists!$K25&lt;&gt;"Compliance &amp; Core Training"),"",COUNTIFS(Lists!$K$4:'Lists'!$K25,"Compliance &amp; Core Training",Lists!$J$4:'Lists'!$J25,"&lt;&gt;"))</f>
        <v/>
      </c>
      <c r="AB23" t="str">
        <f>IF(OR(Lists!$J25="",Lists!$K25&lt;&gt;"Cloud &amp; Reliability"),"",COUNTIFS(Lists!$K$4:'Lists'!$K25,"Cloud &amp; Reliability",Lists!$J$4:'Lists'!$J25,"&lt;&gt;"))</f>
        <v/>
      </c>
      <c r="AC23" t="str">
        <f>IF(OR(Lists!$J25="",Lists!$K25&lt;&gt;"Data &amp; Analytics"),"",COUNTIFS(Lists!$K$4:'Lists'!$K25,"Data &amp; Analytics",Lists!$J$4:'Lists'!$J25,"&lt;&gt;"))</f>
        <v/>
      </c>
      <c r="AD23" t="str">
        <f>IF(OR(Lists!$J25="",Lists!$K25&lt;&gt;"Cybersecurity"),"",COUNTIFS(Lists!$K$4:'Lists'!$K25,"Cybersecurity",Lists!$J$4:'Lists'!$J25,"&lt;&gt;"))</f>
        <v/>
      </c>
      <c r="AE23">
        <f>IF('Role Requirements'!$B27="","",IF(COUNTIF('Role Requirements'!$B$6:$B27,'Role Requirements'!$B27)=1,COUNT($AE$1:AE22)+1,""))</f>
        <v>15</v>
      </c>
    </row>
    <row r="24" spans="3:31">
      <c r="C24" t="str">
        <f>IFERROR(INDEX(Lists!$J$4:$J$143,MATCH(23,$V$2:$V$141,0)),"")</f>
        <v/>
      </c>
      <c r="E24" t="str">
        <f>IFERROR(INDEX(Lists!$J$4:$J$143,MATCH(23,$W$2:$W$141,0)),"")</f>
        <v/>
      </c>
      <c r="G24" t="str">
        <f>IFERROR(INDEX(Lists!$J$4:$J$143,MATCH(23,$X$2:$X$141,0)),"")</f>
        <v/>
      </c>
      <c r="I24" t="str">
        <f>IFERROR(INDEX(Lists!$J$4:$J$143,MATCH(23,$Y$2:$Y$141,0)),"")</f>
        <v/>
      </c>
      <c r="K24" t="str">
        <f>IFERROR(INDEX(Lists!$J$4:$J$143,MATCH(23,$Z$2:$Z$141,0)),"")</f>
        <v/>
      </c>
      <c r="M24" t="str">
        <f>IFERROR(INDEX(Lists!$J$4:$J$143,MATCH(23,$AA$2:$AA$141,0)),"")</f>
        <v/>
      </c>
      <c r="O24" t="str">
        <f>IFERROR(INDEX(Lists!$J$4:$J$143,MATCH(23,$AB$2:$AB$141,0)),"")</f>
        <v/>
      </c>
      <c r="Q24" t="str">
        <f>IFERROR(INDEX(Lists!$J$4:$J$143,MATCH(23,$AC$2:$AC$141,0)),"")</f>
        <v/>
      </c>
      <c r="S24" t="str">
        <f>IFERROR(INDEX(Lists!$J$4:$J$143,MATCH(23,$AD$2:$AD$141,0)),"")</f>
        <v/>
      </c>
      <c r="U24" t="str">
        <f>IFERROR(INDEX('Role Requirements'!$B$6:$B$400,MATCH(23,$AE$2:$AE$396,0)),"")</f>
        <v>Test Automation Analyst</v>
      </c>
      <c r="V24" t="str">
        <f>IF(OR(Lists!$J26="",Lists!$K26&lt;&gt;"Customer Support"),"",COUNTIFS(Lists!$K$4:'Lists'!$K26,"Customer Support",Lists!$J$4:'Lists'!$J26,"&lt;&gt;"))</f>
        <v/>
      </c>
      <c r="W24">
        <f>IF(OR(Lists!$J26="",Lists!$K26&lt;&gt;"Platform Operations"),"",COUNTIFS(Lists!$K$4:'Lists'!$K26,"Platform Operations",Lists!$J$4:'Lists'!$J26,"&lt;&gt;"))</f>
        <v>7</v>
      </c>
      <c r="X24" t="str">
        <f>IF(OR(Lists!$J26="",Lists!$K26&lt;&gt;"Software Engineering"),"",COUNTIFS(Lists!$K$4:'Lists'!$K26,"Software Engineering",Lists!$J$4:'Lists'!$J26,"&lt;&gt;"))</f>
        <v/>
      </c>
      <c r="Y24" t="str">
        <f>IF(OR(Lists!$J26="",Lists!$K26&lt;&gt;"IT Operations"),"",COUNTIFS(Lists!$K$4:'Lists'!$K26,"IT Operations",Lists!$J$4:'Lists'!$J26,"&lt;&gt;"))</f>
        <v/>
      </c>
      <c r="Z24" t="str">
        <f>IF(OR(Lists!$J26="",Lists!$K26&lt;&gt;"Quality Assurance"),"",COUNTIFS(Lists!$K$4:'Lists'!$K26,"Quality Assurance",Lists!$J$4:'Lists'!$J26,"&lt;&gt;"))</f>
        <v/>
      </c>
      <c r="AA24" t="str">
        <f>IF(OR(Lists!$J26="",Lists!$K26&lt;&gt;"Compliance &amp; Core Training"),"",COUNTIFS(Lists!$K$4:'Lists'!$K26,"Compliance &amp; Core Training",Lists!$J$4:'Lists'!$J26,"&lt;&gt;"))</f>
        <v/>
      </c>
      <c r="AB24" t="str">
        <f>IF(OR(Lists!$J26="",Lists!$K26&lt;&gt;"Cloud &amp; Reliability"),"",COUNTIFS(Lists!$K$4:'Lists'!$K26,"Cloud &amp; Reliability",Lists!$J$4:'Lists'!$J26,"&lt;&gt;"))</f>
        <v/>
      </c>
      <c r="AC24" t="str">
        <f>IF(OR(Lists!$J26="",Lists!$K26&lt;&gt;"Data &amp; Analytics"),"",COUNTIFS(Lists!$K$4:'Lists'!$K26,"Data &amp; Analytics",Lists!$J$4:'Lists'!$J26,"&lt;&gt;"))</f>
        <v/>
      </c>
      <c r="AD24" t="str">
        <f>IF(OR(Lists!$J26="",Lists!$K26&lt;&gt;"Cybersecurity"),"",COUNTIFS(Lists!$K$4:'Lists'!$K26,"Cybersecurity",Lists!$J$4:'Lists'!$J26,"&lt;&gt;"))</f>
        <v/>
      </c>
      <c r="AE24">
        <f>IF('Role Requirements'!$B28="","",IF(COUNTIF('Role Requirements'!$B$6:$B28,'Role Requirements'!$B28)=1,COUNT($AE$1:AE23)+1,""))</f>
        <v>16</v>
      </c>
    </row>
    <row r="25" spans="3:31">
      <c r="C25" t="str">
        <f>IFERROR(INDEX(Lists!$J$4:$J$143,MATCH(24,$V$2:$V$141,0)),"")</f>
        <v/>
      </c>
      <c r="E25" t="str">
        <f>IFERROR(INDEX(Lists!$J$4:$J$143,MATCH(24,$W$2:$W$141,0)),"")</f>
        <v/>
      </c>
      <c r="G25" t="str">
        <f>IFERROR(INDEX(Lists!$J$4:$J$143,MATCH(24,$X$2:$X$141,0)),"")</f>
        <v/>
      </c>
      <c r="I25" t="str">
        <f>IFERROR(INDEX(Lists!$J$4:$J$143,MATCH(24,$Y$2:$Y$141,0)),"")</f>
        <v/>
      </c>
      <c r="K25" t="str">
        <f>IFERROR(INDEX(Lists!$J$4:$J$143,MATCH(24,$Z$2:$Z$141,0)),"")</f>
        <v/>
      </c>
      <c r="M25" t="str">
        <f>IFERROR(INDEX(Lists!$J$4:$J$143,MATCH(24,$AA$2:$AA$141,0)),"")</f>
        <v/>
      </c>
      <c r="O25" t="str">
        <f>IFERROR(INDEX(Lists!$J$4:$J$143,MATCH(24,$AB$2:$AB$141,0)),"")</f>
        <v/>
      </c>
      <c r="Q25" t="str">
        <f>IFERROR(INDEX(Lists!$J$4:$J$143,MATCH(24,$AC$2:$AC$141,0)),"")</f>
        <v/>
      </c>
      <c r="S25" t="str">
        <f>IFERROR(INDEX(Lists!$J$4:$J$143,MATCH(24,$AD$2:$AD$141,0)),"")</f>
        <v/>
      </c>
      <c r="U25" t="str">
        <f>IFERROR(INDEX('Role Requirements'!$B$6:$B$400,MATCH(24,$AE$2:$AE$396,0)),"")</f>
        <v>QA Engineer I</v>
      </c>
      <c r="V25" t="str">
        <f>IF(OR(Lists!$J27="",Lists!$K27&lt;&gt;"Customer Support"),"",COUNTIFS(Lists!$K$4:'Lists'!$K27,"Customer Support",Lists!$J$4:'Lists'!$J27,"&lt;&gt;"))</f>
        <v/>
      </c>
      <c r="W25">
        <f>IF(OR(Lists!$J27="",Lists!$K27&lt;&gt;"Platform Operations"),"",COUNTIFS(Lists!$K$4:'Lists'!$K27,"Platform Operations",Lists!$J$4:'Lists'!$J27,"&lt;&gt;"))</f>
        <v>8</v>
      </c>
      <c r="X25" t="str">
        <f>IF(OR(Lists!$J27="",Lists!$K27&lt;&gt;"Software Engineering"),"",COUNTIFS(Lists!$K$4:'Lists'!$K27,"Software Engineering",Lists!$J$4:'Lists'!$J27,"&lt;&gt;"))</f>
        <v/>
      </c>
      <c r="Y25" t="str">
        <f>IF(OR(Lists!$J27="",Lists!$K27&lt;&gt;"IT Operations"),"",COUNTIFS(Lists!$K$4:'Lists'!$K27,"IT Operations",Lists!$J$4:'Lists'!$J27,"&lt;&gt;"))</f>
        <v/>
      </c>
      <c r="Z25" t="str">
        <f>IF(OR(Lists!$J27="",Lists!$K27&lt;&gt;"Quality Assurance"),"",COUNTIFS(Lists!$K$4:'Lists'!$K27,"Quality Assurance",Lists!$J$4:'Lists'!$J27,"&lt;&gt;"))</f>
        <v/>
      </c>
      <c r="AA25" t="str">
        <f>IF(OR(Lists!$J27="",Lists!$K27&lt;&gt;"Compliance &amp; Core Training"),"",COUNTIFS(Lists!$K$4:'Lists'!$K27,"Compliance &amp; Core Training",Lists!$J$4:'Lists'!$J27,"&lt;&gt;"))</f>
        <v/>
      </c>
      <c r="AB25" t="str">
        <f>IF(OR(Lists!$J27="",Lists!$K27&lt;&gt;"Cloud &amp; Reliability"),"",COUNTIFS(Lists!$K$4:'Lists'!$K27,"Cloud &amp; Reliability",Lists!$J$4:'Lists'!$J27,"&lt;&gt;"))</f>
        <v/>
      </c>
      <c r="AC25" t="str">
        <f>IF(OR(Lists!$J27="",Lists!$K27&lt;&gt;"Data &amp; Analytics"),"",COUNTIFS(Lists!$K$4:'Lists'!$K27,"Data &amp; Analytics",Lists!$J$4:'Lists'!$J27,"&lt;&gt;"))</f>
        <v/>
      </c>
      <c r="AD25" t="str">
        <f>IF(OR(Lists!$J27="",Lists!$K27&lt;&gt;"Cybersecurity"),"",COUNTIFS(Lists!$K$4:'Lists'!$K27,"Cybersecurity",Lists!$J$4:'Lists'!$J27,"&lt;&gt;"))</f>
        <v/>
      </c>
      <c r="AE25">
        <f>IF('Role Requirements'!$B29="","",IF(COUNTIF('Role Requirements'!$B$6:$B29,'Role Requirements'!$B29)=1,COUNT($AE$1:AE24)+1,""))</f>
        <v>17</v>
      </c>
    </row>
    <row r="26" spans="3:31">
      <c r="C26" t="str">
        <f>IFERROR(INDEX(Lists!$J$4:$J$143,MATCH(25,$V$2:$V$141,0)),"")</f>
        <v/>
      </c>
      <c r="E26" t="str">
        <f>IFERROR(INDEX(Lists!$J$4:$J$143,MATCH(25,$W$2:$W$141,0)),"")</f>
        <v/>
      </c>
      <c r="G26" t="str">
        <f>IFERROR(INDEX(Lists!$J$4:$J$143,MATCH(25,$X$2:$X$141,0)),"")</f>
        <v/>
      </c>
      <c r="I26" t="str">
        <f>IFERROR(INDEX(Lists!$J$4:$J$143,MATCH(25,$Y$2:$Y$141,0)),"")</f>
        <v/>
      </c>
      <c r="K26" t="str">
        <f>IFERROR(INDEX(Lists!$J$4:$J$143,MATCH(25,$Z$2:$Z$141,0)),"")</f>
        <v/>
      </c>
      <c r="M26" t="str">
        <f>IFERROR(INDEX(Lists!$J$4:$J$143,MATCH(25,$AA$2:$AA$141,0)),"")</f>
        <v/>
      </c>
      <c r="O26" t="str">
        <f>IFERROR(INDEX(Lists!$J$4:$J$143,MATCH(25,$AB$2:$AB$141,0)),"")</f>
        <v/>
      </c>
      <c r="Q26" t="str">
        <f>IFERROR(INDEX(Lists!$J$4:$J$143,MATCH(25,$AC$2:$AC$141,0)),"")</f>
        <v/>
      </c>
      <c r="S26" t="str">
        <f>IFERROR(INDEX(Lists!$J$4:$J$143,MATCH(25,$AD$2:$AD$141,0)),"")</f>
        <v/>
      </c>
      <c r="U26" t="str">
        <f>IFERROR(INDEX('Role Requirements'!$B$6:$B$400,MATCH(25,$AE$2:$AE$396,0)),"")</f>
        <v>QA Engineer II</v>
      </c>
      <c r="V26" t="str">
        <f>IF(OR(Lists!$J28="",Lists!$K28&lt;&gt;"Customer Support"),"",COUNTIFS(Lists!$K$4:'Lists'!$K28,"Customer Support",Lists!$J$4:'Lists'!$J28,"&lt;&gt;"))</f>
        <v/>
      </c>
      <c r="W26">
        <f>IF(OR(Lists!$J28="",Lists!$K28&lt;&gt;"Platform Operations"),"",COUNTIFS(Lists!$K$4:'Lists'!$K28,"Platform Operations",Lists!$J$4:'Lists'!$J28,"&lt;&gt;"))</f>
        <v>9</v>
      </c>
      <c r="X26" t="str">
        <f>IF(OR(Lists!$J28="",Lists!$K28&lt;&gt;"Software Engineering"),"",COUNTIFS(Lists!$K$4:'Lists'!$K28,"Software Engineering",Lists!$J$4:'Lists'!$J28,"&lt;&gt;"))</f>
        <v/>
      </c>
      <c r="Y26" t="str">
        <f>IF(OR(Lists!$J28="",Lists!$K28&lt;&gt;"IT Operations"),"",COUNTIFS(Lists!$K$4:'Lists'!$K28,"IT Operations",Lists!$J$4:'Lists'!$J28,"&lt;&gt;"))</f>
        <v/>
      </c>
      <c r="Z26" t="str">
        <f>IF(OR(Lists!$J28="",Lists!$K28&lt;&gt;"Quality Assurance"),"",COUNTIFS(Lists!$K$4:'Lists'!$K28,"Quality Assurance",Lists!$J$4:'Lists'!$J28,"&lt;&gt;"))</f>
        <v/>
      </c>
      <c r="AA26" t="str">
        <f>IF(OR(Lists!$J28="",Lists!$K28&lt;&gt;"Compliance &amp; Core Training"),"",COUNTIFS(Lists!$K$4:'Lists'!$K28,"Compliance &amp; Core Training",Lists!$J$4:'Lists'!$J28,"&lt;&gt;"))</f>
        <v/>
      </c>
      <c r="AB26" t="str">
        <f>IF(OR(Lists!$J28="",Lists!$K28&lt;&gt;"Cloud &amp; Reliability"),"",COUNTIFS(Lists!$K$4:'Lists'!$K28,"Cloud &amp; Reliability",Lists!$J$4:'Lists'!$J28,"&lt;&gt;"))</f>
        <v/>
      </c>
      <c r="AC26" t="str">
        <f>IF(OR(Lists!$J28="",Lists!$K28&lt;&gt;"Data &amp; Analytics"),"",COUNTIFS(Lists!$K$4:'Lists'!$K28,"Data &amp; Analytics",Lists!$J$4:'Lists'!$J28,"&lt;&gt;"))</f>
        <v/>
      </c>
      <c r="AD26" t="str">
        <f>IF(OR(Lists!$J28="",Lists!$K28&lt;&gt;"Cybersecurity"),"",COUNTIFS(Lists!$K$4:'Lists'!$K28,"Cybersecurity",Lists!$J$4:'Lists'!$J28,"&lt;&gt;"))</f>
        <v/>
      </c>
      <c r="AE26">
        <f>IF('Role Requirements'!$B30="","",IF(COUNTIF('Role Requirements'!$B$6:$B30,'Role Requirements'!$B30)=1,COUNT($AE$1:AE25)+1,""))</f>
        <v>18</v>
      </c>
    </row>
    <row r="27" spans="3:31">
      <c r="C27" t="str">
        <f>IFERROR(INDEX(Lists!$J$4:$J$143,MATCH(26,$V$2:$V$141,0)),"")</f>
        <v/>
      </c>
      <c r="E27" t="str">
        <f>IFERROR(INDEX(Lists!$J$4:$J$143,MATCH(26,$W$2:$W$141,0)),"")</f>
        <v/>
      </c>
      <c r="G27" t="str">
        <f>IFERROR(INDEX(Lists!$J$4:$J$143,MATCH(26,$X$2:$X$141,0)),"")</f>
        <v/>
      </c>
      <c r="I27" t="str">
        <f>IFERROR(INDEX(Lists!$J$4:$J$143,MATCH(26,$Y$2:$Y$141,0)),"")</f>
        <v/>
      </c>
      <c r="K27" t="str">
        <f>IFERROR(INDEX(Lists!$J$4:$J$143,MATCH(26,$Z$2:$Z$141,0)),"")</f>
        <v/>
      </c>
      <c r="M27" t="str">
        <f>IFERROR(INDEX(Lists!$J$4:$J$143,MATCH(26,$AA$2:$AA$141,0)),"")</f>
        <v/>
      </c>
      <c r="O27" t="str">
        <f>IFERROR(INDEX(Lists!$J$4:$J$143,MATCH(26,$AB$2:$AB$141,0)),"")</f>
        <v/>
      </c>
      <c r="Q27" t="str">
        <f>IFERROR(INDEX(Lists!$J$4:$J$143,MATCH(26,$AC$2:$AC$141,0)),"")</f>
        <v/>
      </c>
      <c r="S27" t="str">
        <f>IFERROR(INDEX(Lists!$J$4:$J$143,MATCH(26,$AD$2:$AD$141,0)),"")</f>
        <v/>
      </c>
      <c r="U27" t="str">
        <f>IFERROR(INDEX('Role Requirements'!$B$6:$B$400,MATCH(26,$AE$2:$AE$396,0)),"")</f>
        <v>UAT Analyst</v>
      </c>
      <c r="V27" t="str">
        <f>IF(OR(Lists!$J29="",Lists!$K29&lt;&gt;"Customer Support"),"",COUNTIFS(Lists!$K$4:'Lists'!$K29,"Customer Support",Lists!$J$4:'Lists'!$J29,"&lt;&gt;"))</f>
        <v/>
      </c>
      <c r="W27">
        <f>IF(OR(Lists!$J29="",Lists!$K29&lt;&gt;"Platform Operations"),"",COUNTIFS(Lists!$K$4:'Lists'!$K29,"Platform Operations",Lists!$J$4:'Lists'!$J29,"&lt;&gt;"))</f>
        <v>10</v>
      </c>
      <c r="X27" t="str">
        <f>IF(OR(Lists!$J29="",Lists!$K29&lt;&gt;"Software Engineering"),"",COUNTIFS(Lists!$K$4:'Lists'!$K29,"Software Engineering",Lists!$J$4:'Lists'!$J29,"&lt;&gt;"))</f>
        <v/>
      </c>
      <c r="Y27" t="str">
        <f>IF(OR(Lists!$J29="",Lists!$K29&lt;&gt;"IT Operations"),"",COUNTIFS(Lists!$K$4:'Lists'!$K29,"IT Operations",Lists!$J$4:'Lists'!$J29,"&lt;&gt;"))</f>
        <v/>
      </c>
      <c r="Z27" t="str">
        <f>IF(OR(Lists!$J29="",Lists!$K29&lt;&gt;"Quality Assurance"),"",COUNTIFS(Lists!$K$4:'Lists'!$K29,"Quality Assurance",Lists!$J$4:'Lists'!$J29,"&lt;&gt;"))</f>
        <v/>
      </c>
      <c r="AA27" t="str">
        <f>IF(OR(Lists!$J29="",Lists!$K29&lt;&gt;"Compliance &amp; Core Training"),"",COUNTIFS(Lists!$K$4:'Lists'!$K29,"Compliance &amp; Core Training",Lists!$J$4:'Lists'!$J29,"&lt;&gt;"))</f>
        <v/>
      </c>
      <c r="AB27" t="str">
        <f>IF(OR(Lists!$J29="",Lists!$K29&lt;&gt;"Cloud &amp; Reliability"),"",COUNTIFS(Lists!$K$4:'Lists'!$K29,"Cloud &amp; Reliability",Lists!$J$4:'Lists'!$J29,"&lt;&gt;"))</f>
        <v/>
      </c>
      <c r="AC27" t="str">
        <f>IF(OR(Lists!$J29="",Lists!$K29&lt;&gt;"Data &amp; Analytics"),"",COUNTIFS(Lists!$K$4:'Lists'!$K29,"Data &amp; Analytics",Lists!$J$4:'Lists'!$J29,"&lt;&gt;"))</f>
        <v/>
      </c>
      <c r="AD27" t="str">
        <f>IF(OR(Lists!$J29="",Lists!$K29&lt;&gt;"Cybersecurity"),"",COUNTIFS(Lists!$K$4:'Lists'!$K29,"Cybersecurity",Lists!$J$4:'Lists'!$J29,"&lt;&gt;"))</f>
        <v/>
      </c>
      <c r="AE27" t="str">
        <f>IF('Role Requirements'!$B31="","",IF(COUNTIF('Role Requirements'!$B$6:$B31,'Role Requirements'!$B31)=1,COUNT($AE$1:AE26)+1,""))</f>
        <v/>
      </c>
    </row>
    <row r="28" spans="3:31">
      <c r="C28" t="str">
        <f>IFERROR(INDEX(Lists!$J$4:$J$143,MATCH(27,$V$2:$V$141,0)),"")</f>
        <v/>
      </c>
      <c r="E28" t="str">
        <f>IFERROR(INDEX(Lists!$J$4:$J$143,MATCH(27,$W$2:$W$141,0)),"")</f>
        <v/>
      </c>
      <c r="G28" t="str">
        <f>IFERROR(INDEX(Lists!$J$4:$J$143,MATCH(27,$X$2:$X$141,0)),"")</f>
        <v/>
      </c>
      <c r="I28" t="str">
        <f>IFERROR(INDEX(Lists!$J$4:$J$143,MATCH(27,$Y$2:$Y$141,0)),"")</f>
        <v/>
      </c>
      <c r="K28" t="str">
        <f>IFERROR(INDEX(Lists!$J$4:$J$143,MATCH(27,$Z$2:$Z$141,0)),"")</f>
        <v/>
      </c>
      <c r="M28" t="str">
        <f>IFERROR(INDEX(Lists!$J$4:$J$143,MATCH(27,$AA$2:$AA$141,0)),"")</f>
        <v/>
      </c>
      <c r="O28" t="str">
        <f>IFERROR(INDEX(Lists!$J$4:$J$143,MATCH(27,$AB$2:$AB$141,0)),"")</f>
        <v/>
      </c>
      <c r="Q28" t="str">
        <f>IFERROR(INDEX(Lists!$J$4:$J$143,MATCH(27,$AC$2:$AC$141,0)),"")</f>
        <v/>
      </c>
      <c r="S28" t="str">
        <f>IFERROR(INDEX(Lists!$J$4:$J$143,MATCH(27,$AD$2:$AD$141,0)),"")</f>
        <v/>
      </c>
      <c r="U28" t="str">
        <f>IFERROR(INDEX('Role Requirements'!$B$6:$B$400,MATCH(27,$AE$2:$AE$396,0)),"")</f>
        <v>Performance Test Analyst</v>
      </c>
      <c r="V28" t="str">
        <f>IF(OR(Lists!$J30="",Lists!$K30&lt;&gt;"Customer Support"),"",COUNTIFS(Lists!$K$4:'Lists'!$K30,"Customer Support",Lists!$J$4:'Lists'!$J30,"&lt;&gt;"))</f>
        <v/>
      </c>
      <c r="W28">
        <f>IF(OR(Lists!$J30="",Lists!$K30&lt;&gt;"Platform Operations"),"",COUNTIFS(Lists!$K$4:'Lists'!$K30,"Platform Operations",Lists!$J$4:'Lists'!$J30,"&lt;&gt;"))</f>
        <v>11</v>
      </c>
      <c r="X28" t="str">
        <f>IF(OR(Lists!$J30="",Lists!$K30&lt;&gt;"Software Engineering"),"",COUNTIFS(Lists!$K$4:'Lists'!$K30,"Software Engineering",Lists!$J$4:'Lists'!$J30,"&lt;&gt;"))</f>
        <v/>
      </c>
      <c r="Y28" t="str">
        <f>IF(OR(Lists!$J30="",Lists!$K30&lt;&gt;"IT Operations"),"",COUNTIFS(Lists!$K$4:'Lists'!$K30,"IT Operations",Lists!$J$4:'Lists'!$J30,"&lt;&gt;"))</f>
        <v/>
      </c>
      <c r="Z28" t="str">
        <f>IF(OR(Lists!$J30="",Lists!$K30&lt;&gt;"Quality Assurance"),"",COUNTIFS(Lists!$K$4:'Lists'!$K30,"Quality Assurance",Lists!$J$4:'Lists'!$J30,"&lt;&gt;"))</f>
        <v/>
      </c>
      <c r="AA28" t="str">
        <f>IF(OR(Lists!$J30="",Lists!$K30&lt;&gt;"Compliance &amp; Core Training"),"",COUNTIFS(Lists!$K$4:'Lists'!$K30,"Compliance &amp; Core Training",Lists!$J$4:'Lists'!$J30,"&lt;&gt;"))</f>
        <v/>
      </c>
      <c r="AB28" t="str">
        <f>IF(OR(Lists!$J30="",Lists!$K30&lt;&gt;"Cloud &amp; Reliability"),"",COUNTIFS(Lists!$K$4:'Lists'!$K30,"Cloud &amp; Reliability",Lists!$J$4:'Lists'!$J30,"&lt;&gt;"))</f>
        <v/>
      </c>
      <c r="AC28" t="str">
        <f>IF(OR(Lists!$J30="",Lists!$K30&lt;&gt;"Data &amp; Analytics"),"",COUNTIFS(Lists!$K$4:'Lists'!$K30,"Data &amp; Analytics",Lists!$J$4:'Lists'!$J30,"&lt;&gt;"))</f>
        <v/>
      </c>
      <c r="AD28" t="str">
        <f>IF(OR(Lists!$J30="",Lists!$K30&lt;&gt;"Cybersecurity"),"",COUNTIFS(Lists!$K$4:'Lists'!$K30,"Cybersecurity",Lists!$J$4:'Lists'!$J30,"&lt;&gt;"))</f>
        <v/>
      </c>
      <c r="AE28">
        <f>IF('Role Requirements'!$B32="","",IF(COUNTIF('Role Requirements'!$B$6:$B32,'Role Requirements'!$B32)=1,COUNT($AE$1:AE27)+1,""))</f>
        <v>19</v>
      </c>
    </row>
    <row r="29" spans="3:31">
      <c r="C29" t="str">
        <f>IFERROR(INDEX(Lists!$J$4:$J$143,MATCH(28,$V$2:$V$141,0)),"")</f>
        <v/>
      </c>
      <c r="E29" t="str">
        <f>IFERROR(INDEX(Lists!$J$4:$J$143,MATCH(28,$W$2:$W$141,0)),"")</f>
        <v/>
      </c>
      <c r="G29" t="str">
        <f>IFERROR(INDEX(Lists!$J$4:$J$143,MATCH(28,$X$2:$X$141,0)),"")</f>
        <v/>
      </c>
      <c r="I29" t="str">
        <f>IFERROR(INDEX(Lists!$J$4:$J$143,MATCH(28,$Y$2:$Y$141,0)),"")</f>
        <v/>
      </c>
      <c r="K29" t="str">
        <f>IFERROR(INDEX(Lists!$J$4:$J$143,MATCH(28,$Z$2:$Z$141,0)),"")</f>
        <v/>
      </c>
      <c r="M29" t="str">
        <f>IFERROR(INDEX(Lists!$J$4:$J$143,MATCH(28,$AA$2:$AA$141,0)),"")</f>
        <v/>
      </c>
      <c r="O29" t="str">
        <f>IFERROR(INDEX(Lists!$J$4:$J$143,MATCH(28,$AB$2:$AB$141,0)),"")</f>
        <v/>
      </c>
      <c r="Q29" t="str">
        <f>IFERROR(INDEX(Lists!$J$4:$J$143,MATCH(28,$AC$2:$AC$141,0)),"")</f>
        <v/>
      </c>
      <c r="S29" t="str">
        <f>IFERROR(INDEX(Lists!$J$4:$J$143,MATCH(28,$AD$2:$AD$141,0)),"")</f>
        <v/>
      </c>
      <c r="U29" t="str">
        <f>IFERROR(INDEX('Role Requirements'!$B$6:$B$400,MATCH(28,$AE$2:$AE$396,0)),"")</f>
        <v>Defect Triage Analyst</v>
      </c>
      <c r="V29" t="str">
        <f>IF(OR(Lists!$J31="",Lists!$K31&lt;&gt;"Customer Support"),"",COUNTIFS(Lists!$K$4:'Lists'!$K31,"Customer Support",Lists!$J$4:'Lists'!$J31,"&lt;&gt;"))</f>
        <v/>
      </c>
      <c r="W29">
        <f>IF(OR(Lists!$J31="",Lists!$K31&lt;&gt;"Platform Operations"),"",COUNTIFS(Lists!$K$4:'Lists'!$K31,"Platform Operations",Lists!$J$4:'Lists'!$J31,"&lt;&gt;"))</f>
        <v>12</v>
      </c>
      <c r="X29" t="str">
        <f>IF(OR(Lists!$J31="",Lists!$K31&lt;&gt;"Software Engineering"),"",COUNTIFS(Lists!$K$4:'Lists'!$K31,"Software Engineering",Lists!$J$4:'Lists'!$J31,"&lt;&gt;"))</f>
        <v/>
      </c>
      <c r="Y29" t="str">
        <f>IF(OR(Lists!$J31="",Lists!$K31&lt;&gt;"IT Operations"),"",COUNTIFS(Lists!$K$4:'Lists'!$K31,"IT Operations",Lists!$J$4:'Lists'!$J31,"&lt;&gt;"))</f>
        <v/>
      </c>
      <c r="Z29" t="str">
        <f>IF(OR(Lists!$J31="",Lists!$K31&lt;&gt;"Quality Assurance"),"",COUNTIFS(Lists!$K$4:'Lists'!$K31,"Quality Assurance",Lists!$J$4:'Lists'!$J31,"&lt;&gt;"))</f>
        <v/>
      </c>
      <c r="AA29" t="str">
        <f>IF(OR(Lists!$J31="",Lists!$K31&lt;&gt;"Compliance &amp; Core Training"),"",COUNTIFS(Lists!$K$4:'Lists'!$K31,"Compliance &amp; Core Training",Lists!$J$4:'Lists'!$J31,"&lt;&gt;"))</f>
        <v/>
      </c>
      <c r="AB29" t="str">
        <f>IF(OR(Lists!$J31="",Lists!$K31&lt;&gt;"Cloud &amp; Reliability"),"",COUNTIFS(Lists!$K$4:'Lists'!$K31,"Cloud &amp; Reliability",Lists!$J$4:'Lists'!$J31,"&lt;&gt;"))</f>
        <v/>
      </c>
      <c r="AC29" t="str">
        <f>IF(OR(Lists!$J31="",Lists!$K31&lt;&gt;"Data &amp; Analytics"),"",COUNTIFS(Lists!$K$4:'Lists'!$K31,"Data &amp; Analytics",Lists!$J$4:'Lists'!$J31,"&lt;&gt;"))</f>
        <v/>
      </c>
      <c r="AD29" t="str">
        <f>IF(OR(Lists!$J31="",Lists!$K31&lt;&gt;"Cybersecurity"),"",COUNTIFS(Lists!$K$4:'Lists'!$K31,"Cybersecurity",Lists!$J$4:'Lists'!$J31,"&lt;&gt;"))</f>
        <v/>
      </c>
      <c r="AE29">
        <f>IF('Role Requirements'!$B33="","",IF(COUNTIF('Role Requirements'!$B$6:$B33,'Role Requirements'!$B33)=1,COUNT($AE$1:AE28)+1,""))</f>
        <v>20</v>
      </c>
    </row>
    <row r="30" spans="3:31">
      <c r="C30" t="str">
        <f>IFERROR(INDEX(Lists!$J$4:$J$143,MATCH(29,$V$2:$V$141,0)),"")</f>
        <v/>
      </c>
      <c r="E30" t="str">
        <f>IFERROR(INDEX(Lists!$J$4:$J$143,MATCH(29,$W$2:$W$141,0)),"")</f>
        <v/>
      </c>
      <c r="G30" t="str">
        <f>IFERROR(INDEX(Lists!$J$4:$J$143,MATCH(29,$X$2:$X$141,0)),"")</f>
        <v/>
      </c>
      <c r="I30" t="str">
        <f>IFERROR(INDEX(Lists!$J$4:$J$143,MATCH(29,$Y$2:$Y$141,0)),"")</f>
        <v/>
      </c>
      <c r="K30" t="str">
        <f>IFERROR(INDEX(Lists!$J$4:$J$143,MATCH(29,$Z$2:$Z$141,0)),"")</f>
        <v/>
      </c>
      <c r="M30" t="str">
        <f>IFERROR(INDEX(Lists!$J$4:$J$143,MATCH(29,$AA$2:$AA$141,0)),"")</f>
        <v/>
      </c>
      <c r="O30" t="str">
        <f>IFERROR(INDEX(Lists!$J$4:$J$143,MATCH(29,$AB$2:$AB$141,0)),"")</f>
        <v/>
      </c>
      <c r="Q30" t="str">
        <f>IFERROR(INDEX(Lists!$J$4:$J$143,MATCH(29,$AC$2:$AC$141,0)),"")</f>
        <v/>
      </c>
      <c r="S30" t="str">
        <f>IFERROR(INDEX(Lists!$J$4:$J$143,MATCH(29,$AD$2:$AD$141,0)),"")</f>
        <v/>
      </c>
      <c r="U30" t="str">
        <f>IFERROR(INDEX('Role Requirements'!$B$6:$B$400,MATCH(29,$AE$2:$AE$396,0)),"")</f>
        <v>Data Validation Analyst</v>
      </c>
      <c r="V30" t="str">
        <f>IF(OR(Lists!$J32="",Lists!$K32&lt;&gt;"Customer Support"),"",COUNTIFS(Lists!$K$4:'Lists'!$K32,"Customer Support",Lists!$J$4:'Lists'!$J32,"&lt;&gt;"))</f>
        <v/>
      </c>
      <c r="W30">
        <f>IF(OR(Lists!$J32="",Lists!$K32&lt;&gt;"Platform Operations"),"",COUNTIFS(Lists!$K$4:'Lists'!$K32,"Platform Operations",Lists!$J$4:'Lists'!$J32,"&lt;&gt;"))</f>
        <v>13</v>
      </c>
      <c r="X30" t="str">
        <f>IF(OR(Lists!$J32="",Lists!$K32&lt;&gt;"Software Engineering"),"",COUNTIFS(Lists!$K$4:'Lists'!$K32,"Software Engineering",Lists!$J$4:'Lists'!$J32,"&lt;&gt;"))</f>
        <v/>
      </c>
      <c r="Y30" t="str">
        <f>IF(OR(Lists!$J32="",Lists!$K32&lt;&gt;"IT Operations"),"",COUNTIFS(Lists!$K$4:'Lists'!$K32,"IT Operations",Lists!$J$4:'Lists'!$J32,"&lt;&gt;"))</f>
        <v/>
      </c>
      <c r="Z30" t="str">
        <f>IF(OR(Lists!$J32="",Lists!$K32&lt;&gt;"Quality Assurance"),"",COUNTIFS(Lists!$K$4:'Lists'!$K32,"Quality Assurance",Lists!$J$4:'Lists'!$J32,"&lt;&gt;"))</f>
        <v/>
      </c>
      <c r="AA30" t="str">
        <f>IF(OR(Lists!$J32="",Lists!$K32&lt;&gt;"Compliance &amp; Core Training"),"",COUNTIFS(Lists!$K$4:'Lists'!$K32,"Compliance &amp; Core Training",Lists!$J$4:'Lists'!$J32,"&lt;&gt;"))</f>
        <v/>
      </c>
      <c r="AB30" t="str">
        <f>IF(OR(Lists!$J32="",Lists!$K32&lt;&gt;"Cloud &amp; Reliability"),"",COUNTIFS(Lists!$K$4:'Lists'!$K32,"Cloud &amp; Reliability",Lists!$J$4:'Lists'!$J32,"&lt;&gt;"))</f>
        <v/>
      </c>
      <c r="AC30" t="str">
        <f>IF(OR(Lists!$J32="",Lists!$K32&lt;&gt;"Data &amp; Analytics"),"",COUNTIFS(Lists!$K$4:'Lists'!$K32,"Data &amp; Analytics",Lists!$J$4:'Lists'!$J32,"&lt;&gt;"))</f>
        <v/>
      </c>
      <c r="AD30" t="str">
        <f>IF(OR(Lists!$J32="",Lists!$K32&lt;&gt;"Cybersecurity"),"",COUNTIFS(Lists!$K$4:'Lists'!$K32,"Cybersecurity",Lists!$J$4:'Lists'!$J32,"&lt;&gt;"))</f>
        <v/>
      </c>
      <c r="AE30">
        <f>IF('Role Requirements'!$B34="","",IF(COUNTIF('Role Requirements'!$B$6:$B34,'Role Requirements'!$B34)=1,COUNT($AE$1:AE29)+1,""))</f>
        <v>21</v>
      </c>
    </row>
    <row r="31" spans="3:31">
      <c r="C31" t="str">
        <f>IFERROR(INDEX(Lists!$J$4:$J$143,MATCH(30,$V$2:$V$141,0)),"")</f>
        <v/>
      </c>
      <c r="E31" t="str">
        <f>IFERROR(INDEX(Lists!$J$4:$J$143,MATCH(30,$W$2:$W$141,0)),"")</f>
        <v/>
      </c>
      <c r="G31" t="str">
        <f>IFERROR(INDEX(Lists!$J$4:$J$143,MATCH(30,$X$2:$X$141,0)),"")</f>
        <v/>
      </c>
      <c r="I31" t="str">
        <f>IFERROR(INDEX(Lists!$J$4:$J$143,MATCH(30,$Y$2:$Y$141,0)),"")</f>
        <v/>
      </c>
      <c r="K31" t="str">
        <f>IFERROR(INDEX(Lists!$J$4:$J$143,MATCH(30,$Z$2:$Z$141,0)),"")</f>
        <v/>
      </c>
      <c r="M31" t="str">
        <f>IFERROR(INDEX(Lists!$J$4:$J$143,MATCH(30,$AA$2:$AA$141,0)),"")</f>
        <v/>
      </c>
      <c r="O31" t="str">
        <f>IFERROR(INDEX(Lists!$J$4:$J$143,MATCH(30,$AB$2:$AB$141,0)),"")</f>
        <v/>
      </c>
      <c r="Q31" t="str">
        <f>IFERROR(INDEX(Lists!$J$4:$J$143,MATCH(30,$AC$2:$AC$141,0)),"")</f>
        <v/>
      </c>
      <c r="S31" t="str">
        <f>IFERROR(INDEX(Lists!$J$4:$J$143,MATCH(30,$AD$2:$AD$141,0)),"")</f>
        <v/>
      </c>
      <c r="U31" t="str">
        <f>IFERROR(INDEX('Role Requirements'!$B$6:$B$400,MATCH(30,$AE$2:$AE$396,0)),"")</f>
        <v>Security Analyst</v>
      </c>
      <c r="V31" t="str">
        <f>IF(OR(Lists!$J33="",Lists!$K33&lt;&gt;"Customer Support"),"",COUNTIFS(Lists!$K$4:'Lists'!$K33,"Customer Support",Lists!$J$4:'Lists'!$J33,"&lt;&gt;"))</f>
        <v/>
      </c>
      <c r="W31">
        <f>IF(OR(Lists!$J33="",Lists!$K33&lt;&gt;"Platform Operations"),"",COUNTIFS(Lists!$K$4:'Lists'!$K33,"Platform Operations",Lists!$J$4:'Lists'!$J33,"&lt;&gt;"))</f>
        <v>14</v>
      </c>
      <c r="X31" t="str">
        <f>IF(OR(Lists!$J33="",Lists!$K33&lt;&gt;"Software Engineering"),"",COUNTIFS(Lists!$K$4:'Lists'!$K33,"Software Engineering",Lists!$J$4:'Lists'!$J33,"&lt;&gt;"))</f>
        <v/>
      </c>
      <c r="Y31" t="str">
        <f>IF(OR(Lists!$J33="",Lists!$K33&lt;&gt;"IT Operations"),"",COUNTIFS(Lists!$K$4:'Lists'!$K33,"IT Operations",Lists!$J$4:'Lists'!$J33,"&lt;&gt;"))</f>
        <v/>
      </c>
      <c r="Z31" t="str">
        <f>IF(OR(Lists!$J33="",Lists!$K33&lt;&gt;"Quality Assurance"),"",COUNTIFS(Lists!$K$4:'Lists'!$K33,"Quality Assurance",Lists!$J$4:'Lists'!$J33,"&lt;&gt;"))</f>
        <v/>
      </c>
      <c r="AA31" t="str">
        <f>IF(OR(Lists!$J33="",Lists!$K33&lt;&gt;"Compliance &amp; Core Training"),"",COUNTIFS(Lists!$K$4:'Lists'!$K33,"Compliance &amp; Core Training",Lists!$J$4:'Lists'!$J33,"&lt;&gt;"))</f>
        <v/>
      </c>
      <c r="AB31" t="str">
        <f>IF(OR(Lists!$J33="",Lists!$K33&lt;&gt;"Cloud &amp; Reliability"),"",COUNTIFS(Lists!$K$4:'Lists'!$K33,"Cloud &amp; Reliability",Lists!$J$4:'Lists'!$J33,"&lt;&gt;"))</f>
        <v/>
      </c>
      <c r="AC31" t="str">
        <f>IF(OR(Lists!$J33="",Lists!$K33&lt;&gt;"Data &amp; Analytics"),"",COUNTIFS(Lists!$K$4:'Lists'!$K33,"Data &amp; Analytics",Lists!$J$4:'Lists'!$J33,"&lt;&gt;"))</f>
        <v/>
      </c>
      <c r="AD31" t="str">
        <f>IF(OR(Lists!$J33="",Lists!$K33&lt;&gt;"Cybersecurity"),"",COUNTIFS(Lists!$K$4:'Lists'!$K33,"Cybersecurity",Lists!$J$4:'Lists'!$J33,"&lt;&gt;"))</f>
        <v/>
      </c>
      <c r="AE31" t="str">
        <f>IF('Role Requirements'!$B35="","",IF(COUNTIF('Role Requirements'!$B$6:$B35,'Role Requirements'!$B35)=1,COUNT($AE$1:AE30)+1,""))</f>
        <v/>
      </c>
    </row>
    <row r="32" spans="3:31">
      <c r="C32" t="str">
        <f>IFERROR(INDEX(Lists!$J$4:$J$143,MATCH(31,$V$2:$V$141,0)),"")</f>
        <v/>
      </c>
      <c r="E32" t="str">
        <f>IFERROR(INDEX(Lists!$J$4:$J$143,MATCH(31,$W$2:$W$141,0)),"")</f>
        <v/>
      </c>
      <c r="G32" t="str">
        <f>IFERROR(INDEX(Lists!$J$4:$J$143,MATCH(31,$X$2:$X$141,0)),"")</f>
        <v/>
      </c>
      <c r="I32" t="str">
        <f>IFERROR(INDEX(Lists!$J$4:$J$143,MATCH(31,$Y$2:$Y$141,0)),"")</f>
        <v/>
      </c>
      <c r="K32" t="str">
        <f>IFERROR(INDEX(Lists!$J$4:$J$143,MATCH(31,$Z$2:$Z$141,0)),"")</f>
        <v/>
      </c>
      <c r="M32" t="str">
        <f>IFERROR(INDEX(Lists!$J$4:$J$143,MATCH(31,$AA$2:$AA$141,0)),"")</f>
        <v/>
      </c>
      <c r="O32" t="str">
        <f>IFERROR(INDEX(Lists!$J$4:$J$143,MATCH(31,$AB$2:$AB$141,0)),"")</f>
        <v/>
      </c>
      <c r="Q32" t="str">
        <f>IFERROR(INDEX(Lists!$J$4:$J$143,MATCH(31,$AC$2:$AC$141,0)),"")</f>
        <v/>
      </c>
      <c r="S32" t="str">
        <f>IFERROR(INDEX(Lists!$J$4:$J$143,MATCH(31,$AD$2:$AD$141,0)),"")</f>
        <v/>
      </c>
      <c r="U32" t="str">
        <f>IFERROR(INDEX('Role Requirements'!$B$6:$B$400,MATCH(31,$AE$2:$AE$396,0)),"")</f>
        <v>Vulnerability Analyst</v>
      </c>
      <c r="V32" t="str">
        <f>IF(OR(Lists!$J34="",Lists!$K34&lt;&gt;"Customer Support"),"",COUNTIFS(Lists!$K$4:'Lists'!$K34,"Customer Support",Lists!$J$4:'Lists'!$J34,"&lt;&gt;"))</f>
        <v/>
      </c>
      <c r="W32" t="str">
        <f>IF(OR(Lists!$J34="",Lists!$K34&lt;&gt;"Platform Operations"),"",COUNTIFS(Lists!$K$4:'Lists'!$K34,"Platform Operations",Lists!$J$4:'Lists'!$J34,"&lt;&gt;"))</f>
        <v/>
      </c>
      <c r="X32">
        <f>IF(OR(Lists!$J34="",Lists!$K34&lt;&gt;"Software Engineering"),"",COUNTIFS(Lists!$K$4:'Lists'!$K34,"Software Engineering",Lists!$J$4:'Lists'!$J34,"&lt;&gt;"))</f>
        <v>1</v>
      </c>
      <c r="Y32" t="str">
        <f>IF(OR(Lists!$J34="",Lists!$K34&lt;&gt;"IT Operations"),"",COUNTIFS(Lists!$K$4:'Lists'!$K34,"IT Operations",Lists!$J$4:'Lists'!$J34,"&lt;&gt;"))</f>
        <v/>
      </c>
      <c r="Z32" t="str">
        <f>IF(OR(Lists!$J34="",Lists!$K34&lt;&gt;"Quality Assurance"),"",COUNTIFS(Lists!$K$4:'Lists'!$K34,"Quality Assurance",Lists!$J$4:'Lists'!$J34,"&lt;&gt;"))</f>
        <v/>
      </c>
      <c r="AA32" t="str">
        <f>IF(OR(Lists!$J34="",Lists!$K34&lt;&gt;"Compliance &amp; Core Training"),"",COUNTIFS(Lists!$K$4:'Lists'!$K34,"Compliance &amp; Core Training",Lists!$J$4:'Lists'!$J34,"&lt;&gt;"))</f>
        <v/>
      </c>
      <c r="AB32" t="str">
        <f>IF(OR(Lists!$J34="",Lists!$K34&lt;&gt;"Cloud &amp; Reliability"),"",COUNTIFS(Lists!$K$4:'Lists'!$K34,"Cloud &amp; Reliability",Lists!$J$4:'Lists'!$J34,"&lt;&gt;"))</f>
        <v/>
      </c>
      <c r="AC32" t="str">
        <f>IF(OR(Lists!$J34="",Lists!$K34&lt;&gt;"Data &amp; Analytics"),"",COUNTIFS(Lists!$K$4:'Lists'!$K34,"Data &amp; Analytics",Lists!$J$4:'Lists'!$J34,"&lt;&gt;"))</f>
        <v/>
      </c>
      <c r="AD32" t="str">
        <f>IF(OR(Lists!$J34="",Lists!$K34&lt;&gt;"Cybersecurity"),"",COUNTIFS(Lists!$K$4:'Lists'!$K34,"Cybersecurity",Lists!$J$4:'Lists'!$J34,"&lt;&gt;"))</f>
        <v/>
      </c>
      <c r="AE32" t="str">
        <f>IF('Role Requirements'!$B36="","",IF(COUNTIF('Role Requirements'!$B$6:$B36,'Role Requirements'!$B36)=1,COUNT($AE$1:AE31)+1,""))</f>
        <v/>
      </c>
    </row>
    <row r="33" spans="3:31">
      <c r="C33" t="str">
        <f>IFERROR(INDEX(Lists!$J$4:$J$143,MATCH(32,$V$2:$V$141,0)),"")</f>
        <v/>
      </c>
      <c r="E33" t="str">
        <f>IFERROR(INDEX(Lists!$J$4:$J$143,MATCH(32,$W$2:$W$141,0)),"")</f>
        <v/>
      </c>
      <c r="G33" t="str">
        <f>IFERROR(INDEX(Lists!$J$4:$J$143,MATCH(32,$X$2:$X$141,0)),"")</f>
        <v/>
      </c>
      <c r="I33" t="str">
        <f>IFERROR(INDEX(Lists!$J$4:$J$143,MATCH(32,$Y$2:$Y$141,0)),"")</f>
        <v/>
      </c>
      <c r="K33" t="str">
        <f>IFERROR(INDEX(Lists!$J$4:$J$143,MATCH(32,$Z$2:$Z$141,0)),"")</f>
        <v/>
      </c>
      <c r="M33" t="str">
        <f>IFERROR(INDEX(Lists!$J$4:$J$143,MATCH(32,$AA$2:$AA$141,0)),"")</f>
        <v/>
      </c>
      <c r="O33" t="str">
        <f>IFERROR(INDEX(Lists!$J$4:$J$143,MATCH(32,$AB$2:$AB$141,0)),"")</f>
        <v/>
      </c>
      <c r="Q33" t="str">
        <f>IFERROR(INDEX(Lists!$J$4:$J$143,MATCH(32,$AC$2:$AC$141,0)),"")</f>
        <v/>
      </c>
      <c r="S33" t="str">
        <f>IFERROR(INDEX(Lists!$J$4:$J$143,MATCH(32,$AD$2:$AD$141,0)),"")</f>
        <v/>
      </c>
      <c r="U33" t="str">
        <f>IFERROR(INDEX('Role Requirements'!$B$6:$B$400,MATCH(32,$AE$2:$AE$396,0)),"")</f>
        <v>Security Operations Analyst</v>
      </c>
      <c r="V33" t="str">
        <f>IF(OR(Lists!$J35="",Lists!$K35&lt;&gt;"Customer Support"),"",COUNTIFS(Lists!$K$4:'Lists'!$K35,"Customer Support",Lists!$J$4:'Lists'!$J35,"&lt;&gt;"))</f>
        <v/>
      </c>
      <c r="W33" t="str">
        <f>IF(OR(Lists!$J35="",Lists!$K35&lt;&gt;"Platform Operations"),"",COUNTIFS(Lists!$K$4:'Lists'!$K35,"Platform Operations",Lists!$J$4:'Lists'!$J35,"&lt;&gt;"))</f>
        <v/>
      </c>
      <c r="X33" t="str">
        <f>IF(OR(Lists!$J35="",Lists!$K35&lt;&gt;"Software Engineering"),"",COUNTIFS(Lists!$K$4:'Lists'!$K35,"Software Engineering",Lists!$J$4:'Lists'!$J35,"&lt;&gt;"))</f>
        <v/>
      </c>
      <c r="Y33">
        <f>IF(OR(Lists!$J35="",Lists!$K35&lt;&gt;"IT Operations"),"",COUNTIFS(Lists!$K$4:'Lists'!$K35,"IT Operations",Lists!$J$4:'Lists'!$J35,"&lt;&gt;"))</f>
        <v>1</v>
      </c>
      <c r="Z33" t="str">
        <f>IF(OR(Lists!$J35="",Lists!$K35&lt;&gt;"Quality Assurance"),"",COUNTIFS(Lists!$K$4:'Lists'!$K35,"Quality Assurance",Lists!$J$4:'Lists'!$J35,"&lt;&gt;"))</f>
        <v/>
      </c>
      <c r="AA33" t="str">
        <f>IF(OR(Lists!$J35="",Lists!$K35&lt;&gt;"Compliance &amp; Core Training"),"",COUNTIFS(Lists!$K$4:'Lists'!$K35,"Compliance &amp; Core Training",Lists!$J$4:'Lists'!$J35,"&lt;&gt;"))</f>
        <v/>
      </c>
      <c r="AB33" t="str">
        <f>IF(OR(Lists!$J35="",Lists!$K35&lt;&gt;"Cloud &amp; Reliability"),"",COUNTIFS(Lists!$K$4:'Lists'!$K35,"Cloud &amp; Reliability",Lists!$J$4:'Lists'!$J35,"&lt;&gt;"))</f>
        <v/>
      </c>
      <c r="AC33" t="str">
        <f>IF(OR(Lists!$J35="",Lists!$K35&lt;&gt;"Data &amp; Analytics"),"",COUNTIFS(Lists!$K$4:'Lists'!$K35,"Data &amp; Analytics",Lists!$J$4:'Lists'!$J35,"&lt;&gt;"))</f>
        <v/>
      </c>
      <c r="AD33" t="str">
        <f>IF(OR(Lists!$J35="",Lists!$K35&lt;&gt;"Cybersecurity"),"",COUNTIFS(Lists!$K$4:'Lists'!$K35,"Cybersecurity",Lists!$J$4:'Lists'!$J35,"&lt;&gt;"))</f>
        <v/>
      </c>
      <c r="AE33" t="str">
        <f>IF('Role Requirements'!$B37="","",IF(COUNTIF('Role Requirements'!$B$6:$B37,'Role Requirements'!$B37)=1,COUNT($AE$1:AE32)+1,""))</f>
        <v/>
      </c>
    </row>
    <row r="34" spans="3:31">
      <c r="C34" t="str">
        <f>IFERROR(INDEX(Lists!$J$4:$J$143,MATCH(33,$V$2:$V$141,0)),"")</f>
        <v/>
      </c>
      <c r="E34" t="str">
        <f>IFERROR(INDEX(Lists!$J$4:$J$143,MATCH(33,$W$2:$W$141,0)),"")</f>
        <v/>
      </c>
      <c r="G34" t="str">
        <f>IFERROR(INDEX(Lists!$J$4:$J$143,MATCH(33,$X$2:$X$141,0)),"")</f>
        <v/>
      </c>
      <c r="I34" t="str">
        <f>IFERROR(INDEX(Lists!$J$4:$J$143,MATCH(33,$Y$2:$Y$141,0)),"")</f>
        <v/>
      </c>
      <c r="K34" t="str">
        <f>IFERROR(INDEX(Lists!$J$4:$J$143,MATCH(33,$Z$2:$Z$141,0)),"")</f>
        <v/>
      </c>
      <c r="M34" t="str">
        <f>IFERROR(INDEX(Lists!$J$4:$J$143,MATCH(33,$AA$2:$AA$141,0)),"")</f>
        <v/>
      </c>
      <c r="O34" t="str">
        <f>IFERROR(INDEX(Lists!$J$4:$J$143,MATCH(33,$AB$2:$AB$141,0)),"")</f>
        <v/>
      </c>
      <c r="Q34" t="str">
        <f>IFERROR(INDEX(Lists!$J$4:$J$143,MATCH(33,$AC$2:$AC$141,0)),"")</f>
        <v/>
      </c>
      <c r="S34" t="str">
        <f>IFERROR(INDEX(Lists!$J$4:$J$143,MATCH(33,$AD$2:$AD$141,0)),"")</f>
        <v/>
      </c>
      <c r="U34" t="str">
        <f>IFERROR(INDEX('Role Requirements'!$B$6:$B$400,MATCH(33,$AE$2:$AE$396,0)),"")</f>
        <v/>
      </c>
      <c r="V34" t="str">
        <f>IF(OR(Lists!$J36="",Lists!$K36&lt;&gt;"Customer Support"),"",COUNTIFS(Lists!$K$4:'Lists'!$K36,"Customer Support",Lists!$J$4:'Lists'!$J36,"&lt;&gt;"))</f>
        <v/>
      </c>
      <c r="W34" t="str">
        <f>IF(OR(Lists!$J36="",Lists!$K36&lt;&gt;"Platform Operations"),"",COUNTIFS(Lists!$K$4:'Lists'!$K36,"Platform Operations",Lists!$J$4:'Lists'!$J36,"&lt;&gt;"))</f>
        <v/>
      </c>
      <c r="X34">
        <f>IF(OR(Lists!$J36="",Lists!$K36&lt;&gt;"Software Engineering"),"",COUNTIFS(Lists!$K$4:'Lists'!$K36,"Software Engineering",Lists!$J$4:'Lists'!$J36,"&lt;&gt;"))</f>
        <v>2</v>
      </c>
      <c r="Y34" t="str">
        <f>IF(OR(Lists!$J36="",Lists!$K36&lt;&gt;"IT Operations"),"",COUNTIFS(Lists!$K$4:'Lists'!$K36,"IT Operations",Lists!$J$4:'Lists'!$J36,"&lt;&gt;"))</f>
        <v/>
      </c>
      <c r="Z34" t="str">
        <f>IF(OR(Lists!$J36="",Lists!$K36&lt;&gt;"Quality Assurance"),"",COUNTIFS(Lists!$K$4:'Lists'!$K36,"Quality Assurance",Lists!$J$4:'Lists'!$J36,"&lt;&gt;"))</f>
        <v/>
      </c>
      <c r="AA34" t="str">
        <f>IF(OR(Lists!$J36="",Lists!$K36&lt;&gt;"Compliance &amp; Core Training"),"",COUNTIFS(Lists!$K$4:'Lists'!$K36,"Compliance &amp; Core Training",Lists!$J$4:'Lists'!$J36,"&lt;&gt;"))</f>
        <v/>
      </c>
      <c r="AB34" t="str">
        <f>IF(OR(Lists!$J36="",Lists!$K36&lt;&gt;"Cloud &amp; Reliability"),"",COUNTIFS(Lists!$K$4:'Lists'!$K36,"Cloud &amp; Reliability",Lists!$J$4:'Lists'!$J36,"&lt;&gt;"))</f>
        <v/>
      </c>
      <c r="AC34" t="str">
        <f>IF(OR(Lists!$J36="",Lists!$K36&lt;&gt;"Data &amp; Analytics"),"",COUNTIFS(Lists!$K$4:'Lists'!$K36,"Data &amp; Analytics",Lists!$J$4:'Lists'!$J36,"&lt;&gt;"))</f>
        <v/>
      </c>
      <c r="AD34" t="str">
        <f>IF(OR(Lists!$J36="",Lists!$K36&lt;&gt;"Cybersecurity"),"",COUNTIFS(Lists!$K$4:'Lists'!$K36,"Cybersecurity",Lists!$J$4:'Lists'!$J36,"&lt;&gt;"))</f>
        <v/>
      </c>
      <c r="AE34" t="str">
        <f>IF('Role Requirements'!$B38="","",IF(COUNTIF('Role Requirements'!$B$6:$B38,'Role Requirements'!$B38)=1,COUNT($AE$1:AE33)+1,""))</f>
        <v/>
      </c>
    </row>
    <row r="35" spans="3:31">
      <c r="C35" t="str">
        <f>IFERROR(INDEX(Lists!$J$4:$J$143,MATCH(34,$V$2:$V$141,0)),"")</f>
        <v/>
      </c>
      <c r="E35" t="str">
        <f>IFERROR(INDEX(Lists!$J$4:$J$143,MATCH(34,$W$2:$W$141,0)),"")</f>
        <v/>
      </c>
      <c r="G35" t="str">
        <f>IFERROR(INDEX(Lists!$J$4:$J$143,MATCH(34,$X$2:$X$141,0)),"")</f>
        <v/>
      </c>
      <c r="I35" t="str">
        <f>IFERROR(INDEX(Lists!$J$4:$J$143,MATCH(34,$Y$2:$Y$141,0)),"")</f>
        <v/>
      </c>
      <c r="K35" t="str">
        <f>IFERROR(INDEX(Lists!$J$4:$J$143,MATCH(34,$Z$2:$Z$141,0)),"")</f>
        <v/>
      </c>
      <c r="M35" t="str">
        <f>IFERROR(INDEX(Lists!$J$4:$J$143,MATCH(34,$AA$2:$AA$141,0)),"")</f>
        <v/>
      </c>
      <c r="O35" t="str">
        <f>IFERROR(INDEX(Lists!$J$4:$J$143,MATCH(34,$AB$2:$AB$141,0)),"")</f>
        <v/>
      </c>
      <c r="Q35" t="str">
        <f>IFERROR(INDEX(Lists!$J$4:$J$143,MATCH(34,$AC$2:$AC$141,0)),"")</f>
        <v/>
      </c>
      <c r="S35" t="str">
        <f>IFERROR(INDEX(Lists!$J$4:$J$143,MATCH(34,$AD$2:$AD$141,0)),"")</f>
        <v/>
      </c>
      <c r="U35" t="str">
        <f>IFERROR(INDEX('Role Requirements'!$B$6:$B$400,MATCH(34,$AE$2:$AE$396,0)),"")</f>
        <v/>
      </c>
      <c r="V35" t="str">
        <f>IF(OR(Lists!$J37="",Lists!$K37&lt;&gt;"Customer Support"),"",COUNTIFS(Lists!$K$4:'Lists'!$K37,"Customer Support",Lists!$J$4:'Lists'!$J37,"&lt;&gt;"))</f>
        <v/>
      </c>
      <c r="W35" t="str">
        <f>IF(OR(Lists!$J37="",Lists!$K37&lt;&gt;"Platform Operations"),"",COUNTIFS(Lists!$K$4:'Lists'!$K37,"Platform Operations",Lists!$J$4:'Lists'!$J37,"&lt;&gt;"))</f>
        <v/>
      </c>
      <c r="X35">
        <f>IF(OR(Lists!$J37="",Lists!$K37&lt;&gt;"Software Engineering"),"",COUNTIFS(Lists!$K$4:'Lists'!$K37,"Software Engineering",Lists!$J$4:'Lists'!$J37,"&lt;&gt;"))</f>
        <v>3</v>
      </c>
      <c r="Y35" t="str">
        <f>IF(OR(Lists!$J37="",Lists!$K37&lt;&gt;"IT Operations"),"",COUNTIFS(Lists!$K$4:'Lists'!$K37,"IT Operations",Lists!$J$4:'Lists'!$J37,"&lt;&gt;"))</f>
        <v/>
      </c>
      <c r="Z35" t="str">
        <f>IF(OR(Lists!$J37="",Lists!$K37&lt;&gt;"Quality Assurance"),"",COUNTIFS(Lists!$K$4:'Lists'!$K37,"Quality Assurance",Lists!$J$4:'Lists'!$J37,"&lt;&gt;"))</f>
        <v/>
      </c>
      <c r="AA35" t="str">
        <f>IF(OR(Lists!$J37="",Lists!$K37&lt;&gt;"Compliance &amp; Core Training"),"",COUNTIFS(Lists!$K$4:'Lists'!$K37,"Compliance &amp; Core Training",Lists!$J$4:'Lists'!$J37,"&lt;&gt;"))</f>
        <v/>
      </c>
      <c r="AB35" t="str">
        <f>IF(OR(Lists!$J37="",Lists!$K37&lt;&gt;"Cloud &amp; Reliability"),"",COUNTIFS(Lists!$K$4:'Lists'!$K37,"Cloud &amp; Reliability",Lists!$J$4:'Lists'!$J37,"&lt;&gt;"))</f>
        <v/>
      </c>
      <c r="AC35" t="str">
        <f>IF(OR(Lists!$J37="",Lists!$K37&lt;&gt;"Data &amp; Analytics"),"",COUNTIFS(Lists!$K$4:'Lists'!$K37,"Data &amp; Analytics",Lists!$J$4:'Lists'!$J37,"&lt;&gt;"))</f>
        <v/>
      </c>
      <c r="AD35" t="str">
        <f>IF(OR(Lists!$J37="",Lists!$K37&lt;&gt;"Cybersecurity"),"",COUNTIFS(Lists!$K$4:'Lists'!$K37,"Cybersecurity",Lists!$J$4:'Lists'!$J37,"&lt;&gt;"))</f>
        <v/>
      </c>
      <c r="AE35" t="str">
        <f>IF('Role Requirements'!$B39="","",IF(COUNTIF('Role Requirements'!$B$6:$B39,'Role Requirements'!$B39)=1,COUNT($AE$1:AE34)+1,""))</f>
        <v/>
      </c>
    </row>
    <row r="36" spans="3:31">
      <c r="C36" t="str">
        <f>IFERROR(INDEX(Lists!$J$4:$J$143,MATCH(35,$V$2:$V$141,0)),"")</f>
        <v/>
      </c>
      <c r="E36" t="str">
        <f>IFERROR(INDEX(Lists!$J$4:$J$143,MATCH(35,$W$2:$W$141,0)),"")</f>
        <v/>
      </c>
      <c r="G36" t="str">
        <f>IFERROR(INDEX(Lists!$J$4:$J$143,MATCH(35,$X$2:$X$141,0)),"")</f>
        <v/>
      </c>
      <c r="I36" t="str">
        <f>IFERROR(INDEX(Lists!$J$4:$J$143,MATCH(35,$Y$2:$Y$141,0)),"")</f>
        <v/>
      </c>
      <c r="K36" t="str">
        <f>IFERROR(INDEX(Lists!$J$4:$J$143,MATCH(35,$Z$2:$Z$141,0)),"")</f>
        <v/>
      </c>
      <c r="M36" t="str">
        <f>IFERROR(INDEX(Lists!$J$4:$J$143,MATCH(35,$AA$2:$AA$141,0)),"")</f>
        <v/>
      </c>
      <c r="O36" t="str">
        <f>IFERROR(INDEX(Lists!$J$4:$J$143,MATCH(35,$AB$2:$AB$141,0)),"")</f>
        <v/>
      </c>
      <c r="Q36" t="str">
        <f>IFERROR(INDEX(Lists!$J$4:$J$143,MATCH(35,$AC$2:$AC$141,0)),"")</f>
        <v/>
      </c>
      <c r="S36" t="str">
        <f>IFERROR(INDEX(Lists!$J$4:$J$143,MATCH(35,$AD$2:$AD$141,0)),"")</f>
        <v/>
      </c>
      <c r="U36" t="str">
        <f>IFERROR(INDEX('Role Requirements'!$B$6:$B$400,MATCH(35,$AE$2:$AE$396,0)),"")</f>
        <v/>
      </c>
      <c r="V36" t="str">
        <f>IF(OR(Lists!$J38="",Lists!$K38&lt;&gt;"Customer Support"),"",COUNTIFS(Lists!$K$4:'Lists'!$K38,"Customer Support",Lists!$J$4:'Lists'!$J38,"&lt;&gt;"))</f>
        <v/>
      </c>
      <c r="W36" t="str">
        <f>IF(OR(Lists!$J38="",Lists!$K38&lt;&gt;"Platform Operations"),"",COUNTIFS(Lists!$K$4:'Lists'!$K38,"Platform Operations",Lists!$J$4:'Lists'!$J38,"&lt;&gt;"))</f>
        <v/>
      </c>
      <c r="X36">
        <f>IF(OR(Lists!$J38="",Lists!$K38&lt;&gt;"Software Engineering"),"",COUNTIFS(Lists!$K$4:'Lists'!$K38,"Software Engineering",Lists!$J$4:'Lists'!$J38,"&lt;&gt;"))</f>
        <v>4</v>
      </c>
      <c r="Y36" t="str">
        <f>IF(OR(Lists!$J38="",Lists!$K38&lt;&gt;"IT Operations"),"",COUNTIFS(Lists!$K$4:'Lists'!$K38,"IT Operations",Lists!$J$4:'Lists'!$J38,"&lt;&gt;"))</f>
        <v/>
      </c>
      <c r="Z36" t="str">
        <f>IF(OR(Lists!$J38="",Lists!$K38&lt;&gt;"Quality Assurance"),"",COUNTIFS(Lists!$K$4:'Lists'!$K38,"Quality Assurance",Lists!$J$4:'Lists'!$J38,"&lt;&gt;"))</f>
        <v/>
      </c>
      <c r="AA36" t="str">
        <f>IF(OR(Lists!$J38="",Lists!$K38&lt;&gt;"Compliance &amp; Core Training"),"",COUNTIFS(Lists!$K$4:'Lists'!$K38,"Compliance &amp; Core Training",Lists!$J$4:'Lists'!$J38,"&lt;&gt;"))</f>
        <v/>
      </c>
      <c r="AB36" t="str">
        <f>IF(OR(Lists!$J38="",Lists!$K38&lt;&gt;"Cloud &amp; Reliability"),"",COUNTIFS(Lists!$K$4:'Lists'!$K38,"Cloud &amp; Reliability",Lists!$J$4:'Lists'!$J38,"&lt;&gt;"))</f>
        <v/>
      </c>
      <c r="AC36" t="str">
        <f>IF(OR(Lists!$J38="",Lists!$K38&lt;&gt;"Data &amp; Analytics"),"",COUNTIFS(Lists!$K$4:'Lists'!$K38,"Data &amp; Analytics",Lists!$J$4:'Lists'!$J38,"&lt;&gt;"))</f>
        <v/>
      </c>
      <c r="AD36" t="str">
        <f>IF(OR(Lists!$J38="",Lists!$K38&lt;&gt;"Cybersecurity"),"",COUNTIFS(Lists!$K$4:'Lists'!$K38,"Cybersecurity",Lists!$J$4:'Lists'!$J38,"&lt;&gt;"))</f>
        <v/>
      </c>
      <c r="AE36" t="str">
        <f>IF('Role Requirements'!$B40="","",IF(COUNTIF('Role Requirements'!$B$6:$B40,'Role Requirements'!$B40)=1,COUNT($AE$1:AE35)+1,""))</f>
        <v/>
      </c>
    </row>
    <row r="37" spans="3:31">
      <c r="C37" t="str">
        <f>IFERROR(INDEX(Lists!$J$4:$J$143,MATCH(36,$V$2:$V$141,0)),"")</f>
        <v/>
      </c>
      <c r="E37" t="str">
        <f>IFERROR(INDEX(Lists!$J$4:$J$143,MATCH(36,$W$2:$W$141,0)),"")</f>
        <v/>
      </c>
      <c r="G37" t="str">
        <f>IFERROR(INDEX(Lists!$J$4:$J$143,MATCH(36,$X$2:$X$141,0)),"")</f>
        <v/>
      </c>
      <c r="I37" t="str">
        <f>IFERROR(INDEX(Lists!$J$4:$J$143,MATCH(36,$Y$2:$Y$141,0)),"")</f>
        <v/>
      </c>
      <c r="K37" t="str">
        <f>IFERROR(INDEX(Lists!$J$4:$J$143,MATCH(36,$Z$2:$Z$141,0)),"")</f>
        <v/>
      </c>
      <c r="M37" t="str">
        <f>IFERROR(INDEX(Lists!$J$4:$J$143,MATCH(36,$AA$2:$AA$141,0)),"")</f>
        <v/>
      </c>
      <c r="O37" t="str">
        <f>IFERROR(INDEX(Lists!$J$4:$J$143,MATCH(36,$AB$2:$AB$141,0)),"")</f>
        <v/>
      </c>
      <c r="Q37" t="str">
        <f>IFERROR(INDEX(Lists!$J$4:$J$143,MATCH(36,$AC$2:$AC$141,0)),"")</f>
        <v/>
      </c>
      <c r="S37" t="str">
        <f>IFERROR(INDEX(Lists!$J$4:$J$143,MATCH(36,$AD$2:$AD$141,0)),"")</f>
        <v/>
      </c>
      <c r="U37" t="str">
        <f>IFERROR(INDEX('Role Requirements'!$B$6:$B$400,MATCH(36,$AE$2:$AE$396,0)),"")</f>
        <v/>
      </c>
      <c r="V37" t="str">
        <f>IF(OR(Lists!$J39="",Lists!$K39&lt;&gt;"Customer Support"),"",COUNTIFS(Lists!$K$4:'Lists'!$K39,"Customer Support",Lists!$J$4:'Lists'!$J39,"&lt;&gt;"))</f>
        <v/>
      </c>
      <c r="W37" t="str">
        <f>IF(OR(Lists!$J39="",Lists!$K39&lt;&gt;"Platform Operations"),"",COUNTIFS(Lists!$K$4:'Lists'!$K39,"Platform Operations",Lists!$J$4:'Lists'!$J39,"&lt;&gt;"))</f>
        <v/>
      </c>
      <c r="X37">
        <f>IF(OR(Lists!$J39="",Lists!$K39&lt;&gt;"Software Engineering"),"",COUNTIFS(Lists!$K$4:'Lists'!$K39,"Software Engineering",Lists!$J$4:'Lists'!$J39,"&lt;&gt;"))</f>
        <v>5</v>
      </c>
      <c r="Y37" t="str">
        <f>IF(OR(Lists!$J39="",Lists!$K39&lt;&gt;"IT Operations"),"",COUNTIFS(Lists!$K$4:'Lists'!$K39,"IT Operations",Lists!$J$4:'Lists'!$J39,"&lt;&gt;"))</f>
        <v/>
      </c>
      <c r="Z37" t="str">
        <f>IF(OR(Lists!$J39="",Lists!$K39&lt;&gt;"Quality Assurance"),"",COUNTIFS(Lists!$K$4:'Lists'!$K39,"Quality Assurance",Lists!$J$4:'Lists'!$J39,"&lt;&gt;"))</f>
        <v/>
      </c>
      <c r="AA37" t="str">
        <f>IF(OR(Lists!$J39="",Lists!$K39&lt;&gt;"Compliance &amp; Core Training"),"",COUNTIFS(Lists!$K$4:'Lists'!$K39,"Compliance &amp; Core Training",Lists!$J$4:'Lists'!$J39,"&lt;&gt;"))</f>
        <v/>
      </c>
      <c r="AB37" t="str">
        <f>IF(OR(Lists!$J39="",Lists!$K39&lt;&gt;"Cloud &amp; Reliability"),"",COUNTIFS(Lists!$K$4:'Lists'!$K39,"Cloud &amp; Reliability",Lists!$J$4:'Lists'!$J39,"&lt;&gt;"))</f>
        <v/>
      </c>
      <c r="AC37" t="str">
        <f>IF(OR(Lists!$J39="",Lists!$K39&lt;&gt;"Data &amp; Analytics"),"",COUNTIFS(Lists!$K$4:'Lists'!$K39,"Data &amp; Analytics",Lists!$J$4:'Lists'!$J39,"&lt;&gt;"))</f>
        <v/>
      </c>
      <c r="AD37" t="str">
        <f>IF(OR(Lists!$J39="",Lists!$K39&lt;&gt;"Cybersecurity"),"",COUNTIFS(Lists!$K$4:'Lists'!$K39,"Cybersecurity",Lists!$J$4:'Lists'!$J39,"&lt;&gt;"))</f>
        <v/>
      </c>
      <c r="AE37" t="str">
        <f>IF('Role Requirements'!$B41="","",IF(COUNTIF('Role Requirements'!$B$6:$B41,'Role Requirements'!$B41)=1,COUNT($AE$1:AE36)+1,""))</f>
        <v/>
      </c>
    </row>
    <row r="38" spans="3:31">
      <c r="C38" t="str">
        <f>IFERROR(INDEX(Lists!$J$4:$J$143,MATCH(37,$V$2:$V$141,0)),"")</f>
        <v/>
      </c>
      <c r="E38" t="str">
        <f>IFERROR(INDEX(Lists!$J$4:$J$143,MATCH(37,$W$2:$W$141,0)),"")</f>
        <v/>
      </c>
      <c r="G38" t="str">
        <f>IFERROR(INDEX(Lists!$J$4:$J$143,MATCH(37,$X$2:$X$141,0)),"")</f>
        <v/>
      </c>
      <c r="I38" t="str">
        <f>IFERROR(INDEX(Lists!$J$4:$J$143,MATCH(37,$Y$2:$Y$141,0)),"")</f>
        <v/>
      </c>
      <c r="K38" t="str">
        <f>IFERROR(INDEX(Lists!$J$4:$J$143,MATCH(37,$Z$2:$Z$141,0)),"")</f>
        <v/>
      </c>
      <c r="M38" t="str">
        <f>IFERROR(INDEX(Lists!$J$4:$J$143,MATCH(37,$AA$2:$AA$141,0)),"")</f>
        <v/>
      </c>
      <c r="O38" t="str">
        <f>IFERROR(INDEX(Lists!$J$4:$J$143,MATCH(37,$AB$2:$AB$141,0)),"")</f>
        <v/>
      </c>
      <c r="Q38" t="str">
        <f>IFERROR(INDEX(Lists!$J$4:$J$143,MATCH(37,$AC$2:$AC$141,0)),"")</f>
        <v/>
      </c>
      <c r="S38" t="str">
        <f>IFERROR(INDEX(Lists!$J$4:$J$143,MATCH(37,$AD$2:$AD$141,0)),"")</f>
        <v/>
      </c>
      <c r="U38" t="str">
        <f>IFERROR(INDEX('Role Requirements'!$B$6:$B$400,MATCH(37,$AE$2:$AE$396,0)),"")</f>
        <v/>
      </c>
      <c r="V38" t="str">
        <f>IF(OR(Lists!$J40="",Lists!$K40&lt;&gt;"Customer Support"),"",COUNTIFS(Lists!$K$4:'Lists'!$K40,"Customer Support",Lists!$J$4:'Lists'!$J40,"&lt;&gt;"))</f>
        <v/>
      </c>
      <c r="W38" t="str">
        <f>IF(OR(Lists!$J40="",Lists!$K40&lt;&gt;"Platform Operations"),"",COUNTIFS(Lists!$K$4:'Lists'!$K40,"Platform Operations",Lists!$J$4:'Lists'!$J40,"&lt;&gt;"))</f>
        <v/>
      </c>
      <c r="X38">
        <f>IF(OR(Lists!$J40="",Lists!$K40&lt;&gt;"Software Engineering"),"",COUNTIFS(Lists!$K$4:'Lists'!$K40,"Software Engineering",Lists!$J$4:'Lists'!$J40,"&lt;&gt;"))</f>
        <v>6</v>
      </c>
      <c r="Y38" t="str">
        <f>IF(OR(Lists!$J40="",Lists!$K40&lt;&gt;"IT Operations"),"",COUNTIFS(Lists!$K$4:'Lists'!$K40,"IT Operations",Lists!$J$4:'Lists'!$J40,"&lt;&gt;"))</f>
        <v/>
      </c>
      <c r="Z38" t="str">
        <f>IF(OR(Lists!$J40="",Lists!$K40&lt;&gt;"Quality Assurance"),"",COUNTIFS(Lists!$K$4:'Lists'!$K40,"Quality Assurance",Lists!$J$4:'Lists'!$J40,"&lt;&gt;"))</f>
        <v/>
      </c>
      <c r="AA38" t="str">
        <f>IF(OR(Lists!$J40="",Lists!$K40&lt;&gt;"Compliance &amp; Core Training"),"",COUNTIFS(Lists!$K$4:'Lists'!$K40,"Compliance &amp; Core Training",Lists!$J$4:'Lists'!$J40,"&lt;&gt;"))</f>
        <v/>
      </c>
      <c r="AB38" t="str">
        <f>IF(OR(Lists!$J40="",Lists!$K40&lt;&gt;"Cloud &amp; Reliability"),"",COUNTIFS(Lists!$K$4:'Lists'!$K40,"Cloud &amp; Reliability",Lists!$J$4:'Lists'!$J40,"&lt;&gt;"))</f>
        <v/>
      </c>
      <c r="AC38" t="str">
        <f>IF(OR(Lists!$J40="",Lists!$K40&lt;&gt;"Data &amp; Analytics"),"",COUNTIFS(Lists!$K$4:'Lists'!$K40,"Data &amp; Analytics",Lists!$J$4:'Lists'!$J40,"&lt;&gt;"))</f>
        <v/>
      </c>
      <c r="AD38" t="str">
        <f>IF(OR(Lists!$J40="",Lists!$K40&lt;&gt;"Cybersecurity"),"",COUNTIFS(Lists!$K$4:'Lists'!$K40,"Cybersecurity",Lists!$J$4:'Lists'!$J40,"&lt;&gt;"))</f>
        <v/>
      </c>
      <c r="AE38" t="str">
        <f>IF('Role Requirements'!$B42="","",IF(COUNTIF('Role Requirements'!$B$6:$B42,'Role Requirements'!$B42)=1,COUNT($AE$1:AE37)+1,""))</f>
        <v/>
      </c>
    </row>
    <row r="39" spans="3:31">
      <c r="C39" t="str">
        <f>IFERROR(INDEX(Lists!$J$4:$J$143,MATCH(38,$V$2:$V$141,0)),"")</f>
        <v/>
      </c>
      <c r="E39" t="str">
        <f>IFERROR(INDEX(Lists!$J$4:$J$143,MATCH(38,$W$2:$W$141,0)),"")</f>
        <v/>
      </c>
      <c r="G39" t="str">
        <f>IFERROR(INDEX(Lists!$J$4:$J$143,MATCH(38,$X$2:$X$141,0)),"")</f>
        <v/>
      </c>
      <c r="I39" t="str">
        <f>IFERROR(INDEX(Lists!$J$4:$J$143,MATCH(38,$Y$2:$Y$141,0)),"")</f>
        <v/>
      </c>
      <c r="K39" t="str">
        <f>IFERROR(INDEX(Lists!$J$4:$J$143,MATCH(38,$Z$2:$Z$141,0)),"")</f>
        <v/>
      </c>
      <c r="M39" t="str">
        <f>IFERROR(INDEX(Lists!$J$4:$J$143,MATCH(38,$AA$2:$AA$141,0)),"")</f>
        <v/>
      </c>
      <c r="O39" t="str">
        <f>IFERROR(INDEX(Lists!$J$4:$J$143,MATCH(38,$AB$2:$AB$141,0)),"")</f>
        <v/>
      </c>
      <c r="Q39" t="str">
        <f>IFERROR(INDEX(Lists!$J$4:$J$143,MATCH(38,$AC$2:$AC$141,0)),"")</f>
        <v/>
      </c>
      <c r="S39" t="str">
        <f>IFERROR(INDEX(Lists!$J$4:$J$143,MATCH(38,$AD$2:$AD$141,0)),"")</f>
        <v/>
      </c>
      <c r="U39" t="str">
        <f>IFERROR(INDEX('Role Requirements'!$B$6:$B$400,MATCH(38,$AE$2:$AE$396,0)),"")</f>
        <v/>
      </c>
      <c r="V39" t="str">
        <f>IF(OR(Lists!$J41="",Lists!$K41&lt;&gt;"Customer Support"),"",COUNTIFS(Lists!$K$4:'Lists'!$K41,"Customer Support",Lists!$J$4:'Lists'!$J41,"&lt;&gt;"))</f>
        <v/>
      </c>
      <c r="W39" t="str">
        <f>IF(OR(Lists!$J41="",Lists!$K41&lt;&gt;"Platform Operations"),"",COUNTIFS(Lists!$K$4:'Lists'!$K41,"Platform Operations",Lists!$J$4:'Lists'!$J41,"&lt;&gt;"))</f>
        <v/>
      </c>
      <c r="X39">
        <f>IF(OR(Lists!$J41="",Lists!$K41&lt;&gt;"Software Engineering"),"",COUNTIFS(Lists!$K$4:'Lists'!$K41,"Software Engineering",Lists!$J$4:'Lists'!$J41,"&lt;&gt;"))</f>
        <v>7</v>
      </c>
      <c r="Y39" t="str">
        <f>IF(OR(Lists!$J41="",Lists!$K41&lt;&gt;"IT Operations"),"",COUNTIFS(Lists!$K$4:'Lists'!$K41,"IT Operations",Lists!$J$4:'Lists'!$J41,"&lt;&gt;"))</f>
        <v/>
      </c>
      <c r="Z39" t="str">
        <f>IF(OR(Lists!$J41="",Lists!$K41&lt;&gt;"Quality Assurance"),"",COUNTIFS(Lists!$K$4:'Lists'!$K41,"Quality Assurance",Lists!$J$4:'Lists'!$J41,"&lt;&gt;"))</f>
        <v/>
      </c>
      <c r="AA39" t="str">
        <f>IF(OR(Lists!$J41="",Lists!$K41&lt;&gt;"Compliance &amp; Core Training"),"",COUNTIFS(Lists!$K$4:'Lists'!$K41,"Compliance &amp; Core Training",Lists!$J$4:'Lists'!$J41,"&lt;&gt;"))</f>
        <v/>
      </c>
      <c r="AB39" t="str">
        <f>IF(OR(Lists!$J41="",Lists!$K41&lt;&gt;"Cloud &amp; Reliability"),"",COUNTIFS(Lists!$K$4:'Lists'!$K41,"Cloud &amp; Reliability",Lists!$J$4:'Lists'!$J41,"&lt;&gt;"))</f>
        <v/>
      </c>
      <c r="AC39" t="str">
        <f>IF(OR(Lists!$J41="",Lists!$K41&lt;&gt;"Data &amp; Analytics"),"",COUNTIFS(Lists!$K$4:'Lists'!$K41,"Data &amp; Analytics",Lists!$J$4:'Lists'!$J41,"&lt;&gt;"))</f>
        <v/>
      </c>
      <c r="AD39" t="str">
        <f>IF(OR(Lists!$J41="",Lists!$K41&lt;&gt;"Cybersecurity"),"",COUNTIFS(Lists!$K$4:'Lists'!$K41,"Cybersecurity",Lists!$J$4:'Lists'!$J41,"&lt;&gt;"))</f>
        <v/>
      </c>
      <c r="AE39" t="str">
        <f>IF('Role Requirements'!$B43="","",IF(COUNTIF('Role Requirements'!$B$6:$B43,'Role Requirements'!$B43)=1,COUNT($AE$1:AE38)+1,""))</f>
        <v/>
      </c>
    </row>
    <row r="40" spans="3:31">
      <c r="C40" t="str">
        <f>IFERROR(INDEX(Lists!$J$4:$J$143,MATCH(39,$V$2:$V$141,0)),"")</f>
        <v/>
      </c>
      <c r="E40" t="str">
        <f>IFERROR(INDEX(Lists!$J$4:$J$143,MATCH(39,$W$2:$W$141,0)),"")</f>
        <v/>
      </c>
      <c r="G40" t="str">
        <f>IFERROR(INDEX(Lists!$J$4:$J$143,MATCH(39,$X$2:$X$141,0)),"")</f>
        <v/>
      </c>
      <c r="I40" t="str">
        <f>IFERROR(INDEX(Lists!$J$4:$J$143,MATCH(39,$Y$2:$Y$141,0)),"")</f>
        <v/>
      </c>
      <c r="K40" t="str">
        <f>IFERROR(INDEX(Lists!$J$4:$J$143,MATCH(39,$Z$2:$Z$141,0)),"")</f>
        <v/>
      </c>
      <c r="M40" t="str">
        <f>IFERROR(INDEX(Lists!$J$4:$J$143,MATCH(39,$AA$2:$AA$141,0)),"")</f>
        <v/>
      </c>
      <c r="O40" t="str">
        <f>IFERROR(INDEX(Lists!$J$4:$J$143,MATCH(39,$AB$2:$AB$141,0)),"")</f>
        <v/>
      </c>
      <c r="Q40" t="str">
        <f>IFERROR(INDEX(Lists!$J$4:$J$143,MATCH(39,$AC$2:$AC$141,0)),"")</f>
        <v/>
      </c>
      <c r="S40" t="str">
        <f>IFERROR(INDEX(Lists!$J$4:$J$143,MATCH(39,$AD$2:$AD$141,0)),"")</f>
        <v/>
      </c>
      <c r="U40" t="str">
        <f>IFERROR(INDEX('Role Requirements'!$B$6:$B$400,MATCH(39,$AE$2:$AE$396,0)),"")</f>
        <v/>
      </c>
      <c r="V40" t="str">
        <f>IF(OR(Lists!$J42="",Lists!$K42&lt;&gt;"Customer Support"),"",COUNTIFS(Lists!$K$4:'Lists'!$K42,"Customer Support",Lists!$J$4:'Lists'!$J42,"&lt;&gt;"))</f>
        <v/>
      </c>
      <c r="W40" t="str">
        <f>IF(OR(Lists!$J42="",Lists!$K42&lt;&gt;"Platform Operations"),"",COUNTIFS(Lists!$K$4:'Lists'!$K42,"Platform Operations",Lists!$J$4:'Lists'!$J42,"&lt;&gt;"))</f>
        <v/>
      </c>
      <c r="X40">
        <f>IF(OR(Lists!$J42="",Lists!$K42&lt;&gt;"Software Engineering"),"",COUNTIFS(Lists!$K$4:'Lists'!$K42,"Software Engineering",Lists!$J$4:'Lists'!$J42,"&lt;&gt;"))</f>
        <v>8</v>
      </c>
      <c r="Y40" t="str">
        <f>IF(OR(Lists!$J42="",Lists!$K42&lt;&gt;"IT Operations"),"",COUNTIFS(Lists!$K$4:'Lists'!$K42,"IT Operations",Lists!$J$4:'Lists'!$J42,"&lt;&gt;"))</f>
        <v/>
      </c>
      <c r="Z40" t="str">
        <f>IF(OR(Lists!$J42="",Lists!$K42&lt;&gt;"Quality Assurance"),"",COUNTIFS(Lists!$K$4:'Lists'!$K42,"Quality Assurance",Lists!$J$4:'Lists'!$J42,"&lt;&gt;"))</f>
        <v/>
      </c>
      <c r="AA40" t="str">
        <f>IF(OR(Lists!$J42="",Lists!$K42&lt;&gt;"Compliance &amp; Core Training"),"",COUNTIFS(Lists!$K$4:'Lists'!$K42,"Compliance &amp; Core Training",Lists!$J$4:'Lists'!$J42,"&lt;&gt;"))</f>
        <v/>
      </c>
      <c r="AB40" t="str">
        <f>IF(OR(Lists!$J42="",Lists!$K42&lt;&gt;"Cloud &amp; Reliability"),"",COUNTIFS(Lists!$K$4:'Lists'!$K42,"Cloud &amp; Reliability",Lists!$J$4:'Lists'!$J42,"&lt;&gt;"))</f>
        <v/>
      </c>
      <c r="AC40" t="str">
        <f>IF(OR(Lists!$J42="",Lists!$K42&lt;&gt;"Data &amp; Analytics"),"",COUNTIFS(Lists!$K$4:'Lists'!$K42,"Data &amp; Analytics",Lists!$J$4:'Lists'!$J42,"&lt;&gt;"))</f>
        <v/>
      </c>
      <c r="AD40" t="str">
        <f>IF(OR(Lists!$J42="",Lists!$K42&lt;&gt;"Cybersecurity"),"",COUNTIFS(Lists!$K$4:'Lists'!$K42,"Cybersecurity",Lists!$J$4:'Lists'!$J42,"&lt;&gt;"))</f>
        <v/>
      </c>
      <c r="AE40" t="str">
        <f>IF('Role Requirements'!$B44="","",IF(COUNTIF('Role Requirements'!$B$6:$B44,'Role Requirements'!$B44)=1,COUNT($AE$1:AE39)+1,""))</f>
        <v/>
      </c>
    </row>
    <row r="41" spans="3:31">
      <c r="C41" t="str">
        <f>IFERROR(INDEX(Lists!$J$4:$J$143,MATCH(40,$V$2:$V$141,0)),"")</f>
        <v/>
      </c>
      <c r="E41" t="str">
        <f>IFERROR(INDEX(Lists!$J$4:$J$143,MATCH(40,$W$2:$W$141,0)),"")</f>
        <v/>
      </c>
      <c r="G41" t="str">
        <f>IFERROR(INDEX(Lists!$J$4:$J$143,MATCH(40,$X$2:$X$141,0)),"")</f>
        <v/>
      </c>
      <c r="I41" t="str">
        <f>IFERROR(INDEX(Lists!$J$4:$J$143,MATCH(40,$Y$2:$Y$141,0)),"")</f>
        <v/>
      </c>
      <c r="K41" t="str">
        <f>IFERROR(INDEX(Lists!$J$4:$J$143,MATCH(40,$Z$2:$Z$141,0)),"")</f>
        <v/>
      </c>
      <c r="M41" t="str">
        <f>IFERROR(INDEX(Lists!$J$4:$J$143,MATCH(40,$AA$2:$AA$141,0)),"")</f>
        <v/>
      </c>
      <c r="O41" t="str">
        <f>IFERROR(INDEX(Lists!$J$4:$J$143,MATCH(40,$AB$2:$AB$141,0)),"")</f>
        <v/>
      </c>
      <c r="Q41" t="str">
        <f>IFERROR(INDEX(Lists!$J$4:$J$143,MATCH(40,$AC$2:$AC$141,0)),"")</f>
        <v/>
      </c>
      <c r="S41" t="str">
        <f>IFERROR(INDEX(Lists!$J$4:$J$143,MATCH(40,$AD$2:$AD$141,0)),"")</f>
        <v/>
      </c>
      <c r="U41" t="str">
        <f>IFERROR(INDEX('Role Requirements'!$B$6:$B$400,MATCH(40,$AE$2:$AE$396,0)),"")</f>
        <v/>
      </c>
      <c r="V41" t="str">
        <f>IF(OR(Lists!$J43="",Lists!$K43&lt;&gt;"Customer Support"),"",COUNTIFS(Lists!$K$4:'Lists'!$K43,"Customer Support",Lists!$J$4:'Lists'!$J43,"&lt;&gt;"))</f>
        <v/>
      </c>
      <c r="W41" t="str">
        <f>IF(OR(Lists!$J43="",Lists!$K43&lt;&gt;"Platform Operations"),"",COUNTIFS(Lists!$K$4:'Lists'!$K43,"Platform Operations",Lists!$J$4:'Lists'!$J43,"&lt;&gt;"))</f>
        <v/>
      </c>
      <c r="X41" t="str">
        <f>IF(OR(Lists!$J43="",Lists!$K43&lt;&gt;"Software Engineering"),"",COUNTIFS(Lists!$K$4:'Lists'!$K43,"Software Engineering",Lists!$J$4:'Lists'!$J43,"&lt;&gt;"))</f>
        <v/>
      </c>
      <c r="Y41">
        <f>IF(OR(Lists!$J43="",Lists!$K43&lt;&gt;"IT Operations"),"",COUNTIFS(Lists!$K$4:'Lists'!$K43,"IT Operations",Lists!$J$4:'Lists'!$J43,"&lt;&gt;"))</f>
        <v>2</v>
      </c>
      <c r="Z41" t="str">
        <f>IF(OR(Lists!$J43="",Lists!$K43&lt;&gt;"Quality Assurance"),"",COUNTIFS(Lists!$K$4:'Lists'!$K43,"Quality Assurance",Lists!$J$4:'Lists'!$J43,"&lt;&gt;"))</f>
        <v/>
      </c>
      <c r="AA41" t="str">
        <f>IF(OR(Lists!$J43="",Lists!$K43&lt;&gt;"Compliance &amp; Core Training"),"",COUNTIFS(Lists!$K$4:'Lists'!$K43,"Compliance &amp; Core Training",Lists!$J$4:'Lists'!$J43,"&lt;&gt;"))</f>
        <v/>
      </c>
      <c r="AB41" t="str">
        <f>IF(OR(Lists!$J43="",Lists!$K43&lt;&gt;"Cloud &amp; Reliability"),"",COUNTIFS(Lists!$K$4:'Lists'!$K43,"Cloud &amp; Reliability",Lists!$J$4:'Lists'!$J43,"&lt;&gt;"))</f>
        <v/>
      </c>
      <c r="AC41" t="str">
        <f>IF(OR(Lists!$J43="",Lists!$K43&lt;&gt;"Data &amp; Analytics"),"",COUNTIFS(Lists!$K$4:'Lists'!$K43,"Data &amp; Analytics",Lists!$J$4:'Lists'!$J43,"&lt;&gt;"))</f>
        <v/>
      </c>
      <c r="AD41" t="str">
        <f>IF(OR(Lists!$J43="",Lists!$K43&lt;&gt;"Cybersecurity"),"",COUNTIFS(Lists!$K$4:'Lists'!$K43,"Cybersecurity",Lists!$J$4:'Lists'!$J43,"&lt;&gt;"))</f>
        <v/>
      </c>
      <c r="AE41" t="str">
        <f>IF('Role Requirements'!$B45="","",IF(COUNTIF('Role Requirements'!$B$6:$B45,'Role Requirements'!$B45)=1,COUNT($AE$1:AE40)+1,""))</f>
        <v/>
      </c>
    </row>
    <row r="42" spans="3:31">
      <c r="C42" t="str">
        <f>IFERROR(INDEX(Lists!$J$4:$J$143,MATCH(41,$V$2:$V$141,0)),"")</f>
        <v/>
      </c>
      <c r="E42" t="str">
        <f>IFERROR(INDEX(Lists!$J$4:$J$143,MATCH(41,$W$2:$W$141,0)),"")</f>
        <v/>
      </c>
      <c r="G42" t="str">
        <f>IFERROR(INDEX(Lists!$J$4:$J$143,MATCH(41,$X$2:$X$141,0)),"")</f>
        <v/>
      </c>
      <c r="I42" t="str">
        <f>IFERROR(INDEX(Lists!$J$4:$J$143,MATCH(41,$Y$2:$Y$141,0)),"")</f>
        <v/>
      </c>
      <c r="K42" t="str">
        <f>IFERROR(INDEX(Lists!$J$4:$J$143,MATCH(41,$Z$2:$Z$141,0)),"")</f>
        <v/>
      </c>
      <c r="M42" t="str">
        <f>IFERROR(INDEX(Lists!$J$4:$J$143,MATCH(41,$AA$2:$AA$141,0)),"")</f>
        <v/>
      </c>
      <c r="O42" t="str">
        <f>IFERROR(INDEX(Lists!$J$4:$J$143,MATCH(41,$AB$2:$AB$141,0)),"")</f>
        <v/>
      </c>
      <c r="Q42" t="str">
        <f>IFERROR(INDEX(Lists!$J$4:$J$143,MATCH(41,$AC$2:$AC$141,0)),"")</f>
        <v/>
      </c>
      <c r="S42" t="str">
        <f>IFERROR(INDEX(Lists!$J$4:$J$143,MATCH(41,$AD$2:$AD$141,0)),"")</f>
        <v/>
      </c>
      <c r="U42" t="str">
        <f>IFERROR(INDEX('Role Requirements'!$B$6:$B$400,MATCH(41,$AE$2:$AE$396,0)),"")</f>
        <v/>
      </c>
      <c r="V42" t="str">
        <f>IF(OR(Lists!$J44="",Lists!$K44&lt;&gt;"Customer Support"),"",COUNTIFS(Lists!$K$4:'Lists'!$K44,"Customer Support",Lists!$J$4:'Lists'!$J44,"&lt;&gt;"))</f>
        <v/>
      </c>
      <c r="W42" t="str">
        <f>IF(OR(Lists!$J44="",Lists!$K44&lt;&gt;"Platform Operations"),"",COUNTIFS(Lists!$K$4:'Lists'!$K44,"Platform Operations",Lists!$J$4:'Lists'!$J44,"&lt;&gt;"))</f>
        <v/>
      </c>
      <c r="X42" t="str">
        <f>IF(OR(Lists!$J44="",Lists!$K44&lt;&gt;"Software Engineering"),"",COUNTIFS(Lists!$K$4:'Lists'!$K44,"Software Engineering",Lists!$J$4:'Lists'!$J44,"&lt;&gt;"))</f>
        <v/>
      </c>
      <c r="Y42">
        <f>IF(OR(Lists!$J44="",Lists!$K44&lt;&gt;"IT Operations"),"",COUNTIFS(Lists!$K$4:'Lists'!$K44,"IT Operations",Lists!$J$4:'Lists'!$J44,"&lt;&gt;"))</f>
        <v>3</v>
      </c>
      <c r="Z42" t="str">
        <f>IF(OR(Lists!$J44="",Lists!$K44&lt;&gt;"Quality Assurance"),"",COUNTIFS(Lists!$K$4:'Lists'!$K44,"Quality Assurance",Lists!$J$4:'Lists'!$J44,"&lt;&gt;"))</f>
        <v/>
      </c>
      <c r="AA42" t="str">
        <f>IF(OR(Lists!$J44="",Lists!$K44&lt;&gt;"Compliance &amp; Core Training"),"",COUNTIFS(Lists!$K$4:'Lists'!$K44,"Compliance &amp; Core Training",Lists!$J$4:'Lists'!$J44,"&lt;&gt;"))</f>
        <v/>
      </c>
      <c r="AB42" t="str">
        <f>IF(OR(Lists!$J44="",Lists!$K44&lt;&gt;"Cloud &amp; Reliability"),"",COUNTIFS(Lists!$K$4:'Lists'!$K44,"Cloud &amp; Reliability",Lists!$J$4:'Lists'!$J44,"&lt;&gt;"))</f>
        <v/>
      </c>
      <c r="AC42" t="str">
        <f>IF(OR(Lists!$J44="",Lists!$K44&lt;&gt;"Data &amp; Analytics"),"",COUNTIFS(Lists!$K$4:'Lists'!$K44,"Data &amp; Analytics",Lists!$J$4:'Lists'!$J44,"&lt;&gt;"))</f>
        <v/>
      </c>
      <c r="AD42" t="str">
        <f>IF(OR(Lists!$J44="",Lists!$K44&lt;&gt;"Cybersecurity"),"",COUNTIFS(Lists!$K$4:'Lists'!$K44,"Cybersecurity",Lists!$J$4:'Lists'!$J44,"&lt;&gt;"))</f>
        <v/>
      </c>
      <c r="AE42" t="str">
        <f>IF('Role Requirements'!$B46="","",IF(COUNTIF('Role Requirements'!$B$6:$B46,'Role Requirements'!$B46)=1,COUNT($AE$1:AE41)+1,""))</f>
        <v/>
      </c>
    </row>
    <row r="43" spans="3:31">
      <c r="C43" t="str">
        <f>IFERROR(INDEX(Lists!$J$4:$J$143,MATCH(42,$V$2:$V$141,0)),"")</f>
        <v/>
      </c>
      <c r="E43" t="str">
        <f>IFERROR(INDEX(Lists!$J$4:$J$143,MATCH(42,$W$2:$W$141,0)),"")</f>
        <v/>
      </c>
      <c r="G43" t="str">
        <f>IFERROR(INDEX(Lists!$J$4:$J$143,MATCH(42,$X$2:$X$141,0)),"")</f>
        <v/>
      </c>
      <c r="I43" t="str">
        <f>IFERROR(INDEX(Lists!$J$4:$J$143,MATCH(42,$Y$2:$Y$141,0)),"")</f>
        <v/>
      </c>
      <c r="K43" t="str">
        <f>IFERROR(INDEX(Lists!$J$4:$J$143,MATCH(42,$Z$2:$Z$141,0)),"")</f>
        <v/>
      </c>
      <c r="M43" t="str">
        <f>IFERROR(INDEX(Lists!$J$4:$J$143,MATCH(42,$AA$2:$AA$141,0)),"")</f>
        <v/>
      </c>
      <c r="O43" t="str">
        <f>IFERROR(INDEX(Lists!$J$4:$J$143,MATCH(42,$AB$2:$AB$141,0)),"")</f>
        <v/>
      </c>
      <c r="Q43" t="str">
        <f>IFERROR(INDEX(Lists!$J$4:$J$143,MATCH(42,$AC$2:$AC$141,0)),"")</f>
        <v/>
      </c>
      <c r="S43" t="str">
        <f>IFERROR(INDEX(Lists!$J$4:$J$143,MATCH(42,$AD$2:$AD$141,0)),"")</f>
        <v/>
      </c>
      <c r="U43" t="str">
        <f>IFERROR(INDEX('Role Requirements'!$B$6:$B$400,MATCH(42,$AE$2:$AE$396,0)),"")</f>
        <v/>
      </c>
      <c r="V43" t="str">
        <f>IF(OR(Lists!$J45="",Lists!$K45&lt;&gt;"Customer Support"),"",COUNTIFS(Lists!$K$4:'Lists'!$K45,"Customer Support",Lists!$J$4:'Lists'!$J45,"&lt;&gt;"))</f>
        <v/>
      </c>
      <c r="W43" t="str">
        <f>IF(OR(Lists!$J45="",Lists!$K45&lt;&gt;"Platform Operations"),"",COUNTIFS(Lists!$K$4:'Lists'!$K45,"Platform Operations",Lists!$J$4:'Lists'!$J45,"&lt;&gt;"))</f>
        <v/>
      </c>
      <c r="X43" t="str">
        <f>IF(OR(Lists!$J45="",Lists!$K45&lt;&gt;"Software Engineering"),"",COUNTIFS(Lists!$K$4:'Lists'!$K45,"Software Engineering",Lists!$J$4:'Lists'!$J45,"&lt;&gt;"))</f>
        <v/>
      </c>
      <c r="Y43">
        <f>IF(OR(Lists!$J45="",Lists!$K45&lt;&gt;"IT Operations"),"",COUNTIFS(Lists!$K$4:'Lists'!$K45,"IT Operations",Lists!$J$4:'Lists'!$J45,"&lt;&gt;"))</f>
        <v>4</v>
      </c>
      <c r="Z43" t="str">
        <f>IF(OR(Lists!$J45="",Lists!$K45&lt;&gt;"Quality Assurance"),"",COUNTIFS(Lists!$K$4:'Lists'!$K45,"Quality Assurance",Lists!$J$4:'Lists'!$J45,"&lt;&gt;"))</f>
        <v/>
      </c>
      <c r="AA43" t="str">
        <f>IF(OR(Lists!$J45="",Lists!$K45&lt;&gt;"Compliance &amp; Core Training"),"",COUNTIFS(Lists!$K$4:'Lists'!$K45,"Compliance &amp; Core Training",Lists!$J$4:'Lists'!$J45,"&lt;&gt;"))</f>
        <v/>
      </c>
      <c r="AB43" t="str">
        <f>IF(OR(Lists!$J45="",Lists!$K45&lt;&gt;"Cloud &amp; Reliability"),"",COUNTIFS(Lists!$K$4:'Lists'!$K45,"Cloud &amp; Reliability",Lists!$J$4:'Lists'!$J45,"&lt;&gt;"))</f>
        <v/>
      </c>
      <c r="AC43" t="str">
        <f>IF(OR(Lists!$J45="",Lists!$K45&lt;&gt;"Data &amp; Analytics"),"",COUNTIFS(Lists!$K$4:'Lists'!$K45,"Data &amp; Analytics",Lists!$J$4:'Lists'!$J45,"&lt;&gt;"))</f>
        <v/>
      </c>
      <c r="AD43" t="str">
        <f>IF(OR(Lists!$J45="",Lists!$K45&lt;&gt;"Cybersecurity"),"",COUNTIFS(Lists!$K$4:'Lists'!$K45,"Cybersecurity",Lists!$J$4:'Lists'!$J45,"&lt;&gt;"))</f>
        <v/>
      </c>
      <c r="AE43" t="str">
        <f>IF('Role Requirements'!$B47="","",IF(COUNTIF('Role Requirements'!$B$6:$B47,'Role Requirements'!$B47)=1,COUNT($AE$1:AE42)+1,""))</f>
        <v/>
      </c>
    </row>
    <row r="44" spans="3:31">
      <c r="C44" t="str">
        <f>IFERROR(INDEX(Lists!$J$4:$J$143,MATCH(43,$V$2:$V$141,0)),"")</f>
        <v/>
      </c>
      <c r="E44" t="str">
        <f>IFERROR(INDEX(Lists!$J$4:$J$143,MATCH(43,$W$2:$W$141,0)),"")</f>
        <v/>
      </c>
      <c r="G44" t="str">
        <f>IFERROR(INDEX(Lists!$J$4:$J$143,MATCH(43,$X$2:$X$141,0)),"")</f>
        <v/>
      </c>
      <c r="I44" t="str">
        <f>IFERROR(INDEX(Lists!$J$4:$J$143,MATCH(43,$Y$2:$Y$141,0)),"")</f>
        <v/>
      </c>
      <c r="K44" t="str">
        <f>IFERROR(INDEX(Lists!$J$4:$J$143,MATCH(43,$Z$2:$Z$141,0)),"")</f>
        <v/>
      </c>
      <c r="M44" t="str">
        <f>IFERROR(INDEX(Lists!$J$4:$J$143,MATCH(43,$AA$2:$AA$141,0)),"")</f>
        <v/>
      </c>
      <c r="O44" t="str">
        <f>IFERROR(INDEX(Lists!$J$4:$J$143,MATCH(43,$AB$2:$AB$141,0)),"")</f>
        <v/>
      </c>
      <c r="Q44" t="str">
        <f>IFERROR(INDEX(Lists!$J$4:$J$143,MATCH(43,$AC$2:$AC$141,0)),"")</f>
        <v/>
      </c>
      <c r="S44" t="str">
        <f>IFERROR(INDEX(Lists!$J$4:$J$143,MATCH(43,$AD$2:$AD$141,0)),"")</f>
        <v/>
      </c>
      <c r="U44" t="str">
        <f>IFERROR(INDEX('Role Requirements'!$B$6:$B$400,MATCH(43,$AE$2:$AE$396,0)),"")</f>
        <v/>
      </c>
      <c r="V44" t="str">
        <f>IF(OR(Lists!$J46="",Lists!$K46&lt;&gt;"Customer Support"),"",COUNTIFS(Lists!$K$4:'Lists'!$K46,"Customer Support",Lists!$J$4:'Lists'!$J46,"&lt;&gt;"))</f>
        <v/>
      </c>
      <c r="W44" t="str">
        <f>IF(OR(Lists!$J46="",Lists!$K46&lt;&gt;"Platform Operations"),"",COUNTIFS(Lists!$K$4:'Lists'!$K46,"Platform Operations",Lists!$J$4:'Lists'!$J46,"&lt;&gt;"))</f>
        <v/>
      </c>
      <c r="X44" t="str">
        <f>IF(OR(Lists!$J46="",Lists!$K46&lt;&gt;"Software Engineering"),"",COUNTIFS(Lists!$K$4:'Lists'!$K46,"Software Engineering",Lists!$J$4:'Lists'!$J46,"&lt;&gt;"))</f>
        <v/>
      </c>
      <c r="Y44">
        <f>IF(OR(Lists!$J46="",Lists!$K46&lt;&gt;"IT Operations"),"",COUNTIFS(Lists!$K$4:'Lists'!$K46,"IT Operations",Lists!$J$4:'Lists'!$J46,"&lt;&gt;"))</f>
        <v>5</v>
      </c>
      <c r="Z44" t="str">
        <f>IF(OR(Lists!$J46="",Lists!$K46&lt;&gt;"Quality Assurance"),"",COUNTIFS(Lists!$K$4:'Lists'!$K46,"Quality Assurance",Lists!$J$4:'Lists'!$J46,"&lt;&gt;"))</f>
        <v/>
      </c>
      <c r="AA44" t="str">
        <f>IF(OR(Lists!$J46="",Lists!$K46&lt;&gt;"Compliance &amp; Core Training"),"",COUNTIFS(Lists!$K$4:'Lists'!$K46,"Compliance &amp; Core Training",Lists!$J$4:'Lists'!$J46,"&lt;&gt;"))</f>
        <v/>
      </c>
      <c r="AB44" t="str">
        <f>IF(OR(Lists!$J46="",Lists!$K46&lt;&gt;"Cloud &amp; Reliability"),"",COUNTIFS(Lists!$K$4:'Lists'!$K46,"Cloud &amp; Reliability",Lists!$J$4:'Lists'!$J46,"&lt;&gt;"))</f>
        <v/>
      </c>
      <c r="AC44" t="str">
        <f>IF(OR(Lists!$J46="",Lists!$K46&lt;&gt;"Data &amp; Analytics"),"",COUNTIFS(Lists!$K$4:'Lists'!$K46,"Data &amp; Analytics",Lists!$J$4:'Lists'!$J46,"&lt;&gt;"))</f>
        <v/>
      </c>
      <c r="AD44" t="str">
        <f>IF(OR(Lists!$J46="",Lists!$K46&lt;&gt;"Cybersecurity"),"",COUNTIFS(Lists!$K$4:'Lists'!$K46,"Cybersecurity",Lists!$J$4:'Lists'!$J46,"&lt;&gt;"))</f>
        <v/>
      </c>
      <c r="AE44" t="str">
        <f>IF('Role Requirements'!$B48="","",IF(COUNTIF('Role Requirements'!$B$6:$B48,'Role Requirements'!$B48)=1,COUNT($AE$1:AE43)+1,""))</f>
        <v/>
      </c>
    </row>
    <row r="45" spans="3:31">
      <c r="C45" t="str">
        <f>IFERROR(INDEX(Lists!$J$4:$J$143,MATCH(44,$V$2:$V$141,0)),"")</f>
        <v/>
      </c>
      <c r="E45" t="str">
        <f>IFERROR(INDEX(Lists!$J$4:$J$143,MATCH(44,$W$2:$W$141,0)),"")</f>
        <v/>
      </c>
      <c r="G45" t="str">
        <f>IFERROR(INDEX(Lists!$J$4:$J$143,MATCH(44,$X$2:$X$141,0)),"")</f>
        <v/>
      </c>
      <c r="I45" t="str">
        <f>IFERROR(INDEX(Lists!$J$4:$J$143,MATCH(44,$Y$2:$Y$141,0)),"")</f>
        <v/>
      </c>
      <c r="K45" t="str">
        <f>IFERROR(INDEX(Lists!$J$4:$J$143,MATCH(44,$Z$2:$Z$141,0)),"")</f>
        <v/>
      </c>
      <c r="M45" t="str">
        <f>IFERROR(INDEX(Lists!$J$4:$J$143,MATCH(44,$AA$2:$AA$141,0)),"")</f>
        <v/>
      </c>
      <c r="O45" t="str">
        <f>IFERROR(INDEX(Lists!$J$4:$J$143,MATCH(44,$AB$2:$AB$141,0)),"")</f>
        <v/>
      </c>
      <c r="Q45" t="str">
        <f>IFERROR(INDEX(Lists!$J$4:$J$143,MATCH(44,$AC$2:$AC$141,0)),"")</f>
        <v/>
      </c>
      <c r="S45" t="str">
        <f>IFERROR(INDEX(Lists!$J$4:$J$143,MATCH(44,$AD$2:$AD$141,0)),"")</f>
        <v/>
      </c>
      <c r="U45" t="str">
        <f>IFERROR(INDEX('Role Requirements'!$B$6:$B$400,MATCH(44,$AE$2:$AE$396,0)),"")</f>
        <v/>
      </c>
      <c r="V45" t="str">
        <f>IF(OR(Lists!$J47="",Lists!$K47&lt;&gt;"Customer Support"),"",COUNTIFS(Lists!$K$4:'Lists'!$K47,"Customer Support",Lists!$J$4:'Lists'!$J47,"&lt;&gt;"))</f>
        <v/>
      </c>
      <c r="W45" t="str">
        <f>IF(OR(Lists!$J47="",Lists!$K47&lt;&gt;"Platform Operations"),"",COUNTIFS(Lists!$K$4:'Lists'!$K47,"Platform Operations",Lists!$J$4:'Lists'!$J47,"&lt;&gt;"))</f>
        <v/>
      </c>
      <c r="X45" t="str">
        <f>IF(OR(Lists!$J47="",Lists!$K47&lt;&gt;"Software Engineering"),"",COUNTIFS(Lists!$K$4:'Lists'!$K47,"Software Engineering",Lists!$J$4:'Lists'!$J47,"&lt;&gt;"))</f>
        <v/>
      </c>
      <c r="Y45">
        <f>IF(OR(Lists!$J47="",Lists!$K47&lt;&gt;"IT Operations"),"",COUNTIFS(Lists!$K$4:'Lists'!$K47,"IT Operations",Lists!$J$4:'Lists'!$J47,"&lt;&gt;"))</f>
        <v>6</v>
      </c>
      <c r="Z45" t="str">
        <f>IF(OR(Lists!$J47="",Lists!$K47&lt;&gt;"Quality Assurance"),"",COUNTIFS(Lists!$K$4:'Lists'!$K47,"Quality Assurance",Lists!$J$4:'Lists'!$J47,"&lt;&gt;"))</f>
        <v/>
      </c>
      <c r="AA45" t="str">
        <f>IF(OR(Lists!$J47="",Lists!$K47&lt;&gt;"Compliance &amp; Core Training"),"",COUNTIFS(Lists!$K$4:'Lists'!$K47,"Compliance &amp; Core Training",Lists!$J$4:'Lists'!$J47,"&lt;&gt;"))</f>
        <v/>
      </c>
      <c r="AB45" t="str">
        <f>IF(OR(Lists!$J47="",Lists!$K47&lt;&gt;"Cloud &amp; Reliability"),"",COUNTIFS(Lists!$K$4:'Lists'!$K47,"Cloud &amp; Reliability",Lists!$J$4:'Lists'!$J47,"&lt;&gt;"))</f>
        <v/>
      </c>
      <c r="AC45" t="str">
        <f>IF(OR(Lists!$J47="",Lists!$K47&lt;&gt;"Data &amp; Analytics"),"",COUNTIFS(Lists!$K$4:'Lists'!$K47,"Data &amp; Analytics",Lists!$J$4:'Lists'!$J47,"&lt;&gt;"))</f>
        <v/>
      </c>
      <c r="AD45" t="str">
        <f>IF(OR(Lists!$J47="",Lists!$K47&lt;&gt;"Cybersecurity"),"",COUNTIFS(Lists!$K$4:'Lists'!$K47,"Cybersecurity",Lists!$J$4:'Lists'!$J47,"&lt;&gt;"))</f>
        <v/>
      </c>
      <c r="AE45" t="str">
        <f>IF('Role Requirements'!$B49="","",IF(COUNTIF('Role Requirements'!$B$6:$B49,'Role Requirements'!$B49)=1,COUNT($AE$1:AE44)+1,""))</f>
        <v/>
      </c>
    </row>
    <row r="46" spans="3:31">
      <c r="C46" t="str">
        <f>IFERROR(INDEX(Lists!$J$4:$J$143,MATCH(45,$V$2:$V$141,0)),"")</f>
        <v/>
      </c>
      <c r="E46" t="str">
        <f>IFERROR(INDEX(Lists!$J$4:$J$143,MATCH(45,$W$2:$W$141,0)),"")</f>
        <v/>
      </c>
      <c r="G46" t="str">
        <f>IFERROR(INDEX(Lists!$J$4:$J$143,MATCH(45,$X$2:$X$141,0)),"")</f>
        <v/>
      </c>
      <c r="I46" t="str">
        <f>IFERROR(INDEX(Lists!$J$4:$J$143,MATCH(45,$Y$2:$Y$141,0)),"")</f>
        <v/>
      </c>
      <c r="K46" t="str">
        <f>IFERROR(INDEX(Lists!$J$4:$J$143,MATCH(45,$Z$2:$Z$141,0)),"")</f>
        <v/>
      </c>
      <c r="M46" t="str">
        <f>IFERROR(INDEX(Lists!$J$4:$J$143,MATCH(45,$AA$2:$AA$141,0)),"")</f>
        <v/>
      </c>
      <c r="O46" t="str">
        <f>IFERROR(INDEX(Lists!$J$4:$J$143,MATCH(45,$AB$2:$AB$141,0)),"")</f>
        <v/>
      </c>
      <c r="Q46" t="str">
        <f>IFERROR(INDEX(Lists!$J$4:$J$143,MATCH(45,$AC$2:$AC$141,0)),"")</f>
        <v/>
      </c>
      <c r="S46" t="str">
        <f>IFERROR(INDEX(Lists!$J$4:$J$143,MATCH(45,$AD$2:$AD$141,0)),"")</f>
        <v/>
      </c>
      <c r="U46" t="str">
        <f>IFERROR(INDEX('Role Requirements'!$B$6:$B$400,MATCH(45,$AE$2:$AE$396,0)),"")</f>
        <v/>
      </c>
      <c r="V46" t="str">
        <f>IF(OR(Lists!$J48="",Lists!$K48&lt;&gt;"Customer Support"),"",COUNTIFS(Lists!$K$4:'Lists'!$K48,"Customer Support",Lists!$J$4:'Lists'!$J48,"&lt;&gt;"))</f>
        <v/>
      </c>
      <c r="W46" t="str">
        <f>IF(OR(Lists!$J48="",Lists!$K48&lt;&gt;"Platform Operations"),"",COUNTIFS(Lists!$K$4:'Lists'!$K48,"Platform Operations",Lists!$J$4:'Lists'!$J48,"&lt;&gt;"))</f>
        <v/>
      </c>
      <c r="X46" t="str">
        <f>IF(OR(Lists!$J48="",Lists!$K48&lt;&gt;"Software Engineering"),"",COUNTIFS(Lists!$K$4:'Lists'!$K48,"Software Engineering",Lists!$J$4:'Lists'!$J48,"&lt;&gt;"))</f>
        <v/>
      </c>
      <c r="Y46">
        <f>IF(OR(Lists!$J48="",Lists!$K48&lt;&gt;"IT Operations"),"",COUNTIFS(Lists!$K$4:'Lists'!$K48,"IT Operations",Lists!$J$4:'Lists'!$J48,"&lt;&gt;"))</f>
        <v>7</v>
      </c>
      <c r="Z46" t="str">
        <f>IF(OR(Lists!$J48="",Lists!$K48&lt;&gt;"Quality Assurance"),"",COUNTIFS(Lists!$K$4:'Lists'!$K48,"Quality Assurance",Lists!$J$4:'Lists'!$J48,"&lt;&gt;"))</f>
        <v/>
      </c>
      <c r="AA46" t="str">
        <f>IF(OR(Lists!$J48="",Lists!$K48&lt;&gt;"Compliance &amp; Core Training"),"",COUNTIFS(Lists!$K$4:'Lists'!$K48,"Compliance &amp; Core Training",Lists!$J$4:'Lists'!$J48,"&lt;&gt;"))</f>
        <v/>
      </c>
      <c r="AB46" t="str">
        <f>IF(OR(Lists!$J48="",Lists!$K48&lt;&gt;"Cloud &amp; Reliability"),"",COUNTIFS(Lists!$K$4:'Lists'!$K48,"Cloud &amp; Reliability",Lists!$J$4:'Lists'!$J48,"&lt;&gt;"))</f>
        <v/>
      </c>
      <c r="AC46" t="str">
        <f>IF(OR(Lists!$J48="",Lists!$K48&lt;&gt;"Data &amp; Analytics"),"",COUNTIFS(Lists!$K$4:'Lists'!$K48,"Data &amp; Analytics",Lists!$J$4:'Lists'!$J48,"&lt;&gt;"))</f>
        <v/>
      </c>
      <c r="AD46" t="str">
        <f>IF(OR(Lists!$J48="",Lists!$K48&lt;&gt;"Cybersecurity"),"",COUNTIFS(Lists!$K$4:'Lists'!$K48,"Cybersecurity",Lists!$J$4:'Lists'!$J48,"&lt;&gt;"))</f>
        <v/>
      </c>
      <c r="AE46" t="str">
        <f>IF('Role Requirements'!$B50="","",IF(COUNTIF('Role Requirements'!$B$6:$B50,'Role Requirements'!$B50)=1,COUNT($AE$1:AE45)+1,""))</f>
        <v/>
      </c>
    </row>
    <row r="47" spans="3:31">
      <c r="C47" t="str">
        <f>IFERROR(INDEX(Lists!$J$4:$J$143,MATCH(46,$V$2:$V$141,0)),"")</f>
        <v/>
      </c>
      <c r="E47" t="str">
        <f>IFERROR(INDEX(Lists!$J$4:$J$143,MATCH(46,$W$2:$W$141,0)),"")</f>
        <v/>
      </c>
      <c r="G47" t="str">
        <f>IFERROR(INDEX(Lists!$J$4:$J$143,MATCH(46,$X$2:$X$141,0)),"")</f>
        <v/>
      </c>
      <c r="I47" t="str">
        <f>IFERROR(INDEX(Lists!$J$4:$J$143,MATCH(46,$Y$2:$Y$141,0)),"")</f>
        <v/>
      </c>
      <c r="K47" t="str">
        <f>IFERROR(INDEX(Lists!$J$4:$J$143,MATCH(46,$Z$2:$Z$141,0)),"")</f>
        <v/>
      </c>
      <c r="M47" t="str">
        <f>IFERROR(INDEX(Lists!$J$4:$J$143,MATCH(46,$AA$2:$AA$141,0)),"")</f>
        <v/>
      </c>
      <c r="O47" t="str">
        <f>IFERROR(INDEX(Lists!$J$4:$J$143,MATCH(46,$AB$2:$AB$141,0)),"")</f>
        <v/>
      </c>
      <c r="Q47" t="str">
        <f>IFERROR(INDEX(Lists!$J$4:$J$143,MATCH(46,$AC$2:$AC$141,0)),"")</f>
        <v/>
      </c>
      <c r="S47" t="str">
        <f>IFERROR(INDEX(Lists!$J$4:$J$143,MATCH(46,$AD$2:$AD$141,0)),"")</f>
        <v/>
      </c>
      <c r="U47" t="str">
        <f>IFERROR(INDEX('Role Requirements'!$B$6:$B$400,MATCH(46,$AE$2:$AE$396,0)),"")</f>
        <v/>
      </c>
      <c r="V47" t="str">
        <f>IF(OR(Lists!$J49="",Lists!$K49&lt;&gt;"Customer Support"),"",COUNTIFS(Lists!$K$4:'Lists'!$K49,"Customer Support",Lists!$J$4:'Lists'!$J49,"&lt;&gt;"))</f>
        <v/>
      </c>
      <c r="W47" t="str">
        <f>IF(OR(Lists!$J49="",Lists!$K49&lt;&gt;"Platform Operations"),"",COUNTIFS(Lists!$K$4:'Lists'!$K49,"Platform Operations",Lists!$J$4:'Lists'!$J49,"&lt;&gt;"))</f>
        <v/>
      </c>
      <c r="X47" t="str">
        <f>IF(OR(Lists!$J49="",Lists!$K49&lt;&gt;"Software Engineering"),"",COUNTIFS(Lists!$K$4:'Lists'!$K49,"Software Engineering",Lists!$J$4:'Lists'!$J49,"&lt;&gt;"))</f>
        <v/>
      </c>
      <c r="Y47">
        <f>IF(OR(Lists!$J49="",Lists!$K49&lt;&gt;"IT Operations"),"",COUNTIFS(Lists!$K$4:'Lists'!$K49,"IT Operations",Lists!$J$4:'Lists'!$J49,"&lt;&gt;"))</f>
        <v>8</v>
      </c>
      <c r="Z47" t="str">
        <f>IF(OR(Lists!$J49="",Lists!$K49&lt;&gt;"Quality Assurance"),"",COUNTIFS(Lists!$K$4:'Lists'!$K49,"Quality Assurance",Lists!$J$4:'Lists'!$J49,"&lt;&gt;"))</f>
        <v/>
      </c>
      <c r="AA47" t="str">
        <f>IF(OR(Lists!$J49="",Lists!$K49&lt;&gt;"Compliance &amp; Core Training"),"",COUNTIFS(Lists!$K$4:'Lists'!$K49,"Compliance &amp; Core Training",Lists!$J$4:'Lists'!$J49,"&lt;&gt;"))</f>
        <v/>
      </c>
      <c r="AB47" t="str">
        <f>IF(OR(Lists!$J49="",Lists!$K49&lt;&gt;"Cloud &amp; Reliability"),"",COUNTIFS(Lists!$K$4:'Lists'!$K49,"Cloud &amp; Reliability",Lists!$J$4:'Lists'!$J49,"&lt;&gt;"))</f>
        <v/>
      </c>
      <c r="AC47" t="str">
        <f>IF(OR(Lists!$J49="",Lists!$K49&lt;&gt;"Data &amp; Analytics"),"",COUNTIFS(Lists!$K$4:'Lists'!$K49,"Data &amp; Analytics",Lists!$J$4:'Lists'!$J49,"&lt;&gt;"))</f>
        <v/>
      </c>
      <c r="AD47" t="str">
        <f>IF(OR(Lists!$J49="",Lists!$K49&lt;&gt;"Cybersecurity"),"",COUNTIFS(Lists!$K$4:'Lists'!$K49,"Cybersecurity",Lists!$J$4:'Lists'!$J49,"&lt;&gt;"))</f>
        <v/>
      </c>
      <c r="AE47">
        <f>IF('Role Requirements'!$B51="","",IF(COUNTIF('Role Requirements'!$B$6:$B51,'Role Requirements'!$B51)=1,COUNT($AE$1:AE46)+1,""))</f>
        <v>22</v>
      </c>
    </row>
    <row r="48" spans="3:31">
      <c r="C48" t="str">
        <f>IFERROR(INDEX(Lists!$J$4:$J$143,MATCH(47,$V$2:$V$141,0)),"")</f>
        <v/>
      </c>
      <c r="E48" t="str">
        <f>IFERROR(INDEX(Lists!$J$4:$J$143,MATCH(47,$W$2:$W$141,0)),"")</f>
        <v/>
      </c>
      <c r="G48" t="str">
        <f>IFERROR(INDEX(Lists!$J$4:$J$143,MATCH(47,$X$2:$X$141,0)),"")</f>
        <v/>
      </c>
      <c r="I48" t="str">
        <f>IFERROR(INDEX(Lists!$J$4:$J$143,MATCH(47,$Y$2:$Y$141,0)),"")</f>
        <v/>
      </c>
      <c r="K48" t="str">
        <f>IFERROR(INDEX(Lists!$J$4:$J$143,MATCH(47,$Z$2:$Z$141,0)),"")</f>
        <v/>
      </c>
      <c r="M48" t="str">
        <f>IFERROR(INDEX(Lists!$J$4:$J$143,MATCH(47,$AA$2:$AA$141,0)),"")</f>
        <v/>
      </c>
      <c r="O48" t="str">
        <f>IFERROR(INDEX(Lists!$J$4:$J$143,MATCH(47,$AB$2:$AB$141,0)),"")</f>
        <v/>
      </c>
      <c r="Q48" t="str">
        <f>IFERROR(INDEX(Lists!$J$4:$J$143,MATCH(47,$AC$2:$AC$141,0)),"")</f>
        <v/>
      </c>
      <c r="S48" t="str">
        <f>IFERROR(INDEX(Lists!$J$4:$J$143,MATCH(47,$AD$2:$AD$141,0)),"")</f>
        <v/>
      </c>
      <c r="U48" t="str">
        <f>IFERROR(INDEX('Role Requirements'!$B$6:$B$400,MATCH(47,$AE$2:$AE$396,0)),"")</f>
        <v/>
      </c>
      <c r="V48" t="str">
        <f>IF(OR(Lists!$J50="",Lists!$K50&lt;&gt;"Customer Support"),"",COUNTIFS(Lists!$K$4:'Lists'!$K50,"Customer Support",Lists!$J$4:'Lists'!$J50,"&lt;&gt;"))</f>
        <v/>
      </c>
      <c r="W48" t="str">
        <f>IF(OR(Lists!$J50="",Lists!$K50&lt;&gt;"Platform Operations"),"",COUNTIFS(Lists!$K$4:'Lists'!$K50,"Platform Operations",Lists!$J$4:'Lists'!$J50,"&lt;&gt;"))</f>
        <v/>
      </c>
      <c r="X48" t="str">
        <f>IF(OR(Lists!$J50="",Lists!$K50&lt;&gt;"Software Engineering"),"",COUNTIFS(Lists!$K$4:'Lists'!$K50,"Software Engineering",Lists!$J$4:'Lists'!$J50,"&lt;&gt;"))</f>
        <v/>
      </c>
      <c r="Y48">
        <f>IF(OR(Lists!$J50="",Lists!$K50&lt;&gt;"IT Operations"),"",COUNTIFS(Lists!$K$4:'Lists'!$K50,"IT Operations",Lists!$J$4:'Lists'!$J50,"&lt;&gt;"))</f>
        <v>9</v>
      </c>
      <c r="Z48" t="str">
        <f>IF(OR(Lists!$J50="",Lists!$K50&lt;&gt;"Quality Assurance"),"",COUNTIFS(Lists!$K$4:'Lists'!$K50,"Quality Assurance",Lists!$J$4:'Lists'!$J50,"&lt;&gt;"))</f>
        <v/>
      </c>
      <c r="AA48" t="str">
        <f>IF(OR(Lists!$J50="",Lists!$K50&lt;&gt;"Compliance &amp; Core Training"),"",COUNTIFS(Lists!$K$4:'Lists'!$K50,"Compliance &amp; Core Training",Lists!$J$4:'Lists'!$J50,"&lt;&gt;"))</f>
        <v/>
      </c>
      <c r="AB48" t="str">
        <f>IF(OR(Lists!$J50="",Lists!$K50&lt;&gt;"Cloud &amp; Reliability"),"",COUNTIFS(Lists!$K$4:'Lists'!$K50,"Cloud &amp; Reliability",Lists!$J$4:'Lists'!$J50,"&lt;&gt;"))</f>
        <v/>
      </c>
      <c r="AC48" t="str">
        <f>IF(OR(Lists!$J50="",Lists!$K50&lt;&gt;"Data &amp; Analytics"),"",COUNTIFS(Lists!$K$4:'Lists'!$K50,"Data &amp; Analytics",Lists!$J$4:'Lists'!$J50,"&lt;&gt;"))</f>
        <v/>
      </c>
      <c r="AD48" t="str">
        <f>IF(OR(Lists!$J50="",Lists!$K50&lt;&gt;"Cybersecurity"),"",COUNTIFS(Lists!$K$4:'Lists'!$K50,"Cybersecurity",Lists!$J$4:'Lists'!$J50,"&lt;&gt;"))</f>
        <v/>
      </c>
      <c r="AE48">
        <f>IF('Role Requirements'!$B52="","",IF(COUNTIF('Role Requirements'!$B$6:$B52,'Role Requirements'!$B52)=1,COUNT($AE$1:AE47)+1,""))</f>
        <v>23</v>
      </c>
    </row>
    <row r="49" spans="3:31">
      <c r="C49" t="str">
        <f>IFERROR(INDEX(Lists!$J$4:$J$143,MATCH(48,$V$2:$V$141,0)),"")</f>
        <v/>
      </c>
      <c r="E49" t="str">
        <f>IFERROR(INDEX(Lists!$J$4:$J$143,MATCH(48,$W$2:$W$141,0)),"")</f>
        <v/>
      </c>
      <c r="G49" t="str">
        <f>IFERROR(INDEX(Lists!$J$4:$J$143,MATCH(48,$X$2:$X$141,0)),"")</f>
        <v/>
      </c>
      <c r="I49" t="str">
        <f>IFERROR(INDEX(Lists!$J$4:$J$143,MATCH(48,$Y$2:$Y$141,0)),"")</f>
        <v/>
      </c>
      <c r="K49" t="str">
        <f>IFERROR(INDEX(Lists!$J$4:$J$143,MATCH(48,$Z$2:$Z$141,0)),"")</f>
        <v/>
      </c>
      <c r="M49" t="str">
        <f>IFERROR(INDEX(Lists!$J$4:$J$143,MATCH(48,$AA$2:$AA$141,0)),"")</f>
        <v/>
      </c>
      <c r="O49" t="str">
        <f>IFERROR(INDEX(Lists!$J$4:$J$143,MATCH(48,$AB$2:$AB$141,0)),"")</f>
        <v/>
      </c>
      <c r="Q49" t="str">
        <f>IFERROR(INDEX(Lists!$J$4:$J$143,MATCH(48,$AC$2:$AC$141,0)),"")</f>
        <v/>
      </c>
      <c r="S49" t="str">
        <f>IFERROR(INDEX(Lists!$J$4:$J$143,MATCH(48,$AD$2:$AD$141,0)),"")</f>
        <v/>
      </c>
      <c r="U49" t="str">
        <f>IFERROR(INDEX('Role Requirements'!$B$6:$B$400,MATCH(48,$AE$2:$AE$396,0)),"")</f>
        <v/>
      </c>
      <c r="V49" t="str">
        <f>IF(OR(Lists!$J51="",Lists!$K51&lt;&gt;"Customer Support"),"",COUNTIFS(Lists!$K$4:'Lists'!$K51,"Customer Support",Lists!$J$4:'Lists'!$J51,"&lt;&gt;"))</f>
        <v/>
      </c>
      <c r="W49" t="str">
        <f>IF(OR(Lists!$J51="",Lists!$K51&lt;&gt;"Platform Operations"),"",COUNTIFS(Lists!$K$4:'Lists'!$K51,"Platform Operations",Lists!$J$4:'Lists'!$J51,"&lt;&gt;"))</f>
        <v/>
      </c>
      <c r="X49" t="str">
        <f>IF(OR(Lists!$J51="",Lists!$K51&lt;&gt;"Software Engineering"),"",COUNTIFS(Lists!$K$4:'Lists'!$K51,"Software Engineering",Lists!$J$4:'Lists'!$J51,"&lt;&gt;"))</f>
        <v/>
      </c>
      <c r="Y49" t="str">
        <f>IF(OR(Lists!$J51="",Lists!$K51&lt;&gt;"IT Operations"),"",COUNTIFS(Lists!$K$4:'Lists'!$K51,"IT Operations",Lists!$J$4:'Lists'!$J51,"&lt;&gt;"))</f>
        <v/>
      </c>
      <c r="Z49">
        <f>IF(OR(Lists!$J51="",Lists!$K51&lt;&gt;"Quality Assurance"),"",COUNTIFS(Lists!$K$4:'Lists'!$K51,"Quality Assurance",Lists!$J$4:'Lists'!$J51,"&lt;&gt;"))</f>
        <v>1</v>
      </c>
      <c r="AA49" t="str">
        <f>IF(OR(Lists!$J51="",Lists!$K51&lt;&gt;"Compliance &amp; Core Training"),"",COUNTIFS(Lists!$K$4:'Lists'!$K51,"Compliance &amp; Core Training",Lists!$J$4:'Lists'!$J51,"&lt;&gt;"))</f>
        <v/>
      </c>
      <c r="AB49" t="str">
        <f>IF(OR(Lists!$J51="",Lists!$K51&lt;&gt;"Cloud &amp; Reliability"),"",COUNTIFS(Lists!$K$4:'Lists'!$K51,"Cloud &amp; Reliability",Lists!$J$4:'Lists'!$J51,"&lt;&gt;"))</f>
        <v/>
      </c>
      <c r="AC49" t="str">
        <f>IF(OR(Lists!$J51="",Lists!$K51&lt;&gt;"Data &amp; Analytics"),"",COUNTIFS(Lists!$K$4:'Lists'!$K51,"Data &amp; Analytics",Lists!$J$4:'Lists'!$J51,"&lt;&gt;"))</f>
        <v/>
      </c>
      <c r="AD49" t="str">
        <f>IF(OR(Lists!$J51="",Lists!$K51&lt;&gt;"Cybersecurity"),"",COUNTIFS(Lists!$K$4:'Lists'!$K51,"Cybersecurity",Lists!$J$4:'Lists'!$J51,"&lt;&gt;"))</f>
        <v/>
      </c>
      <c r="AE49">
        <f>IF('Role Requirements'!$B53="","",IF(COUNTIF('Role Requirements'!$B$6:$B53,'Role Requirements'!$B53)=1,COUNT($AE$1:AE48)+1,""))</f>
        <v>24</v>
      </c>
    </row>
    <row r="50" spans="3:31">
      <c r="C50" t="str">
        <f>IFERROR(INDEX(Lists!$J$4:$J$143,MATCH(49,$V$2:$V$141,0)),"")</f>
        <v/>
      </c>
      <c r="E50" t="str">
        <f>IFERROR(INDEX(Lists!$J$4:$J$143,MATCH(49,$W$2:$W$141,0)),"")</f>
        <v/>
      </c>
      <c r="G50" t="str">
        <f>IFERROR(INDEX(Lists!$J$4:$J$143,MATCH(49,$X$2:$X$141,0)),"")</f>
        <v/>
      </c>
      <c r="I50" t="str">
        <f>IFERROR(INDEX(Lists!$J$4:$J$143,MATCH(49,$Y$2:$Y$141,0)),"")</f>
        <v/>
      </c>
      <c r="K50" t="str">
        <f>IFERROR(INDEX(Lists!$J$4:$J$143,MATCH(49,$Z$2:$Z$141,0)),"")</f>
        <v/>
      </c>
      <c r="M50" t="str">
        <f>IFERROR(INDEX(Lists!$J$4:$J$143,MATCH(49,$AA$2:$AA$141,0)),"")</f>
        <v/>
      </c>
      <c r="O50" t="str">
        <f>IFERROR(INDEX(Lists!$J$4:$J$143,MATCH(49,$AB$2:$AB$141,0)),"")</f>
        <v/>
      </c>
      <c r="Q50" t="str">
        <f>IFERROR(INDEX(Lists!$J$4:$J$143,MATCH(49,$AC$2:$AC$141,0)),"")</f>
        <v/>
      </c>
      <c r="S50" t="str">
        <f>IFERROR(INDEX(Lists!$J$4:$J$143,MATCH(49,$AD$2:$AD$141,0)),"")</f>
        <v/>
      </c>
      <c r="U50" t="str">
        <f>IFERROR(INDEX('Role Requirements'!$B$6:$B$400,MATCH(49,$AE$2:$AE$396,0)),"")</f>
        <v/>
      </c>
      <c r="V50" t="str">
        <f>IF(OR(Lists!$J52="",Lists!$K52&lt;&gt;"Customer Support"),"",COUNTIFS(Lists!$K$4:'Lists'!$K52,"Customer Support",Lists!$J$4:'Lists'!$J52,"&lt;&gt;"))</f>
        <v/>
      </c>
      <c r="W50" t="str">
        <f>IF(OR(Lists!$J52="",Lists!$K52&lt;&gt;"Platform Operations"),"",COUNTIFS(Lists!$K$4:'Lists'!$K52,"Platform Operations",Lists!$J$4:'Lists'!$J52,"&lt;&gt;"))</f>
        <v/>
      </c>
      <c r="X50" t="str">
        <f>IF(OR(Lists!$J52="",Lists!$K52&lt;&gt;"Software Engineering"),"",COUNTIFS(Lists!$K$4:'Lists'!$K52,"Software Engineering",Lists!$J$4:'Lists'!$J52,"&lt;&gt;"))</f>
        <v/>
      </c>
      <c r="Y50" t="str">
        <f>IF(OR(Lists!$J52="",Lists!$K52&lt;&gt;"IT Operations"),"",COUNTIFS(Lists!$K$4:'Lists'!$K52,"IT Operations",Lists!$J$4:'Lists'!$J52,"&lt;&gt;"))</f>
        <v/>
      </c>
      <c r="Z50">
        <f>IF(OR(Lists!$J52="",Lists!$K52&lt;&gt;"Quality Assurance"),"",COUNTIFS(Lists!$K$4:'Lists'!$K52,"Quality Assurance",Lists!$J$4:'Lists'!$J52,"&lt;&gt;"))</f>
        <v>2</v>
      </c>
      <c r="AA50" t="str">
        <f>IF(OR(Lists!$J52="",Lists!$K52&lt;&gt;"Compliance &amp; Core Training"),"",COUNTIFS(Lists!$K$4:'Lists'!$K52,"Compliance &amp; Core Training",Lists!$J$4:'Lists'!$J52,"&lt;&gt;"))</f>
        <v/>
      </c>
      <c r="AB50" t="str">
        <f>IF(OR(Lists!$J52="",Lists!$K52&lt;&gt;"Cloud &amp; Reliability"),"",COUNTIFS(Lists!$K$4:'Lists'!$K52,"Cloud &amp; Reliability",Lists!$J$4:'Lists'!$J52,"&lt;&gt;"))</f>
        <v/>
      </c>
      <c r="AC50" t="str">
        <f>IF(OR(Lists!$J52="",Lists!$K52&lt;&gt;"Data &amp; Analytics"),"",COUNTIFS(Lists!$K$4:'Lists'!$K52,"Data &amp; Analytics",Lists!$J$4:'Lists'!$J52,"&lt;&gt;"))</f>
        <v/>
      </c>
      <c r="AD50" t="str">
        <f>IF(OR(Lists!$J52="",Lists!$K52&lt;&gt;"Cybersecurity"),"",COUNTIFS(Lists!$K$4:'Lists'!$K52,"Cybersecurity",Lists!$J$4:'Lists'!$J52,"&lt;&gt;"))</f>
        <v/>
      </c>
      <c r="AE50">
        <f>IF('Role Requirements'!$B54="","",IF(COUNTIF('Role Requirements'!$B$6:$B54,'Role Requirements'!$B54)=1,COUNT($AE$1:AE49)+1,""))</f>
        <v>25</v>
      </c>
    </row>
    <row r="51" spans="3:31">
      <c r="C51" t="str">
        <f>IFERROR(INDEX(Lists!$J$4:$J$143,MATCH(50,$V$2:$V$141,0)),"")</f>
        <v/>
      </c>
      <c r="E51" t="str">
        <f>IFERROR(INDEX(Lists!$J$4:$J$143,MATCH(50,$W$2:$W$141,0)),"")</f>
        <v/>
      </c>
      <c r="G51" t="str">
        <f>IFERROR(INDEX(Lists!$J$4:$J$143,MATCH(50,$X$2:$X$141,0)),"")</f>
        <v/>
      </c>
      <c r="I51" t="str">
        <f>IFERROR(INDEX(Lists!$J$4:$J$143,MATCH(50,$Y$2:$Y$141,0)),"")</f>
        <v/>
      </c>
      <c r="K51" t="str">
        <f>IFERROR(INDEX(Lists!$J$4:$J$143,MATCH(50,$Z$2:$Z$141,0)),"")</f>
        <v/>
      </c>
      <c r="M51" t="str">
        <f>IFERROR(INDEX(Lists!$J$4:$J$143,MATCH(50,$AA$2:$AA$141,0)),"")</f>
        <v/>
      </c>
      <c r="O51" t="str">
        <f>IFERROR(INDEX(Lists!$J$4:$J$143,MATCH(50,$AB$2:$AB$141,0)),"")</f>
        <v/>
      </c>
      <c r="Q51" t="str">
        <f>IFERROR(INDEX(Lists!$J$4:$J$143,MATCH(50,$AC$2:$AC$141,0)),"")</f>
        <v/>
      </c>
      <c r="S51" t="str">
        <f>IFERROR(INDEX(Lists!$J$4:$J$143,MATCH(50,$AD$2:$AD$141,0)),"")</f>
        <v/>
      </c>
      <c r="U51" t="str">
        <f>IFERROR(INDEX('Role Requirements'!$B$6:$B$400,MATCH(50,$AE$2:$AE$396,0)),"")</f>
        <v/>
      </c>
      <c r="V51" t="str">
        <f>IF(OR(Lists!$J53="",Lists!$K53&lt;&gt;"Customer Support"),"",COUNTIFS(Lists!$K$4:'Lists'!$K53,"Customer Support",Lists!$J$4:'Lists'!$J53,"&lt;&gt;"))</f>
        <v/>
      </c>
      <c r="W51" t="str">
        <f>IF(OR(Lists!$J53="",Lists!$K53&lt;&gt;"Platform Operations"),"",COUNTIFS(Lists!$K$4:'Lists'!$K53,"Platform Operations",Lists!$J$4:'Lists'!$J53,"&lt;&gt;"))</f>
        <v/>
      </c>
      <c r="X51" t="str">
        <f>IF(OR(Lists!$J53="",Lists!$K53&lt;&gt;"Software Engineering"),"",COUNTIFS(Lists!$K$4:'Lists'!$K53,"Software Engineering",Lists!$J$4:'Lists'!$J53,"&lt;&gt;"))</f>
        <v/>
      </c>
      <c r="Y51" t="str">
        <f>IF(OR(Lists!$J53="",Lists!$K53&lt;&gt;"IT Operations"),"",COUNTIFS(Lists!$K$4:'Lists'!$K53,"IT Operations",Lists!$J$4:'Lists'!$J53,"&lt;&gt;"))</f>
        <v/>
      </c>
      <c r="Z51">
        <f>IF(OR(Lists!$J53="",Lists!$K53&lt;&gt;"Quality Assurance"),"",COUNTIFS(Lists!$K$4:'Lists'!$K53,"Quality Assurance",Lists!$J$4:'Lists'!$J53,"&lt;&gt;"))</f>
        <v>3</v>
      </c>
      <c r="AA51" t="str">
        <f>IF(OR(Lists!$J53="",Lists!$K53&lt;&gt;"Compliance &amp; Core Training"),"",COUNTIFS(Lists!$K$4:'Lists'!$K53,"Compliance &amp; Core Training",Lists!$J$4:'Lists'!$J53,"&lt;&gt;"))</f>
        <v/>
      </c>
      <c r="AB51" t="str">
        <f>IF(OR(Lists!$J53="",Lists!$K53&lt;&gt;"Cloud &amp; Reliability"),"",COUNTIFS(Lists!$K$4:'Lists'!$K53,"Cloud &amp; Reliability",Lists!$J$4:'Lists'!$J53,"&lt;&gt;"))</f>
        <v/>
      </c>
      <c r="AC51" t="str">
        <f>IF(OR(Lists!$J53="",Lists!$K53&lt;&gt;"Data &amp; Analytics"),"",COUNTIFS(Lists!$K$4:'Lists'!$K53,"Data &amp; Analytics",Lists!$J$4:'Lists'!$J53,"&lt;&gt;"))</f>
        <v/>
      </c>
      <c r="AD51" t="str">
        <f>IF(OR(Lists!$J53="",Lists!$K53&lt;&gt;"Cybersecurity"),"",COUNTIFS(Lists!$K$4:'Lists'!$K53,"Cybersecurity",Lists!$J$4:'Lists'!$J53,"&lt;&gt;"))</f>
        <v/>
      </c>
      <c r="AE51">
        <f>IF('Role Requirements'!$B55="","",IF(COUNTIF('Role Requirements'!$B$6:$B55,'Role Requirements'!$B55)=1,COUNT($AE$1:AE50)+1,""))</f>
        <v>26</v>
      </c>
    </row>
    <row r="52" spans="3:31">
      <c r="C52" t="str">
        <f>IFERROR(INDEX(Lists!$J$4:$J$143,MATCH(51,$V$2:$V$141,0)),"")</f>
        <v/>
      </c>
      <c r="E52" t="str">
        <f>IFERROR(INDEX(Lists!$J$4:$J$143,MATCH(51,$W$2:$W$141,0)),"")</f>
        <v/>
      </c>
      <c r="G52" t="str">
        <f>IFERROR(INDEX(Lists!$J$4:$J$143,MATCH(51,$X$2:$X$141,0)),"")</f>
        <v/>
      </c>
      <c r="I52" t="str">
        <f>IFERROR(INDEX(Lists!$J$4:$J$143,MATCH(51,$Y$2:$Y$141,0)),"")</f>
        <v/>
      </c>
      <c r="K52" t="str">
        <f>IFERROR(INDEX(Lists!$J$4:$J$143,MATCH(51,$Z$2:$Z$141,0)),"")</f>
        <v/>
      </c>
      <c r="M52" t="str">
        <f>IFERROR(INDEX(Lists!$J$4:$J$143,MATCH(51,$AA$2:$AA$141,0)),"")</f>
        <v/>
      </c>
      <c r="O52" t="str">
        <f>IFERROR(INDEX(Lists!$J$4:$J$143,MATCH(51,$AB$2:$AB$141,0)),"")</f>
        <v/>
      </c>
      <c r="Q52" t="str">
        <f>IFERROR(INDEX(Lists!$J$4:$J$143,MATCH(51,$AC$2:$AC$141,0)),"")</f>
        <v/>
      </c>
      <c r="S52" t="str">
        <f>IFERROR(INDEX(Lists!$J$4:$J$143,MATCH(51,$AD$2:$AD$141,0)),"")</f>
        <v/>
      </c>
      <c r="U52" t="str">
        <f>IFERROR(INDEX('Role Requirements'!$B$6:$B$400,MATCH(51,$AE$2:$AE$396,0)),"")</f>
        <v/>
      </c>
      <c r="V52" t="str">
        <f>IF(OR(Lists!$J54="",Lists!$K54&lt;&gt;"Customer Support"),"",COUNTIFS(Lists!$K$4:'Lists'!$K54,"Customer Support",Lists!$J$4:'Lists'!$J54,"&lt;&gt;"))</f>
        <v/>
      </c>
      <c r="W52" t="str">
        <f>IF(OR(Lists!$J54="",Lists!$K54&lt;&gt;"Platform Operations"),"",COUNTIFS(Lists!$K$4:'Lists'!$K54,"Platform Operations",Lists!$J$4:'Lists'!$J54,"&lt;&gt;"))</f>
        <v/>
      </c>
      <c r="X52" t="str">
        <f>IF(OR(Lists!$J54="",Lists!$K54&lt;&gt;"Software Engineering"),"",COUNTIFS(Lists!$K$4:'Lists'!$K54,"Software Engineering",Lists!$J$4:'Lists'!$J54,"&lt;&gt;"))</f>
        <v/>
      </c>
      <c r="Y52" t="str">
        <f>IF(OR(Lists!$J54="",Lists!$K54&lt;&gt;"IT Operations"),"",COUNTIFS(Lists!$K$4:'Lists'!$K54,"IT Operations",Lists!$J$4:'Lists'!$J54,"&lt;&gt;"))</f>
        <v/>
      </c>
      <c r="Z52">
        <f>IF(OR(Lists!$J54="",Lists!$K54&lt;&gt;"Quality Assurance"),"",COUNTIFS(Lists!$K$4:'Lists'!$K54,"Quality Assurance",Lists!$J$4:'Lists'!$J54,"&lt;&gt;"))</f>
        <v>4</v>
      </c>
      <c r="AA52" t="str">
        <f>IF(OR(Lists!$J54="",Lists!$K54&lt;&gt;"Compliance &amp; Core Training"),"",COUNTIFS(Lists!$K$4:'Lists'!$K54,"Compliance &amp; Core Training",Lists!$J$4:'Lists'!$J54,"&lt;&gt;"))</f>
        <v/>
      </c>
      <c r="AB52" t="str">
        <f>IF(OR(Lists!$J54="",Lists!$K54&lt;&gt;"Cloud &amp; Reliability"),"",COUNTIFS(Lists!$K$4:'Lists'!$K54,"Cloud &amp; Reliability",Lists!$J$4:'Lists'!$J54,"&lt;&gt;"))</f>
        <v/>
      </c>
      <c r="AC52" t="str">
        <f>IF(OR(Lists!$J54="",Lists!$K54&lt;&gt;"Data &amp; Analytics"),"",COUNTIFS(Lists!$K$4:'Lists'!$K54,"Data &amp; Analytics",Lists!$J$4:'Lists'!$J54,"&lt;&gt;"))</f>
        <v/>
      </c>
      <c r="AD52" t="str">
        <f>IF(OR(Lists!$J54="",Lists!$K54&lt;&gt;"Cybersecurity"),"",COUNTIFS(Lists!$K$4:'Lists'!$K54,"Cybersecurity",Lists!$J$4:'Lists'!$J54,"&lt;&gt;"))</f>
        <v/>
      </c>
      <c r="AE52">
        <f>IF('Role Requirements'!$B56="","",IF(COUNTIF('Role Requirements'!$B$6:$B56,'Role Requirements'!$B56)=1,COUNT($AE$1:AE51)+1,""))</f>
        <v>27</v>
      </c>
    </row>
    <row r="53" spans="3:31">
      <c r="C53" t="str">
        <f>IFERROR(INDEX(Lists!$J$4:$J$143,MATCH(52,$V$2:$V$141,0)),"")</f>
        <v/>
      </c>
      <c r="E53" t="str">
        <f>IFERROR(INDEX(Lists!$J$4:$J$143,MATCH(52,$W$2:$W$141,0)),"")</f>
        <v/>
      </c>
      <c r="G53" t="str">
        <f>IFERROR(INDEX(Lists!$J$4:$J$143,MATCH(52,$X$2:$X$141,0)),"")</f>
        <v/>
      </c>
      <c r="I53" t="str">
        <f>IFERROR(INDEX(Lists!$J$4:$J$143,MATCH(52,$Y$2:$Y$141,0)),"")</f>
        <v/>
      </c>
      <c r="K53" t="str">
        <f>IFERROR(INDEX(Lists!$J$4:$J$143,MATCH(52,$Z$2:$Z$141,0)),"")</f>
        <v/>
      </c>
      <c r="M53" t="str">
        <f>IFERROR(INDEX(Lists!$J$4:$J$143,MATCH(52,$AA$2:$AA$141,0)),"")</f>
        <v/>
      </c>
      <c r="O53" t="str">
        <f>IFERROR(INDEX(Lists!$J$4:$J$143,MATCH(52,$AB$2:$AB$141,0)),"")</f>
        <v/>
      </c>
      <c r="Q53" t="str">
        <f>IFERROR(INDEX(Lists!$J$4:$J$143,MATCH(52,$AC$2:$AC$141,0)),"")</f>
        <v/>
      </c>
      <c r="S53" t="str">
        <f>IFERROR(INDEX(Lists!$J$4:$J$143,MATCH(52,$AD$2:$AD$141,0)),"")</f>
        <v/>
      </c>
      <c r="U53" t="str">
        <f>IFERROR(INDEX('Role Requirements'!$B$6:$B$400,MATCH(52,$AE$2:$AE$396,0)),"")</f>
        <v/>
      </c>
      <c r="V53" t="str">
        <f>IF(OR(Lists!$J55="",Lists!$K55&lt;&gt;"Customer Support"),"",COUNTIFS(Lists!$K$4:'Lists'!$K55,"Customer Support",Lists!$J$4:'Lists'!$J55,"&lt;&gt;"))</f>
        <v/>
      </c>
      <c r="W53" t="str">
        <f>IF(OR(Lists!$J55="",Lists!$K55&lt;&gt;"Platform Operations"),"",COUNTIFS(Lists!$K$4:'Lists'!$K55,"Platform Operations",Lists!$J$4:'Lists'!$J55,"&lt;&gt;"))</f>
        <v/>
      </c>
      <c r="X53" t="str">
        <f>IF(OR(Lists!$J55="",Lists!$K55&lt;&gt;"Software Engineering"),"",COUNTIFS(Lists!$K$4:'Lists'!$K55,"Software Engineering",Lists!$J$4:'Lists'!$J55,"&lt;&gt;"))</f>
        <v/>
      </c>
      <c r="Y53" t="str">
        <f>IF(OR(Lists!$J55="",Lists!$K55&lt;&gt;"IT Operations"),"",COUNTIFS(Lists!$K$4:'Lists'!$K55,"IT Operations",Lists!$J$4:'Lists'!$J55,"&lt;&gt;"))</f>
        <v/>
      </c>
      <c r="Z53" t="str">
        <f>IF(OR(Lists!$J55="",Lists!$K55&lt;&gt;"Quality Assurance"),"",COUNTIFS(Lists!$K$4:'Lists'!$K55,"Quality Assurance",Lists!$J$4:'Lists'!$J55,"&lt;&gt;"))</f>
        <v/>
      </c>
      <c r="AA53">
        <f>IF(OR(Lists!$J55="",Lists!$K55&lt;&gt;"Compliance &amp; Core Training"),"",COUNTIFS(Lists!$K$4:'Lists'!$K55,"Compliance &amp; Core Training",Lists!$J$4:'Lists'!$J55,"&lt;&gt;"))</f>
        <v>1</v>
      </c>
      <c r="AB53" t="str">
        <f>IF(OR(Lists!$J55="",Lists!$K55&lt;&gt;"Cloud &amp; Reliability"),"",COUNTIFS(Lists!$K$4:'Lists'!$K55,"Cloud &amp; Reliability",Lists!$J$4:'Lists'!$J55,"&lt;&gt;"))</f>
        <v/>
      </c>
      <c r="AC53" t="str">
        <f>IF(OR(Lists!$J55="",Lists!$K55&lt;&gt;"Data &amp; Analytics"),"",COUNTIFS(Lists!$K$4:'Lists'!$K55,"Data &amp; Analytics",Lists!$J$4:'Lists'!$J55,"&lt;&gt;"))</f>
        <v/>
      </c>
      <c r="AD53" t="str">
        <f>IF(OR(Lists!$J55="",Lists!$K55&lt;&gt;"Cybersecurity"),"",COUNTIFS(Lists!$K$4:'Lists'!$K55,"Cybersecurity",Lists!$J$4:'Lists'!$J55,"&lt;&gt;"))</f>
        <v/>
      </c>
      <c r="AE53">
        <f>IF('Role Requirements'!$B57="","",IF(COUNTIF('Role Requirements'!$B$6:$B57,'Role Requirements'!$B57)=1,COUNT($AE$1:AE52)+1,""))</f>
        <v>28</v>
      </c>
    </row>
    <row r="54" spans="3:31">
      <c r="C54" t="str">
        <f>IFERROR(INDEX(Lists!$J$4:$J$143,MATCH(53,$V$2:$V$141,0)),"")</f>
        <v/>
      </c>
      <c r="E54" t="str">
        <f>IFERROR(INDEX(Lists!$J$4:$J$143,MATCH(53,$W$2:$W$141,0)),"")</f>
        <v/>
      </c>
      <c r="G54" t="str">
        <f>IFERROR(INDEX(Lists!$J$4:$J$143,MATCH(53,$X$2:$X$141,0)),"")</f>
        <v/>
      </c>
      <c r="I54" t="str">
        <f>IFERROR(INDEX(Lists!$J$4:$J$143,MATCH(53,$Y$2:$Y$141,0)),"")</f>
        <v/>
      </c>
      <c r="K54" t="str">
        <f>IFERROR(INDEX(Lists!$J$4:$J$143,MATCH(53,$Z$2:$Z$141,0)),"")</f>
        <v/>
      </c>
      <c r="M54" t="str">
        <f>IFERROR(INDEX(Lists!$J$4:$J$143,MATCH(53,$AA$2:$AA$141,0)),"")</f>
        <v/>
      </c>
      <c r="O54" t="str">
        <f>IFERROR(INDEX(Lists!$J$4:$J$143,MATCH(53,$AB$2:$AB$141,0)),"")</f>
        <v/>
      </c>
      <c r="Q54" t="str">
        <f>IFERROR(INDEX(Lists!$J$4:$J$143,MATCH(53,$AC$2:$AC$141,0)),"")</f>
        <v/>
      </c>
      <c r="S54" t="str">
        <f>IFERROR(INDEX(Lists!$J$4:$J$143,MATCH(53,$AD$2:$AD$141,0)),"")</f>
        <v/>
      </c>
      <c r="U54" t="str">
        <f>IFERROR(INDEX('Role Requirements'!$B$6:$B$400,MATCH(53,$AE$2:$AE$396,0)),"")</f>
        <v/>
      </c>
      <c r="V54" t="str">
        <f>IF(OR(Lists!$J56="",Lists!$K56&lt;&gt;"Customer Support"),"",COUNTIFS(Lists!$K$4:'Lists'!$K56,"Customer Support",Lists!$J$4:'Lists'!$J56,"&lt;&gt;"))</f>
        <v/>
      </c>
      <c r="W54" t="str">
        <f>IF(OR(Lists!$J56="",Lists!$K56&lt;&gt;"Platform Operations"),"",COUNTIFS(Lists!$K$4:'Lists'!$K56,"Platform Operations",Lists!$J$4:'Lists'!$J56,"&lt;&gt;"))</f>
        <v/>
      </c>
      <c r="X54" t="str">
        <f>IF(OR(Lists!$J56="",Lists!$K56&lt;&gt;"Software Engineering"),"",COUNTIFS(Lists!$K$4:'Lists'!$K56,"Software Engineering",Lists!$J$4:'Lists'!$J56,"&lt;&gt;"))</f>
        <v/>
      </c>
      <c r="Y54" t="str">
        <f>IF(OR(Lists!$J56="",Lists!$K56&lt;&gt;"IT Operations"),"",COUNTIFS(Lists!$K$4:'Lists'!$K56,"IT Operations",Lists!$J$4:'Lists'!$J56,"&lt;&gt;"))</f>
        <v/>
      </c>
      <c r="Z54">
        <f>IF(OR(Lists!$J56="",Lists!$K56&lt;&gt;"Quality Assurance"),"",COUNTIFS(Lists!$K$4:'Lists'!$K56,"Quality Assurance",Lists!$J$4:'Lists'!$J56,"&lt;&gt;"))</f>
        <v>5</v>
      </c>
      <c r="AA54" t="str">
        <f>IF(OR(Lists!$J56="",Lists!$K56&lt;&gt;"Compliance &amp; Core Training"),"",COUNTIFS(Lists!$K$4:'Lists'!$K56,"Compliance &amp; Core Training",Lists!$J$4:'Lists'!$J56,"&lt;&gt;"))</f>
        <v/>
      </c>
      <c r="AB54" t="str">
        <f>IF(OR(Lists!$J56="",Lists!$K56&lt;&gt;"Cloud &amp; Reliability"),"",COUNTIFS(Lists!$K$4:'Lists'!$K56,"Cloud &amp; Reliability",Lists!$J$4:'Lists'!$J56,"&lt;&gt;"))</f>
        <v/>
      </c>
      <c r="AC54" t="str">
        <f>IF(OR(Lists!$J56="",Lists!$K56&lt;&gt;"Data &amp; Analytics"),"",COUNTIFS(Lists!$K$4:'Lists'!$K56,"Data &amp; Analytics",Lists!$J$4:'Lists'!$J56,"&lt;&gt;"))</f>
        <v/>
      </c>
      <c r="AD54" t="str">
        <f>IF(OR(Lists!$J56="",Lists!$K56&lt;&gt;"Cybersecurity"),"",COUNTIFS(Lists!$K$4:'Lists'!$K56,"Cybersecurity",Lists!$J$4:'Lists'!$J56,"&lt;&gt;"))</f>
        <v/>
      </c>
      <c r="AE54">
        <f>IF('Role Requirements'!$B58="","",IF(COUNTIF('Role Requirements'!$B$6:$B58,'Role Requirements'!$B58)=1,COUNT($AE$1:AE53)+1,""))</f>
        <v>29</v>
      </c>
    </row>
    <row r="55" spans="3:31">
      <c r="C55" t="str">
        <f>IFERROR(INDEX(Lists!$J$4:$J$143,MATCH(54,$V$2:$V$141,0)),"")</f>
        <v/>
      </c>
      <c r="E55" t="str">
        <f>IFERROR(INDEX(Lists!$J$4:$J$143,MATCH(54,$W$2:$W$141,0)),"")</f>
        <v/>
      </c>
      <c r="G55" t="str">
        <f>IFERROR(INDEX(Lists!$J$4:$J$143,MATCH(54,$X$2:$X$141,0)),"")</f>
        <v/>
      </c>
      <c r="I55" t="str">
        <f>IFERROR(INDEX(Lists!$J$4:$J$143,MATCH(54,$Y$2:$Y$141,0)),"")</f>
        <v/>
      </c>
      <c r="K55" t="str">
        <f>IFERROR(INDEX(Lists!$J$4:$J$143,MATCH(54,$Z$2:$Z$141,0)),"")</f>
        <v/>
      </c>
      <c r="M55" t="str">
        <f>IFERROR(INDEX(Lists!$J$4:$J$143,MATCH(54,$AA$2:$AA$141,0)),"")</f>
        <v/>
      </c>
      <c r="O55" t="str">
        <f>IFERROR(INDEX(Lists!$J$4:$J$143,MATCH(54,$AB$2:$AB$141,0)),"")</f>
        <v/>
      </c>
      <c r="Q55" t="str">
        <f>IFERROR(INDEX(Lists!$J$4:$J$143,MATCH(54,$AC$2:$AC$141,0)),"")</f>
        <v/>
      </c>
      <c r="S55" t="str">
        <f>IFERROR(INDEX(Lists!$J$4:$J$143,MATCH(54,$AD$2:$AD$141,0)),"")</f>
        <v/>
      </c>
      <c r="U55" t="str">
        <f>IFERROR(INDEX('Role Requirements'!$B$6:$B$400,MATCH(54,$AE$2:$AE$396,0)),"")</f>
        <v/>
      </c>
      <c r="V55" t="str">
        <f>IF(OR(Lists!$J57="",Lists!$K57&lt;&gt;"Customer Support"),"",COUNTIFS(Lists!$K$4:'Lists'!$K57,"Customer Support",Lists!$J$4:'Lists'!$J57,"&lt;&gt;"))</f>
        <v/>
      </c>
      <c r="W55" t="str">
        <f>IF(OR(Lists!$J57="",Lists!$K57&lt;&gt;"Platform Operations"),"",COUNTIFS(Lists!$K$4:'Lists'!$K57,"Platform Operations",Lists!$J$4:'Lists'!$J57,"&lt;&gt;"))</f>
        <v/>
      </c>
      <c r="X55" t="str">
        <f>IF(OR(Lists!$J57="",Lists!$K57&lt;&gt;"Software Engineering"),"",COUNTIFS(Lists!$K$4:'Lists'!$K57,"Software Engineering",Lists!$J$4:'Lists'!$J57,"&lt;&gt;"))</f>
        <v/>
      </c>
      <c r="Y55" t="str">
        <f>IF(OR(Lists!$J57="",Lists!$K57&lt;&gt;"IT Operations"),"",COUNTIFS(Lists!$K$4:'Lists'!$K57,"IT Operations",Lists!$J$4:'Lists'!$J57,"&lt;&gt;"))</f>
        <v/>
      </c>
      <c r="Z55">
        <f>IF(OR(Lists!$J57="",Lists!$K57&lt;&gt;"Quality Assurance"),"",COUNTIFS(Lists!$K$4:'Lists'!$K57,"Quality Assurance",Lists!$J$4:'Lists'!$J57,"&lt;&gt;"))</f>
        <v>6</v>
      </c>
      <c r="AA55" t="str">
        <f>IF(OR(Lists!$J57="",Lists!$K57&lt;&gt;"Compliance &amp; Core Training"),"",COUNTIFS(Lists!$K$4:'Lists'!$K57,"Compliance &amp; Core Training",Lists!$J$4:'Lists'!$J57,"&lt;&gt;"))</f>
        <v/>
      </c>
      <c r="AB55" t="str">
        <f>IF(OR(Lists!$J57="",Lists!$K57&lt;&gt;"Cloud &amp; Reliability"),"",COUNTIFS(Lists!$K$4:'Lists'!$K57,"Cloud &amp; Reliability",Lists!$J$4:'Lists'!$J57,"&lt;&gt;"))</f>
        <v/>
      </c>
      <c r="AC55" t="str">
        <f>IF(OR(Lists!$J57="",Lists!$K57&lt;&gt;"Data &amp; Analytics"),"",COUNTIFS(Lists!$K$4:'Lists'!$K57,"Data &amp; Analytics",Lists!$J$4:'Lists'!$J57,"&lt;&gt;"))</f>
        <v/>
      </c>
      <c r="AD55" t="str">
        <f>IF(OR(Lists!$J57="",Lists!$K57&lt;&gt;"Cybersecurity"),"",COUNTIFS(Lists!$K$4:'Lists'!$K57,"Cybersecurity",Lists!$J$4:'Lists'!$J57,"&lt;&gt;"))</f>
        <v/>
      </c>
      <c r="AE55">
        <f>IF('Role Requirements'!$B59="","",IF(COUNTIF('Role Requirements'!$B$6:$B59,'Role Requirements'!$B59)=1,COUNT($AE$1:AE54)+1,""))</f>
        <v>30</v>
      </c>
    </row>
    <row r="56" spans="3:31">
      <c r="C56" t="str">
        <f>IFERROR(INDEX(Lists!$J$4:$J$143,MATCH(55,$V$2:$V$141,0)),"")</f>
        <v/>
      </c>
      <c r="E56" t="str">
        <f>IFERROR(INDEX(Lists!$J$4:$J$143,MATCH(55,$W$2:$W$141,0)),"")</f>
        <v/>
      </c>
      <c r="G56" t="str">
        <f>IFERROR(INDEX(Lists!$J$4:$J$143,MATCH(55,$X$2:$X$141,0)),"")</f>
        <v/>
      </c>
      <c r="I56" t="str">
        <f>IFERROR(INDEX(Lists!$J$4:$J$143,MATCH(55,$Y$2:$Y$141,0)),"")</f>
        <v/>
      </c>
      <c r="K56" t="str">
        <f>IFERROR(INDEX(Lists!$J$4:$J$143,MATCH(55,$Z$2:$Z$141,0)),"")</f>
        <v/>
      </c>
      <c r="M56" t="str">
        <f>IFERROR(INDEX(Lists!$J$4:$J$143,MATCH(55,$AA$2:$AA$141,0)),"")</f>
        <v/>
      </c>
      <c r="O56" t="str">
        <f>IFERROR(INDEX(Lists!$J$4:$J$143,MATCH(55,$AB$2:$AB$141,0)),"")</f>
        <v/>
      </c>
      <c r="Q56" t="str">
        <f>IFERROR(INDEX(Lists!$J$4:$J$143,MATCH(55,$AC$2:$AC$141,0)),"")</f>
        <v/>
      </c>
      <c r="S56" t="str">
        <f>IFERROR(INDEX(Lists!$J$4:$J$143,MATCH(55,$AD$2:$AD$141,0)),"")</f>
        <v/>
      </c>
      <c r="U56" t="str">
        <f>IFERROR(INDEX('Role Requirements'!$B$6:$B$400,MATCH(55,$AE$2:$AE$396,0)),"")</f>
        <v/>
      </c>
      <c r="V56" t="str">
        <f>IF(OR(Lists!$J58="",Lists!$K58&lt;&gt;"Customer Support"),"",COUNTIFS(Lists!$K$4:'Lists'!$K58,"Customer Support",Lists!$J$4:'Lists'!$J58,"&lt;&gt;"))</f>
        <v/>
      </c>
      <c r="W56" t="str">
        <f>IF(OR(Lists!$J58="",Lists!$K58&lt;&gt;"Platform Operations"),"",COUNTIFS(Lists!$K$4:'Lists'!$K58,"Platform Operations",Lists!$J$4:'Lists'!$J58,"&lt;&gt;"))</f>
        <v/>
      </c>
      <c r="X56" t="str">
        <f>IF(OR(Lists!$J58="",Lists!$K58&lt;&gt;"Software Engineering"),"",COUNTIFS(Lists!$K$4:'Lists'!$K58,"Software Engineering",Lists!$J$4:'Lists'!$J58,"&lt;&gt;"))</f>
        <v/>
      </c>
      <c r="Y56" t="str">
        <f>IF(OR(Lists!$J58="",Lists!$K58&lt;&gt;"IT Operations"),"",COUNTIFS(Lists!$K$4:'Lists'!$K58,"IT Operations",Lists!$J$4:'Lists'!$J58,"&lt;&gt;"))</f>
        <v/>
      </c>
      <c r="Z56" t="str">
        <f>IF(OR(Lists!$J58="",Lists!$K58&lt;&gt;"Quality Assurance"),"",COUNTIFS(Lists!$K$4:'Lists'!$K58,"Quality Assurance",Lists!$J$4:'Lists'!$J58,"&lt;&gt;"))</f>
        <v/>
      </c>
      <c r="AA56" t="str">
        <f>IF(OR(Lists!$J58="",Lists!$K58&lt;&gt;"Compliance &amp; Core Training"),"",COUNTIFS(Lists!$K$4:'Lists'!$K58,"Compliance &amp; Core Training",Lists!$J$4:'Lists'!$J58,"&lt;&gt;"))</f>
        <v/>
      </c>
      <c r="AB56">
        <f>IF(OR(Lists!$J58="",Lists!$K58&lt;&gt;"Cloud &amp; Reliability"),"",COUNTIFS(Lists!$K$4:'Lists'!$K58,"Cloud &amp; Reliability",Lists!$J$4:'Lists'!$J58,"&lt;&gt;"))</f>
        <v>1</v>
      </c>
      <c r="AC56" t="str">
        <f>IF(OR(Lists!$J58="",Lists!$K58&lt;&gt;"Data &amp; Analytics"),"",COUNTIFS(Lists!$K$4:'Lists'!$K58,"Data &amp; Analytics",Lists!$J$4:'Lists'!$J58,"&lt;&gt;"))</f>
        <v/>
      </c>
      <c r="AD56" t="str">
        <f>IF(OR(Lists!$J58="",Lists!$K58&lt;&gt;"Cybersecurity"),"",COUNTIFS(Lists!$K$4:'Lists'!$K58,"Cybersecurity",Lists!$J$4:'Lists'!$J58,"&lt;&gt;"))</f>
        <v/>
      </c>
      <c r="AE56" t="str">
        <f>IF('Role Requirements'!$B60="","",IF(COUNTIF('Role Requirements'!$B$6:$B60,'Role Requirements'!$B60)=1,COUNT($AE$1:AE55)+1,""))</f>
        <v/>
      </c>
    </row>
    <row r="57" spans="3:31">
      <c r="C57" t="str">
        <f>IFERROR(INDEX(Lists!$J$4:$J$143,MATCH(56,$V$2:$V$141,0)),"")</f>
        <v/>
      </c>
      <c r="E57" t="str">
        <f>IFERROR(INDEX(Lists!$J$4:$J$143,MATCH(56,$W$2:$W$141,0)),"")</f>
        <v/>
      </c>
      <c r="G57" t="str">
        <f>IFERROR(INDEX(Lists!$J$4:$J$143,MATCH(56,$X$2:$X$141,0)),"")</f>
        <v/>
      </c>
      <c r="I57" t="str">
        <f>IFERROR(INDEX(Lists!$J$4:$J$143,MATCH(56,$Y$2:$Y$141,0)),"")</f>
        <v/>
      </c>
      <c r="K57" t="str">
        <f>IFERROR(INDEX(Lists!$J$4:$J$143,MATCH(56,$Z$2:$Z$141,0)),"")</f>
        <v/>
      </c>
      <c r="M57" t="str">
        <f>IFERROR(INDEX(Lists!$J$4:$J$143,MATCH(56,$AA$2:$AA$141,0)),"")</f>
        <v/>
      </c>
      <c r="O57" t="str">
        <f>IFERROR(INDEX(Lists!$J$4:$J$143,MATCH(56,$AB$2:$AB$141,0)),"")</f>
        <v/>
      </c>
      <c r="Q57" t="str">
        <f>IFERROR(INDEX(Lists!$J$4:$J$143,MATCH(56,$AC$2:$AC$141,0)),"")</f>
        <v/>
      </c>
      <c r="S57" t="str">
        <f>IFERROR(INDEX(Lists!$J$4:$J$143,MATCH(56,$AD$2:$AD$141,0)),"")</f>
        <v/>
      </c>
      <c r="U57" t="str">
        <f>IFERROR(INDEX('Role Requirements'!$B$6:$B$400,MATCH(56,$AE$2:$AE$396,0)),"")</f>
        <v/>
      </c>
      <c r="V57" t="str">
        <f>IF(OR(Lists!$J59="",Lists!$K59&lt;&gt;"Customer Support"),"",COUNTIFS(Lists!$K$4:'Lists'!$K59,"Customer Support",Lists!$J$4:'Lists'!$J59,"&lt;&gt;"))</f>
        <v/>
      </c>
      <c r="W57" t="str">
        <f>IF(OR(Lists!$J59="",Lists!$K59&lt;&gt;"Platform Operations"),"",COUNTIFS(Lists!$K$4:'Lists'!$K59,"Platform Operations",Lists!$J$4:'Lists'!$J59,"&lt;&gt;"))</f>
        <v/>
      </c>
      <c r="X57" t="str">
        <f>IF(OR(Lists!$J59="",Lists!$K59&lt;&gt;"Software Engineering"),"",COUNTIFS(Lists!$K$4:'Lists'!$K59,"Software Engineering",Lists!$J$4:'Lists'!$J59,"&lt;&gt;"))</f>
        <v/>
      </c>
      <c r="Y57" t="str">
        <f>IF(OR(Lists!$J59="",Lists!$K59&lt;&gt;"IT Operations"),"",COUNTIFS(Lists!$K$4:'Lists'!$K59,"IT Operations",Lists!$J$4:'Lists'!$J59,"&lt;&gt;"))</f>
        <v/>
      </c>
      <c r="Z57" t="str">
        <f>IF(OR(Lists!$J59="",Lists!$K59&lt;&gt;"Quality Assurance"),"",COUNTIFS(Lists!$K$4:'Lists'!$K59,"Quality Assurance",Lists!$J$4:'Lists'!$J59,"&lt;&gt;"))</f>
        <v/>
      </c>
      <c r="AA57" t="str">
        <f>IF(OR(Lists!$J59="",Lists!$K59&lt;&gt;"Compliance &amp; Core Training"),"",COUNTIFS(Lists!$K$4:'Lists'!$K59,"Compliance &amp; Core Training",Lists!$J$4:'Lists'!$J59,"&lt;&gt;"))</f>
        <v/>
      </c>
      <c r="AB57">
        <f>IF(OR(Lists!$J59="",Lists!$K59&lt;&gt;"Cloud &amp; Reliability"),"",COUNTIFS(Lists!$K$4:'Lists'!$K59,"Cloud &amp; Reliability",Lists!$J$4:'Lists'!$J59,"&lt;&gt;"))</f>
        <v>2</v>
      </c>
      <c r="AC57" t="str">
        <f>IF(OR(Lists!$J59="",Lists!$K59&lt;&gt;"Data &amp; Analytics"),"",COUNTIFS(Lists!$K$4:'Lists'!$K59,"Data &amp; Analytics",Lists!$J$4:'Lists'!$J59,"&lt;&gt;"))</f>
        <v/>
      </c>
      <c r="AD57" t="str">
        <f>IF(OR(Lists!$J59="",Lists!$K59&lt;&gt;"Cybersecurity"),"",COUNTIFS(Lists!$K$4:'Lists'!$K59,"Cybersecurity",Lists!$J$4:'Lists'!$J59,"&lt;&gt;"))</f>
        <v/>
      </c>
      <c r="AE57">
        <f>IF('Role Requirements'!$B61="","",IF(COUNTIF('Role Requirements'!$B$6:$B61,'Role Requirements'!$B61)=1,COUNT($AE$1:AE56)+1,""))</f>
        <v>31</v>
      </c>
    </row>
    <row r="58" spans="3:31">
      <c r="C58" t="str">
        <f>IFERROR(INDEX(Lists!$J$4:$J$143,MATCH(57,$V$2:$V$141,0)),"")</f>
        <v/>
      </c>
      <c r="E58" t="str">
        <f>IFERROR(INDEX(Lists!$J$4:$J$143,MATCH(57,$W$2:$W$141,0)),"")</f>
        <v/>
      </c>
      <c r="G58" t="str">
        <f>IFERROR(INDEX(Lists!$J$4:$J$143,MATCH(57,$X$2:$X$141,0)),"")</f>
        <v/>
      </c>
      <c r="I58" t="str">
        <f>IFERROR(INDEX(Lists!$J$4:$J$143,MATCH(57,$Y$2:$Y$141,0)),"")</f>
        <v/>
      </c>
      <c r="K58" t="str">
        <f>IFERROR(INDEX(Lists!$J$4:$J$143,MATCH(57,$Z$2:$Z$141,0)),"")</f>
        <v/>
      </c>
      <c r="M58" t="str">
        <f>IFERROR(INDEX(Lists!$J$4:$J$143,MATCH(57,$AA$2:$AA$141,0)),"")</f>
        <v/>
      </c>
      <c r="O58" t="str">
        <f>IFERROR(INDEX(Lists!$J$4:$J$143,MATCH(57,$AB$2:$AB$141,0)),"")</f>
        <v/>
      </c>
      <c r="Q58" t="str">
        <f>IFERROR(INDEX(Lists!$J$4:$J$143,MATCH(57,$AC$2:$AC$141,0)),"")</f>
        <v/>
      </c>
      <c r="S58" t="str">
        <f>IFERROR(INDEX(Lists!$J$4:$J$143,MATCH(57,$AD$2:$AD$141,0)),"")</f>
        <v/>
      </c>
      <c r="U58" t="str">
        <f>IFERROR(INDEX('Role Requirements'!$B$6:$B$400,MATCH(57,$AE$2:$AE$396,0)),"")</f>
        <v/>
      </c>
      <c r="V58" t="str">
        <f>IF(OR(Lists!$J60="",Lists!$K60&lt;&gt;"Customer Support"),"",COUNTIFS(Lists!$K$4:'Lists'!$K60,"Customer Support",Lists!$J$4:'Lists'!$J60,"&lt;&gt;"))</f>
        <v/>
      </c>
      <c r="W58" t="str">
        <f>IF(OR(Lists!$J60="",Lists!$K60&lt;&gt;"Platform Operations"),"",COUNTIFS(Lists!$K$4:'Lists'!$K60,"Platform Operations",Lists!$J$4:'Lists'!$J60,"&lt;&gt;"))</f>
        <v/>
      </c>
      <c r="X58" t="str">
        <f>IF(OR(Lists!$J60="",Lists!$K60&lt;&gt;"Software Engineering"),"",COUNTIFS(Lists!$K$4:'Lists'!$K60,"Software Engineering",Lists!$J$4:'Lists'!$J60,"&lt;&gt;"))</f>
        <v/>
      </c>
      <c r="Y58" t="str">
        <f>IF(OR(Lists!$J60="",Lists!$K60&lt;&gt;"IT Operations"),"",COUNTIFS(Lists!$K$4:'Lists'!$K60,"IT Operations",Lists!$J$4:'Lists'!$J60,"&lt;&gt;"))</f>
        <v/>
      </c>
      <c r="Z58" t="str">
        <f>IF(OR(Lists!$J60="",Lists!$K60&lt;&gt;"Quality Assurance"),"",COUNTIFS(Lists!$K$4:'Lists'!$K60,"Quality Assurance",Lists!$J$4:'Lists'!$J60,"&lt;&gt;"))</f>
        <v/>
      </c>
      <c r="AA58" t="str">
        <f>IF(OR(Lists!$J60="",Lists!$K60&lt;&gt;"Compliance &amp; Core Training"),"",COUNTIFS(Lists!$K$4:'Lists'!$K60,"Compliance &amp; Core Training",Lists!$J$4:'Lists'!$J60,"&lt;&gt;"))</f>
        <v/>
      </c>
      <c r="AB58">
        <f>IF(OR(Lists!$J60="",Lists!$K60&lt;&gt;"Cloud &amp; Reliability"),"",COUNTIFS(Lists!$K$4:'Lists'!$K60,"Cloud &amp; Reliability",Lists!$J$4:'Lists'!$J60,"&lt;&gt;"))</f>
        <v>3</v>
      </c>
      <c r="AC58" t="str">
        <f>IF(OR(Lists!$J60="",Lists!$K60&lt;&gt;"Data &amp; Analytics"),"",COUNTIFS(Lists!$K$4:'Lists'!$K60,"Data &amp; Analytics",Lists!$J$4:'Lists'!$J60,"&lt;&gt;"))</f>
        <v/>
      </c>
      <c r="AD58" t="str">
        <f>IF(OR(Lists!$J60="",Lists!$K60&lt;&gt;"Cybersecurity"),"",COUNTIFS(Lists!$K$4:'Lists'!$K60,"Cybersecurity",Lists!$J$4:'Lists'!$J60,"&lt;&gt;"))</f>
        <v/>
      </c>
      <c r="AE58">
        <f>IF('Role Requirements'!$B62="","",IF(COUNTIF('Role Requirements'!$B$6:$B62,'Role Requirements'!$B62)=1,COUNT($AE$1:AE57)+1,""))</f>
        <v>32</v>
      </c>
    </row>
    <row r="59" spans="3:31">
      <c r="C59" t="str">
        <f>IFERROR(INDEX(Lists!$J$4:$J$143,MATCH(58,$V$2:$V$141,0)),"")</f>
        <v/>
      </c>
      <c r="E59" t="str">
        <f>IFERROR(INDEX(Lists!$J$4:$J$143,MATCH(58,$W$2:$W$141,0)),"")</f>
        <v/>
      </c>
      <c r="G59" t="str">
        <f>IFERROR(INDEX(Lists!$J$4:$J$143,MATCH(58,$X$2:$X$141,0)),"")</f>
        <v/>
      </c>
      <c r="I59" t="str">
        <f>IFERROR(INDEX(Lists!$J$4:$J$143,MATCH(58,$Y$2:$Y$141,0)),"")</f>
        <v/>
      </c>
      <c r="K59" t="str">
        <f>IFERROR(INDEX(Lists!$J$4:$J$143,MATCH(58,$Z$2:$Z$141,0)),"")</f>
        <v/>
      </c>
      <c r="M59" t="str">
        <f>IFERROR(INDEX(Lists!$J$4:$J$143,MATCH(58,$AA$2:$AA$141,0)),"")</f>
        <v/>
      </c>
      <c r="O59" t="str">
        <f>IFERROR(INDEX(Lists!$J$4:$J$143,MATCH(58,$AB$2:$AB$141,0)),"")</f>
        <v/>
      </c>
      <c r="Q59" t="str">
        <f>IFERROR(INDEX(Lists!$J$4:$J$143,MATCH(58,$AC$2:$AC$141,0)),"")</f>
        <v/>
      </c>
      <c r="S59" t="str">
        <f>IFERROR(INDEX(Lists!$J$4:$J$143,MATCH(58,$AD$2:$AD$141,0)),"")</f>
        <v/>
      </c>
      <c r="U59" t="str">
        <f>IFERROR(INDEX('Role Requirements'!$B$6:$B$400,MATCH(58,$AE$2:$AE$396,0)),"")</f>
        <v/>
      </c>
      <c r="V59" t="str">
        <f>IF(OR(Lists!$J61="",Lists!$K61&lt;&gt;"Customer Support"),"",COUNTIFS(Lists!$K$4:'Lists'!$K61,"Customer Support",Lists!$J$4:'Lists'!$J61,"&lt;&gt;"))</f>
        <v/>
      </c>
      <c r="W59" t="str">
        <f>IF(OR(Lists!$J61="",Lists!$K61&lt;&gt;"Platform Operations"),"",COUNTIFS(Lists!$K$4:'Lists'!$K61,"Platform Operations",Lists!$J$4:'Lists'!$J61,"&lt;&gt;"))</f>
        <v/>
      </c>
      <c r="X59" t="str">
        <f>IF(OR(Lists!$J61="",Lists!$K61&lt;&gt;"Software Engineering"),"",COUNTIFS(Lists!$K$4:'Lists'!$K61,"Software Engineering",Lists!$J$4:'Lists'!$J61,"&lt;&gt;"))</f>
        <v/>
      </c>
      <c r="Y59" t="str">
        <f>IF(OR(Lists!$J61="",Lists!$K61&lt;&gt;"IT Operations"),"",COUNTIFS(Lists!$K$4:'Lists'!$K61,"IT Operations",Lists!$J$4:'Lists'!$J61,"&lt;&gt;"))</f>
        <v/>
      </c>
      <c r="Z59" t="str">
        <f>IF(OR(Lists!$J61="",Lists!$K61&lt;&gt;"Quality Assurance"),"",COUNTIFS(Lists!$K$4:'Lists'!$K61,"Quality Assurance",Lists!$J$4:'Lists'!$J61,"&lt;&gt;"))</f>
        <v/>
      </c>
      <c r="AA59" t="str">
        <f>IF(OR(Lists!$J61="",Lists!$K61&lt;&gt;"Compliance &amp; Core Training"),"",COUNTIFS(Lists!$K$4:'Lists'!$K61,"Compliance &amp; Core Training",Lists!$J$4:'Lists'!$J61,"&lt;&gt;"))</f>
        <v/>
      </c>
      <c r="AB59">
        <f>IF(OR(Lists!$J61="",Lists!$K61&lt;&gt;"Cloud &amp; Reliability"),"",COUNTIFS(Lists!$K$4:'Lists'!$K61,"Cloud &amp; Reliability",Lists!$J$4:'Lists'!$J61,"&lt;&gt;"))</f>
        <v>4</v>
      </c>
      <c r="AC59" t="str">
        <f>IF(OR(Lists!$J61="",Lists!$K61&lt;&gt;"Data &amp; Analytics"),"",COUNTIFS(Lists!$K$4:'Lists'!$K61,"Data &amp; Analytics",Lists!$J$4:'Lists'!$J61,"&lt;&gt;"))</f>
        <v/>
      </c>
      <c r="AD59" t="str">
        <f>IF(OR(Lists!$J61="",Lists!$K61&lt;&gt;"Cybersecurity"),"",COUNTIFS(Lists!$K$4:'Lists'!$K61,"Cybersecurity",Lists!$J$4:'Lists'!$J61,"&lt;&gt;"))</f>
        <v/>
      </c>
      <c r="AE59" t="str">
        <f>IF('Role Requirements'!$B63="","",IF(COUNTIF('Role Requirements'!$B$6:$B63,'Role Requirements'!$B63)=1,COUNT($AE$1:AE58)+1,""))</f>
        <v/>
      </c>
    </row>
    <row r="60" spans="3:31">
      <c r="C60" t="str">
        <f>IFERROR(INDEX(Lists!$J$4:$J$143,MATCH(59,$V$2:$V$141,0)),"")</f>
        <v/>
      </c>
      <c r="E60" t="str">
        <f>IFERROR(INDEX(Lists!$J$4:$J$143,MATCH(59,$W$2:$W$141,0)),"")</f>
        <v/>
      </c>
      <c r="G60" t="str">
        <f>IFERROR(INDEX(Lists!$J$4:$J$143,MATCH(59,$X$2:$X$141,0)),"")</f>
        <v/>
      </c>
      <c r="I60" t="str">
        <f>IFERROR(INDEX(Lists!$J$4:$J$143,MATCH(59,$Y$2:$Y$141,0)),"")</f>
        <v/>
      </c>
      <c r="K60" t="str">
        <f>IFERROR(INDEX(Lists!$J$4:$J$143,MATCH(59,$Z$2:$Z$141,0)),"")</f>
        <v/>
      </c>
      <c r="M60" t="str">
        <f>IFERROR(INDEX(Lists!$J$4:$J$143,MATCH(59,$AA$2:$AA$141,0)),"")</f>
        <v/>
      </c>
      <c r="O60" t="str">
        <f>IFERROR(INDEX(Lists!$J$4:$J$143,MATCH(59,$AB$2:$AB$141,0)),"")</f>
        <v/>
      </c>
      <c r="Q60" t="str">
        <f>IFERROR(INDEX(Lists!$J$4:$J$143,MATCH(59,$AC$2:$AC$141,0)),"")</f>
        <v/>
      </c>
      <c r="S60" t="str">
        <f>IFERROR(INDEX(Lists!$J$4:$J$143,MATCH(59,$AD$2:$AD$141,0)),"")</f>
        <v/>
      </c>
      <c r="U60" t="str">
        <f>IFERROR(INDEX('Role Requirements'!$B$6:$B$400,MATCH(59,$AE$2:$AE$396,0)),"")</f>
        <v/>
      </c>
      <c r="V60" t="str">
        <f>IF(OR(Lists!$J62="",Lists!$K62&lt;&gt;"Customer Support"),"",COUNTIFS(Lists!$K$4:'Lists'!$K62,"Customer Support",Lists!$J$4:'Lists'!$J62,"&lt;&gt;"))</f>
        <v/>
      </c>
      <c r="W60" t="str">
        <f>IF(OR(Lists!$J62="",Lists!$K62&lt;&gt;"Platform Operations"),"",COUNTIFS(Lists!$K$4:'Lists'!$K62,"Platform Operations",Lists!$J$4:'Lists'!$J62,"&lt;&gt;"))</f>
        <v/>
      </c>
      <c r="X60" t="str">
        <f>IF(OR(Lists!$J62="",Lists!$K62&lt;&gt;"Software Engineering"),"",COUNTIFS(Lists!$K$4:'Lists'!$K62,"Software Engineering",Lists!$J$4:'Lists'!$J62,"&lt;&gt;"))</f>
        <v/>
      </c>
      <c r="Y60" t="str">
        <f>IF(OR(Lists!$J62="",Lists!$K62&lt;&gt;"IT Operations"),"",COUNTIFS(Lists!$K$4:'Lists'!$K62,"IT Operations",Lists!$J$4:'Lists'!$J62,"&lt;&gt;"))</f>
        <v/>
      </c>
      <c r="Z60" t="str">
        <f>IF(OR(Lists!$J62="",Lists!$K62&lt;&gt;"Quality Assurance"),"",COUNTIFS(Lists!$K$4:'Lists'!$K62,"Quality Assurance",Lists!$J$4:'Lists'!$J62,"&lt;&gt;"))</f>
        <v/>
      </c>
      <c r="AA60" t="str">
        <f>IF(OR(Lists!$J62="",Lists!$K62&lt;&gt;"Compliance &amp; Core Training"),"",COUNTIFS(Lists!$K$4:'Lists'!$K62,"Compliance &amp; Core Training",Lists!$J$4:'Lists'!$J62,"&lt;&gt;"))</f>
        <v/>
      </c>
      <c r="AB60">
        <f>IF(OR(Lists!$J62="",Lists!$K62&lt;&gt;"Cloud &amp; Reliability"),"",COUNTIFS(Lists!$K$4:'Lists'!$K62,"Cloud &amp; Reliability",Lists!$J$4:'Lists'!$J62,"&lt;&gt;"))</f>
        <v>5</v>
      </c>
      <c r="AC60" t="str">
        <f>IF(OR(Lists!$J62="",Lists!$K62&lt;&gt;"Data &amp; Analytics"),"",COUNTIFS(Lists!$K$4:'Lists'!$K62,"Data &amp; Analytics",Lists!$J$4:'Lists'!$J62,"&lt;&gt;"))</f>
        <v/>
      </c>
      <c r="AD60" t="str">
        <f>IF(OR(Lists!$J62="",Lists!$K62&lt;&gt;"Cybersecurity"),"",COUNTIFS(Lists!$K$4:'Lists'!$K62,"Cybersecurity",Lists!$J$4:'Lists'!$J62,"&lt;&gt;"))</f>
        <v/>
      </c>
      <c r="AE60" t="str">
        <f>IF('Role Requirements'!$B64="","",IF(COUNTIF('Role Requirements'!$B$6:$B64,'Role Requirements'!$B64)=1,COUNT($AE$1:AE59)+1,""))</f>
        <v/>
      </c>
    </row>
    <row r="61" spans="3:31">
      <c r="C61" t="str">
        <f>IFERROR(INDEX(Lists!$J$4:$J$143,MATCH(60,$V$2:$V$141,0)),"")</f>
        <v/>
      </c>
      <c r="E61" t="str">
        <f>IFERROR(INDEX(Lists!$J$4:$J$143,MATCH(60,$W$2:$W$141,0)),"")</f>
        <v/>
      </c>
      <c r="G61" t="str">
        <f>IFERROR(INDEX(Lists!$J$4:$J$143,MATCH(60,$X$2:$X$141,0)),"")</f>
        <v/>
      </c>
      <c r="I61" t="str">
        <f>IFERROR(INDEX(Lists!$J$4:$J$143,MATCH(60,$Y$2:$Y$141,0)),"")</f>
        <v/>
      </c>
      <c r="K61" t="str">
        <f>IFERROR(INDEX(Lists!$J$4:$J$143,MATCH(60,$Z$2:$Z$141,0)),"")</f>
        <v/>
      </c>
      <c r="M61" t="str">
        <f>IFERROR(INDEX(Lists!$J$4:$J$143,MATCH(60,$AA$2:$AA$141,0)),"")</f>
        <v/>
      </c>
      <c r="O61" t="str">
        <f>IFERROR(INDEX(Lists!$J$4:$J$143,MATCH(60,$AB$2:$AB$141,0)),"")</f>
        <v/>
      </c>
      <c r="Q61" t="str">
        <f>IFERROR(INDEX(Lists!$J$4:$J$143,MATCH(60,$AC$2:$AC$141,0)),"")</f>
        <v/>
      </c>
      <c r="S61" t="str">
        <f>IFERROR(INDEX(Lists!$J$4:$J$143,MATCH(60,$AD$2:$AD$141,0)),"")</f>
        <v/>
      </c>
      <c r="U61" t="str">
        <f>IFERROR(INDEX('Role Requirements'!$B$6:$B$400,MATCH(60,$AE$2:$AE$396,0)),"")</f>
        <v/>
      </c>
      <c r="V61" t="str">
        <f>IF(OR(Lists!$J63="",Lists!$K63&lt;&gt;"Customer Support"),"",COUNTIFS(Lists!$K$4:'Lists'!$K63,"Customer Support",Lists!$J$4:'Lists'!$J63,"&lt;&gt;"))</f>
        <v/>
      </c>
      <c r="W61" t="str">
        <f>IF(OR(Lists!$J63="",Lists!$K63&lt;&gt;"Platform Operations"),"",COUNTIFS(Lists!$K$4:'Lists'!$K63,"Platform Operations",Lists!$J$4:'Lists'!$J63,"&lt;&gt;"))</f>
        <v/>
      </c>
      <c r="X61" t="str">
        <f>IF(OR(Lists!$J63="",Lists!$K63&lt;&gt;"Software Engineering"),"",COUNTIFS(Lists!$K$4:'Lists'!$K63,"Software Engineering",Lists!$J$4:'Lists'!$J63,"&lt;&gt;"))</f>
        <v/>
      </c>
      <c r="Y61" t="str">
        <f>IF(OR(Lists!$J63="",Lists!$K63&lt;&gt;"IT Operations"),"",COUNTIFS(Lists!$K$4:'Lists'!$K63,"IT Operations",Lists!$J$4:'Lists'!$J63,"&lt;&gt;"))</f>
        <v/>
      </c>
      <c r="Z61" t="str">
        <f>IF(OR(Lists!$J63="",Lists!$K63&lt;&gt;"Quality Assurance"),"",COUNTIFS(Lists!$K$4:'Lists'!$K63,"Quality Assurance",Lists!$J$4:'Lists'!$J63,"&lt;&gt;"))</f>
        <v/>
      </c>
      <c r="AA61" t="str">
        <f>IF(OR(Lists!$J63="",Lists!$K63&lt;&gt;"Compliance &amp; Core Training"),"",COUNTIFS(Lists!$K$4:'Lists'!$K63,"Compliance &amp; Core Training",Lists!$J$4:'Lists'!$J63,"&lt;&gt;"))</f>
        <v/>
      </c>
      <c r="AB61">
        <f>IF(OR(Lists!$J63="",Lists!$K63&lt;&gt;"Cloud &amp; Reliability"),"",COUNTIFS(Lists!$K$4:'Lists'!$K63,"Cloud &amp; Reliability",Lists!$J$4:'Lists'!$J63,"&lt;&gt;"))</f>
        <v>6</v>
      </c>
      <c r="AC61" t="str">
        <f>IF(OR(Lists!$J63="",Lists!$K63&lt;&gt;"Data &amp; Analytics"),"",COUNTIFS(Lists!$K$4:'Lists'!$K63,"Data &amp; Analytics",Lists!$J$4:'Lists'!$J63,"&lt;&gt;"))</f>
        <v/>
      </c>
      <c r="AD61" t="str">
        <f>IF(OR(Lists!$J63="",Lists!$K63&lt;&gt;"Cybersecurity"),"",COUNTIFS(Lists!$K$4:'Lists'!$K63,"Cybersecurity",Lists!$J$4:'Lists'!$J63,"&lt;&gt;"))</f>
        <v/>
      </c>
      <c r="AE61" t="str">
        <f>IF('Role Requirements'!$B65="","",IF(COUNTIF('Role Requirements'!$B$6:$B65,'Role Requirements'!$B65)=1,COUNT($AE$1:AE60)+1,""))</f>
        <v/>
      </c>
    </row>
    <row r="62" spans="3:31">
      <c r="C62" t="str">
        <f>IFERROR(INDEX(Lists!$J$4:$J$143,MATCH(61,$V$2:$V$141,0)),"")</f>
        <v/>
      </c>
      <c r="E62" t="str">
        <f>IFERROR(INDEX(Lists!$J$4:$J$143,MATCH(61,$W$2:$W$141,0)),"")</f>
        <v/>
      </c>
      <c r="G62" t="str">
        <f>IFERROR(INDEX(Lists!$J$4:$J$143,MATCH(61,$X$2:$X$141,0)),"")</f>
        <v/>
      </c>
      <c r="I62" t="str">
        <f>IFERROR(INDEX(Lists!$J$4:$J$143,MATCH(61,$Y$2:$Y$141,0)),"")</f>
        <v/>
      </c>
      <c r="K62" t="str">
        <f>IFERROR(INDEX(Lists!$J$4:$J$143,MATCH(61,$Z$2:$Z$141,0)),"")</f>
        <v/>
      </c>
      <c r="M62" t="str">
        <f>IFERROR(INDEX(Lists!$J$4:$J$143,MATCH(61,$AA$2:$AA$141,0)),"")</f>
        <v/>
      </c>
      <c r="O62" t="str">
        <f>IFERROR(INDEX(Lists!$J$4:$J$143,MATCH(61,$AB$2:$AB$141,0)),"")</f>
        <v/>
      </c>
      <c r="Q62" t="str">
        <f>IFERROR(INDEX(Lists!$J$4:$J$143,MATCH(61,$AC$2:$AC$141,0)),"")</f>
        <v/>
      </c>
      <c r="S62" t="str">
        <f>IFERROR(INDEX(Lists!$J$4:$J$143,MATCH(61,$AD$2:$AD$141,0)),"")</f>
        <v/>
      </c>
      <c r="U62" t="str">
        <f>IFERROR(INDEX('Role Requirements'!$B$6:$B$400,MATCH(61,$AE$2:$AE$396,0)),"")</f>
        <v/>
      </c>
      <c r="V62" t="str">
        <f>IF(OR(Lists!$J64="",Lists!$K64&lt;&gt;"Customer Support"),"",COUNTIFS(Lists!$K$4:'Lists'!$K64,"Customer Support",Lists!$J$4:'Lists'!$J64,"&lt;&gt;"))</f>
        <v/>
      </c>
      <c r="W62" t="str">
        <f>IF(OR(Lists!$J64="",Lists!$K64&lt;&gt;"Platform Operations"),"",COUNTIFS(Lists!$K$4:'Lists'!$K64,"Platform Operations",Lists!$J$4:'Lists'!$J64,"&lt;&gt;"))</f>
        <v/>
      </c>
      <c r="X62" t="str">
        <f>IF(OR(Lists!$J64="",Lists!$K64&lt;&gt;"Software Engineering"),"",COUNTIFS(Lists!$K$4:'Lists'!$K64,"Software Engineering",Lists!$J$4:'Lists'!$J64,"&lt;&gt;"))</f>
        <v/>
      </c>
      <c r="Y62" t="str">
        <f>IF(OR(Lists!$J64="",Lists!$K64&lt;&gt;"IT Operations"),"",COUNTIFS(Lists!$K$4:'Lists'!$K64,"IT Operations",Lists!$J$4:'Lists'!$J64,"&lt;&gt;"))</f>
        <v/>
      </c>
      <c r="Z62" t="str">
        <f>IF(OR(Lists!$J64="",Lists!$K64&lt;&gt;"Quality Assurance"),"",COUNTIFS(Lists!$K$4:'Lists'!$K64,"Quality Assurance",Lists!$J$4:'Lists'!$J64,"&lt;&gt;"))</f>
        <v/>
      </c>
      <c r="AA62" t="str">
        <f>IF(OR(Lists!$J64="",Lists!$K64&lt;&gt;"Compliance &amp; Core Training"),"",COUNTIFS(Lists!$K$4:'Lists'!$K64,"Compliance &amp; Core Training",Lists!$J$4:'Lists'!$J64,"&lt;&gt;"))</f>
        <v/>
      </c>
      <c r="AB62">
        <f>IF(OR(Lists!$J64="",Lists!$K64&lt;&gt;"Cloud &amp; Reliability"),"",COUNTIFS(Lists!$K$4:'Lists'!$K64,"Cloud &amp; Reliability",Lists!$J$4:'Lists'!$J64,"&lt;&gt;"))</f>
        <v>7</v>
      </c>
      <c r="AC62" t="str">
        <f>IF(OR(Lists!$J64="",Lists!$K64&lt;&gt;"Data &amp; Analytics"),"",COUNTIFS(Lists!$K$4:'Lists'!$K64,"Data &amp; Analytics",Lists!$J$4:'Lists'!$J64,"&lt;&gt;"))</f>
        <v/>
      </c>
      <c r="AD62" t="str">
        <f>IF(OR(Lists!$J64="",Lists!$K64&lt;&gt;"Cybersecurity"),"",COUNTIFS(Lists!$K$4:'Lists'!$K64,"Cybersecurity",Lists!$J$4:'Lists'!$J64,"&lt;&gt;"))</f>
        <v/>
      </c>
      <c r="AE62" t="str">
        <f>IF('Role Requirements'!$B66="","",IF(COUNTIF('Role Requirements'!$B$6:$B66,'Role Requirements'!$B66)=1,COUNT($AE$1:AE61)+1,""))</f>
        <v/>
      </c>
    </row>
    <row r="63" spans="3:31">
      <c r="C63" t="str">
        <f>IFERROR(INDEX(Lists!$J$4:$J$143,MATCH(62,$V$2:$V$141,0)),"")</f>
        <v/>
      </c>
      <c r="E63" t="str">
        <f>IFERROR(INDEX(Lists!$J$4:$J$143,MATCH(62,$W$2:$W$141,0)),"")</f>
        <v/>
      </c>
      <c r="G63" t="str">
        <f>IFERROR(INDEX(Lists!$J$4:$J$143,MATCH(62,$X$2:$X$141,0)),"")</f>
        <v/>
      </c>
      <c r="I63" t="str">
        <f>IFERROR(INDEX(Lists!$J$4:$J$143,MATCH(62,$Y$2:$Y$141,0)),"")</f>
        <v/>
      </c>
      <c r="K63" t="str">
        <f>IFERROR(INDEX(Lists!$J$4:$J$143,MATCH(62,$Z$2:$Z$141,0)),"")</f>
        <v/>
      </c>
      <c r="M63" t="str">
        <f>IFERROR(INDEX(Lists!$J$4:$J$143,MATCH(62,$AA$2:$AA$141,0)),"")</f>
        <v/>
      </c>
      <c r="O63" t="str">
        <f>IFERROR(INDEX(Lists!$J$4:$J$143,MATCH(62,$AB$2:$AB$141,0)),"")</f>
        <v/>
      </c>
      <c r="Q63" t="str">
        <f>IFERROR(INDEX(Lists!$J$4:$J$143,MATCH(62,$AC$2:$AC$141,0)),"")</f>
        <v/>
      </c>
      <c r="S63" t="str">
        <f>IFERROR(INDEX(Lists!$J$4:$J$143,MATCH(62,$AD$2:$AD$141,0)),"")</f>
        <v/>
      </c>
      <c r="U63" t="str">
        <f>IFERROR(INDEX('Role Requirements'!$B$6:$B$400,MATCH(62,$AE$2:$AE$396,0)),"")</f>
        <v/>
      </c>
      <c r="V63" t="str">
        <f>IF(OR(Lists!$J65="",Lists!$K65&lt;&gt;"Customer Support"),"",COUNTIFS(Lists!$K$4:'Lists'!$K65,"Customer Support",Lists!$J$4:'Lists'!$J65,"&lt;&gt;"))</f>
        <v/>
      </c>
      <c r="W63" t="str">
        <f>IF(OR(Lists!$J65="",Lists!$K65&lt;&gt;"Platform Operations"),"",COUNTIFS(Lists!$K$4:'Lists'!$K65,"Platform Operations",Lists!$J$4:'Lists'!$J65,"&lt;&gt;"))</f>
        <v/>
      </c>
      <c r="X63" t="str">
        <f>IF(OR(Lists!$J65="",Lists!$K65&lt;&gt;"Software Engineering"),"",COUNTIFS(Lists!$K$4:'Lists'!$K65,"Software Engineering",Lists!$J$4:'Lists'!$J65,"&lt;&gt;"))</f>
        <v/>
      </c>
      <c r="Y63" t="str">
        <f>IF(OR(Lists!$J65="",Lists!$K65&lt;&gt;"IT Operations"),"",COUNTIFS(Lists!$K$4:'Lists'!$K65,"IT Operations",Lists!$J$4:'Lists'!$J65,"&lt;&gt;"))</f>
        <v/>
      </c>
      <c r="Z63" t="str">
        <f>IF(OR(Lists!$J65="",Lists!$K65&lt;&gt;"Quality Assurance"),"",COUNTIFS(Lists!$K$4:'Lists'!$K65,"Quality Assurance",Lists!$J$4:'Lists'!$J65,"&lt;&gt;"))</f>
        <v/>
      </c>
      <c r="AA63" t="str">
        <f>IF(OR(Lists!$J65="",Lists!$K65&lt;&gt;"Compliance &amp; Core Training"),"",COUNTIFS(Lists!$K$4:'Lists'!$K65,"Compliance &amp; Core Training",Lists!$J$4:'Lists'!$J65,"&lt;&gt;"))</f>
        <v/>
      </c>
      <c r="AB63">
        <f>IF(OR(Lists!$J65="",Lists!$K65&lt;&gt;"Cloud &amp; Reliability"),"",COUNTIFS(Lists!$K$4:'Lists'!$K65,"Cloud &amp; Reliability",Lists!$J$4:'Lists'!$J65,"&lt;&gt;"))</f>
        <v>8</v>
      </c>
      <c r="AC63" t="str">
        <f>IF(OR(Lists!$J65="",Lists!$K65&lt;&gt;"Data &amp; Analytics"),"",COUNTIFS(Lists!$K$4:'Lists'!$K65,"Data &amp; Analytics",Lists!$J$4:'Lists'!$J65,"&lt;&gt;"))</f>
        <v/>
      </c>
      <c r="AD63" t="str">
        <f>IF(OR(Lists!$J65="",Lists!$K65&lt;&gt;"Cybersecurity"),"",COUNTIFS(Lists!$K$4:'Lists'!$K65,"Cybersecurity",Lists!$J$4:'Lists'!$J65,"&lt;&gt;"))</f>
        <v/>
      </c>
      <c r="AE63" t="str">
        <f>IF('Role Requirements'!$B67="","",IF(COUNTIF('Role Requirements'!$B$6:$B67,'Role Requirements'!$B67)=1,COUNT($AE$1:AE62)+1,""))</f>
        <v/>
      </c>
    </row>
    <row r="64" spans="3:31">
      <c r="C64" t="str">
        <f>IFERROR(INDEX(Lists!$J$4:$J$143,MATCH(63,$V$2:$V$141,0)),"")</f>
        <v/>
      </c>
      <c r="E64" t="str">
        <f>IFERROR(INDEX(Lists!$J$4:$J$143,MATCH(63,$W$2:$W$141,0)),"")</f>
        <v/>
      </c>
      <c r="G64" t="str">
        <f>IFERROR(INDEX(Lists!$J$4:$J$143,MATCH(63,$X$2:$X$141,0)),"")</f>
        <v/>
      </c>
      <c r="I64" t="str">
        <f>IFERROR(INDEX(Lists!$J$4:$J$143,MATCH(63,$Y$2:$Y$141,0)),"")</f>
        <v/>
      </c>
      <c r="K64" t="str">
        <f>IFERROR(INDEX(Lists!$J$4:$J$143,MATCH(63,$Z$2:$Z$141,0)),"")</f>
        <v/>
      </c>
      <c r="M64" t="str">
        <f>IFERROR(INDEX(Lists!$J$4:$J$143,MATCH(63,$AA$2:$AA$141,0)),"")</f>
        <v/>
      </c>
      <c r="O64" t="str">
        <f>IFERROR(INDEX(Lists!$J$4:$J$143,MATCH(63,$AB$2:$AB$141,0)),"")</f>
        <v/>
      </c>
      <c r="Q64" t="str">
        <f>IFERROR(INDEX(Lists!$J$4:$J$143,MATCH(63,$AC$2:$AC$141,0)),"")</f>
        <v/>
      </c>
      <c r="S64" t="str">
        <f>IFERROR(INDEX(Lists!$J$4:$J$143,MATCH(63,$AD$2:$AD$141,0)),"")</f>
        <v/>
      </c>
      <c r="U64" t="str">
        <f>IFERROR(INDEX('Role Requirements'!$B$6:$B$400,MATCH(63,$AE$2:$AE$396,0)),"")</f>
        <v/>
      </c>
      <c r="V64" t="str">
        <f>IF(OR(Lists!$J66="",Lists!$K66&lt;&gt;"Customer Support"),"",COUNTIFS(Lists!$K$4:'Lists'!$K66,"Customer Support",Lists!$J$4:'Lists'!$J66,"&lt;&gt;"))</f>
        <v/>
      </c>
      <c r="W64" t="str">
        <f>IF(OR(Lists!$J66="",Lists!$K66&lt;&gt;"Platform Operations"),"",COUNTIFS(Lists!$K$4:'Lists'!$K66,"Platform Operations",Lists!$J$4:'Lists'!$J66,"&lt;&gt;"))</f>
        <v/>
      </c>
      <c r="X64" t="str">
        <f>IF(OR(Lists!$J66="",Lists!$K66&lt;&gt;"Software Engineering"),"",COUNTIFS(Lists!$K$4:'Lists'!$K66,"Software Engineering",Lists!$J$4:'Lists'!$J66,"&lt;&gt;"))</f>
        <v/>
      </c>
      <c r="Y64" t="str">
        <f>IF(OR(Lists!$J66="",Lists!$K66&lt;&gt;"IT Operations"),"",COUNTIFS(Lists!$K$4:'Lists'!$K66,"IT Operations",Lists!$J$4:'Lists'!$J66,"&lt;&gt;"))</f>
        <v/>
      </c>
      <c r="Z64" t="str">
        <f>IF(OR(Lists!$J66="",Lists!$K66&lt;&gt;"Quality Assurance"),"",COUNTIFS(Lists!$K$4:'Lists'!$K66,"Quality Assurance",Lists!$J$4:'Lists'!$J66,"&lt;&gt;"))</f>
        <v/>
      </c>
      <c r="AA64" t="str">
        <f>IF(OR(Lists!$J66="",Lists!$K66&lt;&gt;"Compliance &amp; Core Training"),"",COUNTIFS(Lists!$K$4:'Lists'!$K66,"Compliance &amp; Core Training",Lists!$J$4:'Lists'!$J66,"&lt;&gt;"))</f>
        <v/>
      </c>
      <c r="AB64">
        <f>IF(OR(Lists!$J66="",Lists!$K66&lt;&gt;"Cloud &amp; Reliability"),"",COUNTIFS(Lists!$K$4:'Lists'!$K66,"Cloud &amp; Reliability",Lists!$J$4:'Lists'!$J66,"&lt;&gt;"))</f>
        <v>9</v>
      </c>
      <c r="AC64" t="str">
        <f>IF(OR(Lists!$J66="",Lists!$K66&lt;&gt;"Data &amp; Analytics"),"",COUNTIFS(Lists!$K$4:'Lists'!$K66,"Data &amp; Analytics",Lists!$J$4:'Lists'!$J66,"&lt;&gt;"))</f>
        <v/>
      </c>
      <c r="AD64" t="str">
        <f>IF(OR(Lists!$J66="",Lists!$K66&lt;&gt;"Cybersecurity"),"",COUNTIFS(Lists!$K$4:'Lists'!$K66,"Cybersecurity",Lists!$J$4:'Lists'!$J66,"&lt;&gt;"))</f>
        <v/>
      </c>
      <c r="AE64" t="str">
        <f>IF('Role Requirements'!$B68="","",IF(COUNTIF('Role Requirements'!$B$6:$B68,'Role Requirements'!$B68)=1,COUNT($AE$1:AE63)+1,""))</f>
        <v/>
      </c>
    </row>
    <row r="65" spans="3:31">
      <c r="C65" t="str">
        <f>IFERROR(INDEX(Lists!$J$4:$J$143,MATCH(64,$V$2:$V$141,0)),"")</f>
        <v/>
      </c>
      <c r="E65" t="str">
        <f>IFERROR(INDEX(Lists!$J$4:$J$143,MATCH(64,$W$2:$W$141,0)),"")</f>
        <v/>
      </c>
      <c r="G65" t="str">
        <f>IFERROR(INDEX(Lists!$J$4:$J$143,MATCH(64,$X$2:$X$141,0)),"")</f>
        <v/>
      </c>
      <c r="I65" t="str">
        <f>IFERROR(INDEX(Lists!$J$4:$J$143,MATCH(64,$Y$2:$Y$141,0)),"")</f>
        <v/>
      </c>
      <c r="K65" t="str">
        <f>IFERROR(INDEX(Lists!$J$4:$J$143,MATCH(64,$Z$2:$Z$141,0)),"")</f>
        <v/>
      </c>
      <c r="M65" t="str">
        <f>IFERROR(INDEX(Lists!$J$4:$J$143,MATCH(64,$AA$2:$AA$141,0)),"")</f>
        <v/>
      </c>
      <c r="O65" t="str">
        <f>IFERROR(INDEX(Lists!$J$4:$J$143,MATCH(64,$AB$2:$AB$141,0)),"")</f>
        <v/>
      </c>
      <c r="Q65" t="str">
        <f>IFERROR(INDEX(Lists!$J$4:$J$143,MATCH(64,$AC$2:$AC$141,0)),"")</f>
        <v/>
      </c>
      <c r="S65" t="str">
        <f>IFERROR(INDEX(Lists!$J$4:$J$143,MATCH(64,$AD$2:$AD$141,0)),"")</f>
        <v/>
      </c>
      <c r="U65" t="str">
        <f>IFERROR(INDEX('Role Requirements'!$B$6:$B$400,MATCH(64,$AE$2:$AE$396,0)),"")</f>
        <v/>
      </c>
      <c r="V65" t="str">
        <f>IF(OR(Lists!$J67="",Lists!$K67&lt;&gt;"Customer Support"),"",COUNTIFS(Lists!$K$4:'Lists'!$K67,"Customer Support",Lists!$J$4:'Lists'!$J67,"&lt;&gt;"))</f>
        <v/>
      </c>
      <c r="W65" t="str">
        <f>IF(OR(Lists!$J67="",Lists!$K67&lt;&gt;"Platform Operations"),"",COUNTIFS(Lists!$K$4:'Lists'!$K67,"Platform Operations",Lists!$J$4:'Lists'!$J67,"&lt;&gt;"))</f>
        <v/>
      </c>
      <c r="X65" t="str">
        <f>IF(OR(Lists!$J67="",Lists!$K67&lt;&gt;"Software Engineering"),"",COUNTIFS(Lists!$K$4:'Lists'!$K67,"Software Engineering",Lists!$J$4:'Lists'!$J67,"&lt;&gt;"))</f>
        <v/>
      </c>
      <c r="Y65" t="str">
        <f>IF(OR(Lists!$J67="",Lists!$K67&lt;&gt;"IT Operations"),"",COUNTIFS(Lists!$K$4:'Lists'!$K67,"IT Operations",Lists!$J$4:'Lists'!$J67,"&lt;&gt;"))</f>
        <v/>
      </c>
      <c r="Z65" t="str">
        <f>IF(OR(Lists!$J67="",Lists!$K67&lt;&gt;"Quality Assurance"),"",COUNTIFS(Lists!$K$4:'Lists'!$K67,"Quality Assurance",Lists!$J$4:'Lists'!$J67,"&lt;&gt;"))</f>
        <v/>
      </c>
      <c r="AA65" t="str">
        <f>IF(OR(Lists!$J67="",Lists!$K67&lt;&gt;"Compliance &amp; Core Training"),"",COUNTIFS(Lists!$K$4:'Lists'!$K67,"Compliance &amp; Core Training",Lists!$J$4:'Lists'!$J67,"&lt;&gt;"))</f>
        <v/>
      </c>
      <c r="AB65">
        <f>IF(OR(Lists!$J67="",Lists!$K67&lt;&gt;"Cloud &amp; Reliability"),"",COUNTIFS(Lists!$K$4:'Lists'!$K67,"Cloud &amp; Reliability",Lists!$J$4:'Lists'!$J67,"&lt;&gt;"))</f>
        <v>10</v>
      </c>
      <c r="AC65" t="str">
        <f>IF(OR(Lists!$J67="",Lists!$K67&lt;&gt;"Data &amp; Analytics"),"",COUNTIFS(Lists!$K$4:'Lists'!$K67,"Data &amp; Analytics",Lists!$J$4:'Lists'!$J67,"&lt;&gt;"))</f>
        <v/>
      </c>
      <c r="AD65" t="str">
        <f>IF(OR(Lists!$J67="",Lists!$K67&lt;&gt;"Cybersecurity"),"",COUNTIFS(Lists!$K$4:'Lists'!$K67,"Cybersecurity",Lists!$J$4:'Lists'!$J67,"&lt;&gt;"))</f>
        <v/>
      </c>
      <c r="AE65" t="str">
        <f>IF('Role Requirements'!$B69="","",IF(COUNTIF('Role Requirements'!$B$6:$B69,'Role Requirements'!$B69)=1,COUNT($AE$1:AE64)+1,""))</f>
        <v/>
      </c>
    </row>
    <row r="66" spans="3:31">
      <c r="C66" t="str">
        <f>IFERROR(INDEX(Lists!$J$4:$J$143,MATCH(65,$V$2:$V$141,0)),"")</f>
        <v/>
      </c>
      <c r="E66" t="str">
        <f>IFERROR(INDEX(Lists!$J$4:$J$143,MATCH(65,$W$2:$W$141,0)),"")</f>
        <v/>
      </c>
      <c r="G66" t="str">
        <f>IFERROR(INDEX(Lists!$J$4:$J$143,MATCH(65,$X$2:$X$141,0)),"")</f>
        <v/>
      </c>
      <c r="I66" t="str">
        <f>IFERROR(INDEX(Lists!$J$4:$J$143,MATCH(65,$Y$2:$Y$141,0)),"")</f>
        <v/>
      </c>
      <c r="K66" t="str">
        <f>IFERROR(INDEX(Lists!$J$4:$J$143,MATCH(65,$Z$2:$Z$141,0)),"")</f>
        <v/>
      </c>
      <c r="M66" t="str">
        <f>IFERROR(INDEX(Lists!$J$4:$J$143,MATCH(65,$AA$2:$AA$141,0)),"")</f>
        <v/>
      </c>
      <c r="O66" t="str">
        <f>IFERROR(INDEX(Lists!$J$4:$J$143,MATCH(65,$AB$2:$AB$141,0)),"")</f>
        <v/>
      </c>
      <c r="Q66" t="str">
        <f>IFERROR(INDEX(Lists!$J$4:$J$143,MATCH(65,$AC$2:$AC$141,0)),"")</f>
        <v/>
      </c>
      <c r="S66" t="str">
        <f>IFERROR(INDEX(Lists!$J$4:$J$143,MATCH(65,$AD$2:$AD$141,0)),"")</f>
        <v/>
      </c>
      <c r="U66" t="str">
        <f>IFERROR(INDEX('Role Requirements'!$B$6:$B$400,MATCH(65,$AE$2:$AE$396,0)),"")</f>
        <v/>
      </c>
      <c r="V66" t="str">
        <f>IF(OR(Lists!$J68="",Lists!$K68&lt;&gt;"Customer Support"),"",COUNTIFS(Lists!$K$4:'Lists'!$K68,"Customer Support",Lists!$J$4:'Lists'!$J68,"&lt;&gt;"))</f>
        <v/>
      </c>
      <c r="W66" t="str">
        <f>IF(OR(Lists!$J68="",Lists!$K68&lt;&gt;"Platform Operations"),"",COUNTIFS(Lists!$K$4:'Lists'!$K68,"Platform Operations",Lists!$J$4:'Lists'!$J68,"&lt;&gt;"))</f>
        <v/>
      </c>
      <c r="X66" t="str">
        <f>IF(OR(Lists!$J68="",Lists!$K68&lt;&gt;"Software Engineering"),"",COUNTIFS(Lists!$K$4:'Lists'!$K68,"Software Engineering",Lists!$J$4:'Lists'!$J68,"&lt;&gt;"))</f>
        <v/>
      </c>
      <c r="Y66" t="str">
        <f>IF(OR(Lists!$J68="",Lists!$K68&lt;&gt;"IT Operations"),"",COUNTIFS(Lists!$K$4:'Lists'!$K68,"IT Operations",Lists!$J$4:'Lists'!$J68,"&lt;&gt;"))</f>
        <v/>
      </c>
      <c r="Z66" t="str">
        <f>IF(OR(Lists!$J68="",Lists!$K68&lt;&gt;"Quality Assurance"),"",COUNTIFS(Lists!$K$4:'Lists'!$K68,"Quality Assurance",Lists!$J$4:'Lists'!$J68,"&lt;&gt;"))</f>
        <v/>
      </c>
      <c r="AA66" t="str">
        <f>IF(OR(Lists!$J68="",Lists!$K68&lt;&gt;"Compliance &amp; Core Training"),"",COUNTIFS(Lists!$K$4:'Lists'!$K68,"Compliance &amp; Core Training",Lists!$J$4:'Lists'!$J68,"&lt;&gt;"))</f>
        <v/>
      </c>
      <c r="AB66">
        <f>IF(OR(Lists!$J68="",Lists!$K68&lt;&gt;"Cloud &amp; Reliability"),"",COUNTIFS(Lists!$K$4:'Lists'!$K68,"Cloud &amp; Reliability",Lists!$J$4:'Lists'!$J68,"&lt;&gt;"))</f>
        <v>11</v>
      </c>
      <c r="AC66" t="str">
        <f>IF(OR(Lists!$J68="",Lists!$K68&lt;&gt;"Data &amp; Analytics"),"",COUNTIFS(Lists!$K$4:'Lists'!$K68,"Data &amp; Analytics",Lists!$J$4:'Lists'!$J68,"&lt;&gt;"))</f>
        <v/>
      </c>
      <c r="AD66" t="str">
        <f>IF(OR(Lists!$J68="",Lists!$K68&lt;&gt;"Cybersecurity"),"",COUNTIFS(Lists!$K$4:'Lists'!$K68,"Cybersecurity",Lists!$J$4:'Lists'!$J68,"&lt;&gt;"))</f>
        <v/>
      </c>
      <c r="AE66" t="str">
        <f>IF('Role Requirements'!$B70="","",IF(COUNTIF('Role Requirements'!$B$6:$B70,'Role Requirements'!$B70)=1,COUNT($AE$1:AE65)+1,""))</f>
        <v/>
      </c>
    </row>
    <row r="67" spans="3:31">
      <c r="C67" t="str">
        <f>IFERROR(INDEX(Lists!$J$4:$J$143,MATCH(66,$V$2:$V$141,0)),"")</f>
        <v/>
      </c>
      <c r="E67" t="str">
        <f>IFERROR(INDEX(Lists!$J$4:$J$143,MATCH(66,$W$2:$W$141,0)),"")</f>
        <v/>
      </c>
      <c r="G67" t="str">
        <f>IFERROR(INDEX(Lists!$J$4:$J$143,MATCH(66,$X$2:$X$141,0)),"")</f>
        <v/>
      </c>
      <c r="I67" t="str">
        <f>IFERROR(INDEX(Lists!$J$4:$J$143,MATCH(66,$Y$2:$Y$141,0)),"")</f>
        <v/>
      </c>
      <c r="K67" t="str">
        <f>IFERROR(INDEX(Lists!$J$4:$J$143,MATCH(66,$Z$2:$Z$141,0)),"")</f>
        <v/>
      </c>
      <c r="M67" t="str">
        <f>IFERROR(INDEX(Lists!$J$4:$J$143,MATCH(66,$AA$2:$AA$141,0)),"")</f>
        <v/>
      </c>
      <c r="O67" t="str">
        <f>IFERROR(INDEX(Lists!$J$4:$J$143,MATCH(66,$AB$2:$AB$141,0)),"")</f>
        <v/>
      </c>
      <c r="Q67" t="str">
        <f>IFERROR(INDEX(Lists!$J$4:$J$143,MATCH(66,$AC$2:$AC$141,0)),"")</f>
        <v/>
      </c>
      <c r="S67" t="str">
        <f>IFERROR(INDEX(Lists!$J$4:$J$143,MATCH(66,$AD$2:$AD$141,0)),"")</f>
        <v/>
      </c>
      <c r="U67" t="str">
        <f>IFERROR(INDEX('Role Requirements'!$B$6:$B$400,MATCH(66,$AE$2:$AE$396,0)),"")</f>
        <v/>
      </c>
      <c r="V67" t="str">
        <f>IF(OR(Lists!$J69="",Lists!$K69&lt;&gt;"Customer Support"),"",COUNTIFS(Lists!$K$4:'Lists'!$K69,"Customer Support",Lists!$J$4:'Lists'!$J69,"&lt;&gt;"))</f>
        <v/>
      </c>
      <c r="W67" t="str">
        <f>IF(OR(Lists!$J69="",Lists!$K69&lt;&gt;"Platform Operations"),"",COUNTIFS(Lists!$K$4:'Lists'!$K69,"Platform Operations",Lists!$J$4:'Lists'!$J69,"&lt;&gt;"))</f>
        <v/>
      </c>
      <c r="X67" t="str">
        <f>IF(OR(Lists!$J69="",Lists!$K69&lt;&gt;"Software Engineering"),"",COUNTIFS(Lists!$K$4:'Lists'!$K69,"Software Engineering",Lists!$J$4:'Lists'!$J69,"&lt;&gt;"))</f>
        <v/>
      </c>
      <c r="Y67" t="str">
        <f>IF(OR(Lists!$J69="",Lists!$K69&lt;&gt;"IT Operations"),"",COUNTIFS(Lists!$K$4:'Lists'!$K69,"IT Operations",Lists!$J$4:'Lists'!$J69,"&lt;&gt;"))</f>
        <v/>
      </c>
      <c r="Z67" t="str">
        <f>IF(OR(Lists!$J69="",Lists!$K69&lt;&gt;"Quality Assurance"),"",COUNTIFS(Lists!$K$4:'Lists'!$K69,"Quality Assurance",Lists!$J$4:'Lists'!$J69,"&lt;&gt;"))</f>
        <v/>
      </c>
      <c r="AA67" t="str">
        <f>IF(OR(Lists!$J69="",Lists!$K69&lt;&gt;"Compliance &amp; Core Training"),"",COUNTIFS(Lists!$K$4:'Lists'!$K69,"Compliance &amp; Core Training",Lists!$J$4:'Lists'!$J69,"&lt;&gt;"))</f>
        <v/>
      </c>
      <c r="AB67">
        <f>IF(OR(Lists!$J69="",Lists!$K69&lt;&gt;"Cloud &amp; Reliability"),"",COUNTIFS(Lists!$K$4:'Lists'!$K69,"Cloud &amp; Reliability",Lists!$J$4:'Lists'!$J69,"&lt;&gt;"))</f>
        <v>12</v>
      </c>
      <c r="AC67" t="str">
        <f>IF(OR(Lists!$J69="",Lists!$K69&lt;&gt;"Data &amp; Analytics"),"",COUNTIFS(Lists!$K$4:'Lists'!$K69,"Data &amp; Analytics",Lists!$J$4:'Lists'!$J69,"&lt;&gt;"))</f>
        <v/>
      </c>
      <c r="AD67" t="str">
        <f>IF(OR(Lists!$J69="",Lists!$K69&lt;&gt;"Cybersecurity"),"",COUNTIFS(Lists!$K$4:'Lists'!$K69,"Cybersecurity",Lists!$J$4:'Lists'!$J69,"&lt;&gt;"))</f>
        <v/>
      </c>
      <c r="AE67" t="str">
        <f>IF('Role Requirements'!$B71="","",IF(COUNTIF('Role Requirements'!$B$6:$B71,'Role Requirements'!$B71)=1,COUNT($AE$1:AE66)+1,""))</f>
        <v/>
      </c>
    </row>
    <row r="68" spans="3:31">
      <c r="C68" t="str">
        <f>IFERROR(INDEX(Lists!$J$4:$J$143,MATCH(67,$V$2:$V$141,0)),"")</f>
        <v/>
      </c>
      <c r="E68" t="str">
        <f>IFERROR(INDEX(Lists!$J$4:$J$143,MATCH(67,$W$2:$W$141,0)),"")</f>
        <v/>
      </c>
      <c r="G68" t="str">
        <f>IFERROR(INDEX(Lists!$J$4:$J$143,MATCH(67,$X$2:$X$141,0)),"")</f>
        <v/>
      </c>
      <c r="I68" t="str">
        <f>IFERROR(INDEX(Lists!$J$4:$J$143,MATCH(67,$Y$2:$Y$141,0)),"")</f>
        <v/>
      </c>
      <c r="K68" t="str">
        <f>IFERROR(INDEX(Lists!$J$4:$J$143,MATCH(67,$Z$2:$Z$141,0)),"")</f>
        <v/>
      </c>
      <c r="M68" t="str">
        <f>IFERROR(INDEX(Lists!$J$4:$J$143,MATCH(67,$AA$2:$AA$141,0)),"")</f>
        <v/>
      </c>
      <c r="O68" t="str">
        <f>IFERROR(INDEX(Lists!$J$4:$J$143,MATCH(67,$AB$2:$AB$141,0)),"")</f>
        <v/>
      </c>
      <c r="Q68" t="str">
        <f>IFERROR(INDEX(Lists!$J$4:$J$143,MATCH(67,$AC$2:$AC$141,0)),"")</f>
        <v/>
      </c>
      <c r="S68" t="str">
        <f>IFERROR(INDEX(Lists!$J$4:$J$143,MATCH(67,$AD$2:$AD$141,0)),"")</f>
        <v/>
      </c>
      <c r="U68" t="str">
        <f>IFERROR(INDEX('Role Requirements'!$B$6:$B$400,MATCH(67,$AE$2:$AE$396,0)),"")</f>
        <v/>
      </c>
      <c r="V68" t="str">
        <f>IF(OR(Lists!$J70="",Lists!$K70&lt;&gt;"Customer Support"),"",COUNTIFS(Lists!$K$4:'Lists'!$K70,"Customer Support",Lists!$J$4:'Lists'!$J70,"&lt;&gt;"))</f>
        <v/>
      </c>
      <c r="W68" t="str">
        <f>IF(OR(Lists!$J70="",Lists!$K70&lt;&gt;"Platform Operations"),"",COUNTIFS(Lists!$K$4:'Lists'!$K70,"Platform Operations",Lists!$J$4:'Lists'!$J70,"&lt;&gt;"))</f>
        <v/>
      </c>
      <c r="X68" t="str">
        <f>IF(OR(Lists!$J70="",Lists!$K70&lt;&gt;"Software Engineering"),"",COUNTIFS(Lists!$K$4:'Lists'!$K70,"Software Engineering",Lists!$J$4:'Lists'!$J70,"&lt;&gt;"))</f>
        <v/>
      </c>
      <c r="Y68" t="str">
        <f>IF(OR(Lists!$J70="",Lists!$K70&lt;&gt;"IT Operations"),"",COUNTIFS(Lists!$K$4:'Lists'!$K70,"IT Operations",Lists!$J$4:'Lists'!$J70,"&lt;&gt;"))</f>
        <v/>
      </c>
      <c r="Z68" t="str">
        <f>IF(OR(Lists!$J70="",Lists!$K70&lt;&gt;"Quality Assurance"),"",COUNTIFS(Lists!$K$4:'Lists'!$K70,"Quality Assurance",Lists!$J$4:'Lists'!$J70,"&lt;&gt;"))</f>
        <v/>
      </c>
      <c r="AA68" t="str">
        <f>IF(OR(Lists!$J70="",Lists!$K70&lt;&gt;"Compliance &amp; Core Training"),"",COUNTIFS(Lists!$K$4:'Lists'!$K70,"Compliance &amp; Core Training",Lists!$J$4:'Lists'!$J70,"&lt;&gt;"))</f>
        <v/>
      </c>
      <c r="AB68">
        <f>IF(OR(Lists!$J70="",Lists!$K70&lt;&gt;"Cloud &amp; Reliability"),"",COUNTIFS(Lists!$K$4:'Lists'!$K70,"Cloud &amp; Reliability",Lists!$J$4:'Lists'!$J70,"&lt;&gt;"))</f>
        <v>13</v>
      </c>
      <c r="AC68" t="str">
        <f>IF(OR(Lists!$J70="",Lists!$K70&lt;&gt;"Data &amp; Analytics"),"",COUNTIFS(Lists!$K$4:'Lists'!$K70,"Data &amp; Analytics",Lists!$J$4:'Lists'!$J70,"&lt;&gt;"))</f>
        <v/>
      </c>
      <c r="AD68" t="str">
        <f>IF(OR(Lists!$J70="",Lists!$K70&lt;&gt;"Cybersecurity"),"",COUNTIFS(Lists!$K$4:'Lists'!$K70,"Cybersecurity",Lists!$J$4:'Lists'!$J70,"&lt;&gt;"))</f>
        <v/>
      </c>
      <c r="AE68" t="str">
        <f>IF('Role Requirements'!$B72="","",IF(COUNTIF('Role Requirements'!$B$6:$B72,'Role Requirements'!$B72)=1,COUNT($AE$1:AE67)+1,""))</f>
        <v/>
      </c>
    </row>
    <row r="69" spans="3:31">
      <c r="C69" t="str">
        <f>IFERROR(INDEX(Lists!$J$4:$J$143,MATCH(68,$V$2:$V$141,0)),"")</f>
        <v/>
      </c>
      <c r="E69" t="str">
        <f>IFERROR(INDEX(Lists!$J$4:$J$143,MATCH(68,$W$2:$W$141,0)),"")</f>
        <v/>
      </c>
      <c r="G69" t="str">
        <f>IFERROR(INDEX(Lists!$J$4:$J$143,MATCH(68,$X$2:$X$141,0)),"")</f>
        <v/>
      </c>
      <c r="I69" t="str">
        <f>IFERROR(INDEX(Lists!$J$4:$J$143,MATCH(68,$Y$2:$Y$141,0)),"")</f>
        <v/>
      </c>
      <c r="K69" t="str">
        <f>IFERROR(INDEX(Lists!$J$4:$J$143,MATCH(68,$Z$2:$Z$141,0)),"")</f>
        <v/>
      </c>
      <c r="M69" t="str">
        <f>IFERROR(INDEX(Lists!$J$4:$J$143,MATCH(68,$AA$2:$AA$141,0)),"")</f>
        <v/>
      </c>
      <c r="O69" t="str">
        <f>IFERROR(INDEX(Lists!$J$4:$J$143,MATCH(68,$AB$2:$AB$141,0)),"")</f>
        <v/>
      </c>
      <c r="Q69" t="str">
        <f>IFERROR(INDEX(Lists!$J$4:$J$143,MATCH(68,$AC$2:$AC$141,0)),"")</f>
        <v/>
      </c>
      <c r="S69" t="str">
        <f>IFERROR(INDEX(Lists!$J$4:$J$143,MATCH(68,$AD$2:$AD$141,0)),"")</f>
        <v/>
      </c>
      <c r="U69" t="str">
        <f>IFERROR(INDEX('Role Requirements'!$B$6:$B$400,MATCH(68,$AE$2:$AE$396,0)),"")</f>
        <v/>
      </c>
      <c r="V69" t="str">
        <f>IF(OR(Lists!$J71="",Lists!$K71&lt;&gt;"Customer Support"),"",COUNTIFS(Lists!$K$4:'Lists'!$K71,"Customer Support",Lists!$J$4:'Lists'!$J71,"&lt;&gt;"))</f>
        <v/>
      </c>
      <c r="W69" t="str">
        <f>IF(OR(Lists!$J71="",Lists!$K71&lt;&gt;"Platform Operations"),"",COUNTIFS(Lists!$K$4:'Lists'!$K71,"Platform Operations",Lists!$J$4:'Lists'!$J71,"&lt;&gt;"))</f>
        <v/>
      </c>
      <c r="X69" t="str">
        <f>IF(OR(Lists!$J71="",Lists!$K71&lt;&gt;"Software Engineering"),"",COUNTIFS(Lists!$K$4:'Lists'!$K71,"Software Engineering",Lists!$J$4:'Lists'!$J71,"&lt;&gt;"))</f>
        <v/>
      </c>
      <c r="Y69" t="str">
        <f>IF(OR(Lists!$J71="",Lists!$K71&lt;&gt;"IT Operations"),"",COUNTIFS(Lists!$K$4:'Lists'!$K71,"IT Operations",Lists!$J$4:'Lists'!$J71,"&lt;&gt;"))</f>
        <v/>
      </c>
      <c r="Z69" t="str">
        <f>IF(OR(Lists!$J71="",Lists!$K71&lt;&gt;"Quality Assurance"),"",COUNTIFS(Lists!$K$4:'Lists'!$K71,"Quality Assurance",Lists!$J$4:'Lists'!$J71,"&lt;&gt;"))</f>
        <v/>
      </c>
      <c r="AA69" t="str">
        <f>IF(OR(Lists!$J71="",Lists!$K71&lt;&gt;"Compliance &amp; Core Training"),"",COUNTIFS(Lists!$K$4:'Lists'!$K71,"Compliance &amp; Core Training",Lists!$J$4:'Lists'!$J71,"&lt;&gt;"))</f>
        <v/>
      </c>
      <c r="AB69">
        <f>IF(OR(Lists!$J71="",Lists!$K71&lt;&gt;"Cloud &amp; Reliability"),"",COUNTIFS(Lists!$K$4:'Lists'!$K71,"Cloud &amp; Reliability",Lists!$J$4:'Lists'!$J71,"&lt;&gt;"))</f>
        <v>14</v>
      </c>
      <c r="AC69" t="str">
        <f>IF(OR(Lists!$J71="",Lists!$K71&lt;&gt;"Data &amp; Analytics"),"",COUNTIFS(Lists!$K$4:'Lists'!$K71,"Data &amp; Analytics",Lists!$J$4:'Lists'!$J71,"&lt;&gt;"))</f>
        <v/>
      </c>
      <c r="AD69" t="str">
        <f>IF(OR(Lists!$J71="",Lists!$K71&lt;&gt;"Cybersecurity"),"",COUNTIFS(Lists!$K$4:'Lists'!$K71,"Cybersecurity",Lists!$J$4:'Lists'!$J71,"&lt;&gt;"))</f>
        <v/>
      </c>
      <c r="AE69" t="str">
        <f>IF('Role Requirements'!$B73="","",IF(COUNTIF('Role Requirements'!$B$6:$B73,'Role Requirements'!$B73)=1,COUNT($AE$1:AE68)+1,""))</f>
        <v/>
      </c>
    </row>
    <row r="70" spans="3:31">
      <c r="C70" t="str">
        <f>IFERROR(INDEX(Lists!$J$4:$J$143,MATCH(69,$V$2:$V$141,0)),"")</f>
        <v/>
      </c>
      <c r="E70" t="str">
        <f>IFERROR(INDEX(Lists!$J$4:$J$143,MATCH(69,$W$2:$W$141,0)),"")</f>
        <v/>
      </c>
      <c r="G70" t="str">
        <f>IFERROR(INDEX(Lists!$J$4:$J$143,MATCH(69,$X$2:$X$141,0)),"")</f>
        <v/>
      </c>
      <c r="I70" t="str">
        <f>IFERROR(INDEX(Lists!$J$4:$J$143,MATCH(69,$Y$2:$Y$141,0)),"")</f>
        <v/>
      </c>
      <c r="K70" t="str">
        <f>IFERROR(INDEX(Lists!$J$4:$J$143,MATCH(69,$Z$2:$Z$141,0)),"")</f>
        <v/>
      </c>
      <c r="M70" t="str">
        <f>IFERROR(INDEX(Lists!$J$4:$J$143,MATCH(69,$AA$2:$AA$141,0)),"")</f>
        <v/>
      </c>
      <c r="O70" t="str">
        <f>IFERROR(INDEX(Lists!$J$4:$J$143,MATCH(69,$AB$2:$AB$141,0)),"")</f>
        <v/>
      </c>
      <c r="Q70" t="str">
        <f>IFERROR(INDEX(Lists!$J$4:$J$143,MATCH(69,$AC$2:$AC$141,0)),"")</f>
        <v/>
      </c>
      <c r="S70" t="str">
        <f>IFERROR(INDEX(Lists!$J$4:$J$143,MATCH(69,$AD$2:$AD$141,0)),"")</f>
        <v/>
      </c>
      <c r="U70" t="str">
        <f>IFERROR(INDEX('Role Requirements'!$B$6:$B$400,MATCH(69,$AE$2:$AE$396,0)),"")</f>
        <v/>
      </c>
      <c r="V70" t="str">
        <f>IF(OR(Lists!$J72="",Lists!$K72&lt;&gt;"Customer Support"),"",COUNTIFS(Lists!$K$4:'Lists'!$K72,"Customer Support",Lists!$J$4:'Lists'!$J72,"&lt;&gt;"))</f>
        <v/>
      </c>
      <c r="W70" t="str">
        <f>IF(OR(Lists!$J72="",Lists!$K72&lt;&gt;"Platform Operations"),"",COUNTIFS(Lists!$K$4:'Lists'!$K72,"Platform Operations",Lists!$J$4:'Lists'!$J72,"&lt;&gt;"))</f>
        <v/>
      </c>
      <c r="X70" t="str">
        <f>IF(OR(Lists!$J72="",Lists!$K72&lt;&gt;"Software Engineering"),"",COUNTIFS(Lists!$K$4:'Lists'!$K72,"Software Engineering",Lists!$J$4:'Lists'!$J72,"&lt;&gt;"))</f>
        <v/>
      </c>
      <c r="Y70" t="str">
        <f>IF(OR(Lists!$J72="",Lists!$K72&lt;&gt;"IT Operations"),"",COUNTIFS(Lists!$K$4:'Lists'!$K72,"IT Operations",Lists!$J$4:'Lists'!$J72,"&lt;&gt;"))</f>
        <v/>
      </c>
      <c r="Z70" t="str">
        <f>IF(OR(Lists!$J72="",Lists!$K72&lt;&gt;"Quality Assurance"),"",COUNTIFS(Lists!$K$4:'Lists'!$K72,"Quality Assurance",Lists!$J$4:'Lists'!$J72,"&lt;&gt;"))</f>
        <v/>
      </c>
      <c r="AA70" t="str">
        <f>IF(OR(Lists!$J72="",Lists!$K72&lt;&gt;"Compliance &amp; Core Training"),"",COUNTIFS(Lists!$K$4:'Lists'!$K72,"Compliance &amp; Core Training",Lists!$J$4:'Lists'!$J72,"&lt;&gt;"))</f>
        <v/>
      </c>
      <c r="AB70">
        <f>IF(OR(Lists!$J72="",Lists!$K72&lt;&gt;"Cloud &amp; Reliability"),"",COUNTIFS(Lists!$K$4:'Lists'!$K72,"Cloud &amp; Reliability",Lists!$J$4:'Lists'!$J72,"&lt;&gt;"))</f>
        <v>15</v>
      </c>
      <c r="AC70" t="str">
        <f>IF(OR(Lists!$J72="",Lists!$K72&lt;&gt;"Data &amp; Analytics"),"",COUNTIFS(Lists!$K$4:'Lists'!$K72,"Data &amp; Analytics",Lists!$J$4:'Lists'!$J72,"&lt;&gt;"))</f>
        <v/>
      </c>
      <c r="AD70" t="str">
        <f>IF(OR(Lists!$J72="",Lists!$K72&lt;&gt;"Cybersecurity"),"",COUNTIFS(Lists!$K$4:'Lists'!$K72,"Cybersecurity",Lists!$J$4:'Lists'!$J72,"&lt;&gt;"))</f>
        <v/>
      </c>
      <c r="AE70" t="str">
        <f>IF('Role Requirements'!$B74="","",IF(COUNTIF('Role Requirements'!$B$6:$B74,'Role Requirements'!$B74)=1,COUNT($AE$1:AE69)+1,""))</f>
        <v/>
      </c>
    </row>
    <row r="71" spans="3:31">
      <c r="C71" t="str">
        <f>IFERROR(INDEX(Lists!$J$4:$J$143,MATCH(70,$V$2:$V$141,0)),"")</f>
        <v/>
      </c>
      <c r="E71" t="str">
        <f>IFERROR(INDEX(Lists!$J$4:$J$143,MATCH(70,$W$2:$W$141,0)),"")</f>
        <v/>
      </c>
      <c r="G71" t="str">
        <f>IFERROR(INDEX(Lists!$J$4:$J$143,MATCH(70,$X$2:$X$141,0)),"")</f>
        <v/>
      </c>
      <c r="I71" t="str">
        <f>IFERROR(INDEX(Lists!$J$4:$J$143,MATCH(70,$Y$2:$Y$141,0)),"")</f>
        <v/>
      </c>
      <c r="K71" t="str">
        <f>IFERROR(INDEX(Lists!$J$4:$J$143,MATCH(70,$Z$2:$Z$141,0)),"")</f>
        <v/>
      </c>
      <c r="M71" t="str">
        <f>IFERROR(INDEX(Lists!$J$4:$J$143,MATCH(70,$AA$2:$AA$141,0)),"")</f>
        <v/>
      </c>
      <c r="O71" t="str">
        <f>IFERROR(INDEX(Lists!$J$4:$J$143,MATCH(70,$AB$2:$AB$141,0)),"")</f>
        <v/>
      </c>
      <c r="Q71" t="str">
        <f>IFERROR(INDEX(Lists!$J$4:$J$143,MATCH(70,$AC$2:$AC$141,0)),"")</f>
        <v/>
      </c>
      <c r="S71" t="str">
        <f>IFERROR(INDEX(Lists!$J$4:$J$143,MATCH(70,$AD$2:$AD$141,0)),"")</f>
        <v/>
      </c>
      <c r="U71" t="str">
        <f>IFERROR(INDEX('Role Requirements'!$B$6:$B$400,MATCH(70,$AE$2:$AE$396,0)),"")</f>
        <v/>
      </c>
      <c r="V71" t="str">
        <f>IF(OR(Lists!$J73="",Lists!$K73&lt;&gt;"Customer Support"),"",COUNTIFS(Lists!$K$4:'Lists'!$K73,"Customer Support",Lists!$J$4:'Lists'!$J73,"&lt;&gt;"))</f>
        <v/>
      </c>
      <c r="W71" t="str">
        <f>IF(OR(Lists!$J73="",Lists!$K73&lt;&gt;"Platform Operations"),"",COUNTIFS(Lists!$K$4:'Lists'!$K73,"Platform Operations",Lists!$J$4:'Lists'!$J73,"&lt;&gt;"))</f>
        <v/>
      </c>
      <c r="X71" t="str">
        <f>IF(OR(Lists!$J73="",Lists!$K73&lt;&gt;"Software Engineering"),"",COUNTIFS(Lists!$K$4:'Lists'!$K73,"Software Engineering",Lists!$J$4:'Lists'!$J73,"&lt;&gt;"))</f>
        <v/>
      </c>
      <c r="Y71" t="str">
        <f>IF(OR(Lists!$J73="",Lists!$K73&lt;&gt;"IT Operations"),"",COUNTIFS(Lists!$K$4:'Lists'!$K73,"IT Operations",Lists!$J$4:'Lists'!$J73,"&lt;&gt;"))</f>
        <v/>
      </c>
      <c r="Z71" t="str">
        <f>IF(OR(Lists!$J73="",Lists!$K73&lt;&gt;"Quality Assurance"),"",COUNTIFS(Lists!$K$4:'Lists'!$K73,"Quality Assurance",Lists!$J$4:'Lists'!$J73,"&lt;&gt;"))</f>
        <v/>
      </c>
      <c r="AA71" t="str">
        <f>IF(OR(Lists!$J73="",Lists!$K73&lt;&gt;"Compliance &amp; Core Training"),"",COUNTIFS(Lists!$K$4:'Lists'!$K73,"Compliance &amp; Core Training",Lists!$J$4:'Lists'!$J73,"&lt;&gt;"))</f>
        <v/>
      </c>
      <c r="AB71">
        <f>IF(OR(Lists!$J73="",Lists!$K73&lt;&gt;"Cloud &amp; Reliability"),"",COUNTIFS(Lists!$K$4:'Lists'!$K73,"Cloud &amp; Reliability",Lists!$J$4:'Lists'!$J73,"&lt;&gt;"))</f>
        <v>16</v>
      </c>
      <c r="AC71" t="str">
        <f>IF(OR(Lists!$J73="",Lists!$K73&lt;&gt;"Data &amp; Analytics"),"",COUNTIFS(Lists!$K$4:'Lists'!$K73,"Data &amp; Analytics",Lists!$J$4:'Lists'!$J73,"&lt;&gt;"))</f>
        <v/>
      </c>
      <c r="AD71" t="str">
        <f>IF(OR(Lists!$J73="",Lists!$K73&lt;&gt;"Cybersecurity"),"",COUNTIFS(Lists!$K$4:'Lists'!$K73,"Cybersecurity",Lists!$J$4:'Lists'!$J73,"&lt;&gt;"))</f>
        <v/>
      </c>
      <c r="AE71" t="str">
        <f>IF('Role Requirements'!$B75="","",IF(COUNTIF('Role Requirements'!$B$6:$B75,'Role Requirements'!$B75)=1,COUNT($AE$1:AE70)+1,""))</f>
        <v/>
      </c>
    </row>
    <row r="72" spans="3:31">
      <c r="C72" t="str">
        <f>IFERROR(INDEX(Lists!$J$4:$J$143,MATCH(71,$V$2:$V$141,0)),"")</f>
        <v/>
      </c>
      <c r="E72" t="str">
        <f>IFERROR(INDEX(Lists!$J$4:$J$143,MATCH(71,$W$2:$W$141,0)),"")</f>
        <v/>
      </c>
      <c r="G72" t="str">
        <f>IFERROR(INDEX(Lists!$J$4:$J$143,MATCH(71,$X$2:$X$141,0)),"")</f>
        <v/>
      </c>
      <c r="I72" t="str">
        <f>IFERROR(INDEX(Lists!$J$4:$J$143,MATCH(71,$Y$2:$Y$141,0)),"")</f>
        <v/>
      </c>
      <c r="K72" t="str">
        <f>IFERROR(INDEX(Lists!$J$4:$J$143,MATCH(71,$Z$2:$Z$141,0)),"")</f>
        <v/>
      </c>
      <c r="M72" t="str">
        <f>IFERROR(INDEX(Lists!$J$4:$J$143,MATCH(71,$AA$2:$AA$141,0)),"")</f>
        <v/>
      </c>
      <c r="O72" t="str">
        <f>IFERROR(INDEX(Lists!$J$4:$J$143,MATCH(71,$AB$2:$AB$141,0)),"")</f>
        <v/>
      </c>
      <c r="Q72" t="str">
        <f>IFERROR(INDEX(Lists!$J$4:$J$143,MATCH(71,$AC$2:$AC$141,0)),"")</f>
        <v/>
      </c>
      <c r="S72" t="str">
        <f>IFERROR(INDEX(Lists!$J$4:$J$143,MATCH(71,$AD$2:$AD$141,0)),"")</f>
        <v/>
      </c>
      <c r="U72" t="str">
        <f>IFERROR(INDEX('Role Requirements'!$B$6:$B$400,MATCH(71,$AE$2:$AE$396,0)),"")</f>
        <v/>
      </c>
      <c r="V72" t="str">
        <f>IF(OR(Lists!$J74="",Lists!$K74&lt;&gt;"Customer Support"),"",COUNTIFS(Lists!$K$4:'Lists'!$K74,"Customer Support",Lists!$J$4:'Lists'!$J74,"&lt;&gt;"))</f>
        <v/>
      </c>
      <c r="W72" t="str">
        <f>IF(OR(Lists!$J74="",Lists!$K74&lt;&gt;"Platform Operations"),"",COUNTIFS(Lists!$K$4:'Lists'!$K74,"Platform Operations",Lists!$J$4:'Lists'!$J74,"&lt;&gt;"))</f>
        <v/>
      </c>
      <c r="X72" t="str">
        <f>IF(OR(Lists!$J74="",Lists!$K74&lt;&gt;"Software Engineering"),"",COUNTIFS(Lists!$K$4:'Lists'!$K74,"Software Engineering",Lists!$J$4:'Lists'!$J74,"&lt;&gt;"))</f>
        <v/>
      </c>
      <c r="Y72" t="str">
        <f>IF(OR(Lists!$J74="",Lists!$K74&lt;&gt;"IT Operations"),"",COUNTIFS(Lists!$K$4:'Lists'!$K74,"IT Operations",Lists!$J$4:'Lists'!$J74,"&lt;&gt;"))</f>
        <v/>
      </c>
      <c r="Z72" t="str">
        <f>IF(OR(Lists!$J74="",Lists!$K74&lt;&gt;"Quality Assurance"),"",COUNTIFS(Lists!$K$4:'Lists'!$K74,"Quality Assurance",Lists!$J$4:'Lists'!$J74,"&lt;&gt;"))</f>
        <v/>
      </c>
      <c r="AA72" t="str">
        <f>IF(OR(Lists!$J74="",Lists!$K74&lt;&gt;"Compliance &amp; Core Training"),"",COUNTIFS(Lists!$K$4:'Lists'!$K74,"Compliance &amp; Core Training",Lists!$J$4:'Lists'!$J74,"&lt;&gt;"))</f>
        <v/>
      </c>
      <c r="AB72">
        <f>IF(OR(Lists!$J74="",Lists!$K74&lt;&gt;"Cloud &amp; Reliability"),"",COUNTIFS(Lists!$K$4:'Lists'!$K74,"Cloud &amp; Reliability",Lists!$J$4:'Lists'!$J74,"&lt;&gt;"))</f>
        <v>17</v>
      </c>
      <c r="AC72" t="str">
        <f>IF(OR(Lists!$J74="",Lists!$K74&lt;&gt;"Data &amp; Analytics"),"",COUNTIFS(Lists!$K$4:'Lists'!$K74,"Data &amp; Analytics",Lists!$J$4:'Lists'!$J74,"&lt;&gt;"))</f>
        <v/>
      </c>
      <c r="AD72" t="str">
        <f>IF(OR(Lists!$J74="",Lists!$K74&lt;&gt;"Cybersecurity"),"",COUNTIFS(Lists!$K$4:'Lists'!$K74,"Cybersecurity",Lists!$J$4:'Lists'!$J74,"&lt;&gt;"))</f>
        <v/>
      </c>
      <c r="AE72" t="str">
        <f>IF('Role Requirements'!$B76="","",IF(COUNTIF('Role Requirements'!$B$6:$B76,'Role Requirements'!$B76)=1,COUNT($AE$1:AE71)+1,""))</f>
        <v/>
      </c>
    </row>
    <row r="73" spans="3:31">
      <c r="C73" t="str">
        <f>IFERROR(INDEX(Lists!$J$4:$J$143,MATCH(72,$V$2:$V$141,0)),"")</f>
        <v/>
      </c>
      <c r="E73" t="str">
        <f>IFERROR(INDEX(Lists!$J$4:$J$143,MATCH(72,$W$2:$W$141,0)),"")</f>
        <v/>
      </c>
      <c r="G73" t="str">
        <f>IFERROR(INDEX(Lists!$J$4:$J$143,MATCH(72,$X$2:$X$141,0)),"")</f>
        <v/>
      </c>
      <c r="I73" t="str">
        <f>IFERROR(INDEX(Lists!$J$4:$J$143,MATCH(72,$Y$2:$Y$141,0)),"")</f>
        <v/>
      </c>
      <c r="K73" t="str">
        <f>IFERROR(INDEX(Lists!$J$4:$J$143,MATCH(72,$Z$2:$Z$141,0)),"")</f>
        <v/>
      </c>
      <c r="M73" t="str">
        <f>IFERROR(INDEX(Lists!$J$4:$J$143,MATCH(72,$AA$2:$AA$141,0)),"")</f>
        <v/>
      </c>
      <c r="O73" t="str">
        <f>IFERROR(INDEX(Lists!$J$4:$J$143,MATCH(72,$AB$2:$AB$141,0)),"")</f>
        <v/>
      </c>
      <c r="Q73" t="str">
        <f>IFERROR(INDEX(Lists!$J$4:$J$143,MATCH(72,$AC$2:$AC$141,0)),"")</f>
        <v/>
      </c>
      <c r="S73" t="str">
        <f>IFERROR(INDEX(Lists!$J$4:$J$143,MATCH(72,$AD$2:$AD$141,0)),"")</f>
        <v/>
      </c>
      <c r="U73" t="str">
        <f>IFERROR(INDEX('Role Requirements'!$B$6:$B$400,MATCH(72,$AE$2:$AE$396,0)),"")</f>
        <v/>
      </c>
      <c r="V73" t="str">
        <f>IF(OR(Lists!$J75="",Lists!$K75&lt;&gt;"Customer Support"),"",COUNTIFS(Lists!$K$4:'Lists'!$K75,"Customer Support",Lists!$J$4:'Lists'!$J75,"&lt;&gt;"))</f>
        <v/>
      </c>
      <c r="W73" t="str">
        <f>IF(OR(Lists!$J75="",Lists!$K75&lt;&gt;"Platform Operations"),"",COUNTIFS(Lists!$K$4:'Lists'!$K75,"Platform Operations",Lists!$J$4:'Lists'!$J75,"&lt;&gt;"))</f>
        <v/>
      </c>
      <c r="X73" t="str">
        <f>IF(OR(Lists!$J75="",Lists!$K75&lt;&gt;"Software Engineering"),"",COUNTIFS(Lists!$K$4:'Lists'!$K75,"Software Engineering",Lists!$J$4:'Lists'!$J75,"&lt;&gt;"))</f>
        <v/>
      </c>
      <c r="Y73" t="str">
        <f>IF(OR(Lists!$J75="",Lists!$K75&lt;&gt;"IT Operations"),"",COUNTIFS(Lists!$K$4:'Lists'!$K75,"IT Operations",Lists!$J$4:'Lists'!$J75,"&lt;&gt;"))</f>
        <v/>
      </c>
      <c r="Z73" t="str">
        <f>IF(OR(Lists!$J75="",Lists!$K75&lt;&gt;"Quality Assurance"),"",COUNTIFS(Lists!$K$4:'Lists'!$K75,"Quality Assurance",Lists!$J$4:'Lists'!$J75,"&lt;&gt;"))</f>
        <v/>
      </c>
      <c r="AA73" t="str">
        <f>IF(OR(Lists!$J75="",Lists!$K75&lt;&gt;"Compliance &amp; Core Training"),"",COUNTIFS(Lists!$K$4:'Lists'!$K75,"Compliance &amp; Core Training",Lists!$J$4:'Lists'!$J75,"&lt;&gt;"))</f>
        <v/>
      </c>
      <c r="AB73" t="str">
        <f>IF(OR(Lists!$J75="",Lists!$K75&lt;&gt;"Cloud &amp; Reliability"),"",COUNTIFS(Lists!$K$4:'Lists'!$K75,"Cloud &amp; Reliability",Lists!$J$4:'Lists'!$J75,"&lt;&gt;"))</f>
        <v/>
      </c>
      <c r="AC73">
        <f>IF(OR(Lists!$J75="",Lists!$K75&lt;&gt;"Data &amp; Analytics"),"",COUNTIFS(Lists!$K$4:'Lists'!$K75,"Data &amp; Analytics",Lists!$J$4:'Lists'!$J75,"&lt;&gt;"))</f>
        <v>1</v>
      </c>
      <c r="AD73" t="str">
        <f>IF(OR(Lists!$J75="",Lists!$K75&lt;&gt;"Cybersecurity"),"",COUNTIFS(Lists!$K$4:'Lists'!$K75,"Cybersecurity",Lists!$J$4:'Lists'!$J75,"&lt;&gt;"))</f>
        <v/>
      </c>
      <c r="AE73" t="str">
        <f>IF('Role Requirements'!$B77="","",IF(COUNTIF('Role Requirements'!$B$6:$B77,'Role Requirements'!$B77)=1,COUNT($AE$1:AE72)+1,""))</f>
        <v/>
      </c>
    </row>
    <row r="74" spans="3:31">
      <c r="C74" t="str">
        <f>IFERROR(INDEX(Lists!$J$4:$J$143,MATCH(73,$V$2:$V$141,0)),"")</f>
        <v/>
      </c>
      <c r="E74" t="str">
        <f>IFERROR(INDEX(Lists!$J$4:$J$143,MATCH(73,$W$2:$W$141,0)),"")</f>
        <v/>
      </c>
      <c r="G74" t="str">
        <f>IFERROR(INDEX(Lists!$J$4:$J$143,MATCH(73,$X$2:$X$141,0)),"")</f>
        <v/>
      </c>
      <c r="I74" t="str">
        <f>IFERROR(INDEX(Lists!$J$4:$J$143,MATCH(73,$Y$2:$Y$141,0)),"")</f>
        <v/>
      </c>
      <c r="K74" t="str">
        <f>IFERROR(INDEX(Lists!$J$4:$J$143,MATCH(73,$Z$2:$Z$141,0)),"")</f>
        <v/>
      </c>
      <c r="M74" t="str">
        <f>IFERROR(INDEX(Lists!$J$4:$J$143,MATCH(73,$AA$2:$AA$141,0)),"")</f>
        <v/>
      </c>
      <c r="O74" t="str">
        <f>IFERROR(INDEX(Lists!$J$4:$J$143,MATCH(73,$AB$2:$AB$141,0)),"")</f>
        <v/>
      </c>
      <c r="Q74" t="str">
        <f>IFERROR(INDEX(Lists!$J$4:$J$143,MATCH(73,$AC$2:$AC$141,0)),"")</f>
        <v/>
      </c>
      <c r="S74" t="str">
        <f>IFERROR(INDEX(Lists!$J$4:$J$143,MATCH(73,$AD$2:$AD$141,0)),"")</f>
        <v/>
      </c>
      <c r="U74" t="str">
        <f>IFERROR(INDEX('Role Requirements'!$B$6:$B$400,MATCH(73,$AE$2:$AE$396,0)),"")</f>
        <v/>
      </c>
      <c r="V74" t="str">
        <f>IF(OR(Lists!$J76="",Lists!$K76&lt;&gt;"Customer Support"),"",COUNTIFS(Lists!$K$4:'Lists'!$K76,"Customer Support",Lists!$J$4:'Lists'!$J76,"&lt;&gt;"))</f>
        <v/>
      </c>
      <c r="W74" t="str">
        <f>IF(OR(Lists!$J76="",Lists!$K76&lt;&gt;"Platform Operations"),"",COUNTIFS(Lists!$K$4:'Lists'!$K76,"Platform Operations",Lists!$J$4:'Lists'!$J76,"&lt;&gt;"))</f>
        <v/>
      </c>
      <c r="X74" t="str">
        <f>IF(OR(Lists!$J76="",Lists!$K76&lt;&gt;"Software Engineering"),"",COUNTIFS(Lists!$K$4:'Lists'!$K76,"Software Engineering",Lists!$J$4:'Lists'!$J76,"&lt;&gt;"))</f>
        <v/>
      </c>
      <c r="Y74" t="str">
        <f>IF(OR(Lists!$J76="",Lists!$K76&lt;&gt;"IT Operations"),"",COUNTIFS(Lists!$K$4:'Lists'!$K76,"IT Operations",Lists!$J$4:'Lists'!$J76,"&lt;&gt;"))</f>
        <v/>
      </c>
      <c r="Z74" t="str">
        <f>IF(OR(Lists!$J76="",Lists!$K76&lt;&gt;"Quality Assurance"),"",COUNTIFS(Lists!$K$4:'Lists'!$K76,"Quality Assurance",Lists!$J$4:'Lists'!$J76,"&lt;&gt;"))</f>
        <v/>
      </c>
      <c r="AA74" t="str">
        <f>IF(OR(Lists!$J76="",Lists!$K76&lt;&gt;"Compliance &amp; Core Training"),"",COUNTIFS(Lists!$K$4:'Lists'!$K76,"Compliance &amp; Core Training",Lists!$J$4:'Lists'!$J76,"&lt;&gt;"))</f>
        <v/>
      </c>
      <c r="AB74" t="str">
        <f>IF(OR(Lists!$J76="",Lists!$K76&lt;&gt;"Cloud &amp; Reliability"),"",COUNTIFS(Lists!$K$4:'Lists'!$K76,"Cloud &amp; Reliability",Lists!$J$4:'Lists'!$J76,"&lt;&gt;"))</f>
        <v/>
      </c>
      <c r="AC74">
        <f>IF(OR(Lists!$J76="",Lists!$K76&lt;&gt;"Data &amp; Analytics"),"",COUNTIFS(Lists!$K$4:'Lists'!$K76,"Data &amp; Analytics",Lists!$J$4:'Lists'!$J76,"&lt;&gt;"))</f>
        <v>2</v>
      </c>
      <c r="AD74" t="str">
        <f>IF(OR(Lists!$J76="",Lists!$K76&lt;&gt;"Cybersecurity"),"",COUNTIFS(Lists!$K$4:'Lists'!$K76,"Cybersecurity",Lists!$J$4:'Lists'!$J76,"&lt;&gt;"))</f>
        <v/>
      </c>
      <c r="AE74" t="str">
        <f>IF('Role Requirements'!$B78="","",IF(COUNTIF('Role Requirements'!$B$6:$B78,'Role Requirements'!$B78)=1,COUNT($AE$1:AE73)+1,""))</f>
        <v/>
      </c>
    </row>
    <row r="75" spans="3:31">
      <c r="C75" t="str">
        <f>IFERROR(INDEX(Lists!$J$4:$J$143,MATCH(74,$V$2:$V$141,0)),"")</f>
        <v/>
      </c>
      <c r="E75" t="str">
        <f>IFERROR(INDEX(Lists!$J$4:$J$143,MATCH(74,$W$2:$W$141,0)),"")</f>
        <v/>
      </c>
      <c r="G75" t="str">
        <f>IFERROR(INDEX(Lists!$J$4:$J$143,MATCH(74,$X$2:$X$141,0)),"")</f>
        <v/>
      </c>
      <c r="I75" t="str">
        <f>IFERROR(INDEX(Lists!$J$4:$J$143,MATCH(74,$Y$2:$Y$141,0)),"")</f>
        <v/>
      </c>
      <c r="K75" t="str">
        <f>IFERROR(INDEX(Lists!$J$4:$J$143,MATCH(74,$Z$2:$Z$141,0)),"")</f>
        <v/>
      </c>
      <c r="M75" t="str">
        <f>IFERROR(INDEX(Lists!$J$4:$J$143,MATCH(74,$AA$2:$AA$141,0)),"")</f>
        <v/>
      </c>
      <c r="O75" t="str">
        <f>IFERROR(INDEX(Lists!$J$4:$J$143,MATCH(74,$AB$2:$AB$141,0)),"")</f>
        <v/>
      </c>
      <c r="Q75" t="str">
        <f>IFERROR(INDEX(Lists!$J$4:$J$143,MATCH(74,$AC$2:$AC$141,0)),"")</f>
        <v/>
      </c>
      <c r="S75" t="str">
        <f>IFERROR(INDEX(Lists!$J$4:$J$143,MATCH(74,$AD$2:$AD$141,0)),"")</f>
        <v/>
      </c>
      <c r="U75" t="str">
        <f>IFERROR(INDEX('Role Requirements'!$B$6:$B$400,MATCH(74,$AE$2:$AE$396,0)),"")</f>
        <v/>
      </c>
      <c r="V75" t="str">
        <f>IF(OR(Lists!$J77="",Lists!$K77&lt;&gt;"Customer Support"),"",COUNTIFS(Lists!$K$4:'Lists'!$K77,"Customer Support",Lists!$J$4:'Lists'!$J77,"&lt;&gt;"))</f>
        <v/>
      </c>
      <c r="W75" t="str">
        <f>IF(OR(Lists!$J77="",Lists!$K77&lt;&gt;"Platform Operations"),"",COUNTIFS(Lists!$K$4:'Lists'!$K77,"Platform Operations",Lists!$J$4:'Lists'!$J77,"&lt;&gt;"))</f>
        <v/>
      </c>
      <c r="X75" t="str">
        <f>IF(OR(Lists!$J77="",Lists!$K77&lt;&gt;"Software Engineering"),"",COUNTIFS(Lists!$K$4:'Lists'!$K77,"Software Engineering",Lists!$J$4:'Lists'!$J77,"&lt;&gt;"))</f>
        <v/>
      </c>
      <c r="Y75" t="str">
        <f>IF(OR(Lists!$J77="",Lists!$K77&lt;&gt;"IT Operations"),"",COUNTIFS(Lists!$K$4:'Lists'!$K77,"IT Operations",Lists!$J$4:'Lists'!$J77,"&lt;&gt;"))</f>
        <v/>
      </c>
      <c r="Z75" t="str">
        <f>IF(OR(Lists!$J77="",Lists!$K77&lt;&gt;"Quality Assurance"),"",COUNTIFS(Lists!$K$4:'Lists'!$K77,"Quality Assurance",Lists!$J$4:'Lists'!$J77,"&lt;&gt;"))</f>
        <v/>
      </c>
      <c r="AA75" t="str">
        <f>IF(OR(Lists!$J77="",Lists!$K77&lt;&gt;"Compliance &amp; Core Training"),"",COUNTIFS(Lists!$K$4:'Lists'!$K77,"Compliance &amp; Core Training",Lists!$J$4:'Lists'!$J77,"&lt;&gt;"))</f>
        <v/>
      </c>
      <c r="AB75" t="str">
        <f>IF(OR(Lists!$J77="",Lists!$K77&lt;&gt;"Cloud &amp; Reliability"),"",COUNTIFS(Lists!$K$4:'Lists'!$K77,"Cloud &amp; Reliability",Lists!$J$4:'Lists'!$J77,"&lt;&gt;"))</f>
        <v/>
      </c>
      <c r="AC75">
        <f>IF(OR(Lists!$J77="",Lists!$K77&lt;&gt;"Data &amp; Analytics"),"",COUNTIFS(Lists!$K$4:'Lists'!$K77,"Data &amp; Analytics",Lists!$J$4:'Lists'!$J77,"&lt;&gt;"))</f>
        <v>3</v>
      </c>
      <c r="AD75" t="str">
        <f>IF(OR(Lists!$J77="",Lists!$K77&lt;&gt;"Cybersecurity"),"",COUNTIFS(Lists!$K$4:'Lists'!$K77,"Cybersecurity",Lists!$J$4:'Lists'!$J77,"&lt;&gt;"))</f>
        <v/>
      </c>
      <c r="AE75" t="str">
        <f>IF('Role Requirements'!$B79="","",IF(COUNTIF('Role Requirements'!$B$6:$B79,'Role Requirements'!$B79)=1,COUNT($AE$1:AE74)+1,""))</f>
        <v/>
      </c>
    </row>
    <row r="76" spans="3:31">
      <c r="C76" t="str">
        <f>IFERROR(INDEX(Lists!$J$4:$J$143,MATCH(75,$V$2:$V$141,0)),"")</f>
        <v/>
      </c>
      <c r="E76" t="str">
        <f>IFERROR(INDEX(Lists!$J$4:$J$143,MATCH(75,$W$2:$W$141,0)),"")</f>
        <v/>
      </c>
      <c r="G76" t="str">
        <f>IFERROR(INDEX(Lists!$J$4:$J$143,MATCH(75,$X$2:$X$141,0)),"")</f>
        <v/>
      </c>
      <c r="I76" t="str">
        <f>IFERROR(INDEX(Lists!$J$4:$J$143,MATCH(75,$Y$2:$Y$141,0)),"")</f>
        <v/>
      </c>
      <c r="K76" t="str">
        <f>IFERROR(INDEX(Lists!$J$4:$J$143,MATCH(75,$Z$2:$Z$141,0)),"")</f>
        <v/>
      </c>
      <c r="M76" t="str">
        <f>IFERROR(INDEX(Lists!$J$4:$J$143,MATCH(75,$AA$2:$AA$141,0)),"")</f>
        <v/>
      </c>
      <c r="O76" t="str">
        <f>IFERROR(INDEX(Lists!$J$4:$J$143,MATCH(75,$AB$2:$AB$141,0)),"")</f>
        <v/>
      </c>
      <c r="Q76" t="str">
        <f>IFERROR(INDEX(Lists!$J$4:$J$143,MATCH(75,$AC$2:$AC$141,0)),"")</f>
        <v/>
      </c>
      <c r="S76" t="str">
        <f>IFERROR(INDEX(Lists!$J$4:$J$143,MATCH(75,$AD$2:$AD$141,0)),"")</f>
        <v/>
      </c>
      <c r="U76" t="str">
        <f>IFERROR(INDEX('Role Requirements'!$B$6:$B$400,MATCH(75,$AE$2:$AE$396,0)),"")</f>
        <v/>
      </c>
      <c r="V76" t="str">
        <f>IF(OR(Lists!$J78="",Lists!$K78&lt;&gt;"Customer Support"),"",COUNTIFS(Lists!$K$4:'Lists'!$K78,"Customer Support",Lists!$J$4:'Lists'!$J78,"&lt;&gt;"))</f>
        <v/>
      </c>
      <c r="W76" t="str">
        <f>IF(OR(Lists!$J78="",Lists!$K78&lt;&gt;"Platform Operations"),"",COUNTIFS(Lists!$K$4:'Lists'!$K78,"Platform Operations",Lists!$J$4:'Lists'!$J78,"&lt;&gt;"))</f>
        <v/>
      </c>
      <c r="X76" t="str">
        <f>IF(OR(Lists!$J78="",Lists!$K78&lt;&gt;"Software Engineering"),"",COUNTIFS(Lists!$K$4:'Lists'!$K78,"Software Engineering",Lists!$J$4:'Lists'!$J78,"&lt;&gt;"))</f>
        <v/>
      </c>
      <c r="Y76" t="str">
        <f>IF(OR(Lists!$J78="",Lists!$K78&lt;&gt;"IT Operations"),"",COUNTIFS(Lists!$K$4:'Lists'!$K78,"IT Operations",Lists!$J$4:'Lists'!$J78,"&lt;&gt;"))</f>
        <v/>
      </c>
      <c r="Z76" t="str">
        <f>IF(OR(Lists!$J78="",Lists!$K78&lt;&gt;"Quality Assurance"),"",COUNTIFS(Lists!$K$4:'Lists'!$K78,"Quality Assurance",Lists!$J$4:'Lists'!$J78,"&lt;&gt;"))</f>
        <v/>
      </c>
      <c r="AA76" t="str">
        <f>IF(OR(Lists!$J78="",Lists!$K78&lt;&gt;"Compliance &amp; Core Training"),"",COUNTIFS(Lists!$K$4:'Lists'!$K78,"Compliance &amp; Core Training",Lists!$J$4:'Lists'!$J78,"&lt;&gt;"))</f>
        <v/>
      </c>
      <c r="AB76" t="str">
        <f>IF(OR(Lists!$J78="",Lists!$K78&lt;&gt;"Cloud &amp; Reliability"),"",COUNTIFS(Lists!$K$4:'Lists'!$K78,"Cloud &amp; Reliability",Lists!$J$4:'Lists'!$J78,"&lt;&gt;"))</f>
        <v/>
      </c>
      <c r="AC76">
        <f>IF(OR(Lists!$J78="",Lists!$K78&lt;&gt;"Data &amp; Analytics"),"",COUNTIFS(Lists!$K$4:'Lists'!$K78,"Data &amp; Analytics",Lists!$J$4:'Lists'!$J78,"&lt;&gt;"))</f>
        <v>4</v>
      </c>
      <c r="AD76" t="str">
        <f>IF(OR(Lists!$J78="",Lists!$K78&lt;&gt;"Cybersecurity"),"",COUNTIFS(Lists!$K$4:'Lists'!$K78,"Cybersecurity",Lists!$J$4:'Lists'!$J78,"&lt;&gt;"))</f>
        <v/>
      </c>
      <c r="AE76" t="str">
        <f>IF('Role Requirements'!$B80="","",IF(COUNTIF('Role Requirements'!$B$6:$B80,'Role Requirements'!$B80)=1,COUNT($AE$1:AE75)+1,""))</f>
        <v/>
      </c>
    </row>
    <row r="77" spans="3:31">
      <c r="C77" t="str">
        <f>IFERROR(INDEX(Lists!$J$4:$J$143,MATCH(76,$V$2:$V$141,0)),"")</f>
        <v/>
      </c>
      <c r="E77" t="str">
        <f>IFERROR(INDEX(Lists!$J$4:$J$143,MATCH(76,$W$2:$W$141,0)),"")</f>
        <v/>
      </c>
      <c r="G77" t="str">
        <f>IFERROR(INDEX(Lists!$J$4:$J$143,MATCH(76,$X$2:$X$141,0)),"")</f>
        <v/>
      </c>
      <c r="I77" t="str">
        <f>IFERROR(INDEX(Lists!$J$4:$J$143,MATCH(76,$Y$2:$Y$141,0)),"")</f>
        <v/>
      </c>
      <c r="K77" t="str">
        <f>IFERROR(INDEX(Lists!$J$4:$J$143,MATCH(76,$Z$2:$Z$141,0)),"")</f>
        <v/>
      </c>
      <c r="M77" t="str">
        <f>IFERROR(INDEX(Lists!$J$4:$J$143,MATCH(76,$AA$2:$AA$141,0)),"")</f>
        <v/>
      </c>
      <c r="O77" t="str">
        <f>IFERROR(INDEX(Lists!$J$4:$J$143,MATCH(76,$AB$2:$AB$141,0)),"")</f>
        <v/>
      </c>
      <c r="Q77" t="str">
        <f>IFERROR(INDEX(Lists!$J$4:$J$143,MATCH(76,$AC$2:$AC$141,0)),"")</f>
        <v/>
      </c>
      <c r="S77" t="str">
        <f>IFERROR(INDEX(Lists!$J$4:$J$143,MATCH(76,$AD$2:$AD$141,0)),"")</f>
        <v/>
      </c>
      <c r="U77" t="str">
        <f>IFERROR(INDEX('Role Requirements'!$B$6:$B$400,MATCH(76,$AE$2:$AE$396,0)),"")</f>
        <v/>
      </c>
      <c r="V77" t="str">
        <f>IF(OR(Lists!$J79="",Lists!$K79&lt;&gt;"Customer Support"),"",COUNTIFS(Lists!$K$4:'Lists'!$K79,"Customer Support",Lists!$J$4:'Lists'!$J79,"&lt;&gt;"))</f>
        <v/>
      </c>
      <c r="W77" t="str">
        <f>IF(OR(Lists!$J79="",Lists!$K79&lt;&gt;"Platform Operations"),"",COUNTIFS(Lists!$K$4:'Lists'!$K79,"Platform Operations",Lists!$J$4:'Lists'!$J79,"&lt;&gt;"))</f>
        <v/>
      </c>
      <c r="X77" t="str">
        <f>IF(OR(Lists!$J79="",Lists!$K79&lt;&gt;"Software Engineering"),"",COUNTIFS(Lists!$K$4:'Lists'!$K79,"Software Engineering",Lists!$J$4:'Lists'!$J79,"&lt;&gt;"))</f>
        <v/>
      </c>
      <c r="Y77" t="str">
        <f>IF(OR(Lists!$J79="",Lists!$K79&lt;&gt;"IT Operations"),"",COUNTIFS(Lists!$K$4:'Lists'!$K79,"IT Operations",Lists!$J$4:'Lists'!$J79,"&lt;&gt;"))</f>
        <v/>
      </c>
      <c r="Z77" t="str">
        <f>IF(OR(Lists!$J79="",Lists!$K79&lt;&gt;"Quality Assurance"),"",COUNTIFS(Lists!$K$4:'Lists'!$K79,"Quality Assurance",Lists!$J$4:'Lists'!$J79,"&lt;&gt;"))</f>
        <v/>
      </c>
      <c r="AA77" t="str">
        <f>IF(OR(Lists!$J79="",Lists!$K79&lt;&gt;"Compliance &amp; Core Training"),"",COUNTIFS(Lists!$K$4:'Lists'!$K79,"Compliance &amp; Core Training",Lists!$J$4:'Lists'!$J79,"&lt;&gt;"))</f>
        <v/>
      </c>
      <c r="AB77" t="str">
        <f>IF(OR(Lists!$J79="",Lists!$K79&lt;&gt;"Cloud &amp; Reliability"),"",COUNTIFS(Lists!$K$4:'Lists'!$K79,"Cloud &amp; Reliability",Lists!$J$4:'Lists'!$J79,"&lt;&gt;"))</f>
        <v/>
      </c>
      <c r="AC77">
        <f>IF(OR(Lists!$J79="",Lists!$K79&lt;&gt;"Data &amp; Analytics"),"",COUNTIFS(Lists!$K$4:'Lists'!$K79,"Data &amp; Analytics",Lists!$J$4:'Lists'!$J79,"&lt;&gt;"))</f>
        <v>5</v>
      </c>
      <c r="AD77" t="str">
        <f>IF(OR(Lists!$J79="",Lists!$K79&lt;&gt;"Cybersecurity"),"",COUNTIFS(Lists!$K$4:'Lists'!$K79,"Cybersecurity",Lists!$J$4:'Lists'!$J79,"&lt;&gt;"))</f>
        <v/>
      </c>
      <c r="AE77" t="str">
        <f>IF('Role Requirements'!$B81="","",IF(COUNTIF('Role Requirements'!$B$6:$B81,'Role Requirements'!$B81)=1,COUNT($AE$1:AE76)+1,""))</f>
        <v/>
      </c>
    </row>
    <row r="78" spans="3:31">
      <c r="C78" t="str">
        <f>IFERROR(INDEX(Lists!$J$4:$J$143,MATCH(77,$V$2:$V$141,0)),"")</f>
        <v/>
      </c>
      <c r="E78" t="str">
        <f>IFERROR(INDEX(Lists!$J$4:$J$143,MATCH(77,$W$2:$W$141,0)),"")</f>
        <v/>
      </c>
      <c r="G78" t="str">
        <f>IFERROR(INDEX(Lists!$J$4:$J$143,MATCH(77,$X$2:$X$141,0)),"")</f>
        <v/>
      </c>
      <c r="I78" t="str">
        <f>IFERROR(INDEX(Lists!$J$4:$J$143,MATCH(77,$Y$2:$Y$141,0)),"")</f>
        <v/>
      </c>
      <c r="K78" t="str">
        <f>IFERROR(INDEX(Lists!$J$4:$J$143,MATCH(77,$Z$2:$Z$141,0)),"")</f>
        <v/>
      </c>
      <c r="M78" t="str">
        <f>IFERROR(INDEX(Lists!$J$4:$J$143,MATCH(77,$AA$2:$AA$141,0)),"")</f>
        <v/>
      </c>
      <c r="O78" t="str">
        <f>IFERROR(INDEX(Lists!$J$4:$J$143,MATCH(77,$AB$2:$AB$141,0)),"")</f>
        <v/>
      </c>
      <c r="Q78" t="str">
        <f>IFERROR(INDEX(Lists!$J$4:$J$143,MATCH(77,$AC$2:$AC$141,0)),"")</f>
        <v/>
      </c>
      <c r="S78" t="str">
        <f>IFERROR(INDEX(Lists!$J$4:$J$143,MATCH(77,$AD$2:$AD$141,0)),"")</f>
        <v/>
      </c>
      <c r="U78" t="str">
        <f>IFERROR(INDEX('Role Requirements'!$B$6:$B$400,MATCH(77,$AE$2:$AE$396,0)),"")</f>
        <v/>
      </c>
      <c r="V78" t="str">
        <f>IF(OR(Lists!$J80="",Lists!$K80&lt;&gt;"Customer Support"),"",COUNTIFS(Lists!$K$4:'Lists'!$K80,"Customer Support",Lists!$J$4:'Lists'!$J80,"&lt;&gt;"))</f>
        <v/>
      </c>
      <c r="W78" t="str">
        <f>IF(OR(Lists!$J80="",Lists!$K80&lt;&gt;"Platform Operations"),"",COUNTIFS(Lists!$K$4:'Lists'!$K80,"Platform Operations",Lists!$J$4:'Lists'!$J80,"&lt;&gt;"))</f>
        <v/>
      </c>
      <c r="X78" t="str">
        <f>IF(OR(Lists!$J80="",Lists!$K80&lt;&gt;"Software Engineering"),"",COUNTIFS(Lists!$K$4:'Lists'!$K80,"Software Engineering",Lists!$J$4:'Lists'!$J80,"&lt;&gt;"))</f>
        <v/>
      </c>
      <c r="Y78" t="str">
        <f>IF(OR(Lists!$J80="",Lists!$K80&lt;&gt;"IT Operations"),"",COUNTIFS(Lists!$K$4:'Lists'!$K80,"IT Operations",Lists!$J$4:'Lists'!$J80,"&lt;&gt;"))</f>
        <v/>
      </c>
      <c r="Z78" t="str">
        <f>IF(OR(Lists!$J80="",Lists!$K80&lt;&gt;"Quality Assurance"),"",COUNTIFS(Lists!$K$4:'Lists'!$K80,"Quality Assurance",Lists!$J$4:'Lists'!$J80,"&lt;&gt;"))</f>
        <v/>
      </c>
      <c r="AA78" t="str">
        <f>IF(OR(Lists!$J80="",Lists!$K80&lt;&gt;"Compliance &amp; Core Training"),"",COUNTIFS(Lists!$K$4:'Lists'!$K80,"Compliance &amp; Core Training",Lists!$J$4:'Lists'!$J80,"&lt;&gt;"))</f>
        <v/>
      </c>
      <c r="AB78" t="str">
        <f>IF(OR(Lists!$J80="",Lists!$K80&lt;&gt;"Cloud &amp; Reliability"),"",COUNTIFS(Lists!$K$4:'Lists'!$K80,"Cloud &amp; Reliability",Lists!$J$4:'Lists'!$J80,"&lt;&gt;"))</f>
        <v/>
      </c>
      <c r="AC78">
        <f>IF(OR(Lists!$J80="",Lists!$K80&lt;&gt;"Data &amp; Analytics"),"",COUNTIFS(Lists!$K$4:'Lists'!$K80,"Data &amp; Analytics",Lists!$J$4:'Lists'!$J80,"&lt;&gt;"))</f>
        <v>6</v>
      </c>
      <c r="AD78" t="str">
        <f>IF(OR(Lists!$J80="",Lists!$K80&lt;&gt;"Cybersecurity"),"",COUNTIFS(Lists!$K$4:'Lists'!$K80,"Cybersecurity",Lists!$J$4:'Lists'!$J80,"&lt;&gt;"))</f>
        <v/>
      </c>
      <c r="AE78" t="str">
        <f>IF('Role Requirements'!$B82="","",IF(COUNTIF('Role Requirements'!$B$6:$B82,'Role Requirements'!$B82)=1,COUNT($AE$1:AE77)+1,""))</f>
        <v/>
      </c>
    </row>
    <row r="79" spans="3:31">
      <c r="C79" t="str">
        <f>IFERROR(INDEX(Lists!$J$4:$J$143,MATCH(78,$V$2:$V$141,0)),"")</f>
        <v/>
      </c>
      <c r="E79" t="str">
        <f>IFERROR(INDEX(Lists!$J$4:$J$143,MATCH(78,$W$2:$W$141,0)),"")</f>
        <v/>
      </c>
      <c r="G79" t="str">
        <f>IFERROR(INDEX(Lists!$J$4:$J$143,MATCH(78,$X$2:$X$141,0)),"")</f>
        <v/>
      </c>
      <c r="I79" t="str">
        <f>IFERROR(INDEX(Lists!$J$4:$J$143,MATCH(78,$Y$2:$Y$141,0)),"")</f>
        <v/>
      </c>
      <c r="K79" t="str">
        <f>IFERROR(INDEX(Lists!$J$4:$J$143,MATCH(78,$Z$2:$Z$141,0)),"")</f>
        <v/>
      </c>
      <c r="M79" t="str">
        <f>IFERROR(INDEX(Lists!$J$4:$J$143,MATCH(78,$AA$2:$AA$141,0)),"")</f>
        <v/>
      </c>
      <c r="O79" t="str">
        <f>IFERROR(INDEX(Lists!$J$4:$J$143,MATCH(78,$AB$2:$AB$141,0)),"")</f>
        <v/>
      </c>
      <c r="Q79" t="str">
        <f>IFERROR(INDEX(Lists!$J$4:$J$143,MATCH(78,$AC$2:$AC$141,0)),"")</f>
        <v/>
      </c>
      <c r="S79" t="str">
        <f>IFERROR(INDEX(Lists!$J$4:$J$143,MATCH(78,$AD$2:$AD$141,0)),"")</f>
        <v/>
      </c>
      <c r="U79" t="str">
        <f>IFERROR(INDEX('Role Requirements'!$B$6:$B$400,MATCH(78,$AE$2:$AE$396,0)),"")</f>
        <v/>
      </c>
      <c r="V79" t="str">
        <f>IF(OR(Lists!$J81="",Lists!$K81&lt;&gt;"Customer Support"),"",COUNTIFS(Lists!$K$4:'Lists'!$K81,"Customer Support",Lists!$J$4:'Lists'!$J81,"&lt;&gt;"))</f>
        <v/>
      </c>
      <c r="W79" t="str">
        <f>IF(OR(Lists!$J81="",Lists!$K81&lt;&gt;"Platform Operations"),"",COUNTIFS(Lists!$K$4:'Lists'!$K81,"Platform Operations",Lists!$J$4:'Lists'!$J81,"&lt;&gt;"))</f>
        <v/>
      </c>
      <c r="X79" t="str">
        <f>IF(OR(Lists!$J81="",Lists!$K81&lt;&gt;"Software Engineering"),"",COUNTIFS(Lists!$K$4:'Lists'!$K81,"Software Engineering",Lists!$J$4:'Lists'!$J81,"&lt;&gt;"))</f>
        <v/>
      </c>
      <c r="Y79" t="str">
        <f>IF(OR(Lists!$J81="",Lists!$K81&lt;&gt;"IT Operations"),"",COUNTIFS(Lists!$K$4:'Lists'!$K81,"IT Operations",Lists!$J$4:'Lists'!$J81,"&lt;&gt;"))</f>
        <v/>
      </c>
      <c r="Z79" t="str">
        <f>IF(OR(Lists!$J81="",Lists!$K81&lt;&gt;"Quality Assurance"),"",COUNTIFS(Lists!$K$4:'Lists'!$K81,"Quality Assurance",Lists!$J$4:'Lists'!$J81,"&lt;&gt;"))</f>
        <v/>
      </c>
      <c r="AA79" t="str">
        <f>IF(OR(Lists!$J81="",Lists!$K81&lt;&gt;"Compliance &amp; Core Training"),"",COUNTIFS(Lists!$K$4:'Lists'!$K81,"Compliance &amp; Core Training",Lists!$J$4:'Lists'!$J81,"&lt;&gt;"))</f>
        <v/>
      </c>
      <c r="AB79" t="str">
        <f>IF(OR(Lists!$J81="",Lists!$K81&lt;&gt;"Cloud &amp; Reliability"),"",COUNTIFS(Lists!$K$4:'Lists'!$K81,"Cloud &amp; Reliability",Lists!$J$4:'Lists'!$J81,"&lt;&gt;"))</f>
        <v/>
      </c>
      <c r="AC79">
        <f>IF(OR(Lists!$J81="",Lists!$K81&lt;&gt;"Data &amp; Analytics"),"",COUNTIFS(Lists!$K$4:'Lists'!$K81,"Data &amp; Analytics",Lists!$J$4:'Lists'!$J81,"&lt;&gt;"))</f>
        <v>7</v>
      </c>
      <c r="AD79" t="str">
        <f>IF(OR(Lists!$J81="",Lists!$K81&lt;&gt;"Cybersecurity"),"",COUNTIFS(Lists!$K$4:'Lists'!$K81,"Cybersecurity",Lists!$J$4:'Lists'!$J81,"&lt;&gt;"))</f>
        <v/>
      </c>
      <c r="AE79" t="str">
        <f>IF('Role Requirements'!$B83="","",IF(COUNTIF('Role Requirements'!$B$6:$B83,'Role Requirements'!$B83)=1,COUNT($AE$1:AE78)+1,""))</f>
        <v/>
      </c>
    </row>
    <row r="80" spans="3:31">
      <c r="C80" t="str">
        <f>IFERROR(INDEX(Lists!$J$4:$J$143,MATCH(79,$V$2:$V$141,0)),"")</f>
        <v/>
      </c>
      <c r="E80" t="str">
        <f>IFERROR(INDEX(Lists!$J$4:$J$143,MATCH(79,$W$2:$W$141,0)),"")</f>
        <v/>
      </c>
      <c r="G80" t="str">
        <f>IFERROR(INDEX(Lists!$J$4:$J$143,MATCH(79,$X$2:$X$141,0)),"")</f>
        <v/>
      </c>
      <c r="I80" t="str">
        <f>IFERROR(INDEX(Lists!$J$4:$J$143,MATCH(79,$Y$2:$Y$141,0)),"")</f>
        <v/>
      </c>
      <c r="K80" t="str">
        <f>IFERROR(INDEX(Lists!$J$4:$J$143,MATCH(79,$Z$2:$Z$141,0)),"")</f>
        <v/>
      </c>
      <c r="M80" t="str">
        <f>IFERROR(INDEX(Lists!$J$4:$J$143,MATCH(79,$AA$2:$AA$141,0)),"")</f>
        <v/>
      </c>
      <c r="O80" t="str">
        <f>IFERROR(INDEX(Lists!$J$4:$J$143,MATCH(79,$AB$2:$AB$141,0)),"")</f>
        <v/>
      </c>
      <c r="Q80" t="str">
        <f>IFERROR(INDEX(Lists!$J$4:$J$143,MATCH(79,$AC$2:$AC$141,0)),"")</f>
        <v/>
      </c>
      <c r="S80" t="str">
        <f>IFERROR(INDEX(Lists!$J$4:$J$143,MATCH(79,$AD$2:$AD$141,0)),"")</f>
        <v/>
      </c>
      <c r="U80" t="str">
        <f>IFERROR(INDEX('Role Requirements'!$B$6:$B$400,MATCH(79,$AE$2:$AE$396,0)),"")</f>
        <v/>
      </c>
      <c r="V80" t="str">
        <f>IF(OR(Lists!$J82="",Lists!$K82&lt;&gt;"Customer Support"),"",COUNTIFS(Lists!$K$4:'Lists'!$K82,"Customer Support",Lists!$J$4:'Lists'!$J82,"&lt;&gt;"))</f>
        <v/>
      </c>
      <c r="W80" t="str">
        <f>IF(OR(Lists!$J82="",Lists!$K82&lt;&gt;"Platform Operations"),"",COUNTIFS(Lists!$K$4:'Lists'!$K82,"Platform Operations",Lists!$J$4:'Lists'!$J82,"&lt;&gt;"))</f>
        <v/>
      </c>
      <c r="X80" t="str">
        <f>IF(OR(Lists!$J82="",Lists!$K82&lt;&gt;"Software Engineering"),"",COUNTIFS(Lists!$K$4:'Lists'!$K82,"Software Engineering",Lists!$J$4:'Lists'!$J82,"&lt;&gt;"))</f>
        <v/>
      </c>
      <c r="Y80" t="str">
        <f>IF(OR(Lists!$J82="",Lists!$K82&lt;&gt;"IT Operations"),"",COUNTIFS(Lists!$K$4:'Lists'!$K82,"IT Operations",Lists!$J$4:'Lists'!$J82,"&lt;&gt;"))</f>
        <v/>
      </c>
      <c r="Z80" t="str">
        <f>IF(OR(Lists!$J82="",Lists!$K82&lt;&gt;"Quality Assurance"),"",COUNTIFS(Lists!$K$4:'Lists'!$K82,"Quality Assurance",Lists!$J$4:'Lists'!$J82,"&lt;&gt;"))</f>
        <v/>
      </c>
      <c r="AA80" t="str">
        <f>IF(OR(Lists!$J82="",Lists!$K82&lt;&gt;"Compliance &amp; Core Training"),"",COUNTIFS(Lists!$K$4:'Lists'!$K82,"Compliance &amp; Core Training",Lists!$J$4:'Lists'!$J82,"&lt;&gt;"))</f>
        <v/>
      </c>
      <c r="AB80" t="str">
        <f>IF(OR(Lists!$J82="",Lists!$K82&lt;&gt;"Cloud &amp; Reliability"),"",COUNTIFS(Lists!$K$4:'Lists'!$K82,"Cloud &amp; Reliability",Lists!$J$4:'Lists'!$J82,"&lt;&gt;"))</f>
        <v/>
      </c>
      <c r="AC80">
        <f>IF(OR(Lists!$J82="",Lists!$K82&lt;&gt;"Data &amp; Analytics"),"",COUNTIFS(Lists!$K$4:'Lists'!$K82,"Data &amp; Analytics",Lists!$J$4:'Lists'!$J82,"&lt;&gt;"))</f>
        <v>8</v>
      </c>
      <c r="AD80" t="str">
        <f>IF(OR(Lists!$J82="",Lists!$K82&lt;&gt;"Cybersecurity"),"",COUNTIFS(Lists!$K$4:'Lists'!$K82,"Cybersecurity",Lists!$J$4:'Lists'!$J82,"&lt;&gt;"))</f>
        <v/>
      </c>
      <c r="AE80" t="str">
        <f>IF('Role Requirements'!$B84="","",IF(COUNTIF('Role Requirements'!$B$6:$B84,'Role Requirements'!$B84)=1,COUNT($AE$1:AE79)+1,""))</f>
        <v/>
      </c>
    </row>
    <row r="81" spans="3:31">
      <c r="C81" t="str">
        <f>IFERROR(INDEX(Lists!$J$4:$J$143,MATCH(80,$V$2:$V$141,0)),"")</f>
        <v/>
      </c>
      <c r="E81" t="str">
        <f>IFERROR(INDEX(Lists!$J$4:$J$143,MATCH(80,$W$2:$W$141,0)),"")</f>
        <v/>
      </c>
      <c r="G81" t="str">
        <f>IFERROR(INDEX(Lists!$J$4:$J$143,MATCH(80,$X$2:$X$141,0)),"")</f>
        <v/>
      </c>
      <c r="I81" t="str">
        <f>IFERROR(INDEX(Lists!$J$4:$J$143,MATCH(80,$Y$2:$Y$141,0)),"")</f>
        <v/>
      </c>
      <c r="K81" t="str">
        <f>IFERROR(INDEX(Lists!$J$4:$J$143,MATCH(80,$Z$2:$Z$141,0)),"")</f>
        <v/>
      </c>
      <c r="M81" t="str">
        <f>IFERROR(INDEX(Lists!$J$4:$J$143,MATCH(80,$AA$2:$AA$141,0)),"")</f>
        <v/>
      </c>
      <c r="O81" t="str">
        <f>IFERROR(INDEX(Lists!$J$4:$J$143,MATCH(80,$AB$2:$AB$141,0)),"")</f>
        <v/>
      </c>
      <c r="Q81" t="str">
        <f>IFERROR(INDEX(Lists!$J$4:$J$143,MATCH(80,$AC$2:$AC$141,0)),"")</f>
        <v/>
      </c>
      <c r="S81" t="str">
        <f>IFERROR(INDEX(Lists!$J$4:$J$143,MATCH(80,$AD$2:$AD$141,0)),"")</f>
        <v/>
      </c>
      <c r="U81" t="str">
        <f>IFERROR(INDEX('Role Requirements'!$B$6:$B$400,MATCH(80,$AE$2:$AE$396,0)),"")</f>
        <v/>
      </c>
      <c r="V81" t="str">
        <f>IF(OR(Lists!$J83="",Lists!$K83&lt;&gt;"Customer Support"),"",COUNTIFS(Lists!$K$4:'Lists'!$K83,"Customer Support",Lists!$J$4:'Lists'!$J83,"&lt;&gt;"))</f>
        <v/>
      </c>
      <c r="W81" t="str">
        <f>IF(OR(Lists!$J83="",Lists!$K83&lt;&gt;"Platform Operations"),"",COUNTIFS(Lists!$K$4:'Lists'!$K83,"Platform Operations",Lists!$J$4:'Lists'!$J83,"&lt;&gt;"))</f>
        <v/>
      </c>
      <c r="X81" t="str">
        <f>IF(OR(Lists!$J83="",Lists!$K83&lt;&gt;"Software Engineering"),"",COUNTIFS(Lists!$K$4:'Lists'!$K83,"Software Engineering",Lists!$J$4:'Lists'!$J83,"&lt;&gt;"))</f>
        <v/>
      </c>
      <c r="Y81" t="str">
        <f>IF(OR(Lists!$J83="",Lists!$K83&lt;&gt;"IT Operations"),"",COUNTIFS(Lists!$K$4:'Lists'!$K83,"IT Operations",Lists!$J$4:'Lists'!$J83,"&lt;&gt;"))</f>
        <v/>
      </c>
      <c r="Z81" t="str">
        <f>IF(OR(Lists!$J83="",Lists!$K83&lt;&gt;"Quality Assurance"),"",COUNTIFS(Lists!$K$4:'Lists'!$K83,"Quality Assurance",Lists!$J$4:'Lists'!$J83,"&lt;&gt;"))</f>
        <v/>
      </c>
      <c r="AA81" t="str">
        <f>IF(OR(Lists!$J83="",Lists!$K83&lt;&gt;"Compliance &amp; Core Training"),"",COUNTIFS(Lists!$K$4:'Lists'!$K83,"Compliance &amp; Core Training",Lists!$J$4:'Lists'!$J83,"&lt;&gt;"))</f>
        <v/>
      </c>
      <c r="AB81" t="str">
        <f>IF(OR(Lists!$J83="",Lists!$K83&lt;&gt;"Cloud &amp; Reliability"),"",COUNTIFS(Lists!$K$4:'Lists'!$K83,"Cloud &amp; Reliability",Lists!$J$4:'Lists'!$J83,"&lt;&gt;"))</f>
        <v/>
      </c>
      <c r="AC81">
        <f>IF(OR(Lists!$J83="",Lists!$K83&lt;&gt;"Data &amp; Analytics"),"",COUNTIFS(Lists!$K$4:'Lists'!$K83,"Data &amp; Analytics",Lists!$J$4:'Lists'!$J83,"&lt;&gt;"))</f>
        <v>9</v>
      </c>
      <c r="AD81" t="str">
        <f>IF(OR(Lists!$J83="",Lists!$K83&lt;&gt;"Cybersecurity"),"",COUNTIFS(Lists!$K$4:'Lists'!$K83,"Cybersecurity",Lists!$J$4:'Lists'!$J83,"&lt;&gt;"))</f>
        <v/>
      </c>
      <c r="AE81" t="str">
        <f>IF('Role Requirements'!$B85="","",IF(COUNTIF('Role Requirements'!$B$6:$B85,'Role Requirements'!$B85)=1,COUNT($AE$1:AE80)+1,""))</f>
        <v/>
      </c>
    </row>
    <row r="82" spans="3:31">
      <c r="C82" t="str">
        <f>IFERROR(INDEX(Lists!$J$4:$J$143,MATCH(81,$V$2:$V$141,0)),"")</f>
        <v/>
      </c>
      <c r="E82" t="str">
        <f>IFERROR(INDEX(Lists!$J$4:$J$143,MATCH(81,$W$2:$W$141,0)),"")</f>
        <v/>
      </c>
      <c r="G82" t="str">
        <f>IFERROR(INDEX(Lists!$J$4:$J$143,MATCH(81,$X$2:$X$141,0)),"")</f>
        <v/>
      </c>
      <c r="I82" t="str">
        <f>IFERROR(INDEX(Lists!$J$4:$J$143,MATCH(81,$Y$2:$Y$141,0)),"")</f>
        <v/>
      </c>
      <c r="K82" t="str">
        <f>IFERROR(INDEX(Lists!$J$4:$J$143,MATCH(81,$Z$2:$Z$141,0)),"")</f>
        <v/>
      </c>
      <c r="M82" t="str">
        <f>IFERROR(INDEX(Lists!$J$4:$J$143,MATCH(81,$AA$2:$AA$141,0)),"")</f>
        <v/>
      </c>
      <c r="O82" t="str">
        <f>IFERROR(INDEX(Lists!$J$4:$J$143,MATCH(81,$AB$2:$AB$141,0)),"")</f>
        <v/>
      </c>
      <c r="Q82" t="str">
        <f>IFERROR(INDEX(Lists!$J$4:$J$143,MATCH(81,$AC$2:$AC$141,0)),"")</f>
        <v/>
      </c>
      <c r="S82" t="str">
        <f>IFERROR(INDEX(Lists!$J$4:$J$143,MATCH(81,$AD$2:$AD$141,0)),"")</f>
        <v/>
      </c>
      <c r="U82" t="str">
        <f>IFERROR(INDEX('Role Requirements'!$B$6:$B$400,MATCH(81,$AE$2:$AE$396,0)),"")</f>
        <v/>
      </c>
      <c r="V82" t="str">
        <f>IF(OR(Lists!$J84="",Lists!$K84&lt;&gt;"Customer Support"),"",COUNTIFS(Lists!$K$4:'Lists'!$K84,"Customer Support",Lists!$J$4:'Lists'!$J84,"&lt;&gt;"))</f>
        <v/>
      </c>
      <c r="W82" t="str">
        <f>IF(OR(Lists!$J84="",Lists!$K84&lt;&gt;"Platform Operations"),"",COUNTIFS(Lists!$K$4:'Lists'!$K84,"Platform Operations",Lists!$J$4:'Lists'!$J84,"&lt;&gt;"))</f>
        <v/>
      </c>
      <c r="X82" t="str">
        <f>IF(OR(Lists!$J84="",Lists!$K84&lt;&gt;"Software Engineering"),"",COUNTIFS(Lists!$K$4:'Lists'!$K84,"Software Engineering",Lists!$J$4:'Lists'!$J84,"&lt;&gt;"))</f>
        <v/>
      </c>
      <c r="Y82" t="str">
        <f>IF(OR(Lists!$J84="",Lists!$K84&lt;&gt;"IT Operations"),"",COUNTIFS(Lists!$K$4:'Lists'!$K84,"IT Operations",Lists!$J$4:'Lists'!$J84,"&lt;&gt;"))</f>
        <v/>
      </c>
      <c r="Z82" t="str">
        <f>IF(OR(Lists!$J84="",Lists!$K84&lt;&gt;"Quality Assurance"),"",COUNTIFS(Lists!$K$4:'Lists'!$K84,"Quality Assurance",Lists!$J$4:'Lists'!$J84,"&lt;&gt;"))</f>
        <v/>
      </c>
      <c r="AA82" t="str">
        <f>IF(OR(Lists!$J84="",Lists!$K84&lt;&gt;"Compliance &amp; Core Training"),"",COUNTIFS(Lists!$K$4:'Lists'!$K84,"Compliance &amp; Core Training",Lists!$J$4:'Lists'!$J84,"&lt;&gt;"))</f>
        <v/>
      </c>
      <c r="AB82" t="str">
        <f>IF(OR(Lists!$J84="",Lists!$K84&lt;&gt;"Cloud &amp; Reliability"),"",COUNTIFS(Lists!$K$4:'Lists'!$K84,"Cloud &amp; Reliability",Lists!$J$4:'Lists'!$J84,"&lt;&gt;"))</f>
        <v/>
      </c>
      <c r="AC82" t="str">
        <f>IF(OR(Lists!$J84="",Lists!$K84&lt;&gt;"Data &amp; Analytics"),"",COUNTIFS(Lists!$K$4:'Lists'!$K84,"Data &amp; Analytics",Lists!$J$4:'Lists'!$J84,"&lt;&gt;"))</f>
        <v/>
      </c>
      <c r="AD82">
        <f>IF(OR(Lists!$J84="",Lists!$K84&lt;&gt;"Cybersecurity"),"",COUNTIFS(Lists!$K$4:'Lists'!$K84,"Cybersecurity",Lists!$J$4:'Lists'!$J84,"&lt;&gt;"))</f>
        <v>1</v>
      </c>
      <c r="AE82" t="str">
        <f>IF('Role Requirements'!$B86="","",IF(COUNTIF('Role Requirements'!$B$6:$B86,'Role Requirements'!$B86)=1,COUNT($AE$1:AE81)+1,""))</f>
        <v/>
      </c>
    </row>
    <row r="83" spans="3:31">
      <c r="C83" t="str">
        <f>IFERROR(INDEX(Lists!$J$4:$J$143,MATCH(82,$V$2:$V$141,0)),"")</f>
        <v/>
      </c>
      <c r="E83" t="str">
        <f>IFERROR(INDEX(Lists!$J$4:$J$143,MATCH(82,$W$2:$W$141,0)),"")</f>
        <v/>
      </c>
      <c r="G83" t="str">
        <f>IFERROR(INDEX(Lists!$J$4:$J$143,MATCH(82,$X$2:$X$141,0)),"")</f>
        <v/>
      </c>
      <c r="I83" t="str">
        <f>IFERROR(INDEX(Lists!$J$4:$J$143,MATCH(82,$Y$2:$Y$141,0)),"")</f>
        <v/>
      </c>
      <c r="K83" t="str">
        <f>IFERROR(INDEX(Lists!$J$4:$J$143,MATCH(82,$Z$2:$Z$141,0)),"")</f>
        <v/>
      </c>
      <c r="M83" t="str">
        <f>IFERROR(INDEX(Lists!$J$4:$J$143,MATCH(82,$AA$2:$AA$141,0)),"")</f>
        <v/>
      </c>
      <c r="O83" t="str">
        <f>IFERROR(INDEX(Lists!$J$4:$J$143,MATCH(82,$AB$2:$AB$141,0)),"")</f>
        <v/>
      </c>
      <c r="Q83" t="str">
        <f>IFERROR(INDEX(Lists!$J$4:$J$143,MATCH(82,$AC$2:$AC$141,0)),"")</f>
        <v/>
      </c>
      <c r="S83" t="str">
        <f>IFERROR(INDEX(Lists!$J$4:$J$143,MATCH(82,$AD$2:$AD$141,0)),"")</f>
        <v/>
      </c>
      <c r="U83" t="str">
        <f>IFERROR(INDEX('Role Requirements'!$B$6:$B$400,MATCH(82,$AE$2:$AE$396,0)),"")</f>
        <v/>
      </c>
      <c r="V83" t="str">
        <f>IF(OR(Lists!$J85="",Lists!$K85&lt;&gt;"Customer Support"),"",COUNTIFS(Lists!$K$4:'Lists'!$K85,"Customer Support",Lists!$J$4:'Lists'!$J85,"&lt;&gt;"))</f>
        <v/>
      </c>
      <c r="W83" t="str">
        <f>IF(OR(Lists!$J85="",Lists!$K85&lt;&gt;"Platform Operations"),"",COUNTIFS(Lists!$K$4:'Lists'!$K85,"Platform Operations",Lists!$J$4:'Lists'!$J85,"&lt;&gt;"))</f>
        <v/>
      </c>
      <c r="X83" t="str">
        <f>IF(OR(Lists!$J85="",Lists!$K85&lt;&gt;"Software Engineering"),"",COUNTIFS(Lists!$K$4:'Lists'!$K85,"Software Engineering",Lists!$J$4:'Lists'!$J85,"&lt;&gt;"))</f>
        <v/>
      </c>
      <c r="Y83" t="str">
        <f>IF(OR(Lists!$J85="",Lists!$K85&lt;&gt;"IT Operations"),"",COUNTIFS(Lists!$K$4:'Lists'!$K85,"IT Operations",Lists!$J$4:'Lists'!$J85,"&lt;&gt;"))</f>
        <v/>
      </c>
      <c r="Z83" t="str">
        <f>IF(OR(Lists!$J85="",Lists!$K85&lt;&gt;"Quality Assurance"),"",COUNTIFS(Lists!$K$4:'Lists'!$K85,"Quality Assurance",Lists!$J$4:'Lists'!$J85,"&lt;&gt;"))</f>
        <v/>
      </c>
      <c r="AA83" t="str">
        <f>IF(OR(Lists!$J85="",Lists!$K85&lt;&gt;"Compliance &amp; Core Training"),"",COUNTIFS(Lists!$K$4:'Lists'!$K85,"Compliance &amp; Core Training",Lists!$J$4:'Lists'!$J85,"&lt;&gt;"))</f>
        <v/>
      </c>
      <c r="AB83" t="str">
        <f>IF(OR(Lists!$J85="",Lists!$K85&lt;&gt;"Cloud &amp; Reliability"),"",COUNTIFS(Lists!$K$4:'Lists'!$K85,"Cloud &amp; Reliability",Lists!$J$4:'Lists'!$J85,"&lt;&gt;"))</f>
        <v/>
      </c>
      <c r="AC83" t="str">
        <f>IF(OR(Lists!$J85="",Lists!$K85&lt;&gt;"Data &amp; Analytics"),"",COUNTIFS(Lists!$K$4:'Lists'!$K85,"Data &amp; Analytics",Lists!$J$4:'Lists'!$J85,"&lt;&gt;"))</f>
        <v/>
      </c>
      <c r="AD83">
        <f>IF(OR(Lists!$J85="",Lists!$K85&lt;&gt;"Cybersecurity"),"",COUNTIFS(Lists!$K$4:'Lists'!$K85,"Cybersecurity",Lists!$J$4:'Lists'!$J85,"&lt;&gt;"))</f>
        <v>2</v>
      </c>
      <c r="AE83" t="str">
        <f>IF('Role Requirements'!$B87="","",IF(COUNTIF('Role Requirements'!$B$6:$B87,'Role Requirements'!$B87)=1,COUNT($AE$1:AE82)+1,""))</f>
        <v/>
      </c>
    </row>
    <row r="84" spans="3:31">
      <c r="C84" t="str">
        <f>IFERROR(INDEX(Lists!$J$4:$J$143,MATCH(83,$V$2:$V$141,0)),"")</f>
        <v/>
      </c>
      <c r="E84" t="str">
        <f>IFERROR(INDEX(Lists!$J$4:$J$143,MATCH(83,$W$2:$W$141,0)),"")</f>
        <v/>
      </c>
      <c r="G84" t="str">
        <f>IFERROR(INDEX(Lists!$J$4:$J$143,MATCH(83,$X$2:$X$141,0)),"")</f>
        <v/>
      </c>
      <c r="I84" t="str">
        <f>IFERROR(INDEX(Lists!$J$4:$J$143,MATCH(83,$Y$2:$Y$141,0)),"")</f>
        <v/>
      </c>
      <c r="K84" t="str">
        <f>IFERROR(INDEX(Lists!$J$4:$J$143,MATCH(83,$Z$2:$Z$141,0)),"")</f>
        <v/>
      </c>
      <c r="M84" t="str">
        <f>IFERROR(INDEX(Lists!$J$4:$J$143,MATCH(83,$AA$2:$AA$141,0)),"")</f>
        <v/>
      </c>
      <c r="O84" t="str">
        <f>IFERROR(INDEX(Lists!$J$4:$J$143,MATCH(83,$AB$2:$AB$141,0)),"")</f>
        <v/>
      </c>
      <c r="Q84" t="str">
        <f>IFERROR(INDEX(Lists!$J$4:$J$143,MATCH(83,$AC$2:$AC$141,0)),"")</f>
        <v/>
      </c>
      <c r="S84" t="str">
        <f>IFERROR(INDEX(Lists!$J$4:$J$143,MATCH(83,$AD$2:$AD$141,0)),"")</f>
        <v/>
      </c>
      <c r="U84" t="str">
        <f>IFERROR(INDEX('Role Requirements'!$B$6:$B$400,MATCH(83,$AE$2:$AE$396,0)),"")</f>
        <v/>
      </c>
      <c r="V84" t="str">
        <f>IF(OR(Lists!$J86="",Lists!$K86&lt;&gt;"Customer Support"),"",COUNTIFS(Lists!$K$4:'Lists'!$K86,"Customer Support",Lists!$J$4:'Lists'!$J86,"&lt;&gt;"))</f>
        <v/>
      </c>
      <c r="W84" t="str">
        <f>IF(OR(Lists!$J86="",Lists!$K86&lt;&gt;"Platform Operations"),"",COUNTIFS(Lists!$K$4:'Lists'!$K86,"Platform Operations",Lists!$J$4:'Lists'!$J86,"&lt;&gt;"))</f>
        <v/>
      </c>
      <c r="X84" t="str">
        <f>IF(OR(Lists!$J86="",Lists!$K86&lt;&gt;"Software Engineering"),"",COUNTIFS(Lists!$K$4:'Lists'!$K86,"Software Engineering",Lists!$J$4:'Lists'!$J86,"&lt;&gt;"))</f>
        <v/>
      </c>
      <c r="Y84" t="str">
        <f>IF(OR(Lists!$J86="",Lists!$K86&lt;&gt;"IT Operations"),"",COUNTIFS(Lists!$K$4:'Lists'!$K86,"IT Operations",Lists!$J$4:'Lists'!$J86,"&lt;&gt;"))</f>
        <v/>
      </c>
      <c r="Z84" t="str">
        <f>IF(OR(Lists!$J86="",Lists!$K86&lt;&gt;"Quality Assurance"),"",COUNTIFS(Lists!$K$4:'Lists'!$K86,"Quality Assurance",Lists!$J$4:'Lists'!$J86,"&lt;&gt;"))</f>
        <v/>
      </c>
      <c r="AA84" t="str">
        <f>IF(OR(Lists!$J86="",Lists!$K86&lt;&gt;"Compliance &amp; Core Training"),"",COUNTIFS(Lists!$K$4:'Lists'!$K86,"Compliance &amp; Core Training",Lists!$J$4:'Lists'!$J86,"&lt;&gt;"))</f>
        <v/>
      </c>
      <c r="AB84" t="str">
        <f>IF(OR(Lists!$J86="",Lists!$K86&lt;&gt;"Cloud &amp; Reliability"),"",COUNTIFS(Lists!$K$4:'Lists'!$K86,"Cloud &amp; Reliability",Lists!$J$4:'Lists'!$J86,"&lt;&gt;"))</f>
        <v/>
      </c>
      <c r="AC84" t="str">
        <f>IF(OR(Lists!$J86="",Lists!$K86&lt;&gt;"Data &amp; Analytics"),"",COUNTIFS(Lists!$K$4:'Lists'!$K86,"Data &amp; Analytics",Lists!$J$4:'Lists'!$J86,"&lt;&gt;"))</f>
        <v/>
      </c>
      <c r="AD84">
        <f>IF(OR(Lists!$J86="",Lists!$K86&lt;&gt;"Cybersecurity"),"",COUNTIFS(Lists!$K$4:'Lists'!$K86,"Cybersecurity",Lists!$J$4:'Lists'!$J86,"&lt;&gt;"))</f>
        <v>3</v>
      </c>
      <c r="AE84" t="str">
        <f>IF('Role Requirements'!$B88="","",IF(COUNTIF('Role Requirements'!$B$6:$B88,'Role Requirements'!$B88)=1,COUNT($AE$1:AE83)+1,""))</f>
        <v/>
      </c>
    </row>
    <row r="85" spans="3:31">
      <c r="C85" t="str">
        <f>IFERROR(INDEX(Lists!$J$4:$J$143,MATCH(84,$V$2:$V$141,0)),"")</f>
        <v/>
      </c>
      <c r="E85" t="str">
        <f>IFERROR(INDEX(Lists!$J$4:$J$143,MATCH(84,$W$2:$W$141,0)),"")</f>
        <v/>
      </c>
      <c r="G85" t="str">
        <f>IFERROR(INDEX(Lists!$J$4:$J$143,MATCH(84,$X$2:$X$141,0)),"")</f>
        <v/>
      </c>
      <c r="I85" t="str">
        <f>IFERROR(INDEX(Lists!$J$4:$J$143,MATCH(84,$Y$2:$Y$141,0)),"")</f>
        <v/>
      </c>
      <c r="K85" t="str">
        <f>IFERROR(INDEX(Lists!$J$4:$J$143,MATCH(84,$Z$2:$Z$141,0)),"")</f>
        <v/>
      </c>
      <c r="M85" t="str">
        <f>IFERROR(INDEX(Lists!$J$4:$J$143,MATCH(84,$AA$2:$AA$141,0)),"")</f>
        <v/>
      </c>
      <c r="O85" t="str">
        <f>IFERROR(INDEX(Lists!$J$4:$J$143,MATCH(84,$AB$2:$AB$141,0)),"")</f>
        <v/>
      </c>
      <c r="Q85" t="str">
        <f>IFERROR(INDEX(Lists!$J$4:$J$143,MATCH(84,$AC$2:$AC$141,0)),"")</f>
        <v/>
      </c>
      <c r="S85" t="str">
        <f>IFERROR(INDEX(Lists!$J$4:$J$143,MATCH(84,$AD$2:$AD$141,0)),"")</f>
        <v/>
      </c>
      <c r="U85" t="str">
        <f>IFERROR(INDEX('Role Requirements'!$B$6:$B$400,MATCH(84,$AE$2:$AE$396,0)),"")</f>
        <v/>
      </c>
      <c r="V85" t="str">
        <f>IF(OR(Lists!$J87="",Lists!$K87&lt;&gt;"Customer Support"),"",COUNTIFS(Lists!$K$4:'Lists'!$K87,"Customer Support",Lists!$J$4:'Lists'!$J87,"&lt;&gt;"))</f>
        <v/>
      </c>
      <c r="W85" t="str">
        <f>IF(OR(Lists!$J87="",Lists!$K87&lt;&gt;"Platform Operations"),"",COUNTIFS(Lists!$K$4:'Lists'!$K87,"Platform Operations",Lists!$J$4:'Lists'!$J87,"&lt;&gt;"))</f>
        <v/>
      </c>
      <c r="X85" t="str">
        <f>IF(OR(Lists!$J87="",Lists!$K87&lt;&gt;"Software Engineering"),"",COUNTIFS(Lists!$K$4:'Lists'!$K87,"Software Engineering",Lists!$J$4:'Lists'!$J87,"&lt;&gt;"))</f>
        <v/>
      </c>
      <c r="Y85" t="str">
        <f>IF(OR(Lists!$J87="",Lists!$K87&lt;&gt;"IT Operations"),"",COUNTIFS(Lists!$K$4:'Lists'!$K87,"IT Operations",Lists!$J$4:'Lists'!$J87,"&lt;&gt;"))</f>
        <v/>
      </c>
      <c r="Z85" t="str">
        <f>IF(OR(Lists!$J87="",Lists!$K87&lt;&gt;"Quality Assurance"),"",COUNTIFS(Lists!$K$4:'Lists'!$K87,"Quality Assurance",Lists!$J$4:'Lists'!$J87,"&lt;&gt;"))</f>
        <v/>
      </c>
      <c r="AA85" t="str">
        <f>IF(OR(Lists!$J87="",Lists!$K87&lt;&gt;"Compliance &amp; Core Training"),"",COUNTIFS(Lists!$K$4:'Lists'!$K87,"Compliance &amp; Core Training",Lists!$J$4:'Lists'!$J87,"&lt;&gt;"))</f>
        <v/>
      </c>
      <c r="AB85" t="str">
        <f>IF(OR(Lists!$J87="",Lists!$K87&lt;&gt;"Cloud &amp; Reliability"),"",COUNTIFS(Lists!$K$4:'Lists'!$K87,"Cloud &amp; Reliability",Lists!$J$4:'Lists'!$J87,"&lt;&gt;"))</f>
        <v/>
      </c>
      <c r="AC85" t="str">
        <f>IF(OR(Lists!$J87="",Lists!$K87&lt;&gt;"Data &amp; Analytics"),"",COUNTIFS(Lists!$K$4:'Lists'!$K87,"Data &amp; Analytics",Lists!$J$4:'Lists'!$J87,"&lt;&gt;"))</f>
        <v/>
      </c>
      <c r="AD85">
        <f>IF(OR(Lists!$J87="",Lists!$K87&lt;&gt;"Cybersecurity"),"",COUNTIFS(Lists!$K$4:'Lists'!$K87,"Cybersecurity",Lists!$J$4:'Lists'!$J87,"&lt;&gt;"))</f>
        <v>4</v>
      </c>
      <c r="AE85" t="str">
        <f>IF('Role Requirements'!$B89="","",IF(COUNTIF('Role Requirements'!$B$6:$B89,'Role Requirements'!$B89)=1,COUNT($AE$1:AE84)+1,""))</f>
        <v/>
      </c>
    </row>
    <row r="86" spans="3:31">
      <c r="C86" t="str">
        <f>IFERROR(INDEX(Lists!$J$4:$J$143,MATCH(85,$V$2:$V$141,0)),"")</f>
        <v/>
      </c>
      <c r="E86" t="str">
        <f>IFERROR(INDEX(Lists!$J$4:$J$143,MATCH(85,$W$2:$W$141,0)),"")</f>
        <v/>
      </c>
      <c r="G86" t="str">
        <f>IFERROR(INDEX(Lists!$J$4:$J$143,MATCH(85,$X$2:$X$141,0)),"")</f>
        <v/>
      </c>
      <c r="I86" t="str">
        <f>IFERROR(INDEX(Lists!$J$4:$J$143,MATCH(85,$Y$2:$Y$141,0)),"")</f>
        <v/>
      </c>
      <c r="K86" t="str">
        <f>IFERROR(INDEX(Lists!$J$4:$J$143,MATCH(85,$Z$2:$Z$141,0)),"")</f>
        <v/>
      </c>
      <c r="M86" t="str">
        <f>IFERROR(INDEX(Lists!$J$4:$J$143,MATCH(85,$AA$2:$AA$141,0)),"")</f>
        <v/>
      </c>
      <c r="O86" t="str">
        <f>IFERROR(INDEX(Lists!$J$4:$J$143,MATCH(85,$AB$2:$AB$141,0)),"")</f>
        <v/>
      </c>
      <c r="Q86" t="str">
        <f>IFERROR(INDEX(Lists!$J$4:$J$143,MATCH(85,$AC$2:$AC$141,0)),"")</f>
        <v/>
      </c>
      <c r="S86" t="str">
        <f>IFERROR(INDEX(Lists!$J$4:$J$143,MATCH(85,$AD$2:$AD$141,0)),"")</f>
        <v/>
      </c>
      <c r="U86" t="str">
        <f>IFERROR(INDEX('Role Requirements'!$B$6:$B$400,MATCH(85,$AE$2:$AE$396,0)),"")</f>
        <v/>
      </c>
      <c r="V86" t="str">
        <f>IF(OR(Lists!$J88="",Lists!$K88&lt;&gt;"Customer Support"),"",COUNTIFS(Lists!$K$4:'Lists'!$K88,"Customer Support",Lists!$J$4:'Lists'!$J88,"&lt;&gt;"))</f>
        <v/>
      </c>
      <c r="W86" t="str">
        <f>IF(OR(Lists!$J88="",Lists!$K88&lt;&gt;"Platform Operations"),"",COUNTIFS(Lists!$K$4:'Lists'!$K88,"Platform Operations",Lists!$J$4:'Lists'!$J88,"&lt;&gt;"))</f>
        <v/>
      </c>
      <c r="X86" t="str">
        <f>IF(OR(Lists!$J88="",Lists!$K88&lt;&gt;"Software Engineering"),"",COUNTIFS(Lists!$K$4:'Lists'!$K88,"Software Engineering",Lists!$J$4:'Lists'!$J88,"&lt;&gt;"))</f>
        <v/>
      </c>
      <c r="Y86" t="str">
        <f>IF(OR(Lists!$J88="",Lists!$K88&lt;&gt;"IT Operations"),"",COUNTIFS(Lists!$K$4:'Lists'!$K88,"IT Operations",Lists!$J$4:'Lists'!$J88,"&lt;&gt;"))</f>
        <v/>
      </c>
      <c r="Z86" t="str">
        <f>IF(OR(Lists!$J88="",Lists!$K88&lt;&gt;"Quality Assurance"),"",COUNTIFS(Lists!$K$4:'Lists'!$K88,"Quality Assurance",Lists!$J$4:'Lists'!$J88,"&lt;&gt;"))</f>
        <v/>
      </c>
      <c r="AA86" t="str">
        <f>IF(OR(Lists!$J88="",Lists!$K88&lt;&gt;"Compliance &amp; Core Training"),"",COUNTIFS(Lists!$K$4:'Lists'!$K88,"Compliance &amp; Core Training",Lists!$J$4:'Lists'!$J88,"&lt;&gt;"))</f>
        <v/>
      </c>
      <c r="AB86" t="str">
        <f>IF(OR(Lists!$J88="",Lists!$K88&lt;&gt;"Cloud &amp; Reliability"),"",COUNTIFS(Lists!$K$4:'Lists'!$K88,"Cloud &amp; Reliability",Lists!$J$4:'Lists'!$J88,"&lt;&gt;"))</f>
        <v/>
      </c>
      <c r="AC86" t="str">
        <f>IF(OR(Lists!$J88="",Lists!$K88&lt;&gt;"Data &amp; Analytics"),"",COUNTIFS(Lists!$K$4:'Lists'!$K88,"Data &amp; Analytics",Lists!$J$4:'Lists'!$J88,"&lt;&gt;"))</f>
        <v/>
      </c>
      <c r="AD86">
        <f>IF(OR(Lists!$J88="",Lists!$K88&lt;&gt;"Cybersecurity"),"",COUNTIFS(Lists!$K$4:'Lists'!$K88,"Cybersecurity",Lists!$J$4:'Lists'!$J88,"&lt;&gt;"))</f>
        <v>5</v>
      </c>
      <c r="AE86" t="str">
        <f>IF('Role Requirements'!$B90="","",IF(COUNTIF('Role Requirements'!$B$6:$B90,'Role Requirements'!$B90)=1,COUNT($AE$1:AE85)+1,""))</f>
        <v/>
      </c>
    </row>
    <row r="87" spans="3:31">
      <c r="C87" t="str">
        <f>IFERROR(INDEX(Lists!$J$4:$J$143,MATCH(86,$V$2:$V$141,0)),"")</f>
        <v/>
      </c>
      <c r="E87" t="str">
        <f>IFERROR(INDEX(Lists!$J$4:$J$143,MATCH(86,$W$2:$W$141,0)),"")</f>
        <v/>
      </c>
      <c r="G87" t="str">
        <f>IFERROR(INDEX(Lists!$J$4:$J$143,MATCH(86,$X$2:$X$141,0)),"")</f>
        <v/>
      </c>
      <c r="I87" t="str">
        <f>IFERROR(INDEX(Lists!$J$4:$J$143,MATCH(86,$Y$2:$Y$141,0)),"")</f>
        <v/>
      </c>
      <c r="K87" t="str">
        <f>IFERROR(INDEX(Lists!$J$4:$J$143,MATCH(86,$Z$2:$Z$141,0)),"")</f>
        <v/>
      </c>
      <c r="M87" t="str">
        <f>IFERROR(INDEX(Lists!$J$4:$J$143,MATCH(86,$AA$2:$AA$141,0)),"")</f>
        <v/>
      </c>
      <c r="O87" t="str">
        <f>IFERROR(INDEX(Lists!$J$4:$J$143,MATCH(86,$AB$2:$AB$141,0)),"")</f>
        <v/>
      </c>
      <c r="Q87" t="str">
        <f>IFERROR(INDEX(Lists!$J$4:$J$143,MATCH(86,$AC$2:$AC$141,0)),"")</f>
        <v/>
      </c>
      <c r="S87" t="str">
        <f>IFERROR(INDEX(Lists!$J$4:$J$143,MATCH(86,$AD$2:$AD$141,0)),"")</f>
        <v/>
      </c>
      <c r="U87" t="str">
        <f>IFERROR(INDEX('Role Requirements'!$B$6:$B$400,MATCH(86,$AE$2:$AE$396,0)),"")</f>
        <v/>
      </c>
      <c r="V87" t="str">
        <f>IF(OR(Lists!$J89="",Lists!$K89&lt;&gt;"Customer Support"),"",COUNTIFS(Lists!$K$4:'Lists'!$K89,"Customer Support",Lists!$J$4:'Lists'!$J89,"&lt;&gt;"))</f>
        <v/>
      </c>
      <c r="W87" t="str">
        <f>IF(OR(Lists!$J89="",Lists!$K89&lt;&gt;"Platform Operations"),"",COUNTIFS(Lists!$K$4:'Lists'!$K89,"Platform Operations",Lists!$J$4:'Lists'!$J89,"&lt;&gt;"))</f>
        <v/>
      </c>
      <c r="X87" t="str">
        <f>IF(OR(Lists!$J89="",Lists!$K89&lt;&gt;"Software Engineering"),"",COUNTIFS(Lists!$K$4:'Lists'!$K89,"Software Engineering",Lists!$J$4:'Lists'!$J89,"&lt;&gt;"))</f>
        <v/>
      </c>
      <c r="Y87" t="str">
        <f>IF(OR(Lists!$J89="",Lists!$K89&lt;&gt;"IT Operations"),"",COUNTIFS(Lists!$K$4:'Lists'!$K89,"IT Operations",Lists!$J$4:'Lists'!$J89,"&lt;&gt;"))</f>
        <v/>
      </c>
      <c r="Z87" t="str">
        <f>IF(OR(Lists!$J89="",Lists!$K89&lt;&gt;"Quality Assurance"),"",COUNTIFS(Lists!$K$4:'Lists'!$K89,"Quality Assurance",Lists!$J$4:'Lists'!$J89,"&lt;&gt;"))</f>
        <v/>
      </c>
      <c r="AA87" t="str">
        <f>IF(OR(Lists!$J89="",Lists!$K89&lt;&gt;"Compliance &amp; Core Training"),"",COUNTIFS(Lists!$K$4:'Lists'!$K89,"Compliance &amp; Core Training",Lists!$J$4:'Lists'!$J89,"&lt;&gt;"))</f>
        <v/>
      </c>
      <c r="AB87" t="str">
        <f>IF(OR(Lists!$J89="",Lists!$K89&lt;&gt;"Cloud &amp; Reliability"),"",COUNTIFS(Lists!$K$4:'Lists'!$K89,"Cloud &amp; Reliability",Lists!$J$4:'Lists'!$J89,"&lt;&gt;"))</f>
        <v/>
      </c>
      <c r="AC87" t="str">
        <f>IF(OR(Lists!$J89="",Lists!$K89&lt;&gt;"Data &amp; Analytics"),"",COUNTIFS(Lists!$K$4:'Lists'!$K89,"Data &amp; Analytics",Lists!$J$4:'Lists'!$J89,"&lt;&gt;"))</f>
        <v/>
      </c>
      <c r="AD87">
        <f>IF(OR(Lists!$J89="",Lists!$K89&lt;&gt;"Cybersecurity"),"",COUNTIFS(Lists!$K$4:'Lists'!$K89,"Cybersecurity",Lists!$J$4:'Lists'!$J89,"&lt;&gt;"))</f>
        <v>6</v>
      </c>
      <c r="AE87" t="str">
        <f>IF('Role Requirements'!$B91="","",IF(COUNTIF('Role Requirements'!$B$6:$B91,'Role Requirements'!$B91)=1,COUNT($AE$1:AE86)+1,""))</f>
        <v/>
      </c>
    </row>
    <row r="88" spans="3:31">
      <c r="C88" t="str">
        <f>IFERROR(INDEX(Lists!$J$4:$J$143,MATCH(87,$V$2:$V$141,0)),"")</f>
        <v/>
      </c>
      <c r="E88" t="str">
        <f>IFERROR(INDEX(Lists!$J$4:$J$143,MATCH(87,$W$2:$W$141,0)),"")</f>
        <v/>
      </c>
      <c r="G88" t="str">
        <f>IFERROR(INDEX(Lists!$J$4:$J$143,MATCH(87,$X$2:$X$141,0)),"")</f>
        <v/>
      </c>
      <c r="I88" t="str">
        <f>IFERROR(INDEX(Lists!$J$4:$J$143,MATCH(87,$Y$2:$Y$141,0)),"")</f>
        <v/>
      </c>
      <c r="K88" t="str">
        <f>IFERROR(INDEX(Lists!$J$4:$J$143,MATCH(87,$Z$2:$Z$141,0)),"")</f>
        <v/>
      </c>
      <c r="M88" t="str">
        <f>IFERROR(INDEX(Lists!$J$4:$J$143,MATCH(87,$AA$2:$AA$141,0)),"")</f>
        <v/>
      </c>
      <c r="O88" t="str">
        <f>IFERROR(INDEX(Lists!$J$4:$J$143,MATCH(87,$AB$2:$AB$141,0)),"")</f>
        <v/>
      </c>
      <c r="Q88" t="str">
        <f>IFERROR(INDEX(Lists!$J$4:$J$143,MATCH(87,$AC$2:$AC$141,0)),"")</f>
        <v/>
      </c>
      <c r="S88" t="str">
        <f>IFERROR(INDEX(Lists!$J$4:$J$143,MATCH(87,$AD$2:$AD$141,0)),"")</f>
        <v/>
      </c>
      <c r="U88" t="str">
        <f>IFERROR(INDEX('Role Requirements'!$B$6:$B$400,MATCH(87,$AE$2:$AE$396,0)),"")</f>
        <v/>
      </c>
      <c r="V88" t="str">
        <f>IF(OR(Lists!$J90="",Lists!$K90&lt;&gt;"Customer Support"),"",COUNTIFS(Lists!$K$4:'Lists'!$K90,"Customer Support",Lists!$J$4:'Lists'!$J90,"&lt;&gt;"))</f>
        <v/>
      </c>
      <c r="W88" t="str">
        <f>IF(OR(Lists!$J90="",Lists!$K90&lt;&gt;"Platform Operations"),"",COUNTIFS(Lists!$K$4:'Lists'!$K90,"Platform Operations",Lists!$J$4:'Lists'!$J90,"&lt;&gt;"))</f>
        <v/>
      </c>
      <c r="X88" t="str">
        <f>IF(OR(Lists!$J90="",Lists!$K90&lt;&gt;"Software Engineering"),"",COUNTIFS(Lists!$K$4:'Lists'!$K90,"Software Engineering",Lists!$J$4:'Lists'!$J90,"&lt;&gt;"))</f>
        <v/>
      </c>
      <c r="Y88" t="str">
        <f>IF(OR(Lists!$J90="",Lists!$K90&lt;&gt;"IT Operations"),"",COUNTIFS(Lists!$K$4:'Lists'!$K90,"IT Operations",Lists!$J$4:'Lists'!$J90,"&lt;&gt;"))</f>
        <v/>
      </c>
      <c r="Z88" t="str">
        <f>IF(OR(Lists!$J90="",Lists!$K90&lt;&gt;"Quality Assurance"),"",COUNTIFS(Lists!$K$4:'Lists'!$K90,"Quality Assurance",Lists!$J$4:'Lists'!$J90,"&lt;&gt;"))</f>
        <v/>
      </c>
      <c r="AA88" t="str">
        <f>IF(OR(Lists!$J90="",Lists!$K90&lt;&gt;"Compliance &amp; Core Training"),"",COUNTIFS(Lists!$K$4:'Lists'!$K90,"Compliance &amp; Core Training",Lists!$J$4:'Lists'!$J90,"&lt;&gt;"))</f>
        <v/>
      </c>
      <c r="AB88" t="str">
        <f>IF(OR(Lists!$J90="",Lists!$K90&lt;&gt;"Cloud &amp; Reliability"),"",COUNTIFS(Lists!$K$4:'Lists'!$K90,"Cloud &amp; Reliability",Lists!$J$4:'Lists'!$J90,"&lt;&gt;"))</f>
        <v/>
      </c>
      <c r="AC88" t="str">
        <f>IF(OR(Lists!$J90="",Lists!$K90&lt;&gt;"Data &amp; Analytics"),"",COUNTIFS(Lists!$K$4:'Lists'!$K90,"Data &amp; Analytics",Lists!$J$4:'Lists'!$J90,"&lt;&gt;"))</f>
        <v/>
      </c>
      <c r="AD88">
        <f>IF(OR(Lists!$J90="",Lists!$K90&lt;&gt;"Cybersecurity"),"",COUNTIFS(Lists!$K$4:'Lists'!$K90,"Cybersecurity",Lists!$J$4:'Lists'!$J90,"&lt;&gt;"))</f>
        <v>7</v>
      </c>
      <c r="AE88" t="str">
        <f>IF('Role Requirements'!$B92="","",IF(COUNTIF('Role Requirements'!$B$6:$B92,'Role Requirements'!$B92)=1,COUNT($AE$1:AE87)+1,""))</f>
        <v/>
      </c>
    </row>
    <row r="89" spans="3:31">
      <c r="C89" t="str">
        <f>IFERROR(INDEX(Lists!$J$4:$J$143,MATCH(88,$V$2:$V$141,0)),"")</f>
        <v/>
      </c>
      <c r="E89" t="str">
        <f>IFERROR(INDEX(Lists!$J$4:$J$143,MATCH(88,$W$2:$W$141,0)),"")</f>
        <v/>
      </c>
      <c r="G89" t="str">
        <f>IFERROR(INDEX(Lists!$J$4:$J$143,MATCH(88,$X$2:$X$141,0)),"")</f>
        <v/>
      </c>
      <c r="I89" t="str">
        <f>IFERROR(INDEX(Lists!$J$4:$J$143,MATCH(88,$Y$2:$Y$141,0)),"")</f>
        <v/>
      </c>
      <c r="K89" t="str">
        <f>IFERROR(INDEX(Lists!$J$4:$J$143,MATCH(88,$Z$2:$Z$141,0)),"")</f>
        <v/>
      </c>
      <c r="M89" t="str">
        <f>IFERROR(INDEX(Lists!$J$4:$J$143,MATCH(88,$AA$2:$AA$141,0)),"")</f>
        <v/>
      </c>
      <c r="O89" t="str">
        <f>IFERROR(INDEX(Lists!$J$4:$J$143,MATCH(88,$AB$2:$AB$141,0)),"")</f>
        <v/>
      </c>
      <c r="Q89" t="str">
        <f>IFERROR(INDEX(Lists!$J$4:$J$143,MATCH(88,$AC$2:$AC$141,0)),"")</f>
        <v/>
      </c>
      <c r="S89" t="str">
        <f>IFERROR(INDEX(Lists!$J$4:$J$143,MATCH(88,$AD$2:$AD$141,0)),"")</f>
        <v/>
      </c>
      <c r="U89" t="str">
        <f>IFERROR(INDEX('Role Requirements'!$B$6:$B$400,MATCH(88,$AE$2:$AE$396,0)),"")</f>
        <v/>
      </c>
      <c r="V89" t="str">
        <f>IF(OR(Lists!$J91="",Lists!$K91&lt;&gt;"Customer Support"),"",COUNTIFS(Lists!$K$4:'Lists'!$K91,"Customer Support",Lists!$J$4:'Lists'!$J91,"&lt;&gt;"))</f>
        <v/>
      </c>
      <c r="W89" t="str">
        <f>IF(OR(Lists!$J91="",Lists!$K91&lt;&gt;"Platform Operations"),"",COUNTIFS(Lists!$K$4:'Lists'!$K91,"Platform Operations",Lists!$J$4:'Lists'!$J91,"&lt;&gt;"))</f>
        <v/>
      </c>
      <c r="X89" t="str">
        <f>IF(OR(Lists!$J91="",Lists!$K91&lt;&gt;"Software Engineering"),"",COUNTIFS(Lists!$K$4:'Lists'!$K91,"Software Engineering",Lists!$J$4:'Lists'!$J91,"&lt;&gt;"))</f>
        <v/>
      </c>
      <c r="Y89" t="str">
        <f>IF(OR(Lists!$J91="",Lists!$K91&lt;&gt;"IT Operations"),"",COUNTIFS(Lists!$K$4:'Lists'!$K91,"IT Operations",Lists!$J$4:'Lists'!$J91,"&lt;&gt;"))</f>
        <v/>
      </c>
      <c r="Z89" t="str">
        <f>IF(OR(Lists!$J91="",Lists!$K91&lt;&gt;"Quality Assurance"),"",COUNTIFS(Lists!$K$4:'Lists'!$K91,"Quality Assurance",Lists!$J$4:'Lists'!$J91,"&lt;&gt;"))</f>
        <v/>
      </c>
      <c r="AA89" t="str">
        <f>IF(OR(Lists!$J91="",Lists!$K91&lt;&gt;"Compliance &amp; Core Training"),"",COUNTIFS(Lists!$K$4:'Lists'!$K91,"Compliance &amp; Core Training",Lists!$J$4:'Lists'!$J91,"&lt;&gt;"))</f>
        <v/>
      </c>
      <c r="AB89" t="str">
        <f>IF(OR(Lists!$J91="",Lists!$K91&lt;&gt;"Cloud &amp; Reliability"),"",COUNTIFS(Lists!$K$4:'Lists'!$K91,"Cloud &amp; Reliability",Lists!$J$4:'Lists'!$J91,"&lt;&gt;"))</f>
        <v/>
      </c>
      <c r="AC89" t="str">
        <f>IF(OR(Lists!$J91="",Lists!$K91&lt;&gt;"Data &amp; Analytics"),"",COUNTIFS(Lists!$K$4:'Lists'!$K91,"Data &amp; Analytics",Lists!$J$4:'Lists'!$J91,"&lt;&gt;"))</f>
        <v/>
      </c>
      <c r="AD89">
        <f>IF(OR(Lists!$J91="",Lists!$K91&lt;&gt;"Cybersecurity"),"",COUNTIFS(Lists!$K$4:'Lists'!$K91,"Cybersecurity",Lists!$J$4:'Lists'!$J91,"&lt;&gt;"))</f>
        <v>8</v>
      </c>
      <c r="AE89" t="str">
        <f>IF('Role Requirements'!$B93="","",IF(COUNTIF('Role Requirements'!$B$6:$B93,'Role Requirements'!$B93)=1,COUNT($AE$1:AE88)+1,""))</f>
        <v/>
      </c>
    </row>
    <row r="90" spans="3:31">
      <c r="C90" t="str">
        <f>IFERROR(INDEX(Lists!$J$4:$J$143,MATCH(89,$V$2:$V$141,0)),"")</f>
        <v/>
      </c>
      <c r="E90" t="str">
        <f>IFERROR(INDEX(Lists!$J$4:$J$143,MATCH(89,$W$2:$W$141,0)),"")</f>
        <v/>
      </c>
      <c r="G90" t="str">
        <f>IFERROR(INDEX(Lists!$J$4:$J$143,MATCH(89,$X$2:$X$141,0)),"")</f>
        <v/>
      </c>
      <c r="I90" t="str">
        <f>IFERROR(INDEX(Lists!$J$4:$J$143,MATCH(89,$Y$2:$Y$141,0)),"")</f>
        <v/>
      </c>
      <c r="K90" t="str">
        <f>IFERROR(INDEX(Lists!$J$4:$J$143,MATCH(89,$Z$2:$Z$141,0)),"")</f>
        <v/>
      </c>
      <c r="M90" t="str">
        <f>IFERROR(INDEX(Lists!$J$4:$J$143,MATCH(89,$AA$2:$AA$141,0)),"")</f>
        <v/>
      </c>
      <c r="O90" t="str">
        <f>IFERROR(INDEX(Lists!$J$4:$J$143,MATCH(89,$AB$2:$AB$141,0)),"")</f>
        <v/>
      </c>
      <c r="Q90" t="str">
        <f>IFERROR(INDEX(Lists!$J$4:$J$143,MATCH(89,$AC$2:$AC$141,0)),"")</f>
        <v/>
      </c>
      <c r="S90" t="str">
        <f>IFERROR(INDEX(Lists!$J$4:$J$143,MATCH(89,$AD$2:$AD$141,0)),"")</f>
        <v/>
      </c>
      <c r="U90" t="str">
        <f>IFERROR(INDEX('Role Requirements'!$B$6:$B$400,MATCH(89,$AE$2:$AE$396,0)),"")</f>
        <v/>
      </c>
      <c r="V90" t="str">
        <f>IF(OR(Lists!$J92="",Lists!$K92&lt;&gt;"Customer Support"),"",COUNTIFS(Lists!$K$4:'Lists'!$K92,"Customer Support",Lists!$J$4:'Lists'!$J92,"&lt;&gt;"))</f>
        <v/>
      </c>
      <c r="W90" t="str">
        <f>IF(OR(Lists!$J92="",Lists!$K92&lt;&gt;"Platform Operations"),"",COUNTIFS(Lists!$K$4:'Lists'!$K92,"Platform Operations",Lists!$J$4:'Lists'!$J92,"&lt;&gt;"))</f>
        <v/>
      </c>
      <c r="X90" t="str">
        <f>IF(OR(Lists!$J92="",Lists!$K92&lt;&gt;"Software Engineering"),"",COUNTIFS(Lists!$K$4:'Lists'!$K92,"Software Engineering",Lists!$J$4:'Lists'!$J92,"&lt;&gt;"))</f>
        <v/>
      </c>
      <c r="Y90" t="str">
        <f>IF(OR(Lists!$J92="",Lists!$K92&lt;&gt;"IT Operations"),"",COUNTIFS(Lists!$K$4:'Lists'!$K92,"IT Operations",Lists!$J$4:'Lists'!$J92,"&lt;&gt;"))</f>
        <v/>
      </c>
      <c r="Z90" t="str">
        <f>IF(OR(Lists!$J92="",Lists!$K92&lt;&gt;"Quality Assurance"),"",COUNTIFS(Lists!$K$4:'Lists'!$K92,"Quality Assurance",Lists!$J$4:'Lists'!$J92,"&lt;&gt;"))</f>
        <v/>
      </c>
      <c r="AA90" t="str">
        <f>IF(OR(Lists!$J92="",Lists!$K92&lt;&gt;"Compliance &amp; Core Training"),"",COUNTIFS(Lists!$K$4:'Lists'!$K92,"Compliance &amp; Core Training",Lists!$J$4:'Lists'!$J92,"&lt;&gt;"))</f>
        <v/>
      </c>
      <c r="AB90" t="str">
        <f>IF(OR(Lists!$J92="",Lists!$K92&lt;&gt;"Cloud &amp; Reliability"),"",COUNTIFS(Lists!$K$4:'Lists'!$K92,"Cloud &amp; Reliability",Lists!$J$4:'Lists'!$J92,"&lt;&gt;"))</f>
        <v/>
      </c>
      <c r="AC90" t="str">
        <f>IF(OR(Lists!$J92="",Lists!$K92&lt;&gt;"Data &amp; Analytics"),"",COUNTIFS(Lists!$K$4:'Lists'!$K92,"Data &amp; Analytics",Lists!$J$4:'Lists'!$J92,"&lt;&gt;"))</f>
        <v/>
      </c>
      <c r="AD90">
        <f>IF(OR(Lists!$J92="",Lists!$K92&lt;&gt;"Cybersecurity"),"",COUNTIFS(Lists!$K$4:'Lists'!$K92,"Cybersecurity",Lists!$J$4:'Lists'!$J92,"&lt;&gt;"))</f>
        <v>9</v>
      </c>
      <c r="AE90" t="str">
        <f>IF('Role Requirements'!$B94="","",IF(COUNTIF('Role Requirements'!$B$6:$B94,'Role Requirements'!$B94)=1,COUNT($AE$1:AE89)+1,""))</f>
        <v/>
      </c>
    </row>
    <row r="91" spans="3:31">
      <c r="C91" t="str">
        <f>IFERROR(INDEX(Lists!$J$4:$J$143,MATCH(90,$V$2:$V$141,0)),"")</f>
        <v/>
      </c>
      <c r="E91" t="str">
        <f>IFERROR(INDEX(Lists!$J$4:$J$143,MATCH(90,$W$2:$W$141,0)),"")</f>
        <v/>
      </c>
      <c r="G91" t="str">
        <f>IFERROR(INDEX(Lists!$J$4:$J$143,MATCH(90,$X$2:$X$141,0)),"")</f>
        <v/>
      </c>
      <c r="I91" t="str">
        <f>IFERROR(INDEX(Lists!$J$4:$J$143,MATCH(90,$Y$2:$Y$141,0)),"")</f>
        <v/>
      </c>
      <c r="K91" t="str">
        <f>IFERROR(INDEX(Lists!$J$4:$J$143,MATCH(90,$Z$2:$Z$141,0)),"")</f>
        <v/>
      </c>
      <c r="M91" t="str">
        <f>IFERROR(INDEX(Lists!$J$4:$J$143,MATCH(90,$AA$2:$AA$141,0)),"")</f>
        <v/>
      </c>
      <c r="O91" t="str">
        <f>IFERROR(INDEX(Lists!$J$4:$J$143,MATCH(90,$AB$2:$AB$141,0)),"")</f>
        <v/>
      </c>
      <c r="Q91" t="str">
        <f>IFERROR(INDEX(Lists!$J$4:$J$143,MATCH(90,$AC$2:$AC$141,0)),"")</f>
        <v/>
      </c>
      <c r="S91" t="str">
        <f>IFERROR(INDEX(Lists!$J$4:$J$143,MATCH(90,$AD$2:$AD$141,0)),"")</f>
        <v/>
      </c>
      <c r="U91" t="str">
        <f>IFERROR(INDEX('Role Requirements'!$B$6:$B$400,MATCH(90,$AE$2:$AE$396,0)),"")</f>
        <v/>
      </c>
      <c r="V91" t="str">
        <f>IF(OR(Lists!$J93="",Lists!$K93&lt;&gt;"Customer Support"),"",COUNTIFS(Lists!$K$4:'Lists'!$K93,"Customer Support",Lists!$J$4:'Lists'!$J93,"&lt;&gt;"))</f>
        <v/>
      </c>
      <c r="W91" t="str">
        <f>IF(OR(Lists!$J93="",Lists!$K93&lt;&gt;"Platform Operations"),"",COUNTIFS(Lists!$K$4:'Lists'!$K93,"Platform Operations",Lists!$J$4:'Lists'!$J93,"&lt;&gt;"))</f>
        <v/>
      </c>
      <c r="X91" t="str">
        <f>IF(OR(Lists!$J93="",Lists!$K93&lt;&gt;"Software Engineering"),"",COUNTIFS(Lists!$K$4:'Lists'!$K93,"Software Engineering",Lists!$J$4:'Lists'!$J93,"&lt;&gt;"))</f>
        <v/>
      </c>
      <c r="Y91" t="str">
        <f>IF(OR(Lists!$J93="",Lists!$K93&lt;&gt;"IT Operations"),"",COUNTIFS(Lists!$K$4:'Lists'!$K93,"IT Operations",Lists!$J$4:'Lists'!$J93,"&lt;&gt;"))</f>
        <v/>
      </c>
      <c r="Z91" t="str">
        <f>IF(OR(Lists!$J93="",Lists!$K93&lt;&gt;"Quality Assurance"),"",COUNTIFS(Lists!$K$4:'Lists'!$K93,"Quality Assurance",Lists!$J$4:'Lists'!$J93,"&lt;&gt;"))</f>
        <v/>
      </c>
      <c r="AA91" t="str">
        <f>IF(OR(Lists!$J93="",Lists!$K93&lt;&gt;"Compliance &amp; Core Training"),"",COUNTIFS(Lists!$K$4:'Lists'!$K93,"Compliance &amp; Core Training",Lists!$J$4:'Lists'!$J93,"&lt;&gt;"))</f>
        <v/>
      </c>
      <c r="AB91" t="str">
        <f>IF(OR(Lists!$J93="",Lists!$K93&lt;&gt;"Cloud &amp; Reliability"),"",COUNTIFS(Lists!$K$4:'Lists'!$K93,"Cloud &amp; Reliability",Lists!$J$4:'Lists'!$J93,"&lt;&gt;"))</f>
        <v/>
      </c>
      <c r="AC91" t="str">
        <f>IF(OR(Lists!$J93="",Lists!$K93&lt;&gt;"Data &amp; Analytics"),"",COUNTIFS(Lists!$K$4:'Lists'!$K93,"Data &amp; Analytics",Lists!$J$4:'Lists'!$J93,"&lt;&gt;"))</f>
        <v/>
      </c>
      <c r="AD91">
        <f>IF(OR(Lists!$J93="",Lists!$K93&lt;&gt;"Cybersecurity"),"",COUNTIFS(Lists!$K$4:'Lists'!$K93,"Cybersecurity",Lists!$J$4:'Lists'!$J93,"&lt;&gt;"))</f>
        <v>10</v>
      </c>
      <c r="AE91" t="str">
        <f>IF('Role Requirements'!$B95="","",IF(COUNTIF('Role Requirements'!$B$6:$B95,'Role Requirements'!$B95)=1,COUNT($AE$1:AE90)+1,""))</f>
        <v/>
      </c>
    </row>
    <row r="92" spans="3:31">
      <c r="C92" t="str">
        <f>IFERROR(INDEX(Lists!$J$4:$J$143,MATCH(91,$V$2:$V$141,0)),"")</f>
        <v/>
      </c>
      <c r="E92" t="str">
        <f>IFERROR(INDEX(Lists!$J$4:$J$143,MATCH(91,$W$2:$W$141,0)),"")</f>
        <v/>
      </c>
      <c r="G92" t="str">
        <f>IFERROR(INDEX(Lists!$J$4:$J$143,MATCH(91,$X$2:$X$141,0)),"")</f>
        <v/>
      </c>
      <c r="I92" t="str">
        <f>IFERROR(INDEX(Lists!$J$4:$J$143,MATCH(91,$Y$2:$Y$141,0)),"")</f>
        <v/>
      </c>
      <c r="K92" t="str">
        <f>IFERROR(INDEX(Lists!$J$4:$J$143,MATCH(91,$Z$2:$Z$141,0)),"")</f>
        <v/>
      </c>
      <c r="M92" t="str">
        <f>IFERROR(INDEX(Lists!$J$4:$J$143,MATCH(91,$AA$2:$AA$141,0)),"")</f>
        <v/>
      </c>
      <c r="O92" t="str">
        <f>IFERROR(INDEX(Lists!$J$4:$J$143,MATCH(91,$AB$2:$AB$141,0)),"")</f>
        <v/>
      </c>
      <c r="Q92" t="str">
        <f>IFERROR(INDEX(Lists!$J$4:$J$143,MATCH(91,$AC$2:$AC$141,0)),"")</f>
        <v/>
      </c>
      <c r="S92" t="str">
        <f>IFERROR(INDEX(Lists!$J$4:$J$143,MATCH(91,$AD$2:$AD$141,0)),"")</f>
        <v/>
      </c>
      <c r="U92" t="str">
        <f>IFERROR(INDEX('Role Requirements'!$B$6:$B$400,MATCH(91,$AE$2:$AE$396,0)),"")</f>
        <v/>
      </c>
      <c r="V92" t="str">
        <f>IF(OR(Lists!$J94="",Lists!$K94&lt;&gt;"Customer Support"),"",COUNTIFS(Lists!$K$4:'Lists'!$K94,"Customer Support",Lists!$J$4:'Lists'!$J94,"&lt;&gt;"))</f>
        <v/>
      </c>
      <c r="W92" t="str">
        <f>IF(OR(Lists!$J94="",Lists!$K94&lt;&gt;"Platform Operations"),"",COUNTIFS(Lists!$K$4:'Lists'!$K94,"Platform Operations",Lists!$J$4:'Lists'!$J94,"&lt;&gt;"))</f>
        <v/>
      </c>
      <c r="X92" t="str">
        <f>IF(OR(Lists!$J94="",Lists!$K94&lt;&gt;"Software Engineering"),"",COUNTIFS(Lists!$K$4:'Lists'!$K94,"Software Engineering",Lists!$J$4:'Lists'!$J94,"&lt;&gt;"))</f>
        <v/>
      </c>
      <c r="Y92" t="str">
        <f>IF(OR(Lists!$J94="",Lists!$K94&lt;&gt;"IT Operations"),"",COUNTIFS(Lists!$K$4:'Lists'!$K94,"IT Operations",Lists!$J$4:'Lists'!$J94,"&lt;&gt;"))</f>
        <v/>
      </c>
      <c r="Z92" t="str">
        <f>IF(OR(Lists!$J94="",Lists!$K94&lt;&gt;"Quality Assurance"),"",COUNTIFS(Lists!$K$4:'Lists'!$K94,"Quality Assurance",Lists!$J$4:'Lists'!$J94,"&lt;&gt;"))</f>
        <v/>
      </c>
      <c r="AA92" t="str">
        <f>IF(OR(Lists!$J94="",Lists!$K94&lt;&gt;"Compliance &amp; Core Training"),"",COUNTIFS(Lists!$K$4:'Lists'!$K94,"Compliance &amp; Core Training",Lists!$J$4:'Lists'!$J94,"&lt;&gt;"))</f>
        <v/>
      </c>
      <c r="AB92" t="str">
        <f>IF(OR(Lists!$J94="",Lists!$K94&lt;&gt;"Cloud &amp; Reliability"),"",COUNTIFS(Lists!$K$4:'Lists'!$K94,"Cloud &amp; Reliability",Lists!$J$4:'Lists'!$J94,"&lt;&gt;"))</f>
        <v/>
      </c>
      <c r="AC92" t="str">
        <f>IF(OR(Lists!$J94="",Lists!$K94&lt;&gt;"Data &amp; Analytics"),"",COUNTIFS(Lists!$K$4:'Lists'!$K94,"Data &amp; Analytics",Lists!$J$4:'Lists'!$J94,"&lt;&gt;"))</f>
        <v/>
      </c>
      <c r="AD92">
        <f>IF(OR(Lists!$J94="",Lists!$K94&lt;&gt;"Cybersecurity"),"",COUNTIFS(Lists!$K$4:'Lists'!$K94,"Cybersecurity",Lists!$J$4:'Lists'!$J94,"&lt;&gt;"))</f>
        <v>11</v>
      </c>
      <c r="AE92" t="str">
        <f>IF('Role Requirements'!$B96="","",IF(COUNTIF('Role Requirements'!$B$6:$B96,'Role Requirements'!$B96)=1,COUNT($AE$1:AE91)+1,""))</f>
        <v/>
      </c>
    </row>
    <row r="93" spans="3:31">
      <c r="C93" t="str">
        <f>IFERROR(INDEX(Lists!$J$4:$J$143,MATCH(92,$V$2:$V$141,0)),"")</f>
        <v/>
      </c>
      <c r="E93" t="str">
        <f>IFERROR(INDEX(Lists!$J$4:$J$143,MATCH(92,$W$2:$W$141,0)),"")</f>
        <v/>
      </c>
      <c r="G93" t="str">
        <f>IFERROR(INDEX(Lists!$J$4:$J$143,MATCH(92,$X$2:$X$141,0)),"")</f>
        <v/>
      </c>
      <c r="I93" t="str">
        <f>IFERROR(INDEX(Lists!$J$4:$J$143,MATCH(92,$Y$2:$Y$141,0)),"")</f>
        <v/>
      </c>
      <c r="K93" t="str">
        <f>IFERROR(INDEX(Lists!$J$4:$J$143,MATCH(92,$Z$2:$Z$141,0)),"")</f>
        <v/>
      </c>
      <c r="M93" t="str">
        <f>IFERROR(INDEX(Lists!$J$4:$J$143,MATCH(92,$AA$2:$AA$141,0)),"")</f>
        <v/>
      </c>
      <c r="O93" t="str">
        <f>IFERROR(INDEX(Lists!$J$4:$J$143,MATCH(92,$AB$2:$AB$141,0)),"")</f>
        <v/>
      </c>
      <c r="Q93" t="str">
        <f>IFERROR(INDEX(Lists!$J$4:$J$143,MATCH(92,$AC$2:$AC$141,0)),"")</f>
        <v/>
      </c>
      <c r="S93" t="str">
        <f>IFERROR(INDEX(Lists!$J$4:$J$143,MATCH(92,$AD$2:$AD$141,0)),"")</f>
        <v/>
      </c>
      <c r="U93" t="str">
        <f>IFERROR(INDEX('Role Requirements'!$B$6:$B$400,MATCH(92,$AE$2:$AE$396,0)),"")</f>
        <v/>
      </c>
      <c r="V93" t="str">
        <f>IF(OR(Lists!$J95="",Lists!$K95&lt;&gt;"Customer Support"),"",COUNTIFS(Lists!$K$4:'Lists'!$K95,"Customer Support",Lists!$J$4:'Lists'!$J95,"&lt;&gt;"))</f>
        <v/>
      </c>
      <c r="W93" t="str">
        <f>IF(OR(Lists!$J95="",Lists!$K95&lt;&gt;"Platform Operations"),"",COUNTIFS(Lists!$K$4:'Lists'!$K95,"Platform Operations",Lists!$J$4:'Lists'!$J95,"&lt;&gt;"))</f>
        <v/>
      </c>
      <c r="X93" t="str">
        <f>IF(OR(Lists!$J95="",Lists!$K95&lt;&gt;"Software Engineering"),"",COUNTIFS(Lists!$K$4:'Lists'!$K95,"Software Engineering",Lists!$J$4:'Lists'!$J95,"&lt;&gt;"))</f>
        <v/>
      </c>
      <c r="Y93" t="str">
        <f>IF(OR(Lists!$J95="",Lists!$K95&lt;&gt;"IT Operations"),"",COUNTIFS(Lists!$K$4:'Lists'!$K95,"IT Operations",Lists!$J$4:'Lists'!$J95,"&lt;&gt;"))</f>
        <v/>
      </c>
      <c r="Z93" t="str">
        <f>IF(OR(Lists!$J95="",Lists!$K95&lt;&gt;"Quality Assurance"),"",COUNTIFS(Lists!$K$4:'Lists'!$K95,"Quality Assurance",Lists!$J$4:'Lists'!$J95,"&lt;&gt;"))</f>
        <v/>
      </c>
      <c r="AA93" t="str">
        <f>IF(OR(Lists!$J95="",Lists!$K95&lt;&gt;"Compliance &amp; Core Training"),"",COUNTIFS(Lists!$K$4:'Lists'!$K95,"Compliance &amp; Core Training",Lists!$J$4:'Lists'!$J95,"&lt;&gt;"))</f>
        <v/>
      </c>
      <c r="AB93" t="str">
        <f>IF(OR(Lists!$J95="",Lists!$K95&lt;&gt;"Cloud &amp; Reliability"),"",COUNTIFS(Lists!$K$4:'Lists'!$K95,"Cloud &amp; Reliability",Lists!$J$4:'Lists'!$J95,"&lt;&gt;"))</f>
        <v/>
      </c>
      <c r="AC93" t="str">
        <f>IF(OR(Lists!$J95="",Lists!$K95&lt;&gt;"Data &amp; Analytics"),"",COUNTIFS(Lists!$K$4:'Lists'!$K95,"Data &amp; Analytics",Lists!$J$4:'Lists'!$J95,"&lt;&gt;"))</f>
        <v/>
      </c>
      <c r="AD93">
        <f>IF(OR(Lists!$J95="",Lists!$K95&lt;&gt;"Cybersecurity"),"",COUNTIFS(Lists!$K$4:'Lists'!$K95,"Cybersecurity",Lists!$J$4:'Lists'!$J95,"&lt;&gt;"))</f>
        <v>12</v>
      </c>
      <c r="AE93" t="str">
        <f>IF('Role Requirements'!$B97="","",IF(COUNTIF('Role Requirements'!$B$6:$B97,'Role Requirements'!$B97)=1,COUNT($AE$1:AE92)+1,""))</f>
        <v/>
      </c>
    </row>
    <row r="94" spans="3:31">
      <c r="C94" t="str">
        <f>IFERROR(INDEX(Lists!$J$4:$J$143,MATCH(93,$V$2:$V$141,0)),"")</f>
        <v/>
      </c>
      <c r="E94" t="str">
        <f>IFERROR(INDEX(Lists!$J$4:$J$143,MATCH(93,$W$2:$W$141,0)),"")</f>
        <v/>
      </c>
      <c r="G94" t="str">
        <f>IFERROR(INDEX(Lists!$J$4:$J$143,MATCH(93,$X$2:$X$141,0)),"")</f>
        <v/>
      </c>
      <c r="I94" t="str">
        <f>IFERROR(INDEX(Lists!$J$4:$J$143,MATCH(93,$Y$2:$Y$141,0)),"")</f>
        <v/>
      </c>
      <c r="K94" t="str">
        <f>IFERROR(INDEX(Lists!$J$4:$J$143,MATCH(93,$Z$2:$Z$141,0)),"")</f>
        <v/>
      </c>
      <c r="M94" t="str">
        <f>IFERROR(INDEX(Lists!$J$4:$J$143,MATCH(93,$AA$2:$AA$141,0)),"")</f>
        <v/>
      </c>
      <c r="O94" t="str">
        <f>IFERROR(INDEX(Lists!$J$4:$J$143,MATCH(93,$AB$2:$AB$141,0)),"")</f>
        <v/>
      </c>
      <c r="Q94" t="str">
        <f>IFERROR(INDEX(Lists!$J$4:$J$143,MATCH(93,$AC$2:$AC$141,0)),"")</f>
        <v/>
      </c>
      <c r="S94" t="str">
        <f>IFERROR(INDEX(Lists!$J$4:$J$143,MATCH(93,$AD$2:$AD$141,0)),"")</f>
        <v/>
      </c>
      <c r="U94" t="str">
        <f>IFERROR(INDEX('Role Requirements'!$B$6:$B$400,MATCH(93,$AE$2:$AE$396,0)),"")</f>
        <v/>
      </c>
      <c r="V94" t="str">
        <f>IF(OR(Lists!$J96="",Lists!$K96&lt;&gt;"Customer Support"),"",COUNTIFS(Lists!$K$4:'Lists'!$K96,"Customer Support",Lists!$J$4:'Lists'!$J96,"&lt;&gt;"))</f>
        <v/>
      </c>
      <c r="W94" t="str">
        <f>IF(OR(Lists!$J96="",Lists!$K96&lt;&gt;"Platform Operations"),"",COUNTIFS(Lists!$K$4:'Lists'!$K96,"Platform Operations",Lists!$J$4:'Lists'!$J96,"&lt;&gt;"))</f>
        <v/>
      </c>
      <c r="X94" t="str">
        <f>IF(OR(Lists!$J96="",Lists!$K96&lt;&gt;"Software Engineering"),"",COUNTIFS(Lists!$K$4:'Lists'!$K96,"Software Engineering",Lists!$J$4:'Lists'!$J96,"&lt;&gt;"))</f>
        <v/>
      </c>
      <c r="Y94" t="str">
        <f>IF(OR(Lists!$J96="",Lists!$K96&lt;&gt;"IT Operations"),"",COUNTIFS(Lists!$K$4:'Lists'!$K96,"IT Operations",Lists!$J$4:'Lists'!$J96,"&lt;&gt;"))</f>
        <v/>
      </c>
      <c r="Z94" t="str">
        <f>IF(OR(Lists!$J96="",Lists!$K96&lt;&gt;"Quality Assurance"),"",COUNTIFS(Lists!$K$4:'Lists'!$K96,"Quality Assurance",Lists!$J$4:'Lists'!$J96,"&lt;&gt;"))</f>
        <v/>
      </c>
      <c r="AA94" t="str">
        <f>IF(OR(Lists!$J96="",Lists!$K96&lt;&gt;"Compliance &amp; Core Training"),"",COUNTIFS(Lists!$K$4:'Lists'!$K96,"Compliance &amp; Core Training",Lists!$J$4:'Lists'!$J96,"&lt;&gt;"))</f>
        <v/>
      </c>
      <c r="AB94" t="str">
        <f>IF(OR(Lists!$J96="",Lists!$K96&lt;&gt;"Cloud &amp; Reliability"),"",COUNTIFS(Lists!$K$4:'Lists'!$K96,"Cloud &amp; Reliability",Lists!$J$4:'Lists'!$J96,"&lt;&gt;"))</f>
        <v/>
      </c>
      <c r="AC94" t="str">
        <f>IF(OR(Lists!$J96="",Lists!$K96&lt;&gt;"Data &amp; Analytics"),"",COUNTIFS(Lists!$K$4:'Lists'!$K96,"Data &amp; Analytics",Lists!$J$4:'Lists'!$J96,"&lt;&gt;"))</f>
        <v/>
      </c>
      <c r="AD94">
        <f>IF(OR(Lists!$J96="",Lists!$K96&lt;&gt;"Cybersecurity"),"",COUNTIFS(Lists!$K$4:'Lists'!$K96,"Cybersecurity",Lists!$J$4:'Lists'!$J96,"&lt;&gt;"))</f>
        <v>13</v>
      </c>
      <c r="AE94" t="str">
        <f>IF('Role Requirements'!$B98="","",IF(COUNTIF('Role Requirements'!$B$6:$B98,'Role Requirements'!$B98)=1,COUNT($AE$1:AE93)+1,""))</f>
        <v/>
      </c>
    </row>
    <row r="95" spans="3:31">
      <c r="C95" t="str">
        <f>IFERROR(INDEX(Lists!$J$4:$J$143,MATCH(94,$V$2:$V$141,0)),"")</f>
        <v/>
      </c>
      <c r="E95" t="str">
        <f>IFERROR(INDEX(Lists!$J$4:$J$143,MATCH(94,$W$2:$W$141,0)),"")</f>
        <v/>
      </c>
      <c r="G95" t="str">
        <f>IFERROR(INDEX(Lists!$J$4:$J$143,MATCH(94,$X$2:$X$141,0)),"")</f>
        <v/>
      </c>
      <c r="I95" t="str">
        <f>IFERROR(INDEX(Lists!$J$4:$J$143,MATCH(94,$Y$2:$Y$141,0)),"")</f>
        <v/>
      </c>
      <c r="K95" t="str">
        <f>IFERROR(INDEX(Lists!$J$4:$J$143,MATCH(94,$Z$2:$Z$141,0)),"")</f>
        <v/>
      </c>
      <c r="M95" t="str">
        <f>IFERROR(INDEX(Lists!$J$4:$J$143,MATCH(94,$AA$2:$AA$141,0)),"")</f>
        <v/>
      </c>
      <c r="O95" t="str">
        <f>IFERROR(INDEX(Lists!$J$4:$J$143,MATCH(94,$AB$2:$AB$141,0)),"")</f>
        <v/>
      </c>
      <c r="Q95" t="str">
        <f>IFERROR(INDEX(Lists!$J$4:$J$143,MATCH(94,$AC$2:$AC$141,0)),"")</f>
        <v/>
      </c>
      <c r="S95" t="str">
        <f>IFERROR(INDEX(Lists!$J$4:$J$143,MATCH(94,$AD$2:$AD$141,0)),"")</f>
        <v/>
      </c>
      <c r="U95" t="str">
        <f>IFERROR(INDEX('Role Requirements'!$B$6:$B$400,MATCH(94,$AE$2:$AE$396,0)),"")</f>
        <v/>
      </c>
      <c r="V95" t="str">
        <f>IF(OR(Lists!$J97="",Lists!$K97&lt;&gt;"Customer Support"),"",COUNTIFS(Lists!$K$4:'Lists'!$K97,"Customer Support",Lists!$J$4:'Lists'!$J97,"&lt;&gt;"))</f>
        <v/>
      </c>
      <c r="W95" t="str">
        <f>IF(OR(Lists!$J97="",Lists!$K97&lt;&gt;"Platform Operations"),"",COUNTIFS(Lists!$K$4:'Lists'!$K97,"Platform Operations",Lists!$J$4:'Lists'!$J97,"&lt;&gt;"))</f>
        <v/>
      </c>
      <c r="X95" t="str">
        <f>IF(OR(Lists!$J97="",Lists!$K97&lt;&gt;"Software Engineering"),"",COUNTIFS(Lists!$K$4:'Lists'!$K97,"Software Engineering",Lists!$J$4:'Lists'!$J97,"&lt;&gt;"))</f>
        <v/>
      </c>
      <c r="Y95" t="str">
        <f>IF(OR(Lists!$J97="",Lists!$K97&lt;&gt;"IT Operations"),"",COUNTIFS(Lists!$K$4:'Lists'!$K97,"IT Operations",Lists!$J$4:'Lists'!$J97,"&lt;&gt;"))</f>
        <v/>
      </c>
      <c r="Z95" t="str">
        <f>IF(OR(Lists!$J97="",Lists!$K97&lt;&gt;"Quality Assurance"),"",COUNTIFS(Lists!$K$4:'Lists'!$K97,"Quality Assurance",Lists!$J$4:'Lists'!$J97,"&lt;&gt;"))</f>
        <v/>
      </c>
      <c r="AA95" t="str">
        <f>IF(OR(Lists!$J97="",Lists!$K97&lt;&gt;"Compliance &amp; Core Training"),"",COUNTIFS(Lists!$K$4:'Lists'!$K97,"Compliance &amp; Core Training",Lists!$J$4:'Lists'!$J97,"&lt;&gt;"))</f>
        <v/>
      </c>
      <c r="AB95" t="str">
        <f>IF(OR(Lists!$J97="",Lists!$K97&lt;&gt;"Cloud &amp; Reliability"),"",COUNTIFS(Lists!$K$4:'Lists'!$K97,"Cloud &amp; Reliability",Lists!$J$4:'Lists'!$J97,"&lt;&gt;"))</f>
        <v/>
      </c>
      <c r="AC95" t="str">
        <f>IF(OR(Lists!$J97="",Lists!$K97&lt;&gt;"Data &amp; Analytics"),"",COUNTIFS(Lists!$K$4:'Lists'!$K97,"Data &amp; Analytics",Lists!$J$4:'Lists'!$J97,"&lt;&gt;"))</f>
        <v/>
      </c>
      <c r="AD95">
        <f>IF(OR(Lists!$J97="",Lists!$K97&lt;&gt;"Cybersecurity"),"",COUNTIFS(Lists!$K$4:'Lists'!$K97,"Cybersecurity",Lists!$J$4:'Lists'!$J97,"&lt;&gt;"))</f>
        <v>14</v>
      </c>
      <c r="AE95" t="str">
        <f>IF('Role Requirements'!$B99="","",IF(COUNTIF('Role Requirements'!$B$6:$B99,'Role Requirements'!$B99)=1,COUNT($AE$1:AE94)+1,""))</f>
        <v/>
      </c>
    </row>
    <row r="96" spans="3:31">
      <c r="C96" t="str">
        <f>IFERROR(INDEX(Lists!$J$4:$J$143,MATCH(95,$V$2:$V$141,0)),"")</f>
        <v/>
      </c>
      <c r="E96" t="str">
        <f>IFERROR(INDEX(Lists!$J$4:$J$143,MATCH(95,$W$2:$W$141,0)),"")</f>
        <v/>
      </c>
      <c r="G96" t="str">
        <f>IFERROR(INDEX(Lists!$J$4:$J$143,MATCH(95,$X$2:$X$141,0)),"")</f>
        <v/>
      </c>
      <c r="I96" t="str">
        <f>IFERROR(INDEX(Lists!$J$4:$J$143,MATCH(95,$Y$2:$Y$141,0)),"")</f>
        <v/>
      </c>
      <c r="K96" t="str">
        <f>IFERROR(INDEX(Lists!$J$4:$J$143,MATCH(95,$Z$2:$Z$141,0)),"")</f>
        <v/>
      </c>
      <c r="M96" t="str">
        <f>IFERROR(INDEX(Lists!$J$4:$J$143,MATCH(95,$AA$2:$AA$141,0)),"")</f>
        <v/>
      </c>
      <c r="O96" t="str">
        <f>IFERROR(INDEX(Lists!$J$4:$J$143,MATCH(95,$AB$2:$AB$141,0)),"")</f>
        <v/>
      </c>
      <c r="Q96" t="str">
        <f>IFERROR(INDEX(Lists!$J$4:$J$143,MATCH(95,$AC$2:$AC$141,0)),"")</f>
        <v/>
      </c>
      <c r="S96" t="str">
        <f>IFERROR(INDEX(Lists!$J$4:$J$143,MATCH(95,$AD$2:$AD$141,0)),"")</f>
        <v/>
      </c>
      <c r="U96" t="str">
        <f>IFERROR(INDEX('Role Requirements'!$B$6:$B$400,MATCH(95,$AE$2:$AE$396,0)),"")</f>
        <v/>
      </c>
      <c r="V96" t="str">
        <f>IF(OR(Lists!$J98="",Lists!$K98&lt;&gt;"Customer Support"),"",COUNTIFS(Lists!$K$4:'Lists'!$K98,"Customer Support",Lists!$J$4:'Lists'!$J98,"&lt;&gt;"))</f>
        <v/>
      </c>
      <c r="W96" t="str">
        <f>IF(OR(Lists!$J98="",Lists!$K98&lt;&gt;"Platform Operations"),"",COUNTIFS(Lists!$K$4:'Lists'!$K98,"Platform Operations",Lists!$J$4:'Lists'!$J98,"&lt;&gt;"))</f>
        <v/>
      </c>
      <c r="X96" t="str">
        <f>IF(OR(Lists!$J98="",Lists!$K98&lt;&gt;"Software Engineering"),"",COUNTIFS(Lists!$K$4:'Lists'!$K98,"Software Engineering",Lists!$J$4:'Lists'!$J98,"&lt;&gt;"))</f>
        <v/>
      </c>
      <c r="Y96" t="str">
        <f>IF(OR(Lists!$J98="",Lists!$K98&lt;&gt;"IT Operations"),"",COUNTIFS(Lists!$K$4:'Lists'!$K98,"IT Operations",Lists!$J$4:'Lists'!$J98,"&lt;&gt;"))</f>
        <v/>
      </c>
      <c r="Z96" t="str">
        <f>IF(OR(Lists!$J98="",Lists!$K98&lt;&gt;"Quality Assurance"),"",COUNTIFS(Lists!$K$4:'Lists'!$K98,"Quality Assurance",Lists!$J$4:'Lists'!$J98,"&lt;&gt;"))</f>
        <v/>
      </c>
      <c r="AA96" t="str">
        <f>IF(OR(Lists!$J98="",Lists!$K98&lt;&gt;"Compliance &amp; Core Training"),"",COUNTIFS(Lists!$K$4:'Lists'!$K98,"Compliance &amp; Core Training",Lists!$J$4:'Lists'!$J98,"&lt;&gt;"))</f>
        <v/>
      </c>
      <c r="AB96" t="str">
        <f>IF(OR(Lists!$J98="",Lists!$K98&lt;&gt;"Cloud &amp; Reliability"),"",COUNTIFS(Lists!$K$4:'Lists'!$K98,"Cloud &amp; Reliability",Lists!$J$4:'Lists'!$J98,"&lt;&gt;"))</f>
        <v/>
      </c>
      <c r="AC96" t="str">
        <f>IF(OR(Lists!$J98="",Lists!$K98&lt;&gt;"Data &amp; Analytics"),"",COUNTIFS(Lists!$K$4:'Lists'!$K98,"Data &amp; Analytics",Lists!$J$4:'Lists'!$J98,"&lt;&gt;"))</f>
        <v/>
      </c>
      <c r="AD96">
        <f>IF(OR(Lists!$J98="",Lists!$K98&lt;&gt;"Cybersecurity"),"",COUNTIFS(Lists!$K$4:'Lists'!$K98,"Cybersecurity",Lists!$J$4:'Lists'!$J98,"&lt;&gt;"))</f>
        <v>15</v>
      </c>
      <c r="AE96" t="str">
        <f>IF('Role Requirements'!$B100="","",IF(COUNTIF('Role Requirements'!$B$6:$B100,'Role Requirements'!$B100)=1,COUNT($AE$1:AE95)+1,""))</f>
        <v/>
      </c>
    </row>
    <row r="97" spans="3:31">
      <c r="C97" t="str">
        <f>IFERROR(INDEX(Lists!$J$4:$J$143,MATCH(96,$V$2:$V$141,0)),"")</f>
        <v/>
      </c>
      <c r="E97" t="str">
        <f>IFERROR(INDEX(Lists!$J$4:$J$143,MATCH(96,$W$2:$W$141,0)),"")</f>
        <v/>
      </c>
      <c r="G97" t="str">
        <f>IFERROR(INDEX(Lists!$J$4:$J$143,MATCH(96,$X$2:$X$141,0)),"")</f>
        <v/>
      </c>
      <c r="I97" t="str">
        <f>IFERROR(INDEX(Lists!$J$4:$J$143,MATCH(96,$Y$2:$Y$141,0)),"")</f>
        <v/>
      </c>
      <c r="K97" t="str">
        <f>IFERROR(INDEX(Lists!$J$4:$J$143,MATCH(96,$Z$2:$Z$141,0)),"")</f>
        <v/>
      </c>
      <c r="M97" t="str">
        <f>IFERROR(INDEX(Lists!$J$4:$J$143,MATCH(96,$AA$2:$AA$141,0)),"")</f>
        <v/>
      </c>
      <c r="O97" t="str">
        <f>IFERROR(INDEX(Lists!$J$4:$J$143,MATCH(96,$AB$2:$AB$141,0)),"")</f>
        <v/>
      </c>
      <c r="Q97" t="str">
        <f>IFERROR(INDEX(Lists!$J$4:$J$143,MATCH(96,$AC$2:$AC$141,0)),"")</f>
        <v/>
      </c>
      <c r="S97" t="str">
        <f>IFERROR(INDEX(Lists!$J$4:$J$143,MATCH(96,$AD$2:$AD$141,0)),"")</f>
        <v/>
      </c>
      <c r="U97" t="str">
        <f>IFERROR(INDEX('Role Requirements'!$B$6:$B$400,MATCH(96,$AE$2:$AE$396,0)),"")</f>
        <v/>
      </c>
      <c r="V97" t="str">
        <f>IF(OR(Lists!$J99="",Lists!$K99&lt;&gt;"Customer Support"),"",COUNTIFS(Lists!$K$4:'Lists'!$K99,"Customer Support",Lists!$J$4:'Lists'!$J99,"&lt;&gt;"))</f>
        <v/>
      </c>
      <c r="W97" t="str">
        <f>IF(OR(Lists!$J99="",Lists!$K99&lt;&gt;"Platform Operations"),"",COUNTIFS(Lists!$K$4:'Lists'!$K99,"Platform Operations",Lists!$J$4:'Lists'!$J99,"&lt;&gt;"))</f>
        <v/>
      </c>
      <c r="X97" t="str">
        <f>IF(OR(Lists!$J99="",Lists!$K99&lt;&gt;"Software Engineering"),"",COUNTIFS(Lists!$K$4:'Lists'!$K99,"Software Engineering",Lists!$J$4:'Lists'!$J99,"&lt;&gt;"))</f>
        <v/>
      </c>
      <c r="Y97" t="str">
        <f>IF(OR(Lists!$J99="",Lists!$K99&lt;&gt;"IT Operations"),"",COUNTIFS(Lists!$K$4:'Lists'!$K99,"IT Operations",Lists!$J$4:'Lists'!$J99,"&lt;&gt;"))</f>
        <v/>
      </c>
      <c r="Z97" t="str">
        <f>IF(OR(Lists!$J99="",Lists!$K99&lt;&gt;"Quality Assurance"),"",COUNTIFS(Lists!$K$4:'Lists'!$K99,"Quality Assurance",Lists!$J$4:'Lists'!$J99,"&lt;&gt;"))</f>
        <v/>
      </c>
      <c r="AA97" t="str">
        <f>IF(OR(Lists!$J99="",Lists!$K99&lt;&gt;"Compliance &amp; Core Training"),"",COUNTIFS(Lists!$K$4:'Lists'!$K99,"Compliance &amp; Core Training",Lists!$J$4:'Lists'!$J99,"&lt;&gt;"))</f>
        <v/>
      </c>
      <c r="AB97" t="str">
        <f>IF(OR(Lists!$J99="",Lists!$K99&lt;&gt;"Cloud &amp; Reliability"),"",COUNTIFS(Lists!$K$4:'Lists'!$K99,"Cloud &amp; Reliability",Lists!$J$4:'Lists'!$J99,"&lt;&gt;"))</f>
        <v/>
      </c>
      <c r="AC97" t="str">
        <f>IF(OR(Lists!$J99="",Lists!$K99&lt;&gt;"Data &amp; Analytics"),"",COUNTIFS(Lists!$K$4:'Lists'!$K99,"Data &amp; Analytics",Lists!$J$4:'Lists'!$J99,"&lt;&gt;"))</f>
        <v/>
      </c>
      <c r="AD97">
        <f>IF(OR(Lists!$J99="",Lists!$K99&lt;&gt;"Cybersecurity"),"",COUNTIFS(Lists!$K$4:'Lists'!$K99,"Cybersecurity",Lists!$J$4:'Lists'!$J99,"&lt;&gt;"))</f>
        <v>16</v>
      </c>
      <c r="AE97" t="str">
        <f>IF('Role Requirements'!$B101="","",IF(COUNTIF('Role Requirements'!$B$6:$B101,'Role Requirements'!$B101)=1,COUNT($AE$1:AE96)+1,""))</f>
        <v/>
      </c>
    </row>
    <row r="98" spans="3:31">
      <c r="C98" t="str">
        <f>IFERROR(INDEX(Lists!$J$4:$J$143,MATCH(97,$V$2:$V$141,0)),"")</f>
        <v/>
      </c>
      <c r="E98" t="str">
        <f>IFERROR(INDEX(Lists!$J$4:$J$143,MATCH(97,$W$2:$W$141,0)),"")</f>
        <v/>
      </c>
      <c r="G98" t="str">
        <f>IFERROR(INDEX(Lists!$J$4:$J$143,MATCH(97,$X$2:$X$141,0)),"")</f>
        <v/>
      </c>
      <c r="I98" t="str">
        <f>IFERROR(INDEX(Lists!$J$4:$J$143,MATCH(97,$Y$2:$Y$141,0)),"")</f>
        <v/>
      </c>
      <c r="K98" t="str">
        <f>IFERROR(INDEX(Lists!$J$4:$J$143,MATCH(97,$Z$2:$Z$141,0)),"")</f>
        <v/>
      </c>
      <c r="M98" t="str">
        <f>IFERROR(INDEX(Lists!$J$4:$J$143,MATCH(97,$AA$2:$AA$141,0)),"")</f>
        <v/>
      </c>
      <c r="O98" t="str">
        <f>IFERROR(INDEX(Lists!$J$4:$J$143,MATCH(97,$AB$2:$AB$141,0)),"")</f>
        <v/>
      </c>
      <c r="Q98" t="str">
        <f>IFERROR(INDEX(Lists!$J$4:$J$143,MATCH(97,$AC$2:$AC$141,0)),"")</f>
        <v/>
      </c>
      <c r="S98" t="str">
        <f>IFERROR(INDEX(Lists!$J$4:$J$143,MATCH(97,$AD$2:$AD$141,0)),"")</f>
        <v/>
      </c>
      <c r="U98" t="str">
        <f>IFERROR(INDEX('Role Requirements'!$B$6:$B$400,MATCH(97,$AE$2:$AE$396,0)),"")</f>
        <v/>
      </c>
      <c r="V98" t="str">
        <f>IF(OR(Lists!$J100="",Lists!$K100&lt;&gt;"Customer Support"),"",COUNTIFS(Lists!$K$4:'Lists'!$K100,"Customer Support",Lists!$J$4:'Lists'!$J100,"&lt;&gt;"))</f>
        <v/>
      </c>
      <c r="W98" t="str">
        <f>IF(OR(Lists!$J100="",Lists!$K100&lt;&gt;"Platform Operations"),"",COUNTIFS(Lists!$K$4:'Lists'!$K100,"Platform Operations",Lists!$J$4:'Lists'!$J100,"&lt;&gt;"))</f>
        <v/>
      </c>
      <c r="X98" t="str">
        <f>IF(OR(Lists!$J100="",Lists!$K100&lt;&gt;"Software Engineering"),"",COUNTIFS(Lists!$K$4:'Lists'!$K100,"Software Engineering",Lists!$J$4:'Lists'!$J100,"&lt;&gt;"))</f>
        <v/>
      </c>
      <c r="Y98" t="str">
        <f>IF(OR(Lists!$J100="",Lists!$K100&lt;&gt;"IT Operations"),"",COUNTIFS(Lists!$K$4:'Lists'!$K100,"IT Operations",Lists!$J$4:'Lists'!$J100,"&lt;&gt;"))</f>
        <v/>
      </c>
      <c r="Z98" t="str">
        <f>IF(OR(Lists!$J100="",Lists!$K100&lt;&gt;"Quality Assurance"),"",COUNTIFS(Lists!$K$4:'Lists'!$K100,"Quality Assurance",Lists!$J$4:'Lists'!$J100,"&lt;&gt;"))</f>
        <v/>
      </c>
      <c r="AA98" t="str">
        <f>IF(OR(Lists!$J100="",Lists!$K100&lt;&gt;"Compliance &amp; Core Training"),"",COUNTIFS(Lists!$K$4:'Lists'!$K100,"Compliance &amp; Core Training",Lists!$J$4:'Lists'!$J100,"&lt;&gt;"))</f>
        <v/>
      </c>
      <c r="AB98" t="str">
        <f>IF(OR(Lists!$J100="",Lists!$K100&lt;&gt;"Cloud &amp; Reliability"),"",COUNTIFS(Lists!$K$4:'Lists'!$K100,"Cloud &amp; Reliability",Lists!$J$4:'Lists'!$J100,"&lt;&gt;"))</f>
        <v/>
      </c>
      <c r="AC98" t="str">
        <f>IF(OR(Lists!$J100="",Lists!$K100&lt;&gt;"Data &amp; Analytics"),"",COUNTIFS(Lists!$K$4:'Lists'!$K100,"Data &amp; Analytics",Lists!$J$4:'Lists'!$J100,"&lt;&gt;"))</f>
        <v/>
      </c>
      <c r="AD98">
        <f>IF(OR(Lists!$J100="",Lists!$K100&lt;&gt;"Cybersecurity"),"",COUNTIFS(Lists!$K$4:'Lists'!$K100,"Cybersecurity",Lists!$J$4:'Lists'!$J100,"&lt;&gt;"))</f>
        <v>17</v>
      </c>
      <c r="AE98" t="str">
        <f>IF('Role Requirements'!$B102="","",IF(COUNTIF('Role Requirements'!$B$6:$B102,'Role Requirements'!$B102)=1,COUNT($AE$1:AE97)+1,""))</f>
        <v/>
      </c>
    </row>
    <row r="99" spans="3:31">
      <c r="C99" t="str">
        <f>IFERROR(INDEX(Lists!$J$4:$J$143,MATCH(98,$V$2:$V$141,0)),"")</f>
        <v/>
      </c>
      <c r="E99" t="str">
        <f>IFERROR(INDEX(Lists!$J$4:$J$143,MATCH(98,$W$2:$W$141,0)),"")</f>
        <v/>
      </c>
      <c r="G99" t="str">
        <f>IFERROR(INDEX(Lists!$J$4:$J$143,MATCH(98,$X$2:$X$141,0)),"")</f>
        <v/>
      </c>
      <c r="I99" t="str">
        <f>IFERROR(INDEX(Lists!$J$4:$J$143,MATCH(98,$Y$2:$Y$141,0)),"")</f>
        <v/>
      </c>
      <c r="K99" t="str">
        <f>IFERROR(INDEX(Lists!$J$4:$J$143,MATCH(98,$Z$2:$Z$141,0)),"")</f>
        <v/>
      </c>
      <c r="M99" t="str">
        <f>IFERROR(INDEX(Lists!$J$4:$J$143,MATCH(98,$AA$2:$AA$141,0)),"")</f>
        <v/>
      </c>
      <c r="O99" t="str">
        <f>IFERROR(INDEX(Lists!$J$4:$J$143,MATCH(98,$AB$2:$AB$141,0)),"")</f>
        <v/>
      </c>
      <c r="Q99" t="str">
        <f>IFERROR(INDEX(Lists!$J$4:$J$143,MATCH(98,$AC$2:$AC$141,0)),"")</f>
        <v/>
      </c>
      <c r="S99" t="str">
        <f>IFERROR(INDEX(Lists!$J$4:$J$143,MATCH(98,$AD$2:$AD$141,0)),"")</f>
        <v/>
      </c>
      <c r="U99" t="str">
        <f>IFERROR(INDEX('Role Requirements'!$B$6:$B$400,MATCH(98,$AE$2:$AE$396,0)),"")</f>
        <v/>
      </c>
      <c r="V99" t="str">
        <f>IF(OR(Lists!$J101="",Lists!$K101&lt;&gt;"Customer Support"),"",COUNTIFS(Lists!$K$4:'Lists'!$K101,"Customer Support",Lists!$J$4:'Lists'!$J101,"&lt;&gt;"))</f>
        <v/>
      </c>
      <c r="W99" t="str">
        <f>IF(OR(Lists!$J101="",Lists!$K101&lt;&gt;"Platform Operations"),"",COUNTIFS(Lists!$K$4:'Lists'!$K101,"Platform Operations",Lists!$J$4:'Lists'!$J101,"&lt;&gt;"))</f>
        <v/>
      </c>
      <c r="X99" t="str">
        <f>IF(OR(Lists!$J101="",Lists!$K101&lt;&gt;"Software Engineering"),"",COUNTIFS(Lists!$K$4:'Lists'!$K101,"Software Engineering",Lists!$J$4:'Lists'!$J101,"&lt;&gt;"))</f>
        <v/>
      </c>
      <c r="Y99" t="str">
        <f>IF(OR(Lists!$J101="",Lists!$K101&lt;&gt;"IT Operations"),"",COUNTIFS(Lists!$K$4:'Lists'!$K101,"IT Operations",Lists!$J$4:'Lists'!$J101,"&lt;&gt;"))</f>
        <v/>
      </c>
      <c r="Z99" t="str">
        <f>IF(OR(Lists!$J101="",Lists!$K101&lt;&gt;"Quality Assurance"),"",COUNTIFS(Lists!$K$4:'Lists'!$K101,"Quality Assurance",Lists!$J$4:'Lists'!$J101,"&lt;&gt;"))</f>
        <v/>
      </c>
      <c r="AA99" t="str">
        <f>IF(OR(Lists!$J101="",Lists!$K101&lt;&gt;"Compliance &amp; Core Training"),"",COUNTIFS(Lists!$K$4:'Lists'!$K101,"Compliance &amp; Core Training",Lists!$J$4:'Lists'!$J101,"&lt;&gt;"))</f>
        <v/>
      </c>
      <c r="AB99" t="str">
        <f>IF(OR(Lists!$J101="",Lists!$K101&lt;&gt;"Cloud &amp; Reliability"),"",COUNTIFS(Lists!$K$4:'Lists'!$K101,"Cloud &amp; Reliability",Lists!$J$4:'Lists'!$J101,"&lt;&gt;"))</f>
        <v/>
      </c>
      <c r="AC99" t="str">
        <f>IF(OR(Lists!$J101="",Lists!$K101&lt;&gt;"Data &amp; Analytics"),"",COUNTIFS(Lists!$K$4:'Lists'!$K101,"Data &amp; Analytics",Lists!$J$4:'Lists'!$J101,"&lt;&gt;"))</f>
        <v/>
      </c>
      <c r="AD99">
        <f>IF(OR(Lists!$J101="",Lists!$K101&lt;&gt;"Cybersecurity"),"",COUNTIFS(Lists!$K$4:'Lists'!$K101,"Cybersecurity",Lists!$J$4:'Lists'!$J101,"&lt;&gt;"))</f>
        <v>18</v>
      </c>
      <c r="AE99" t="str">
        <f>IF('Role Requirements'!$B103="","",IF(COUNTIF('Role Requirements'!$B$6:$B103,'Role Requirements'!$B103)=1,COUNT($AE$1:AE98)+1,""))</f>
        <v/>
      </c>
    </row>
    <row r="100" spans="3:31">
      <c r="C100" t="str">
        <f>IFERROR(INDEX(Lists!$J$4:$J$143,MATCH(99,$V$2:$V$141,0)),"")</f>
        <v/>
      </c>
      <c r="E100" t="str">
        <f>IFERROR(INDEX(Lists!$J$4:$J$143,MATCH(99,$W$2:$W$141,0)),"")</f>
        <v/>
      </c>
      <c r="G100" t="str">
        <f>IFERROR(INDEX(Lists!$J$4:$J$143,MATCH(99,$X$2:$X$141,0)),"")</f>
        <v/>
      </c>
      <c r="I100" t="str">
        <f>IFERROR(INDEX(Lists!$J$4:$J$143,MATCH(99,$Y$2:$Y$141,0)),"")</f>
        <v/>
      </c>
      <c r="K100" t="str">
        <f>IFERROR(INDEX(Lists!$J$4:$J$143,MATCH(99,$Z$2:$Z$141,0)),"")</f>
        <v/>
      </c>
      <c r="M100" t="str">
        <f>IFERROR(INDEX(Lists!$J$4:$J$143,MATCH(99,$AA$2:$AA$141,0)),"")</f>
        <v/>
      </c>
      <c r="O100" t="str">
        <f>IFERROR(INDEX(Lists!$J$4:$J$143,MATCH(99,$AB$2:$AB$141,0)),"")</f>
        <v/>
      </c>
      <c r="Q100" t="str">
        <f>IFERROR(INDEX(Lists!$J$4:$J$143,MATCH(99,$AC$2:$AC$141,0)),"")</f>
        <v/>
      </c>
      <c r="S100" t="str">
        <f>IFERROR(INDEX(Lists!$J$4:$J$143,MATCH(99,$AD$2:$AD$141,0)),"")</f>
        <v/>
      </c>
      <c r="U100" t="str">
        <f>IFERROR(INDEX('Role Requirements'!$B$6:$B$400,MATCH(99,$AE$2:$AE$396,0)),"")</f>
        <v/>
      </c>
      <c r="V100" t="str">
        <f>IF(OR(Lists!$J102="",Lists!$K102&lt;&gt;"Customer Support"),"",COUNTIFS(Lists!$K$4:'Lists'!$K102,"Customer Support",Lists!$J$4:'Lists'!$J102,"&lt;&gt;"))</f>
        <v/>
      </c>
      <c r="W100" t="str">
        <f>IF(OR(Lists!$J102="",Lists!$K102&lt;&gt;"Platform Operations"),"",COUNTIFS(Lists!$K$4:'Lists'!$K102,"Platform Operations",Lists!$J$4:'Lists'!$J102,"&lt;&gt;"))</f>
        <v/>
      </c>
      <c r="X100" t="str">
        <f>IF(OR(Lists!$J102="",Lists!$K102&lt;&gt;"Software Engineering"),"",COUNTIFS(Lists!$K$4:'Lists'!$K102,"Software Engineering",Lists!$J$4:'Lists'!$J102,"&lt;&gt;"))</f>
        <v/>
      </c>
      <c r="Y100" t="str">
        <f>IF(OR(Lists!$J102="",Lists!$K102&lt;&gt;"IT Operations"),"",COUNTIFS(Lists!$K$4:'Lists'!$K102,"IT Operations",Lists!$J$4:'Lists'!$J102,"&lt;&gt;"))</f>
        <v/>
      </c>
      <c r="Z100" t="str">
        <f>IF(OR(Lists!$J102="",Lists!$K102&lt;&gt;"Quality Assurance"),"",COUNTIFS(Lists!$K$4:'Lists'!$K102,"Quality Assurance",Lists!$J$4:'Lists'!$J102,"&lt;&gt;"))</f>
        <v/>
      </c>
      <c r="AA100" t="str">
        <f>IF(OR(Lists!$J102="",Lists!$K102&lt;&gt;"Compliance &amp; Core Training"),"",COUNTIFS(Lists!$K$4:'Lists'!$K102,"Compliance &amp; Core Training",Lists!$J$4:'Lists'!$J102,"&lt;&gt;"))</f>
        <v/>
      </c>
      <c r="AB100" t="str">
        <f>IF(OR(Lists!$J102="",Lists!$K102&lt;&gt;"Cloud &amp; Reliability"),"",COUNTIFS(Lists!$K$4:'Lists'!$K102,"Cloud &amp; Reliability",Lists!$J$4:'Lists'!$J102,"&lt;&gt;"))</f>
        <v/>
      </c>
      <c r="AC100" t="str">
        <f>IF(OR(Lists!$J102="",Lists!$K102&lt;&gt;"Data &amp; Analytics"),"",COUNTIFS(Lists!$K$4:'Lists'!$K102,"Data &amp; Analytics",Lists!$J$4:'Lists'!$J102,"&lt;&gt;"))</f>
        <v/>
      </c>
      <c r="AD100">
        <f>IF(OR(Lists!$J102="",Lists!$K102&lt;&gt;"Cybersecurity"),"",COUNTIFS(Lists!$K$4:'Lists'!$K102,"Cybersecurity",Lists!$J$4:'Lists'!$J102,"&lt;&gt;"))</f>
        <v>19</v>
      </c>
      <c r="AE100" t="str">
        <f>IF('Role Requirements'!$B104="","",IF(COUNTIF('Role Requirements'!$B$6:$B104,'Role Requirements'!$B104)=1,COUNT($AE$1:AE99)+1,""))</f>
        <v/>
      </c>
    </row>
    <row r="101" spans="3:31">
      <c r="C101" t="str">
        <f>IFERROR(INDEX(Lists!$J$4:$J$143,MATCH(100,$V$2:$V$141,0)),"")</f>
        <v/>
      </c>
      <c r="E101" t="str">
        <f>IFERROR(INDEX(Lists!$J$4:$J$143,MATCH(100,$W$2:$W$141,0)),"")</f>
        <v/>
      </c>
      <c r="G101" t="str">
        <f>IFERROR(INDEX(Lists!$J$4:$J$143,MATCH(100,$X$2:$X$141,0)),"")</f>
        <v/>
      </c>
      <c r="I101" t="str">
        <f>IFERROR(INDEX(Lists!$J$4:$J$143,MATCH(100,$Y$2:$Y$141,0)),"")</f>
        <v/>
      </c>
      <c r="K101" t="str">
        <f>IFERROR(INDEX(Lists!$J$4:$J$143,MATCH(100,$Z$2:$Z$141,0)),"")</f>
        <v/>
      </c>
      <c r="M101" t="str">
        <f>IFERROR(INDEX(Lists!$J$4:$J$143,MATCH(100,$AA$2:$AA$141,0)),"")</f>
        <v/>
      </c>
      <c r="O101" t="str">
        <f>IFERROR(INDEX(Lists!$J$4:$J$143,MATCH(100,$AB$2:$AB$141,0)),"")</f>
        <v/>
      </c>
      <c r="Q101" t="str">
        <f>IFERROR(INDEX(Lists!$J$4:$J$143,MATCH(100,$AC$2:$AC$141,0)),"")</f>
        <v/>
      </c>
      <c r="S101" t="str">
        <f>IFERROR(INDEX(Lists!$J$4:$J$143,MATCH(100,$AD$2:$AD$141,0)),"")</f>
        <v/>
      </c>
      <c r="U101" t="str">
        <f>IFERROR(INDEX('Role Requirements'!$B$6:$B$400,MATCH(100,$AE$2:$AE$396,0)),"")</f>
        <v/>
      </c>
      <c r="V101" t="str">
        <f>IF(OR(Lists!$J103="",Lists!$K103&lt;&gt;"Customer Support"),"",COUNTIFS(Lists!$K$4:'Lists'!$K103,"Customer Support",Lists!$J$4:'Lists'!$J103,"&lt;&gt;"))</f>
        <v/>
      </c>
      <c r="W101" t="str">
        <f>IF(OR(Lists!$J103="",Lists!$K103&lt;&gt;"Platform Operations"),"",COUNTIFS(Lists!$K$4:'Lists'!$K103,"Platform Operations",Lists!$J$4:'Lists'!$J103,"&lt;&gt;"))</f>
        <v/>
      </c>
      <c r="X101" t="str">
        <f>IF(OR(Lists!$J103="",Lists!$K103&lt;&gt;"Software Engineering"),"",COUNTIFS(Lists!$K$4:'Lists'!$K103,"Software Engineering",Lists!$J$4:'Lists'!$J103,"&lt;&gt;"))</f>
        <v/>
      </c>
      <c r="Y101" t="str">
        <f>IF(OR(Lists!$J103="",Lists!$K103&lt;&gt;"IT Operations"),"",COUNTIFS(Lists!$K$4:'Lists'!$K103,"IT Operations",Lists!$J$4:'Lists'!$J103,"&lt;&gt;"))</f>
        <v/>
      </c>
      <c r="Z101" t="str">
        <f>IF(OR(Lists!$J103="",Lists!$K103&lt;&gt;"Quality Assurance"),"",COUNTIFS(Lists!$K$4:'Lists'!$K103,"Quality Assurance",Lists!$J$4:'Lists'!$J103,"&lt;&gt;"))</f>
        <v/>
      </c>
      <c r="AA101" t="str">
        <f>IF(OR(Lists!$J103="",Lists!$K103&lt;&gt;"Compliance &amp; Core Training"),"",COUNTIFS(Lists!$K$4:'Lists'!$K103,"Compliance &amp; Core Training",Lists!$J$4:'Lists'!$J103,"&lt;&gt;"))</f>
        <v/>
      </c>
      <c r="AB101" t="str">
        <f>IF(OR(Lists!$J103="",Lists!$K103&lt;&gt;"Cloud &amp; Reliability"),"",COUNTIFS(Lists!$K$4:'Lists'!$K103,"Cloud &amp; Reliability",Lists!$J$4:'Lists'!$J103,"&lt;&gt;"))</f>
        <v/>
      </c>
      <c r="AC101" t="str">
        <f>IF(OR(Lists!$J103="",Lists!$K103&lt;&gt;"Data &amp; Analytics"),"",COUNTIFS(Lists!$K$4:'Lists'!$K103,"Data &amp; Analytics",Lists!$J$4:'Lists'!$J103,"&lt;&gt;"))</f>
        <v/>
      </c>
      <c r="AD101">
        <f>IF(OR(Lists!$J103="",Lists!$K103&lt;&gt;"Cybersecurity"),"",COUNTIFS(Lists!$K$4:'Lists'!$K103,"Cybersecurity",Lists!$J$4:'Lists'!$J103,"&lt;&gt;"))</f>
        <v>20</v>
      </c>
      <c r="AE101" t="str">
        <f>IF('Role Requirements'!$B105="","",IF(COUNTIF('Role Requirements'!$B$6:$B105,'Role Requirements'!$B105)=1,COUNT($AE$1:AE100)+1,""))</f>
        <v/>
      </c>
    </row>
    <row r="102" spans="3:31">
      <c r="C102" t="str">
        <f>IFERROR(INDEX(Lists!$J$4:$J$143,MATCH(101,$V$2:$V$141,0)),"")</f>
        <v/>
      </c>
      <c r="E102" t="str">
        <f>IFERROR(INDEX(Lists!$J$4:$J$143,MATCH(101,$W$2:$W$141,0)),"")</f>
        <v/>
      </c>
      <c r="G102" t="str">
        <f>IFERROR(INDEX(Lists!$J$4:$J$143,MATCH(101,$X$2:$X$141,0)),"")</f>
        <v/>
      </c>
      <c r="I102" t="str">
        <f>IFERROR(INDEX(Lists!$J$4:$J$143,MATCH(101,$Y$2:$Y$141,0)),"")</f>
        <v/>
      </c>
      <c r="K102" t="str">
        <f>IFERROR(INDEX(Lists!$J$4:$J$143,MATCH(101,$Z$2:$Z$141,0)),"")</f>
        <v/>
      </c>
      <c r="M102" t="str">
        <f>IFERROR(INDEX(Lists!$J$4:$J$143,MATCH(101,$AA$2:$AA$141,0)),"")</f>
        <v/>
      </c>
      <c r="O102" t="str">
        <f>IFERROR(INDEX(Lists!$J$4:$J$143,MATCH(101,$AB$2:$AB$141,0)),"")</f>
        <v/>
      </c>
      <c r="Q102" t="str">
        <f>IFERROR(INDEX(Lists!$J$4:$J$143,MATCH(101,$AC$2:$AC$141,0)),"")</f>
        <v/>
      </c>
      <c r="S102" t="str">
        <f>IFERROR(INDEX(Lists!$J$4:$J$143,MATCH(101,$AD$2:$AD$141,0)),"")</f>
        <v/>
      </c>
      <c r="V102" t="str">
        <f>IF(OR(Lists!$J104="",Lists!$K104&lt;&gt;"Customer Support"),"",COUNTIFS(Lists!$K$4:'Lists'!$K104,"Customer Support",Lists!$J$4:'Lists'!$J104,"&lt;&gt;"))</f>
        <v/>
      </c>
      <c r="W102" t="str">
        <f>IF(OR(Lists!$J104="",Lists!$K104&lt;&gt;"Platform Operations"),"",COUNTIFS(Lists!$K$4:'Lists'!$K104,"Platform Operations",Lists!$J$4:'Lists'!$J104,"&lt;&gt;"))</f>
        <v/>
      </c>
      <c r="X102" t="str">
        <f>IF(OR(Lists!$J104="",Lists!$K104&lt;&gt;"Software Engineering"),"",COUNTIFS(Lists!$K$4:'Lists'!$K104,"Software Engineering",Lists!$J$4:'Lists'!$J104,"&lt;&gt;"))</f>
        <v/>
      </c>
      <c r="Y102" t="str">
        <f>IF(OR(Lists!$J104="",Lists!$K104&lt;&gt;"IT Operations"),"",COUNTIFS(Lists!$K$4:'Lists'!$K104,"IT Operations",Lists!$J$4:'Lists'!$J104,"&lt;&gt;"))</f>
        <v/>
      </c>
      <c r="Z102" t="str">
        <f>IF(OR(Lists!$J104="",Lists!$K104&lt;&gt;"Quality Assurance"),"",COUNTIFS(Lists!$K$4:'Lists'!$K104,"Quality Assurance",Lists!$J$4:'Lists'!$J104,"&lt;&gt;"))</f>
        <v/>
      </c>
      <c r="AA102" t="str">
        <f>IF(OR(Lists!$J104="",Lists!$K104&lt;&gt;"Compliance &amp; Core Training"),"",COUNTIFS(Lists!$K$4:'Lists'!$K104,"Compliance &amp; Core Training",Lists!$J$4:'Lists'!$J104,"&lt;&gt;"))</f>
        <v/>
      </c>
      <c r="AB102" t="str">
        <f>IF(OR(Lists!$J104="",Lists!$K104&lt;&gt;"Cloud &amp; Reliability"),"",COUNTIFS(Lists!$K$4:'Lists'!$K104,"Cloud &amp; Reliability",Lists!$J$4:'Lists'!$J104,"&lt;&gt;"))</f>
        <v/>
      </c>
      <c r="AC102" t="str">
        <f>IF(OR(Lists!$J104="",Lists!$K104&lt;&gt;"Data &amp; Analytics"),"",COUNTIFS(Lists!$K$4:'Lists'!$K104,"Data &amp; Analytics",Lists!$J$4:'Lists'!$J104,"&lt;&gt;"))</f>
        <v/>
      </c>
      <c r="AD102">
        <f>IF(OR(Lists!$J104="",Lists!$K104&lt;&gt;"Cybersecurity"),"",COUNTIFS(Lists!$K$4:'Lists'!$K104,"Cybersecurity",Lists!$J$4:'Lists'!$J104,"&lt;&gt;"))</f>
        <v>21</v>
      </c>
      <c r="AE102" t="str">
        <f>IF('Role Requirements'!$B106="","",IF(COUNTIF('Role Requirements'!$B$6:$B106,'Role Requirements'!$B106)=1,COUNT($AE$1:AE101)+1,""))</f>
        <v/>
      </c>
    </row>
    <row r="103" spans="3:31">
      <c r="C103" t="str">
        <f>IFERROR(INDEX(Lists!$J$4:$J$143,MATCH(102,$V$2:$V$141,0)),"")</f>
        <v/>
      </c>
      <c r="E103" t="str">
        <f>IFERROR(INDEX(Lists!$J$4:$J$143,MATCH(102,$W$2:$W$141,0)),"")</f>
        <v/>
      </c>
      <c r="G103" t="str">
        <f>IFERROR(INDEX(Lists!$J$4:$J$143,MATCH(102,$X$2:$X$141,0)),"")</f>
        <v/>
      </c>
      <c r="I103" t="str">
        <f>IFERROR(INDEX(Lists!$J$4:$J$143,MATCH(102,$Y$2:$Y$141,0)),"")</f>
        <v/>
      </c>
      <c r="K103" t="str">
        <f>IFERROR(INDEX(Lists!$J$4:$J$143,MATCH(102,$Z$2:$Z$141,0)),"")</f>
        <v/>
      </c>
      <c r="M103" t="str">
        <f>IFERROR(INDEX(Lists!$J$4:$J$143,MATCH(102,$AA$2:$AA$141,0)),"")</f>
        <v/>
      </c>
      <c r="O103" t="str">
        <f>IFERROR(INDEX(Lists!$J$4:$J$143,MATCH(102,$AB$2:$AB$141,0)),"")</f>
        <v/>
      </c>
      <c r="Q103" t="str">
        <f>IFERROR(INDEX(Lists!$J$4:$J$143,MATCH(102,$AC$2:$AC$141,0)),"")</f>
        <v/>
      </c>
      <c r="S103" t="str">
        <f>IFERROR(INDEX(Lists!$J$4:$J$143,MATCH(102,$AD$2:$AD$141,0)),"")</f>
        <v/>
      </c>
      <c r="V103" t="str">
        <f>IF(OR(Lists!$J105="",Lists!$K105&lt;&gt;"Customer Support"),"",COUNTIFS(Lists!$K$4:'Lists'!$K105,"Customer Support",Lists!$J$4:'Lists'!$J105,"&lt;&gt;"))</f>
        <v/>
      </c>
      <c r="W103" t="str">
        <f>IF(OR(Lists!$J105="",Lists!$K105&lt;&gt;"Platform Operations"),"",COUNTIFS(Lists!$K$4:'Lists'!$K105,"Platform Operations",Lists!$J$4:'Lists'!$J105,"&lt;&gt;"))</f>
        <v/>
      </c>
      <c r="X103" t="str">
        <f>IF(OR(Lists!$J105="",Lists!$K105&lt;&gt;"Software Engineering"),"",COUNTIFS(Lists!$K$4:'Lists'!$K105,"Software Engineering",Lists!$J$4:'Lists'!$J105,"&lt;&gt;"))</f>
        <v/>
      </c>
      <c r="Y103" t="str">
        <f>IF(OR(Lists!$J105="",Lists!$K105&lt;&gt;"IT Operations"),"",COUNTIFS(Lists!$K$4:'Lists'!$K105,"IT Operations",Lists!$J$4:'Lists'!$J105,"&lt;&gt;"))</f>
        <v/>
      </c>
      <c r="Z103" t="str">
        <f>IF(OR(Lists!$J105="",Lists!$K105&lt;&gt;"Quality Assurance"),"",COUNTIFS(Lists!$K$4:'Lists'!$K105,"Quality Assurance",Lists!$J$4:'Lists'!$J105,"&lt;&gt;"))</f>
        <v/>
      </c>
      <c r="AA103">
        <f>IF(OR(Lists!$J105="",Lists!$K105&lt;&gt;"Compliance &amp; Core Training"),"",COUNTIFS(Lists!$K$4:'Lists'!$K105,"Compliance &amp; Core Training",Lists!$J$4:'Lists'!$J105,"&lt;&gt;"))</f>
        <v>2</v>
      </c>
      <c r="AB103" t="str">
        <f>IF(OR(Lists!$J105="",Lists!$K105&lt;&gt;"Cloud &amp; Reliability"),"",COUNTIFS(Lists!$K$4:'Lists'!$K105,"Cloud &amp; Reliability",Lists!$J$4:'Lists'!$J105,"&lt;&gt;"))</f>
        <v/>
      </c>
      <c r="AC103" t="str">
        <f>IF(OR(Lists!$J105="",Lists!$K105&lt;&gt;"Data &amp; Analytics"),"",COUNTIFS(Lists!$K$4:'Lists'!$K105,"Data &amp; Analytics",Lists!$J$4:'Lists'!$J105,"&lt;&gt;"))</f>
        <v/>
      </c>
      <c r="AD103" t="str">
        <f>IF(OR(Lists!$J105="",Lists!$K105&lt;&gt;"Cybersecurity"),"",COUNTIFS(Lists!$K$4:'Lists'!$K105,"Cybersecurity",Lists!$J$4:'Lists'!$J105,"&lt;&gt;"))</f>
        <v/>
      </c>
      <c r="AE103" t="str">
        <f>IF('Role Requirements'!$B107="","",IF(COUNTIF('Role Requirements'!$B$6:$B107,'Role Requirements'!$B107)=1,COUNT($AE$1:AE102)+1,""))</f>
        <v/>
      </c>
    </row>
    <row r="104" spans="3:31">
      <c r="C104" t="str">
        <f>IFERROR(INDEX(Lists!$J$4:$J$143,MATCH(103,$V$2:$V$141,0)),"")</f>
        <v/>
      </c>
      <c r="E104" t="str">
        <f>IFERROR(INDEX(Lists!$J$4:$J$143,MATCH(103,$W$2:$W$141,0)),"")</f>
        <v/>
      </c>
      <c r="G104" t="str">
        <f>IFERROR(INDEX(Lists!$J$4:$J$143,MATCH(103,$X$2:$X$141,0)),"")</f>
        <v/>
      </c>
      <c r="I104" t="str">
        <f>IFERROR(INDEX(Lists!$J$4:$J$143,MATCH(103,$Y$2:$Y$141,0)),"")</f>
        <v/>
      </c>
      <c r="K104" t="str">
        <f>IFERROR(INDEX(Lists!$J$4:$J$143,MATCH(103,$Z$2:$Z$141,0)),"")</f>
        <v/>
      </c>
      <c r="M104" t="str">
        <f>IFERROR(INDEX(Lists!$J$4:$J$143,MATCH(103,$AA$2:$AA$141,0)),"")</f>
        <v/>
      </c>
      <c r="O104" t="str">
        <f>IFERROR(INDEX(Lists!$J$4:$J$143,MATCH(103,$AB$2:$AB$141,0)),"")</f>
        <v/>
      </c>
      <c r="Q104" t="str">
        <f>IFERROR(INDEX(Lists!$J$4:$J$143,MATCH(103,$AC$2:$AC$141,0)),"")</f>
        <v/>
      </c>
      <c r="S104" t="str">
        <f>IFERROR(INDEX(Lists!$J$4:$J$143,MATCH(103,$AD$2:$AD$141,0)),"")</f>
        <v/>
      </c>
      <c r="V104" t="str">
        <f>IF(OR(Lists!$J106="",Lists!$K106&lt;&gt;"Customer Support"),"",COUNTIFS(Lists!$K$4:'Lists'!$K106,"Customer Support",Lists!$J$4:'Lists'!$J106,"&lt;&gt;"))</f>
        <v/>
      </c>
      <c r="W104" t="str">
        <f>IF(OR(Lists!$J106="",Lists!$K106&lt;&gt;"Platform Operations"),"",COUNTIFS(Lists!$K$4:'Lists'!$K106,"Platform Operations",Lists!$J$4:'Lists'!$J106,"&lt;&gt;"))</f>
        <v/>
      </c>
      <c r="X104" t="str">
        <f>IF(OR(Lists!$J106="",Lists!$K106&lt;&gt;"Software Engineering"),"",COUNTIFS(Lists!$K$4:'Lists'!$K106,"Software Engineering",Lists!$J$4:'Lists'!$J106,"&lt;&gt;"))</f>
        <v/>
      </c>
      <c r="Y104" t="str">
        <f>IF(OR(Lists!$J106="",Lists!$K106&lt;&gt;"IT Operations"),"",COUNTIFS(Lists!$K$4:'Lists'!$K106,"IT Operations",Lists!$J$4:'Lists'!$J106,"&lt;&gt;"))</f>
        <v/>
      </c>
      <c r="Z104" t="str">
        <f>IF(OR(Lists!$J106="",Lists!$K106&lt;&gt;"Quality Assurance"),"",COUNTIFS(Lists!$K$4:'Lists'!$K106,"Quality Assurance",Lists!$J$4:'Lists'!$J106,"&lt;&gt;"))</f>
        <v/>
      </c>
      <c r="AA104">
        <f>IF(OR(Lists!$J106="",Lists!$K106&lt;&gt;"Compliance &amp; Core Training"),"",COUNTIFS(Lists!$K$4:'Lists'!$K106,"Compliance &amp; Core Training",Lists!$J$4:'Lists'!$J106,"&lt;&gt;"))</f>
        <v>3</v>
      </c>
      <c r="AB104" t="str">
        <f>IF(OR(Lists!$J106="",Lists!$K106&lt;&gt;"Cloud &amp; Reliability"),"",COUNTIFS(Lists!$K$4:'Lists'!$K106,"Cloud &amp; Reliability",Lists!$J$4:'Lists'!$J106,"&lt;&gt;"))</f>
        <v/>
      </c>
      <c r="AC104" t="str">
        <f>IF(OR(Lists!$J106="",Lists!$K106&lt;&gt;"Data &amp; Analytics"),"",COUNTIFS(Lists!$K$4:'Lists'!$K106,"Data &amp; Analytics",Lists!$J$4:'Lists'!$J106,"&lt;&gt;"))</f>
        <v/>
      </c>
      <c r="AD104" t="str">
        <f>IF(OR(Lists!$J106="",Lists!$K106&lt;&gt;"Cybersecurity"),"",COUNTIFS(Lists!$K$4:'Lists'!$K106,"Cybersecurity",Lists!$J$4:'Lists'!$J106,"&lt;&gt;"))</f>
        <v/>
      </c>
      <c r="AE104" t="str">
        <f>IF('Role Requirements'!$B108="","",IF(COUNTIF('Role Requirements'!$B$6:$B108,'Role Requirements'!$B108)=1,COUNT($AE$1:AE103)+1,""))</f>
        <v/>
      </c>
    </row>
    <row r="105" spans="3:31">
      <c r="C105" t="str">
        <f>IFERROR(INDEX(Lists!$J$4:$J$143,MATCH(104,$V$2:$V$141,0)),"")</f>
        <v/>
      </c>
      <c r="E105" t="str">
        <f>IFERROR(INDEX(Lists!$J$4:$J$143,MATCH(104,$W$2:$W$141,0)),"")</f>
        <v/>
      </c>
      <c r="G105" t="str">
        <f>IFERROR(INDEX(Lists!$J$4:$J$143,MATCH(104,$X$2:$X$141,0)),"")</f>
        <v/>
      </c>
      <c r="I105" t="str">
        <f>IFERROR(INDEX(Lists!$J$4:$J$143,MATCH(104,$Y$2:$Y$141,0)),"")</f>
        <v/>
      </c>
      <c r="K105" t="str">
        <f>IFERROR(INDEX(Lists!$J$4:$J$143,MATCH(104,$Z$2:$Z$141,0)),"")</f>
        <v/>
      </c>
      <c r="M105" t="str">
        <f>IFERROR(INDEX(Lists!$J$4:$J$143,MATCH(104,$AA$2:$AA$141,0)),"")</f>
        <v/>
      </c>
      <c r="O105" t="str">
        <f>IFERROR(INDEX(Lists!$J$4:$J$143,MATCH(104,$AB$2:$AB$141,0)),"")</f>
        <v/>
      </c>
      <c r="Q105" t="str">
        <f>IFERROR(INDEX(Lists!$J$4:$J$143,MATCH(104,$AC$2:$AC$141,0)),"")</f>
        <v/>
      </c>
      <c r="S105" t="str">
        <f>IFERROR(INDEX(Lists!$J$4:$J$143,MATCH(104,$AD$2:$AD$141,0)),"")</f>
        <v/>
      </c>
      <c r="V105" t="str">
        <f>IF(OR(Lists!$J107="",Lists!$K107&lt;&gt;"Customer Support"),"",COUNTIFS(Lists!$K$4:'Lists'!$K107,"Customer Support",Lists!$J$4:'Lists'!$J107,"&lt;&gt;"))</f>
        <v/>
      </c>
      <c r="W105" t="str">
        <f>IF(OR(Lists!$J107="",Lists!$K107&lt;&gt;"Platform Operations"),"",COUNTIFS(Lists!$K$4:'Lists'!$K107,"Platform Operations",Lists!$J$4:'Lists'!$J107,"&lt;&gt;"))</f>
        <v/>
      </c>
      <c r="X105" t="str">
        <f>IF(OR(Lists!$J107="",Lists!$K107&lt;&gt;"Software Engineering"),"",COUNTIFS(Lists!$K$4:'Lists'!$K107,"Software Engineering",Lists!$J$4:'Lists'!$J107,"&lt;&gt;"))</f>
        <v/>
      </c>
      <c r="Y105">
        <f>IF(OR(Lists!$J107="",Lists!$K107&lt;&gt;"IT Operations"),"",COUNTIFS(Lists!$K$4:'Lists'!$K107,"IT Operations",Lists!$J$4:'Lists'!$J107,"&lt;&gt;"))</f>
        <v>10</v>
      </c>
      <c r="Z105" t="str">
        <f>IF(OR(Lists!$J107="",Lists!$K107&lt;&gt;"Quality Assurance"),"",COUNTIFS(Lists!$K$4:'Lists'!$K107,"Quality Assurance",Lists!$J$4:'Lists'!$J107,"&lt;&gt;"))</f>
        <v/>
      </c>
      <c r="AA105" t="str">
        <f>IF(OR(Lists!$J107="",Lists!$K107&lt;&gt;"Compliance &amp; Core Training"),"",COUNTIFS(Lists!$K$4:'Lists'!$K107,"Compliance &amp; Core Training",Lists!$J$4:'Lists'!$J107,"&lt;&gt;"))</f>
        <v/>
      </c>
      <c r="AB105" t="str">
        <f>IF(OR(Lists!$J107="",Lists!$K107&lt;&gt;"Cloud &amp; Reliability"),"",COUNTIFS(Lists!$K$4:'Lists'!$K107,"Cloud &amp; Reliability",Lists!$J$4:'Lists'!$J107,"&lt;&gt;"))</f>
        <v/>
      </c>
      <c r="AC105" t="str">
        <f>IF(OR(Lists!$J107="",Lists!$K107&lt;&gt;"Data &amp; Analytics"),"",COUNTIFS(Lists!$K$4:'Lists'!$K107,"Data &amp; Analytics",Lists!$J$4:'Lists'!$J107,"&lt;&gt;"))</f>
        <v/>
      </c>
      <c r="AD105" t="str">
        <f>IF(OR(Lists!$J107="",Lists!$K107&lt;&gt;"Cybersecurity"),"",COUNTIFS(Lists!$K$4:'Lists'!$K107,"Cybersecurity",Lists!$J$4:'Lists'!$J107,"&lt;&gt;"))</f>
        <v/>
      </c>
      <c r="AE105" t="str">
        <f>IF('Role Requirements'!$B109="","",IF(COUNTIF('Role Requirements'!$B$6:$B109,'Role Requirements'!$B109)=1,COUNT($AE$1:AE104)+1,""))</f>
        <v/>
      </c>
    </row>
    <row r="106" spans="3:31">
      <c r="C106" t="str">
        <f>IFERROR(INDEX(Lists!$J$4:$J$143,MATCH(105,$V$2:$V$141,0)),"")</f>
        <v/>
      </c>
      <c r="E106" t="str">
        <f>IFERROR(INDEX(Lists!$J$4:$J$143,MATCH(105,$W$2:$W$141,0)),"")</f>
        <v/>
      </c>
      <c r="G106" t="str">
        <f>IFERROR(INDEX(Lists!$J$4:$J$143,MATCH(105,$X$2:$X$141,0)),"")</f>
        <v/>
      </c>
      <c r="I106" t="str">
        <f>IFERROR(INDEX(Lists!$J$4:$J$143,MATCH(105,$Y$2:$Y$141,0)),"")</f>
        <v/>
      </c>
      <c r="K106" t="str">
        <f>IFERROR(INDEX(Lists!$J$4:$J$143,MATCH(105,$Z$2:$Z$141,0)),"")</f>
        <v/>
      </c>
      <c r="M106" t="str">
        <f>IFERROR(INDEX(Lists!$J$4:$J$143,MATCH(105,$AA$2:$AA$141,0)),"")</f>
        <v/>
      </c>
      <c r="O106" t="str">
        <f>IFERROR(INDEX(Lists!$J$4:$J$143,MATCH(105,$AB$2:$AB$141,0)),"")</f>
        <v/>
      </c>
      <c r="Q106" t="str">
        <f>IFERROR(INDEX(Lists!$J$4:$J$143,MATCH(105,$AC$2:$AC$141,0)),"")</f>
        <v/>
      </c>
      <c r="S106" t="str">
        <f>IFERROR(INDEX(Lists!$J$4:$J$143,MATCH(105,$AD$2:$AD$141,0)),"")</f>
        <v/>
      </c>
      <c r="V106" t="str">
        <f>IF(OR(Lists!$J108="",Lists!$K108&lt;&gt;"Customer Support"),"",COUNTIFS(Lists!$K$4:'Lists'!$K108,"Customer Support",Lists!$J$4:'Lists'!$J108,"&lt;&gt;"))</f>
        <v/>
      </c>
      <c r="W106" t="str">
        <f>IF(OR(Lists!$J108="",Lists!$K108&lt;&gt;"Platform Operations"),"",COUNTIFS(Lists!$K$4:'Lists'!$K108,"Platform Operations",Lists!$J$4:'Lists'!$J108,"&lt;&gt;"))</f>
        <v/>
      </c>
      <c r="X106" t="str">
        <f>IF(OR(Lists!$J108="",Lists!$K108&lt;&gt;"Software Engineering"),"",COUNTIFS(Lists!$K$4:'Lists'!$K108,"Software Engineering",Lists!$J$4:'Lists'!$J108,"&lt;&gt;"))</f>
        <v/>
      </c>
      <c r="Y106" t="str">
        <f>IF(OR(Lists!$J108="",Lists!$K108&lt;&gt;"IT Operations"),"",COUNTIFS(Lists!$K$4:'Lists'!$K108,"IT Operations",Lists!$J$4:'Lists'!$J108,"&lt;&gt;"))</f>
        <v/>
      </c>
      <c r="Z106" t="str">
        <f>IF(OR(Lists!$J108="",Lists!$K108&lt;&gt;"Quality Assurance"),"",COUNTIFS(Lists!$K$4:'Lists'!$K108,"Quality Assurance",Lists!$J$4:'Lists'!$J108,"&lt;&gt;"))</f>
        <v/>
      </c>
      <c r="AA106" t="str">
        <f>IF(OR(Lists!$J108="",Lists!$K108&lt;&gt;"Compliance &amp; Core Training"),"",COUNTIFS(Lists!$K$4:'Lists'!$K108,"Compliance &amp; Core Training",Lists!$J$4:'Lists'!$J108,"&lt;&gt;"))</f>
        <v/>
      </c>
      <c r="AB106" t="str">
        <f>IF(OR(Lists!$J108="",Lists!$K108&lt;&gt;"Cloud &amp; Reliability"),"",COUNTIFS(Lists!$K$4:'Lists'!$K108,"Cloud &amp; Reliability",Lists!$J$4:'Lists'!$J108,"&lt;&gt;"))</f>
        <v/>
      </c>
      <c r="AC106" t="str">
        <f>IF(OR(Lists!$J108="",Lists!$K108&lt;&gt;"Data &amp; Analytics"),"",COUNTIFS(Lists!$K$4:'Lists'!$K108,"Data &amp; Analytics",Lists!$J$4:'Lists'!$J108,"&lt;&gt;"))</f>
        <v/>
      </c>
      <c r="AD106">
        <f>IF(OR(Lists!$J108="",Lists!$K108&lt;&gt;"Cybersecurity"),"",COUNTIFS(Lists!$K$4:'Lists'!$K108,"Cybersecurity",Lists!$J$4:'Lists'!$J108,"&lt;&gt;"))</f>
        <v>22</v>
      </c>
      <c r="AE106" t="str">
        <f>IF('Role Requirements'!$B110="","",IF(COUNTIF('Role Requirements'!$B$6:$B110,'Role Requirements'!$B110)=1,COUNT($AE$1:AE105)+1,""))</f>
        <v/>
      </c>
    </row>
    <row r="107" spans="3:31">
      <c r="C107" t="str">
        <f>IFERROR(INDEX(Lists!$J$4:$J$143,MATCH(106,$V$2:$V$141,0)),"")</f>
        <v/>
      </c>
      <c r="E107" t="str">
        <f>IFERROR(INDEX(Lists!$J$4:$J$143,MATCH(106,$W$2:$W$141,0)),"")</f>
        <v/>
      </c>
      <c r="G107" t="str">
        <f>IFERROR(INDEX(Lists!$J$4:$J$143,MATCH(106,$X$2:$X$141,0)),"")</f>
        <v/>
      </c>
      <c r="I107" t="str">
        <f>IFERROR(INDEX(Lists!$J$4:$J$143,MATCH(106,$Y$2:$Y$141,0)),"")</f>
        <v/>
      </c>
      <c r="K107" t="str">
        <f>IFERROR(INDEX(Lists!$J$4:$J$143,MATCH(106,$Z$2:$Z$141,0)),"")</f>
        <v/>
      </c>
      <c r="M107" t="str">
        <f>IFERROR(INDEX(Lists!$J$4:$J$143,MATCH(106,$AA$2:$AA$141,0)),"")</f>
        <v/>
      </c>
      <c r="O107" t="str">
        <f>IFERROR(INDEX(Lists!$J$4:$J$143,MATCH(106,$AB$2:$AB$141,0)),"")</f>
        <v/>
      </c>
      <c r="Q107" t="str">
        <f>IFERROR(INDEX(Lists!$J$4:$J$143,MATCH(106,$AC$2:$AC$141,0)),"")</f>
        <v/>
      </c>
      <c r="S107" t="str">
        <f>IFERROR(INDEX(Lists!$J$4:$J$143,MATCH(106,$AD$2:$AD$141,0)),"")</f>
        <v/>
      </c>
      <c r="V107" t="str">
        <f>IF(OR(Lists!$J109="",Lists!$K109&lt;&gt;"Customer Support"),"",COUNTIFS(Lists!$K$4:'Lists'!$K109,"Customer Support",Lists!$J$4:'Lists'!$J109,"&lt;&gt;"))</f>
        <v/>
      </c>
      <c r="W107" t="str">
        <f>IF(OR(Lists!$J109="",Lists!$K109&lt;&gt;"Platform Operations"),"",COUNTIFS(Lists!$K$4:'Lists'!$K109,"Platform Operations",Lists!$J$4:'Lists'!$J109,"&lt;&gt;"))</f>
        <v/>
      </c>
      <c r="X107" t="str">
        <f>IF(OR(Lists!$J109="",Lists!$K109&lt;&gt;"Software Engineering"),"",COUNTIFS(Lists!$K$4:'Lists'!$K109,"Software Engineering",Lists!$J$4:'Lists'!$J109,"&lt;&gt;"))</f>
        <v/>
      </c>
      <c r="Y107" t="str">
        <f>IF(OR(Lists!$J109="",Lists!$K109&lt;&gt;"IT Operations"),"",COUNTIFS(Lists!$K$4:'Lists'!$K109,"IT Operations",Lists!$J$4:'Lists'!$J109,"&lt;&gt;"))</f>
        <v/>
      </c>
      <c r="Z107" t="str">
        <f>IF(OR(Lists!$J109="",Lists!$K109&lt;&gt;"Quality Assurance"),"",COUNTIFS(Lists!$K$4:'Lists'!$K109,"Quality Assurance",Lists!$J$4:'Lists'!$J109,"&lt;&gt;"))</f>
        <v/>
      </c>
      <c r="AA107" t="str">
        <f>IF(OR(Lists!$J109="",Lists!$K109&lt;&gt;"Compliance &amp; Core Training"),"",COUNTIFS(Lists!$K$4:'Lists'!$K109,"Compliance &amp; Core Training",Lists!$J$4:'Lists'!$J109,"&lt;&gt;"))</f>
        <v/>
      </c>
      <c r="AB107" t="str">
        <f>IF(OR(Lists!$J109="",Lists!$K109&lt;&gt;"Cloud &amp; Reliability"),"",COUNTIFS(Lists!$K$4:'Lists'!$K109,"Cloud &amp; Reliability",Lists!$J$4:'Lists'!$J109,"&lt;&gt;"))</f>
        <v/>
      </c>
      <c r="AC107" t="str">
        <f>IF(OR(Lists!$J109="",Lists!$K109&lt;&gt;"Data &amp; Analytics"),"",COUNTIFS(Lists!$K$4:'Lists'!$K109,"Data &amp; Analytics",Lists!$J$4:'Lists'!$J109,"&lt;&gt;"))</f>
        <v/>
      </c>
      <c r="AD107" t="str">
        <f>IF(OR(Lists!$J109="",Lists!$K109&lt;&gt;"Cybersecurity"),"",COUNTIFS(Lists!$K$4:'Lists'!$K109,"Cybersecurity",Lists!$J$4:'Lists'!$J109,"&lt;&gt;"))</f>
        <v/>
      </c>
      <c r="AE107" t="str">
        <f>IF('Role Requirements'!$B111="","",IF(COUNTIF('Role Requirements'!$B$6:$B111,'Role Requirements'!$B111)=1,COUNT($AE$1:AE106)+1,""))</f>
        <v/>
      </c>
    </row>
    <row r="108" spans="3:31">
      <c r="C108" t="str">
        <f>IFERROR(INDEX(Lists!$J$4:$J$143,MATCH(107,$V$2:$V$141,0)),"")</f>
        <v/>
      </c>
      <c r="E108" t="str">
        <f>IFERROR(INDEX(Lists!$J$4:$J$143,MATCH(107,$W$2:$W$141,0)),"")</f>
        <v/>
      </c>
      <c r="G108" t="str">
        <f>IFERROR(INDEX(Lists!$J$4:$J$143,MATCH(107,$X$2:$X$141,0)),"")</f>
        <v/>
      </c>
      <c r="I108" t="str">
        <f>IFERROR(INDEX(Lists!$J$4:$J$143,MATCH(107,$Y$2:$Y$141,0)),"")</f>
        <v/>
      </c>
      <c r="K108" t="str">
        <f>IFERROR(INDEX(Lists!$J$4:$J$143,MATCH(107,$Z$2:$Z$141,0)),"")</f>
        <v/>
      </c>
      <c r="M108" t="str">
        <f>IFERROR(INDEX(Lists!$J$4:$J$143,MATCH(107,$AA$2:$AA$141,0)),"")</f>
        <v/>
      </c>
      <c r="O108" t="str">
        <f>IFERROR(INDEX(Lists!$J$4:$J$143,MATCH(107,$AB$2:$AB$141,0)),"")</f>
        <v/>
      </c>
      <c r="Q108" t="str">
        <f>IFERROR(INDEX(Lists!$J$4:$J$143,MATCH(107,$AC$2:$AC$141,0)),"")</f>
        <v/>
      </c>
      <c r="S108" t="str">
        <f>IFERROR(INDEX(Lists!$J$4:$J$143,MATCH(107,$AD$2:$AD$141,0)),"")</f>
        <v/>
      </c>
      <c r="V108" t="str">
        <f>IF(OR(Lists!$J110="",Lists!$K110&lt;&gt;"Customer Support"),"",COUNTIFS(Lists!$K$4:'Lists'!$K110,"Customer Support",Lists!$J$4:'Lists'!$J110,"&lt;&gt;"))</f>
        <v/>
      </c>
      <c r="W108" t="str">
        <f>IF(OR(Lists!$J110="",Lists!$K110&lt;&gt;"Platform Operations"),"",COUNTIFS(Lists!$K$4:'Lists'!$K110,"Platform Operations",Lists!$J$4:'Lists'!$J110,"&lt;&gt;"))</f>
        <v/>
      </c>
      <c r="X108" t="str">
        <f>IF(OR(Lists!$J110="",Lists!$K110&lt;&gt;"Software Engineering"),"",COUNTIFS(Lists!$K$4:'Lists'!$K110,"Software Engineering",Lists!$J$4:'Lists'!$J110,"&lt;&gt;"))</f>
        <v/>
      </c>
      <c r="Y108" t="str">
        <f>IF(OR(Lists!$J110="",Lists!$K110&lt;&gt;"IT Operations"),"",COUNTIFS(Lists!$K$4:'Lists'!$K110,"IT Operations",Lists!$J$4:'Lists'!$J110,"&lt;&gt;"))</f>
        <v/>
      </c>
      <c r="Z108" t="str">
        <f>IF(OR(Lists!$J110="",Lists!$K110&lt;&gt;"Quality Assurance"),"",COUNTIFS(Lists!$K$4:'Lists'!$K110,"Quality Assurance",Lists!$J$4:'Lists'!$J110,"&lt;&gt;"))</f>
        <v/>
      </c>
      <c r="AA108" t="str">
        <f>IF(OR(Lists!$J110="",Lists!$K110&lt;&gt;"Compliance &amp; Core Training"),"",COUNTIFS(Lists!$K$4:'Lists'!$K110,"Compliance &amp; Core Training",Lists!$J$4:'Lists'!$J110,"&lt;&gt;"))</f>
        <v/>
      </c>
      <c r="AB108" t="str">
        <f>IF(OR(Lists!$J110="",Lists!$K110&lt;&gt;"Cloud &amp; Reliability"),"",COUNTIFS(Lists!$K$4:'Lists'!$K110,"Cloud &amp; Reliability",Lists!$J$4:'Lists'!$J110,"&lt;&gt;"))</f>
        <v/>
      </c>
      <c r="AC108" t="str">
        <f>IF(OR(Lists!$J110="",Lists!$K110&lt;&gt;"Data &amp; Analytics"),"",COUNTIFS(Lists!$K$4:'Lists'!$K110,"Data &amp; Analytics",Lists!$J$4:'Lists'!$J110,"&lt;&gt;"))</f>
        <v/>
      </c>
      <c r="AD108" t="str">
        <f>IF(OR(Lists!$J110="",Lists!$K110&lt;&gt;"Cybersecurity"),"",COUNTIFS(Lists!$K$4:'Lists'!$K110,"Cybersecurity",Lists!$J$4:'Lists'!$J110,"&lt;&gt;"))</f>
        <v/>
      </c>
      <c r="AE108" t="str">
        <f>IF('Role Requirements'!$B112="","",IF(COUNTIF('Role Requirements'!$B$6:$B112,'Role Requirements'!$B112)=1,COUNT($AE$1:AE107)+1,""))</f>
        <v/>
      </c>
    </row>
    <row r="109" spans="3:31">
      <c r="C109" t="str">
        <f>IFERROR(INDEX(Lists!$J$4:$J$143,MATCH(108,$V$2:$V$141,0)),"")</f>
        <v/>
      </c>
      <c r="E109" t="str">
        <f>IFERROR(INDEX(Lists!$J$4:$J$143,MATCH(108,$W$2:$W$141,0)),"")</f>
        <v/>
      </c>
      <c r="G109" t="str">
        <f>IFERROR(INDEX(Lists!$J$4:$J$143,MATCH(108,$X$2:$X$141,0)),"")</f>
        <v/>
      </c>
      <c r="I109" t="str">
        <f>IFERROR(INDEX(Lists!$J$4:$J$143,MATCH(108,$Y$2:$Y$141,0)),"")</f>
        <v/>
      </c>
      <c r="K109" t="str">
        <f>IFERROR(INDEX(Lists!$J$4:$J$143,MATCH(108,$Z$2:$Z$141,0)),"")</f>
        <v/>
      </c>
      <c r="M109" t="str">
        <f>IFERROR(INDEX(Lists!$J$4:$J$143,MATCH(108,$AA$2:$AA$141,0)),"")</f>
        <v/>
      </c>
      <c r="O109" t="str">
        <f>IFERROR(INDEX(Lists!$J$4:$J$143,MATCH(108,$AB$2:$AB$141,0)),"")</f>
        <v/>
      </c>
      <c r="Q109" t="str">
        <f>IFERROR(INDEX(Lists!$J$4:$J$143,MATCH(108,$AC$2:$AC$141,0)),"")</f>
        <v/>
      </c>
      <c r="S109" t="str">
        <f>IFERROR(INDEX(Lists!$J$4:$J$143,MATCH(108,$AD$2:$AD$141,0)),"")</f>
        <v/>
      </c>
      <c r="V109" t="str">
        <f>IF(OR(Lists!$J111="",Lists!$K111&lt;&gt;"Customer Support"),"",COUNTIFS(Lists!$K$4:'Lists'!$K111,"Customer Support",Lists!$J$4:'Lists'!$J111,"&lt;&gt;"))</f>
        <v/>
      </c>
      <c r="W109" t="str">
        <f>IF(OR(Lists!$J111="",Lists!$K111&lt;&gt;"Platform Operations"),"",COUNTIFS(Lists!$K$4:'Lists'!$K111,"Platform Operations",Lists!$J$4:'Lists'!$J111,"&lt;&gt;"))</f>
        <v/>
      </c>
      <c r="X109" t="str">
        <f>IF(OR(Lists!$J111="",Lists!$K111&lt;&gt;"Software Engineering"),"",COUNTIFS(Lists!$K$4:'Lists'!$K111,"Software Engineering",Lists!$J$4:'Lists'!$J111,"&lt;&gt;"))</f>
        <v/>
      </c>
      <c r="Y109" t="str">
        <f>IF(OR(Lists!$J111="",Lists!$K111&lt;&gt;"IT Operations"),"",COUNTIFS(Lists!$K$4:'Lists'!$K111,"IT Operations",Lists!$J$4:'Lists'!$J111,"&lt;&gt;"))</f>
        <v/>
      </c>
      <c r="Z109" t="str">
        <f>IF(OR(Lists!$J111="",Lists!$K111&lt;&gt;"Quality Assurance"),"",COUNTIFS(Lists!$K$4:'Lists'!$K111,"Quality Assurance",Lists!$J$4:'Lists'!$J111,"&lt;&gt;"))</f>
        <v/>
      </c>
      <c r="AA109" t="str">
        <f>IF(OR(Lists!$J111="",Lists!$K111&lt;&gt;"Compliance &amp; Core Training"),"",COUNTIFS(Lists!$K$4:'Lists'!$K111,"Compliance &amp; Core Training",Lists!$J$4:'Lists'!$J111,"&lt;&gt;"))</f>
        <v/>
      </c>
      <c r="AB109" t="str">
        <f>IF(OR(Lists!$J111="",Lists!$K111&lt;&gt;"Cloud &amp; Reliability"),"",COUNTIFS(Lists!$K$4:'Lists'!$K111,"Cloud &amp; Reliability",Lists!$J$4:'Lists'!$J111,"&lt;&gt;"))</f>
        <v/>
      </c>
      <c r="AC109" t="str">
        <f>IF(OR(Lists!$J111="",Lists!$K111&lt;&gt;"Data &amp; Analytics"),"",COUNTIFS(Lists!$K$4:'Lists'!$K111,"Data &amp; Analytics",Lists!$J$4:'Lists'!$J111,"&lt;&gt;"))</f>
        <v/>
      </c>
      <c r="AD109" t="str">
        <f>IF(OR(Lists!$J111="",Lists!$K111&lt;&gt;"Cybersecurity"),"",COUNTIFS(Lists!$K$4:'Lists'!$K111,"Cybersecurity",Lists!$J$4:'Lists'!$J111,"&lt;&gt;"))</f>
        <v/>
      </c>
      <c r="AE109" t="str">
        <f>IF('Role Requirements'!$B113="","",IF(COUNTIF('Role Requirements'!$B$6:$B113,'Role Requirements'!$B113)=1,COUNT($AE$1:AE108)+1,""))</f>
        <v/>
      </c>
    </row>
    <row r="110" spans="3:31">
      <c r="C110" t="str">
        <f>IFERROR(INDEX(Lists!$J$4:$J$143,MATCH(109,$V$2:$V$141,0)),"")</f>
        <v/>
      </c>
      <c r="E110" t="str">
        <f>IFERROR(INDEX(Lists!$J$4:$J$143,MATCH(109,$W$2:$W$141,0)),"")</f>
        <v/>
      </c>
      <c r="G110" t="str">
        <f>IFERROR(INDEX(Lists!$J$4:$J$143,MATCH(109,$X$2:$X$141,0)),"")</f>
        <v/>
      </c>
      <c r="I110" t="str">
        <f>IFERROR(INDEX(Lists!$J$4:$J$143,MATCH(109,$Y$2:$Y$141,0)),"")</f>
        <v/>
      </c>
      <c r="K110" t="str">
        <f>IFERROR(INDEX(Lists!$J$4:$J$143,MATCH(109,$Z$2:$Z$141,0)),"")</f>
        <v/>
      </c>
      <c r="M110" t="str">
        <f>IFERROR(INDEX(Lists!$J$4:$J$143,MATCH(109,$AA$2:$AA$141,0)),"")</f>
        <v/>
      </c>
      <c r="O110" t="str">
        <f>IFERROR(INDEX(Lists!$J$4:$J$143,MATCH(109,$AB$2:$AB$141,0)),"")</f>
        <v/>
      </c>
      <c r="Q110" t="str">
        <f>IFERROR(INDEX(Lists!$J$4:$J$143,MATCH(109,$AC$2:$AC$141,0)),"")</f>
        <v/>
      </c>
      <c r="S110" t="str">
        <f>IFERROR(INDEX(Lists!$J$4:$J$143,MATCH(109,$AD$2:$AD$141,0)),"")</f>
        <v/>
      </c>
      <c r="V110" t="str">
        <f>IF(OR(Lists!$J112="",Lists!$K112&lt;&gt;"Customer Support"),"",COUNTIFS(Lists!$K$4:'Lists'!$K112,"Customer Support",Lists!$J$4:'Lists'!$J112,"&lt;&gt;"))</f>
        <v/>
      </c>
      <c r="W110" t="str">
        <f>IF(OR(Lists!$J112="",Lists!$K112&lt;&gt;"Platform Operations"),"",COUNTIFS(Lists!$K$4:'Lists'!$K112,"Platform Operations",Lists!$J$4:'Lists'!$J112,"&lt;&gt;"))</f>
        <v/>
      </c>
      <c r="X110" t="str">
        <f>IF(OR(Lists!$J112="",Lists!$K112&lt;&gt;"Software Engineering"),"",COUNTIFS(Lists!$K$4:'Lists'!$K112,"Software Engineering",Lists!$J$4:'Lists'!$J112,"&lt;&gt;"))</f>
        <v/>
      </c>
      <c r="Y110" t="str">
        <f>IF(OR(Lists!$J112="",Lists!$K112&lt;&gt;"IT Operations"),"",COUNTIFS(Lists!$K$4:'Lists'!$K112,"IT Operations",Lists!$J$4:'Lists'!$J112,"&lt;&gt;"))</f>
        <v/>
      </c>
      <c r="Z110" t="str">
        <f>IF(OR(Lists!$J112="",Lists!$K112&lt;&gt;"Quality Assurance"),"",COUNTIFS(Lists!$K$4:'Lists'!$K112,"Quality Assurance",Lists!$J$4:'Lists'!$J112,"&lt;&gt;"))</f>
        <v/>
      </c>
      <c r="AA110" t="str">
        <f>IF(OR(Lists!$J112="",Lists!$K112&lt;&gt;"Compliance &amp; Core Training"),"",COUNTIFS(Lists!$K$4:'Lists'!$K112,"Compliance &amp; Core Training",Lists!$J$4:'Lists'!$J112,"&lt;&gt;"))</f>
        <v/>
      </c>
      <c r="AB110" t="str">
        <f>IF(OR(Lists!$J112="",Lists!$K112&lt;&gt;"Cloud &amp; Reliability"),"",COUNTIFS(Lists!$K$4:'Lists'!$K112,"Cloud &amp; Reliability",Lists!$J$4:'Lists'!$J112,"&lt;&gt;"))</f>
        <v/>
      </c>
      <c r="AC110" t="str">
        <f>IF(OR(Lists!$J112="",Lists!$K112&lt;&gt;"Data &amp; Analytics"),"",COUNTIFS(Lists!$K$4:'Lists'!$K112,"Data &amp; Analytics",Lists!$J$4:'Lists'!$J112,"&lt;&gt;"))</f>
        <v/>
      </c>
      <c r="AD110" t="str">
        <f>IF(OR(Lists!$J112="",Lists!$K112&lt;&gt;"Cybersecurity"),"",COUNTIFS(Lists!$K$4:'Lists'!$K112,"Cybersecurity",Lists!$J$4:'Lists'!$J112,"&lt;&gt;"))</f>
        <v/>
      </c>
      <c r="AE110" t="str">
        <f>IF('Role Requirements'!$B114="","",IF(COUNTIF('Role Requirements'!$B$6:$B114,'Role Requirements'!$B114)=1,COUNT($AE$1:AE109)+1,""))</f>
        <v/>
      </c>
    </row>
    <row r="111" spans="3:31">
      <c r="C111" t="str">
        <f>IFERROR(INDEX(Lists!$J$4:$J$143,MATCH(110,$V$2:$V$141,0)),"")</f>
        <v/>
      </c>
      <c r="E111" t="str">
        <f>IFERROR(INDEX(Lists!$J$4:$J$143,MATCH(110,$W$2:$W$141,0)),"")</f>
        <v/>
      </c>
      <c r="G111" t="str">
        <f>IFERROR(INDEX(Lists!$J$4:$J$143,MATCH(110,$X$2:$X$141,0)),"")</f>
        <v/>
      </c>
      <c r="I111" t="str">
        <f>IFERROR(INDEX(Lists!$J$4:$J$143,MATCH(110,$Y$2:$Y$141,0)),"")</f>
        <v/>
      </c>
      <c r="K111" t="str">
        <f>IFERROR(INDEX(Lists!$J$4:$J$143,MATCH(110,$Z$2:$Z$141,0)),"")</f>
        <v/>
      </c>
      <c r="M111" t="str">
        <f>IFERROR(INDEX(Lists!$J$4:$J$143,MATCH(110,$AA$2:$AA$141,0)),"")</f>
        <v/>
      </c>
      <c r="O111" t="str">
        <f>IFERROR(INDEX(Lists!$J$4:$J$143,MATCH(110,$AB$2:$AB$141,0)),"")</f>
        <v/>
      </c>
      <c r="Q111" t="str">
        <f>IFERROR(INDEX(Lists!$J$4:$J$143,MATCH(110,$AC$2:$AC$141,0)),"")</f>
        <v/>
      </c>
      <c r="S111" t="str">
        <f>IFERROR(INDEX(Lists!$J$4:$J$143,MATCH(110,$AD$2:$AD$141,0)),"")</f>
        <v/>
      </c>
      <c r="V111" t="str">
        <f>IF(OR(Lists!$J113="",Lists!$K113&lt;&gt;"Customer Support"),"",COUNTIFS(Lists!$K$4:'Lists'!$K113,"Customer Support",Lists!$J$4:'Lists'!$J113,"&lt;&gt;"))</f>
        <v/>
      </c>
      <c r="W111" t="str">
        <f>IF(OR(Lists!$J113="",Lists!$K113&lt;&gt;"Platform Operations"),"",COUNTIFS(Lists!$K$4:'Lists'!$K113,"Platform Operations",Lists!$J$4:'Lists'!$J113,"&lt;&gt;"))</f>
        <v/>
      </c>
      <c r="X111" t="str">
        <f>IF(OR(Lists!$J113="",Lists!$K113&lt;&gt;"Software Engineering"),"",COUNTIFS(Lists!$K$4:'Lists'!$K113,"Software Engineering",Lists!$J$4:'Lists'!$J113,"&lt;&gt;"))</f>
        <v/>
      </c>
      <c r="Y111" t="str">
        <f>IF(OR(Lists!$J113="",Lists!$K113&lt;&gt;"IT Operations"),"",COUNTIFS(Lists!$K$4:'Lists'!$K113,"IT Operations",Lists!$J$4:'Lists'!$J113,"&lt;&gt;"))</f>
        <v/>
      </c>
      <c r="Z111" t="str">
        <f>IF(OR(Lists!$J113="",Lists!$K113&lt;&gt;"Quality Assurance"),"",COUNTIFS(Lists!$K$4:'Lists'!$K113,"Quality Assurance",Lists!$J$4:'Lists'!$J113,"&lt;&gt;"))</f>
        <v/>
      </c>
      <c r="AA111" t="str">
        <f>IF(OR(Lists!$J113="",Lists!$K113&lt;&gt;"Compliance &amp; Core Training"),"",COUNTIFS(Lists!$K$4:'Lists'!$K113,"Compliance &amp; Core Training",Lists!$J$4:'Lists'!$J113,"&lt;&gt;"))</f>
        <v/>
      </c>
      <c r="AB111" t="str">
        <f>IF(OR(Lists!$J113="",Lists!$K113&lt;&gt;"Cloud &amp; Reliability"),"",COUNTIFS(Lists!$K$4:'Lists'!$K113,"Cloud &amp; Reliability",Lists!$J$4:'Lists'!$J113,"&lt;&gt;"))</f>
        <v/>
      </c>
      <c r="AC111" t="str">
        <f>IF(OR(Lists!$J113="",Lists!$K113&lt;&gt;"Data &amp; Analytics"),"",COUNTIFS(Lists!$K$4:'Lists'!$K113,"Data &amp; Analytics",Lists!$J$4:'Lists'!$J113,"&lt;&gt;"))</f>
        <v/>
      </c>
      <c r="AD111" t="str">
        <f>IF(OR(Lists!$J113="",Lists!$K113&lt;&gt;"Cybersecurity"),"",COUNTIFS(Lists!$K$4:'Lists'!$K113,"Cybersecurity",Lists!$J$4:'Lists'!$J113,"&lt;&gt;"))</f>
        <v/>
      </c>
      <c r="AE111" t="str">
        <f>IF('Role Requirements'!$B115="","",IF(COUNTIF('Role Requirements'!$B$6:$B115,'Role Requirements'!$B115)=1,COUNT($AE$1:AE110)+1,""))</f>
        <v/>
      </c>
    </row>
    <row r="112" spans="3:31">
      <c r="C112" t="str">
        <f>IFERROR(INDEX(Lists!$J$4:$J$143,MATCH(111,$V$2:$V$141,0)),"")</f>
        <v/>
      </c>
      <c r="E112" t="str">
        <f>IFERROR(INDEX(Lists!$J$4:$J$143,MATCH(111,$W$2:$W$141,0)),"")</f>
        <v/>
      </c>
      <c r="G112" t="str">
        <f>IFERROR(INDEX(Lists!$J$4:$J$143,MATCH(111,$X$2:$X$141,0)),"")</f>
        <v/>
      </c>
      <c r="I112" t="str">
        <f>IFERROR(INDEX(Lists!$J$4:$J$143,MATCH(111,$Y$2:$Y$141,0)),"")</f>
        <v/>
      </c>
      <c r="K112" t="str">
        <f>IFERROR(INDEX(Lists!$J$4:$J$143,MATCH(111,$Z$2:$Z$141,0)),"")</f>
        <v/>
      </c>
      <c r="M112" t="str">
        <f>IFERROR(INDEX(Lists!$J$4:$J$143,MATCH(111,$AA$2:$AA$141,0)),"")</f>
        <v/>
      </c>
      <c r="O112" t="str">
        <f>IFERROR(INDEX(Lists!$J$4:$J$143,MATCH(111,$AB$2:$AB$141,0)),"")</f>
        <v/>
      </c>
      <c r="Q112" t="str">
        <f>IFERROR(INDEX(Lists!$J$4:$J$143,MATCH(111,$AC$2:$AC$141,0)),"")</f>
        <v/>
      </c>
      <c r="S112" t="str">
        <f>IFERROR(INDEX(Lists!$J$4:$J$143,MATCH(111,$AD$2:$AD$141,0)),"")</f>
        <v/>
      </c>
      <c r="V112" t="str">
        <f>IF(OR(Lists!$J114="",Lists!$K114&lt;&gt;"Customer Support"),"",COUNTIFS(Lists!$K$4:'Lists'!$K114,"Customer Support",Lists!$J$4:'Lists'!$J114,"&lt;&gt;"))</f>
        <v/>
      </c>
      <c r="W112" t="str">
        <f>IF(OR(Lists!$J114="",Lists!$K114&lt;&gt;"Platform Operations"),"",COUNTIFS(Lists!$K$4:'Lists'!$K114,"Platform Operations",Lists!$J$4:'Lists'!$J114,"&lt;&gt;"))</f>
        <v/>
      </c>
      <c r="X112" t="str">
        <f>IF(OR(Lists!$J114="",Lists!$K114&lt;&gt;"Software Engineering"),"",COUNTIFS(Lists!$K$4:'Lists'!$K114,"Software Engineering",Lists!$J$4:'Lists'!$J114,"&lt;&gt;"))</f>
        <v/>
      </c>
      <c r="Y112" t="str">
        <f>IF(OR(Lists!$J114="",Lists!$K114&lt;&gt;"IT Operations"),"",COUNTIFS(Lists!$K$4:'Lists'!$K114,"IT Operations",Lists!$J$4:'Lists'!$J114,"&lt;&gt;"))</f>
        <v/>
      </c>
      <c r="Z112" t="str">
        <f>IF(OR(Lists!$J114="",Lists!$K114&lt;&gt;"Quality Assurance"),"",COUNTIFS(Lists!$K$4:'Lists'!$K114,"Quality Assurance",Lists!$J$4:'Lists'!$J114,"&lt;&gt;"))</f>
        <v/>
      </c>
      <c r="AA112" t="str">
        <f>IF(OR(Lists!$J114="",Lists!$K114&lt;&gt;"Compliance &amp; Core Training"),"",COUNTIFS(Lists!$K$4:'Lists'!$K114,"Compliance &amp; Core Training",Lists!$J$4:'Lists'!$J114,"&lt;&gt;"))</f>
        <v/>
      </c>
      <c r="AB112" t="str">
        <f>IF(OR(Lists!$J114="",Lists!$K114&lt;&gt;"Cloud &amp; Reliability"),"",COUNTIFS(Lists!$K$4:'Lists'!$K114,"Cloud &amp; Reliability",Lists!$J$4:'Lists'!$J114,"&lt;&gt;"))</f>
        <v/>
      </c>
      <c r="AC112" t="str">
        <f>IF(OR(Lists!$J114="",Lists!$K114&lt;&gt;"Data &amp; Analytics"),"",COUNTIFS(Lists!$K$4:'Lists'!$K114,"Data &amp; Analytics",Lists!$J$4:'Lists'!$J114,"&lt;&gt;"))</f>
        <v/>
      </c>
      <c r="AD112" t="str">
        <f>IF(OR(Lists!$J114="",Lists!$K114&lt;&gt;"Cybersecurity"),"",COUNTIFS(Lists!$K$4:'Lists'!$K114,"Cybersecurity",Lists!$J$4:'Lists'!$J114,"&lt;&gt;"))</f>
        <v/>
      </c>
      <c r="AE112" t="str">
        <f>IF('Role Requirements'!$B116="","",IF(COUNTIF('Role Requirements'!$B$6:$B116,'Role Requirements'!$B116)=1,COUNT($AE$1:AE111)+1,""))</f>
        <v/>
      </c>
    </row>
    <row r="113" spans="3:31">
      <c r="C113" t="str">
        <f>IFERROR(INDEX(Lists!$J$4:$J$143,MATCH(112,$V$2:$V$141,0)),"")</f>
        <v/>
      </c>
      <c r="E113" t="str">
        <f>IFERROR(INDEX(Lists!$J$4:$J$143,MATCH(112,$W$2:$W$141,0)),"")</f>
        <v/>
      </c>
      <c r="G113" t="str">
        <f>IFERROR(INDEX(Lists!$J$4:$J$143,MATCH(112,$X$2:$X$141,0)),"")</f>
        <v/>
      </c>
      <c r="I113" t="str">
        <f>IFERROR(INDEX(Lists!$J$4:$J$143,MATCH(112,$Y$2:$Y$141,0)),"")</f>
        <v/>
      </c>
      <c r="K113" t="str">
        <f>IFERROR(INDEX(Lists!$J$4:$J$143,MATCH(112,$Z$2:$Z$141,0)),"")</f>
        <v/>
      </c>
      <c r="M113" t="str">
        <f>IFERROR(INDEX(Lists!$J$4:$J$143,MATCH(112,$AA$2:$AA$141,0)),"")</f>
        <v/>
      </c>
      <c r="O113" t="str">
        <f>IFERROR(INDEX(Lists!$J$4:$J$143,MATCH(112,$AB$2:$AB$141,0)),"")</f>
        <v/>
      </c>
      <c r="Q113" t="str">
        <f>IFERROR(INDEX(Lists!$J$4:$J$143,MATCH(112,$AC$2:$AC$141,0)),"")</f>
        <v/>
      </c>
      <c r="S113" t="str">
        <f>IFERROR(INDEX(Lists!$J$4:$J$143,MATCH(112,$AD$2:$AD$141,0)),"")</f>
        <v/>
      </c>
      <c r="V113" t="str">
        <f>IF(OR(Lists!$J115="",Lists!$K115&lt;&gt;"Customer Support"),"",COUNTIFS(Lists!$K$4:'Lists'!$K115,"Customer Support",Lists!$J$4:'Lists'!$J115,"&lt;&gt;"))</f>
        <v/>
      </c>
      <c r="W113" t="str">
        <f>IF(OR(Lists!$J115="",Lists!$K115&lt;&gt;"Platform Operations"),"",COUNTIFS(Lists!$K$4:'Lists'!$K115,"Platform Operations",Lists!$J$4:'Lists'!$J115,"&lt;&gt;"))</f>
        <v/>
      </c>
      <c r="X113" t="str">
        <f>IF(OR(Lists!$J115="",Lists!$K115&lt;&gt;"Software Engineering"),"",COUNTIFS(Lists!$K$4:'Lists'!$K115,"Software Engineering",Lists!$J$4:'Lists'!$J115,"&lt;&gt;"))</f>
        <v/>
      </c>
      <c r="Y113" t="str">
        <f>IF(OR(Lists!$J115="",Lists!$K115&lt;&gt;"IT Operations"),"",COUNTIFS(Lists!$K$4:'Lists'!$K115,"IT Operations",Lists!$J$4:'Lists'!$J115,"&lt;&gt;"))</f>
        <v/>
      </c>
      <c r="Z113" t="str">
        <f>IF(OR(Lists!$J115="",Lists!$K115&lt;&gt;"Quality Assurance"),"",COUNTIFS(Lists!$K$4:'Lists'!$K115,"Quality Assurance",Lists!$J$4:'Lists'!$J115,"&lt;&gt;"))</f>
        <v/>
      </c>
      <c r="AA113" t="str">
        <f>IF(OR(Lists!$J115="",Lists!$K115&lt;&gt;"Compliance &amp; Core Training"),"",COUNTIFS(Lists!$K$4:'Lists'!$K115,"Compliance &amp; Core Training",Lists!$J$4:'Lists'!$J115,"&lt;&gt;"))</f>
        <v/>
      </c>
      <c r="AB113" t="str">
        <f>IF(OR(Lists!$J115="",Lists!$K115&lt;&gt;"Cloud &amp; Reliability"),"",COUNTIFS(Lists!$K$4:'Lists'!$K115,"Cloud &amp; Reliability",Lists!$J$4:'Lists'!$J115,"&lt;&gt;"))</f>
        <v/>
      </c>
      <c r="AC113" t="str">
        <f>IF(OR(Lists!$J115="",Lists!$K115&lt;&gt;"Data &amp; Analytics"),"",COUNTIFS(Lists!$K$4:'Lists'!$K115,"Data &amp; Analytics",Lists!$J$4:'Lists'!$J115,"&lt;&gt;"))</f>
        <v/>
      </c>
      <c r="AD113" t="str">
        <f>IF(OR(Lists!$J115="",Lists!$K115&lt;&gt;"Cybersecurity"),"",COUNTIFS(Lists!$K$4:'Lists'!$K115,"Cybersecurity",Lists!$J$4:'Lists'!$J115,"&lt;&gt;"))</f>
        <v/>
      </c>
      <c r="AE113" t="str">
        <f>IF('Role Requirements'!$B117="","",IF(COUNTIF('Role Requirements'!$B$6:$B117,'Role Requirements'!$B117)=1,COUNT($AE$1:AE112)+1,""))</f>
        <v/>
      </c>
    </row>
    <row r="114" spans="3:31">
      <c r="C114" t="str">
        <f>IFERROR(INDEX(Lists!$J$4:$J$143,MATCH(113,$V$2:$V$141,0)),"")</f>
        <v/>
      </c>
      <c r="E114" t="str">
        <f>IFERROR(INDEX(Lists!$J$4:$J$143,MATCH(113,$W$2:$W$141,0)),"")</f>
        <v/>
      </c>
      <c r="G114" t="str">
        <f>IFERROR(INDEX(Lists!$J$4:$J$143,MATCH(113,$X$2:$X$141,0)),"")</f>
        <v/>
      </c>
      <c r="I114" t="str">
        <f>IFERROR(INDEX(Lists!$J$4:$J$143,MATCH(113,$Y$2:$Y$141,0)),"")</f>
        <v/>
      </c>
      <c r="K114" t="str">
        <f>IFERROR(INDEX(Lists!$J$4:$J$143,MATCH(113,$Z$2:$Z$141,0)),"")</f>
        <v/>
      </c>
      <c r="M114" t="str">
        <f>IFERROR(INDEX(Lists!$J$4:$J$143,MATCH(113,$AA$2:$AA$141,0)),"")</f>
        <v/>
      </c>
      <c r="O114" t="str">
        <f>IFERROR(INDEX(Lists!$J$4:$J$143,MATCH(113,$AB$2:$AB$141,0)),"")</f>
        <v/>
      </c>
      <c r="Q114" t="str">
        <f>IFERROR(INDEX(Lists!$J$4:$J$143,MATCH(113,$AC$2:$AC$141,0)),"")</f>
        <v/>
      </c>
      <c r="S114" t="str">
        <f>IFERROR(INDEX(Lists!$J$4:$J$143,MATCH(113,$AD$2:$AD$141,0)),"")</f>
        <v/>
      </c>
      <c r="V114" t="str">
        <f>IF(OR(Lists!$J116="",Lists!$K116&lt;&gt;"Customer Support"),"",COUNTIFS(Lists!$K$4:'Lists'!$K116,"Customer Support",Lists!$J$4:'Lists'!$J116,"&lt;&gt;"))</f>
        <v/>
      </c>
      <c r="W114" t="str">
        <f>IF(OR(Lists!$J116="",Lists!$K116&lt;&gt;"Platform Operations"),"",COUNTIFS(Lists!$K$4:'Lists'!$K116,"Platform Operations",Lists!$J$4:'Lists'!$J116,"&lt;&gt;"))</f>
        <v/>
      </c>
      <c r="X114" t="str">
        <f>IF(OR(Lists!$J116="",Lists!$K116&lt;&gt;"Software Engineering"),"",COUNTIFS(Lists!$K$4:'Lists'!$K116,"Software Engineering",Lists!$J$4:'Lists'!$J116,"&lt;&gt;"))</f>
        <v/>
      </c>
      <c r="Y114" t="str">
        <f>IF(OR(Lists!$J116="",Lists!$K116&lt;&gt;"IT Operations"),"",COUNTIFS(Lists!$K$4:'Lists'!$K116,"IT Operations",Lists!$J$4:'Lists'!$J116,"&lt;&gt;"))</f>
        <v/>
      </c>
      <c r="Z114" t="str">
        <f>IF(OR(Lists!$J116="",Lists!$K116&lt;&gt;"Quality Assurance"),"",COUNTIFS(Lists!$K$4:'Lists'!$K116,"Quality Assurance",Lists!$J$4:'Lists'!$J116,"&lt;&gt;"))</f>
        <v/>
      </c>
      <c r="AA114" t="str">
        <f>IF(OR(Lists!$J116="",Lists!$K116&lt;&gt;"Compliance &amp; Core Training"),"",COUNTIFS(Lists!$K$4:'Lists'!$K116,"Compliance &amp; Core Training",Lists!$J$4:'Lists'!$J116,"&lt;&gt;"))</f>
        <v/>
      </c>
      <c r="AB114" t="str">
        <f>IF(OR(Lists!$J116="",Lists!$K116&lt;&gt;"Cloud &amp; Reliability"),"",COUNTIFS(Lists!$K$4:'Lists'!$K116,"Cloud &amp; Reliability",Lists!$J$4:'Lists'!$J116,"&lt;&gt;"))</f>
        <v/>
      </c>
      <c r="AC114" t="str">
        <f>IF(OR(Lists!$J116="",Lists!$K116&lt;&gt;"Data &amp; Analytics"),"",COUNTIFS(Lists!$K$4:'Lists'!$K116,"Data &amp; Analytics",Lists!$J$4:'Lists'!$J116,"&lt;&gt;"))</f>
        <v/>
      </c>
      <c r="AD114" t="str">
        <f>IF(OR(Lists!$J116="",Lists!$K116&lt;&gt;"Cybersecurity"),"",COUNTIFS(Lists!$K$4:'Lists'!$K116,"Cybersecurity",Lists!$J$4:'Lists'!$J116,"&lt;&gt;"))</f>
        <v/>
      </c>
      <c r="AE114" t="str">
        <f>IF('Role Requirements'!$B118="","",IF(COUNTIF('Role Requirements'!$B$6:$B118,'Role Requirements'!$B118)=1,COUNT($AE$1:AE113)+1,""))</f>
        <v/>
      </c>
    </row>
    <row r="115" spans="3:31">
      <c r="C115" t="str">
        <f>IFERROR(INDEX(Lists!$J$4:$J$143,MATCH(114,$V$2:$V$141,0)),"")</f>
        <v/>
      </c>
      <c r="E115" t="str">
        <f>IFERROR(INDEX(Lists!$J$4:$J$143,MATCH(114,$W$2:$W$141,0)),"")</f>
        <v/>
      </c>
      <c r="G115" t="str">
        <f>IFERROR(INDEX(Lists!$J$4:$J$143,MATCH(114,$X$2:$X$141,0)),"")</f>
        <v/>
      </c>
      <c r="I115" t="str">
        <f>IFERROR(INDEX(Lists!$J$4:$J$143,MATCH(114,$Y$2:$Y$141,0)),"")</f>
        <v/>
      </c>
      <c r="K115" t="str">
        <f>IFERROR(INDEX(Lists!$J$4:$J$143,MATCH(114,$Z$2:$Z$141,0)),"")</f>
        <v/>
      </c>
      <c r="M115" t="str">
        <f>IFERROR(INDEX(Lists!$J$4:$J$143,MATCH(114,$AA$2:$AA$141,0)),"")</f>
        <v/>
      </c>
      <c r="O115" t="str">
        <f>IFERROR(INDEX(Lists!$J$4:$J$143,MATCH(114,$AB$2:$AB$141,0)),"")</f>
        <v/>
      </c>
      <c r="Q115" t="str">
        <f>IFERROR(INDEX(Lists!$J$4:$J$143,MATCH(114,$AC$2:$AC$141,0)),"")</f>
        <v/>
      </c>
      <c r="S115" t="str">
        <f>IFERROR(INDEX(Lists!$J$4:$J$143,MATCH(114,$AD$2:$AD$141,0)),"")</f>
        <v/>
      </c>
      <c r="V115" t="str">
        <f>IF(OR(Lists!$J117="",Lists!$K117&lt;&gt;"Customer Support"),"",COUNTIFS(Lists!$K$4:'Lists'!$K117,"Customer Support",Lists!$J$4:'Lists'!$J117,"&lt;&gt;"))</f>
        <v/>
      </c>
      <c r="W115" t="str">
        <f>IF(OR(Lists!$J117="",Lists!$K117&lt;&gt;"Platform Operations"),"",COUNTIFS(Lists!$K$4:'Lists'!$K117,"Platform Operations",Lists!$J$4:'Lists'!$J117,"&lt;&gt;"))</f>
        <v/>
      </c>
      <c r="X115" t="str">
        <f>IF(OR(Lists!$J117="",Lists!$K117&lt;&gt;"Software Engineering"),"",COUNTIFS(Lists!$K$4:'Lists'!$K117,"Software Engineering",Lists!$J$4:'Lists'!$J117,"&lt;&gt;"))</f>
        <v/>
      </c>
      <c r="Y115" t="str">
        <f>IF(OR(Lists!$J117="",Lists!$K117&lt;&gt;"IT Operations"),"",COUNTIFS(Lists!$K$4:'Lists'!$K117,"IT Operations",Lists!$J$4:'Lists'!$J117,"&lt;&gt;"))</f>
        <v/>
      </c>
      <c r="Z115" t="str">
        <f>IF(OR(Lists!$J117="",Lists!$K117&lt;&gt;"Quality Assurance"),"",COUNTIFS(Lists!$K$4:'Lists'!$K117,"Quality Assurance",Lists!$J$4:'Lists'!$J117,"&lt;&gt;"))</f>
        <v/>
      </c>
      <c r="AA115" t="str">
        <f>IF(OR(Lists!$J117="",Lists!$K117&lt;&gt;"Compliance &amp; Core Training"),"",COUNTIFS(Lists!$K$4:'Lists'!$K117,"Compliance &amp; Core Training",Lists!$J$4:'Lists'!$J117,"&lt;&gt;"))</f>
        <v/>
      </c>
      <c r="AB115" t="str">
        <f>IF(OR(Lists!$J117="",Lists!$K117&lt;&gt;"Cloud &amp; Reliability"),"",COUNTIFS(Lists!$K$4:'Lists'!$K117,"Cloud &amp; Reliability",Lists!$J$4:'Lists'!$J117,"&lt;&gt;"))</f>
        <v/>
      </c>
      <c r="AC115" t="str">
        <f>IF(OR(Lists!$J117="",Lists!$K117&lt;&gt;"Data &amp; Analytics"),"",COUNTIFS(Lists!$K$4:'Lists'!$K117,"Data &amp; Analytics",Lists!$J$4:'Lists'!$J117,"&lt;&gt;"))</f>
        <v/>
      </c>
      <c r="AD115" t="str">
        <f>IF(OR(Lists!$J117="",Lists!$K117&lt;&gt;"Cybersecurity"),"",COUNTIFS(Lists!$K$4:'Lists'!$K117,"Cybersecurity",Lists!$J$4:'Lists'!$J117,"&lt;&gt;"))</f>
        <v/>
      </c>
      <c r="AE115" t="str">
        <f>IF('Role Requirements'!$B119="","",IF(COUNTIF('Role Requirements'!$B$6:$B119,'Role Requirements'!$B119)=1,COUNT($AE$1:AE114)+1,""))</f>
        <v/>
      </c>
    </row>
    <row r="116" spans="3:31">
      <c r="C116" t="str">
        <f>IFERROR(INDEX(Lists!$J$4:$J$143,MATCH(115,$V$2:$V$141,0)),"")</f>
        <v/>
      </c>
      <c r="E116" t="str">
        <f>IFERROR(INDEX(Lists!$J$4:$J$143,MATCH(115,$W$2:$W$141,0)),"")</f>
        <v/>
      </c>
      <c r="G116" t="str">
        <f>IFERROR(INDEX(Lists!$J$4:$J$143,MATCH(115,$X$2:$X$141,0)),"")</f>
        <v/>
      </c>
      <c r="I116" t="str">
        <f>IFERROR(INDEX(Lists!$J$4:$J$143,MATCH(115,$Y$2:$Y$141,0)),"")</f>
        <v/>
      </c>
      <c r="K116" t="str">
        <f>IFERROR(INDEX(Lists!$J$4:$J$143,MATCH(115,$Z$2:$Z$141,0)),"")</f>
        <v/>
      </c>
      <c r="M116" t="str">
        <f>IFERROR(INDEX(Lists!$J$4:$J$143,MATCH(115,$AA$2:$AA$141,0)),"")</f>
        <v/>
      </c>
      <c r="O116" t="str">
        <f>IFERROR(INDEX(Lists!$J$4:$J$143,MATCH(115,$AB$2:$AB$141,0)),"")</f>
        <v/>
      </c>
      <c r="Q116" t="str">
        <f>IFERROR(INDEX(Lists!$J$4:$J$143,MATCH(115,$AC$2:$AC$141,0)),"")</f>
        <v/>
      </c>
      <c r="S116" t="str">
        <f>IFERROR(INDEX(Lists!$J$4:$J$143,MATCH(115,$AD$2:$AD$141,0)),"")</f>
        <v/>
      </c>
      <c r="V116" t="str">
        <f>IF(OR(Lists!$J118="",Lists!$K118&lt;&gt;"Customer Support"),"",COUNTIFS(Lists!$K$4:'Lists'!$K118,"Customer Support",Lists!$J$4:'Lists'!$J118,"&lt;&gt;"))</f>
        <v/>
      </c>
      <c r="W116" t="str">
        <f>IF(OR(Lists!$J118="",Lists!$K118&lt;&gt;"Platform Operations"),"",COUNTIFS(Lists!$K$4:'Lists'!$K118,"Platform Operations",Lists!$J$4:'Lists'!$J118,"&lt;&gt;"))</f>
        <v/>
      </c>
      <c r="X116" t="str">
        <f>IF(OR(Lists!$J118="",Lists!$K118&lt;&gt;"Software Engineering"),"",COUNTIFS(Lists!$K$4:'Lists'!$K118,"Software Engineering",Lists!$J$4:'Lists'!$J118,"&lt;&gt;"))</f>
        <v/>
      </c>
      <c r="Y116" t="str">
        <f>IF(OR(Lists!$J118="",Lists!$K118&lt;&gt;"IT Operations"),"",COUNTIFS(Lists!$K$4:'Lists'!$K118,"IT Operations",Lists!$J$4:'Lists'!$J118,"&lt;&gt;"))</f>
        <v/>
      </c>
      <c r="Z116" t="str">
        <f>IF(OR(Lists!$J118="",Lists!$K118&lt;&gt;"Quality Assurance"),"",COUNTIFS(Lists!$K$4:'Lists'!$K118,"Quality Assurance",Lists!$J$4:'Lists'!$J118,"&lt;&gt;"))</f>
        <v/>
      </c>
      <c r="AA116" t="str">
        <f>IF(OR(Lists!$J118="",Lists!$K118&lt;&gt;"Compliance &amp; Core Training"),"",COUNTIFS(Lists!$K$4:'Lists'!$K118,"Compliance &amp; Core Training",Lists!$J$4:'Lists'!$J118,"&lt;&gt;"))</f>
        <v/>
      </c>
      <c r="AB116" t="str">
        <f>IF(OR(Lists!$J118="",Lists!$K118&lt;&gt;"Cloud &amp; Reliability"),"",COUNTIFS(Lists!$K$4:'Lists'!$K118,"Cloud &amp; Reliability",Lists!$J$4:'Lists'!$J118,"&lt;&gt;"))</f>
        <v/>
      </c>
      <c r="AC116" t="str">
        <f>IF(OR(Lists!$J118="",Lists!$K118&lt;&gt;"Data &amp; Analytics"),"",COUNTIFS(Lists!$K$4:'Lists'!$K118,"Data &amp; Analytics",Lists!$J$4:'Lists'!$J118,"&lt;&gt;"))</f>
        <v/>
      </c>
      <c r="AD116" t="str">
        <f>IF(OR(Lists!$J118="",Lists!$K118&lt;&gt;"Cybersecurity"),"",COUNTIFS(Lists!$K$4:'Lists'!$K118,"Cybersecurity",Lists!$J$4:'Lists'!$J118,"&lt;&gt;"))</f>
        <v/>
      </c>
      <c r="AE116" t="str">
        <f>IF('Role Requirements'!$B120="","",IF(COUNTIF('Role Requirements'!$B$6:$B120,'Role Requirements'!$B120)=1,COUNT($AE$1:AE115)+1,""))</f>
        <v/>
      </c>
    </row>
    <row r="117" spans="3:31">
      <c r="C117" t="str">
        <f>IFERROR(INDEX(Lists!$J$4:$J$143,MATCH(116,$V$2:$V$141,0)),"")</f>
        <v/>
      </c>
      <c r="E117" t="str">
        <f>IFERROR(INDEX(Lists!$J$4:$J$143,MATCH(116,$W$2:$W$141,0)),"")</f>
        <v/>
      </c>
      <c r="G117" t="str">
        <f>IFERROR(INDEX(Lists!$J$4:$J$143,MATCH(116,$X$2:$X$141,0)),"")</f>
        <v/>
      </c>
      <c r="I117" t="str">
        <f>IFERROR(INDEX(Lists!$J$4:$J$143,MATCH(116,$Y$2:$Y$141,0)),"")</f>
        <v/>
      </c>
      <c r="K117" t="str">
        <f>IFERROR(INDEX(Lists!$J$4:$J$143,MATCH(116,$Z$2:$Z$141,0)),"")</f>
        <v/>
      </c>
      <c r="M117" t="str">
        <f>IFERROR(INDEX(Lists!$J$4:$J$143,MATCH(116,$AA$2:$AA$141,0)),"")</f>
        <v/>
      </c>
      <c r="O117" t="str">
        <f>IFERROR(INDEX(Lists!$J$4:$J$143,MATCH(116,$AB$2:$AB$141,0)),"")</f>
        <v/>
      </c>
      <c r="Q117" t="str">
        <f>IFERROR(INDEX(Lists!$J$4:$J$143,MATCH(116,$AC$2:$AC$141,0)),"")</f>
        <v/>
      </c>
      <c r="S117" t="str">
        <f>IFERROR(INDEX(Lists!$J$4:$J$143,MATCH(116,$AD$2:$AD$141,0)),"")</f>
        <v/>
      </c>
      <c r="V117" t="str">
        <f>IF(OR(Lists!$J119="",Lists!$K119&lt;&gt;"Customer Support"),"",COUNTIFS(Lists!$K$4:'Lists'!$K119,"Customer Support",Lists!$J$4:'Lists'!$J119,"&lt;&gt;"))</f>
        <v/>
      </c>
      <c r="W117" t="str">
        <f>IF(OR(Lists!$J119="",Lists!$K119&lt;&gt;"Platform Operations"),"",COUNTIFS(Lists!$K$4:'Lists'!$K119,"Platform Operations",Lists!$J$4:'Lists'!$J119,"&lt;&gt;"))</f>
        <v/>
      </c>
      <c r="X117" t="str">
        <f>IF(OR(Lists!$J119="",Lists!$K119&lt;&gt;"Software Engineering"),"",COUNTIFS(Lists!$K$4:'Lists'!$K119,"Software Engineering",Lists!$J$4:'Lists'!$J119,"&lt;&gt;"))</f>
        <v/>
      </c>
      <c r="Y117" t="str">
        <f>IF(OR(Lists!$J119="",Lists!$K119&lt;&gt;"IT Operations"),"",COUNTIFS(Lists!$K$4:'Lists'!$K119,"IT Operations",Lists!$J$4:'Lists'!$J119,"&lt;&gt;"))</f>
        <v/>
      </c>
      <c r="Z117" t="str">
        <f>IF(OR(Lists!$J119="",Lists!$K119&lt;&gt;"Quality Assurance"),"",COUNTIFS(Lists!$K$4:'Lists'!$K119,"Quality Assurance",Lists!$J$4:'Lists'!$J119,"&lt;&gt;"))</f>
        <v/>
      </c>
      <c r="AA117" t="str">
        <f>IF(OR(Lists!$J119="",Lists!$K119&lt;&gt;"Compliance &amp; Core Training"),"",COUNTIFS(Lists!$K$4:'Lists'!$K119,"Compliance &amp; Core Training",Lists!$J$4:'Lists'!$J119,"&lt;&gt;"))</f>
        <v/>
      </c>
      <c r="AB117" t="str">
        <f>IF(OR(Lists!$J119="",Lists!$K119&lt;&gt;"Cloud &amp; Reliability"),"",COUNTIFS(Lists!$K$4:'Lists'!$K119,"Cloud &amp; Reliability",Lists!$J$4:'Lists'!$J119,"&lt;&gt;"))</f>
        <v/>
      </c>
      <c r="AC117" t="str">
        <f>IF(OR(Lists!$J119="",Lists!$K119&lt;&gt;"Data &amp; Analytics"),"",COUNTIFS(Lists!$K$4:'Lists'!$K119,"Data &amp; Analytics",Lists!$J$4:'Lists'!$J119,"&lt;&gt;"))</f>
        <v/>
      </c>
      <c r="AD117" t="str">
        <f>IF(OR(Lists!$J119="",Lists!$K119&lt;&gt;"Cybersecurity"),"",COUNTIFS(Lists!$K$4:'Lists'!$K119,"Cybersecurity",Lists!$J$4:'Lists'!$J119,"&lt;&gt;"))</f>
        <v/>
      </c>
      <c r="AE117" t="str">
        <f>IF('Role Requirements'!$B121="","",IF(COUNTIF('Role Requirements'!$B$6:$B121,'Role Requirements'!$B121)=1,COUNT($AE$1:AE116)+1,""))</f>
        <v/>
      </c>
    </row>
    <row r="118" spans="3:31">
      <c r="C118" t="str">
        <f>IFERROR(INDEX(Lists!$J$4:$J$143,MATCH(117,$V$2:$V$141,0)),"")</f>
        <v/>
      </c>
      <c r="E118" t="str">
        <f>IFERROR(INDEX(Lists!$J$4:$J$143,MATCH(117,$W$2:$W$141,0)),"")</f>
        <v/>
      </c>
      <c r="G118" t="str">
        <f>IFERROR(INDEX(Lists!$J$4:$J$143,MATCH(117,$X$2:$X$141,0)),"")</f>
        <v/>
      </c>
      <c r="I118" t="str">
        <f>IFERROR(INDEX(Lists!$J$4:$J$143,MATCH(117,$Y$2:$Y$141,0)),"")</f>
        <v/>
      </c>
      <c r="K118" t="str">
        <f>IFERROR(INDEX(Lists!$J$4:$J$143,MATCH(117,$Z$2:$Z$141,0)),"")</f>
        <v/>
      </c>
      <c r="M118" t="str">
        <f>IFERROR(INDEX(Lists!$J$4:$J$143,MATCH(117,$AA$2:$AA$141,0)),"")</f>
        <v/>
      </c>
      <c r="O118" t="str">
        <f>IFERROR(INDEX(Lists!$J$4:$J$143,MATCH(117,$AB$2:$AB$141,0)),"")</f>
        <v/>
      </c>
      <c r="Q118" t="str">
        <f>IFERROR(INDEX(Lists!$J$4:$J$143,MATCH(117,$AC$2:$AC$141,0)),"")</f>
        <v/>
      </c>
      <c r="S118" t="str">
        <f>IFERROR(INDEX(Lists!$J$4:$J$143,MATCH(117,$AD$2:$AD$141,0)),"")</f>
        <v/>
      </c>
      <c r="V118" t="str">
        <f>IF(OR(Lists!$J120="",Lists!$K120&lt;&gt;"Customer Support"),"",COUNTIFS(Lists!$K$4:'Lists'!$K120,"Customer Support",Lists!$J$4:'Lists'!$J120,"&lt;&gt;"))</f>
        <v/>
      </c>
      <c r="W118" t="str">
        <f>IF(OR(Lists!$J120="",Lists!$K120&lt;&gt;"Platform Operations"),"",COUNTIFS(Lists!$K$4:'Lists'!$K120,"Platform Operations",Lists!$J$4:'Lists'!$J120,"&lt;&gt;"))</f>
        <v/>
      </c>
      <c r="X118" t="str">
        <f>IF(OR(Lists!$J120="",Lists!$K120&lt;&gt;"Software Engineering"),"",COUNTIFS(Lists!$K$4:'Lists'!$K120,"Software Engineering",Lists!$J$4:'Lists'!$J120,"&lt;&gt;"))</f>
        <v/>
      </c>
      <c r="Y118" t="str">
        <f>IF(OR(Lists!$J120="",Lists!$K120&lt;&gt;"IT Operations"),"",COUNTIFS(Lists!$K$4:'Lists'!$K120,"IT Operations",Lists!$J$4:'Lists'!$J120,"&lt;&gt;"))</f>
        <v/>
      </c>
      <c r="Z118" t="str">
        <f>IF(OR(Lists!$J120="",Lists!$K120&lt;&gt;"Quality Assurance"),"",COUNTIFS(Lists!$K$4:'Lists'!$K120,"Quality Assurance",Lists!$J$4:'Lists'!$J120,"&lt;&gt;"))</f>
        <v/>
      </c>
      <c r="AA118" t="str">
        <f>IF(OR(Lists!$J120="",Lists!$K120&lt;&gt;"Compliance &amp; Core Training"),"",COUNTIFS(Lists!$K$4:'Lists'!$K120,"Compliance &amp; Core Training",Lists!$J$4:'Lists'!$J120,"&lt;&gt;"))</f>
        <v/>
      </c>
      <c r="AB118" t="str">
        <f>IF(OR(Lists!$J120="",Lists!$K120&lt;&gt;"Cloud &amp; Reliability"),"",COUNTIFS(Lists!$K$4:'Lists'!$K120,"Cloud &amp; Reliability",Lists!$J$4:'Lists'!$J120,"&lt;&gt;"))</f>
        <v/>
      </c>
      <c r="AC118" t="str">
        <f>IF(OR(Lists!$J120="",Lists!$K120&lt;&gt;"Data &amp; Analytics"),"",COUNTIFS(Lists!$K$4:'Lists'!$K120,"Data &amp; Analytics",Lists!$J$4:'Lists'!$J120,"&lt;&gt;"))</f>
        <v/>
      </c>
      <c r="AD118" t="str">
        <f>IF(OR(Lists!$J120="",Lists!$K120&lt;&gt;"Cybersecurity"),"",COUNTIFS(Lists!$K$4:'Lists'!$K120,"Cybersecurity",Lists!$J$4:'Lists'!$J120,"&lt;&gt;"))</f>
        <v/>
      </c>
      <c r="AE118" t="str">
        <f>IF('Role Requirements'!$B122="","",IF(COUNTIF('Role Requirements'!$B$6:$B122,'Role Requirements'!$B122)=1,COUNT($AE$1:AE117)+1,""))</f>
        <v/>
      </c>
    </row>
    <row r="119" spans="3:31">
      <c r="C119" t="str">
        <f>IFERROR(INDEX(Lists!$J$4:$J$143,MATCH(118,$V$2:$V$141,0)),"")</f>
        <v/>
      </c>
      <c r="E119" t="str">
        <f>IFERROR(INDEX(Lists!$J$4:$J$143,MATCH(118,$W$2:$W$141,0)),"")</f>
        <v/>
      </c>
      <c r="G119" t="str">
        <f>IFERROR(INDEX(Lists!$J$4:$J$143,MATCH(118,$X$2:$X$141,0)),"")</f>
        <v/>
      </c>
      <c r="I119" t="str">
        <f>IFERROR(INDEX(Lists!$J$4:$J$143,MATCH(118,$Y$2:$Y$141,0)),"")</f>
        <v/>
      </c>
      <c r="K119" t="str">
        <f>IFERROR(INDEX(Lists!$J$4:$J$143,MATCH(118,$Z$2:$Z$141,0)),"")</f>
        <v/>
      </c>
      <c r="M119" t="str">
        <f>IFERROR(INDEX(Lists!$J$4:$J$143,MATCH(118,$AA$2:$AA$141,0)),"")</f>
        <v/>
      </c>
      <c r="O119" t="str">
        <f>IFERROR(INDEX(Lists!$J$4:$J$143,MATCH(118,$AB$2:$AB$141,0)),"")</f>
        <v/>
      </c>
      <c r="Q119" t="str">
        <f>IFERROR(INDEX(Lists!$J$4:$J$143,MATCH(118,$AC$2:$AC$141,0)),"")</f>
        <v/>
      </c>
      <c r="S119" t="str">
        <f>IFERROR(INDEX(Lists!$J$4:$J$143,MATCH(118,$AD$2:$AD$141,0)),"")</f>
        <v/>
      </c>
      <c r="V119" t="str">
        <f>IF(OR(Lists!$J121="",Lists!$K121&lt;&gt;"Customer Support"),"",COUNTIFS(Lists!$K$4:'Lists'!$K121,"Customer Support",Lists!$J$4:'Lists'!$J121,"&lt;&gt;"))</f>
        <v/>
      </c>
      <c r="W119" t="str">
        <f>IF(OR(Lists!$J121="",Lists!$K121&lt;&gt;"Platform Operations"),"",COUNTIFS(Lists!$K$4:'Lists'!$K121,"Platform Operations",Lists!$J$4:'Lists'!$J121,"&lt;&gt;"))</f>
        <v/>
      </c>
      <c r="X119" t="str">
        <f>IF(OR(Lists!$J121="",Lists!$K121&lt;&gt;"Software Engineering"),"",COUNTIFS(Lists!$K$4:'Lists'!$K121,"Software Engineering",Lists!$J$4:'Lists'!$J121,"&lt;&gt;"))</f>
        <v/>
      </c>
      <c r="Y119" t="str">
        <f>IF(OR(Lists!$J121="",Lists!$K121&lt;&gt;"IT Operations"),"",COUNTIFS(Lists!$K$4:'Lists'!$K121,"IT Operations",Lists!$J$4:'Lists'!$J121,"&lt;&gt;"))</f>
        <v/>
      </c>
      <c r="Z119" t="str">
        <f>IF(OR(Lists!$J121="",Lists!$K121&lt;&gt;"Quality Assurance"),"",COUNTIFS(Lists!$K$4:'Lists'!$K121,"Quality Assurance",Lists!$J$4:'Lists'!$J121,"&lt;&gt;"))</f>
        <v/>
      </c>
      <c r="AA119" t="str">
        <f>IF(OR(Lists!$J121="",Lists!$K121&lt;&gt;"Compliance &amp; Core Training"),"",COUNTIFS(Lists!$K$4:'Lists'!$K121,"Compliance &amp; Core Training",Lists!$J$4:'Lists'!$J121,"&lt;&gt;"))</f>
        <v/>
      </c>
      <c r="AB119" t="str">
        <f>IF(OR(Lists!$J121="",Lists!$K121&lt;&gt;"Cloud &amp; Reliability"),"",COUNTIFS(Lists!$K$4:'Lists'!$K121,"Cloud &amp; Reliability",Lists!$J$4:'Lists'!$J121,"&lt;&gt;"))</f>
        <v/>
      </c>
      <c r="AC119" t="str">
        <f>IF(OR(Lists!$J121="",Lists!$K121&lt;&gt;"Data &amp; Analytics"),"",COUNTIFS(Lists!$K$4:'Lists'!$K121,"Data &amp; Analytics",Lists!$J$4:'Lists'!$J121,"&lt;&gt;"))</f>
        <v/>
      </c>
      <c r="AD119" t="str">
        <f>IF(OR(Lists!$J121="",Lists!$K121&lt;&gt;"Cybersecurity"),"",COUNTIFS(Lists!$K$4:'Lists'!$K121,"Cybersecurity",Lists!$J$4:'Lists'!$J121,"&lt;&gt;"))</f>
        <v/>
      </c>
      <c r="AE119" t="str">
        <f>IF('Role Requirements'!$B123="","",IF(COUNTIF('Role Requirements'!$B$6:$B123,'Role Requirements'!$B123)=1,COUNT($AE$1:AE118)+1,""))</f>
        <v/>
      </c>
    </row>
    <row r="120" spans="3:31">
      <c r="C120" t="str">
        <f>IFERROR(INDEX(Lists!$J$4:$J$143,MATCH(119,$V$2:$V$141,0)),"")</f>
        <v/>
      </c>
      <c r="E120" t="str">
        <f>IFERROR(INDEX(Lists!$J$4:$J$143,MATCH(119,$W$2:$W$141,0)),"")</f>
        <v/>
      </c>
      <c r="G120" t="str">
        <f>IFERROR(INDEX(Lists!$J$4:$J$143,MATCH(119,$X$2:$X$141,0)),"")</f>
        <v/>
      </c>
      <c r="I120" t="str">
        <f>IFERROR(INDEX(Lists!$J$4:$J$143,MATCH(119,$Y$2:$Y$141,0)),"")</f>
        <v/>
      </c>
      <c r="K120" t="str">
        <f>IFERROR(INDEX(Lists!$J$4:$J$143,MATCH(119,$Z$2:$Z$141,0)),"")</f>
        <v/>
      </c>
      <c r="M120" t="str">
        <f>IFERROR(INDEX(Lists!$J$4:$J$143,MATCH(119,$AA$2:$AA$141,0)),"")</f>
        <v/>
      </c>
      <c r="O120" t="str">
        <f>IFERROR(INDEX(Lists!$J$4:$J$143,MATCH(119,$AB$2:$AB$141,0)),"")</f>
        <v/>
      </c>
      <c r="Q120" t="str">
        <f>IFERROR(INDEX(Lists!$J$4:$J$143,MATCH(119,$AC$2:$AC$141,0)),"")</f>
        <v/>
      </c>
      <c r="S120" t="str">
        <f>IFERROR(INDEX(Lists!$J$4:$J$143,MATCH(119,$AD$2:$AD$141,0)),"")</f>
        <v/>
      </c>
      <c r="V120" t="str">
        <f>IF(OR(Lists!$J122="",Lists!$K122&lt;&gt;"Customer Support"),"",COUNTIFS(Lists!$K$4:'Lists'!$K122,"Customer Support",Lists!$J$4:'Lists'!$J122,"&lt;&gt;"))</f>
        <v/>
      </c>
      <c r="W120" t="str">
        <f>IF(OR(Lists!$J122="",Lists!$K122&lt;&gt;"Platform Operations"),"",COUNTIFS(Lists!$K$4:'Lists'!$K122,"Platform Operations",Lists!$J$4:'Lists'!$J122,"&lt;&gt;"))</f>
        <v/>
      </c>
      <c r="X120" t="str">
        <f>IF(OR(Lists!$J122="",Lists!$K122&lt;&gt;"Software Engineering"),"",COUNTIFS(Lists!$K$4:'Lists'!$K122,"Software Engineering",Lists!$J$4:'Lists'!$J122,"&lt;&gt;"))</f>
        <v/>
      </c>
      <c r="Y120" t="str">
        <f>IF(OR(Lists!$J122="",Lists!$K122&lt;&gt;"IT Operations"),"",COUNTIFS(Lists!$K$4:'Lists'!$K122,"IT Operations",Lists!$J$4:'Lists'!$J122,"&lt;&gt;"))</f>
        <v/>
      </c>
      <c r="Z120" t="str">
        <f>IF(OR(Lists!$J122="",Lists!$K122&lt;&gt;"Quality Assurance"),"",COUNTIFS(Lists!$K$4:'Lists'!$K122,"Quality Assurance",Lists!$J$4:'Lists'!$J122,"&lt;&gt;"))</f>
        <v/>
      </c>
      <c r="AA120" t="str">
        <f>IF(OR(Lists!$J122="",Lists!$K122&lt;&gt;"Compliance &amp; Core Training"),"",COUNTIFS(Lists!$K$4:'Lists'!$K122,"Compliance &amp; Core Training",Lists!$J$4:'Lists'!$J122,"&lt;&gt;"))</f>
        <v/>
      </c>
      <c r="AB120" t="str">
        <f>IF(OR(Lists!$J122="",Lists!$K122&lt;&gt;"Cloud &amp; Reliability"),"",COUNTIFS(Lists!$K$4:'Lists'!$K122,"Cloud &amp; Reliability",Lists!$J$4:'Lists'!$J122,"&lt;&gt;"))</f>
        <v/>
      </c>
      <c r="AC120" t="str">
        <f>IF(OR(Lists!$J122="",Lists!$K122&lt;&gt;"Data &amp; Analytics"),"",COUNTIFS(Lists!$K$4:'Lists'!$K122,"Data &amp; Analytics",Lists!$J$4:'Lists'!$J122,"&lt;&gt;"))</f>
        <v/>
      </c>
      <c r="AD120" t="str">
        <f>IF(OR(Lists!$J122="",Lists!$K122&lt;&gt;"Cybersecurity"),"",COUNTIFS(Lists!$K$4:'Lists'!$K122,"Cybersecurity",Lists!$J$4:'Lists'!$J122,"&lt;&gt;"))</f>
        <v/>
      </c>
      <c r="AE120" t="str">
        <f>IF('Role Requirements'!$B124="","",IF(COUNTIF('Role Requirements'!$B$6:$B124,'Role Requirements'!$B124)=1,COUNT($AE$1:AE119)+1,""))</f>
        <v/>
      </c>
    </row>
    <row r="121" spans="3:31">
      <c r="C121" t="str">
        <f>IFERROR(INDEX(Lists!$J$4:$J$143,MATCH(120,$V$2:$V$141,0)),"")</f>
        <v/>
      </c>
      <c r="E121" t="str">
        <f>IFERROR(INDEX(Lists!$J$4:$J$143,MATCH(120,$W$2:$W$141,0)),"")</f>
        <v/>
      </c>
      <c r="G121" t="str">
        <f>IFERROR(INDEX(Lists!$J$4:$J$143,MATCH(120,$X$2:$X$141,0)),"")</f>
        <v/>
      </c>
      <c r="I121" t="str">
        <f>IFERROR(INDEX(Lists!$J$4:$J$143,MATCH(120,$Y$2:$Y$141,0)),"")</f>
        <v/>
      </c>
      <c r="K121" t="str">
        <f>IFERROR(INDEX(Lists!$J$4:$J$143,MATCH(120,$Z$2:$Z$141,0)),"")</f>
        <v/>
      </c>
      <c r="M121" t="str">
        <f>IFERROR(INDEX(Lists!$J$4:$J$143,MATCH(120,$AA$2:$AA$141,0)),"")</f>
        <v/>
      </c>
      <c r="O121" t="str">
        <f>IFERROR(INDEX(Lists!$J$4:$J$143,MATCH(120,$AB$2:$AB$141,0)),"")</f>
        <v/>
      </c>
      <c r="Q121" t="str">
        <f>IFERROR(INDEX(Lists!$J$4:$J$143,MATCH(120,$AC$2:$AC$141,0)),"")</f>
        <v/>
      </c>
      <c r="S121" t="str">
        <f>IFERROR(INDEX(Lists!$J$4:$J$143,MATCH(120,$AD$2:$AD$141,0)),"")</f>
        <v/>
      </c>
      <c r="V121" t="str">
        <f>IF(OR(Lists!$J123="",Lists!$K123&lt;&gt;"Customer Support"),"",COUNTIFS(Lists!$K$4:'Lists'!$K123,"Customer Support",Lists!$J$4:'Lists'!$J123,"&lt;&gt;"))</f>
        <v/>
      </c>
      <c r="W121" t="str">
        <f>IF(OR(Lists!$J123="",Lists!$K123&lt;&gt;"Platform Operations"),"",COUNTIFS(Lists!$K$4:'Lists'!$K123,"Platform Operations",Lists!$J$4:'Lists'!$J123,"&lt;&gt;"))</f>
        <v/>
      </c>
      <c r="X121" t="str">
        <f>IF(OR(Lists!$J123="",Lists!$K123&lt;&gt;"Software Engineering"),"",COUNTIFS(Lists!$K$4:'Lists'!$K123,"Software Engineering",Lists!$J$4:'Lists'!$J123,"&lt;&gt;"))</f>
        <v/>
      </c>
      <c r="Y121" t="str">
        <f>IF(OR(Lists!$J123="",Lists!$K123&lt;&gt;"IT Operations"),"",COUNTIFS(Lists!$K$4:'Lists'!$K123,"IT Operations",Lists!$J$4:'Lists'!$J123,"&lt;&gt;"))</f>
        <v/>
      </c>
      <c r="Z121" t="str">
        <f>IF(OR(Lists!$J123="",Lists!$K123&lt;&gt;"Quality Assurance"),"",COUNTIFS(Lists!$K$4:'Lists'!$K123,"Quality Assurance",Lists!$J$4:'Lists'!$J123,"&lt;&gt;"))</f>
        <v/>
      </c>
      <c r="AA121" t="str">
        <f>IF(OR(Lists!$J123="",Lists!$K123&lt;&gt;"Compliance &amp; Core Training"),"",COUNTIFS(Lists!$K$4:'Lists'!$K123,"Compliance &amp; Core Training",Lists!$J$4:'Lists'!$J123,"&lt;&gt;"))</f>
        <v/>
      </c>
      <c r="AB121" t="str">
        <f>IF(OR(Lists!$J123="",Lists!$K123&lt;&gt;"Cloud &amp; Reliability"),"",COUNTIFS(Lists!$K$4:'Lists'!$K123,"Cloud &amp; Reliability",Lists!$J$4:'Lists'!$J123,"&lt;&gt;"))</f>
        <v/>
      </c>
      <c r="AC121" t="str">
        <f>IF(OR(Lists!$J123="",Lists!$K123&lt;&gt;"Data &amp; Analytics"),"",COUNTIFS(Lists!$K$4:'Lists'!$K123,"Data &amp; Analytics",Lists!$J$4:'Lists'!$J123,"&lt;&gt;"))</f>
        <v/>
      </c>
      <c r="AD121" t="str">
        <f>IF(OR(Lists!$J123="",Lists!$K123&lt;&gt;"Cybersecurity"),"",COUNTIFS(Lists!$K$4:'Lists'!$K123,"Cybersecurity",Lists!$J$4:'Lists'!$J123,"&lt;&gt;"))</f>
        <v/>
      </c>
      <c r="AE121" t="str">
        <f>IF('Role Requirements'!$B125="","",IF(COUNTIF('Role Requirements'!$B$6:$B125,'Role Requirements'!$B125)=1,COUNT($AE$1:AE120)+1,""))</f>
        <v/>
      </c>
    </row>
    <row r="122" spans="3:31">
      <c r="C122" t="str">
        <f>IFERROR(INDEX(Lists!$J$4:$J$143,MATCH(121,$V$2:$V$141,0)),"")</f>
        <v/>
      </c>
      <c r="E122" t="str">
        <f>IFERROR(INDEX(Lists!$J$4:$J$143,MATCH(121,$W$2:$W$141,0)),"")</f>
        <v/>
      </c>
      <c r="G122" t="str">
        <f>IFERROR(INDEX(Lists!$J$4:$J$143,MATCH(121,$X$2:$X$141,0)),"")</f>
        <v/>
      </c>
      <c r="I122" t="str">
        <f>IFERROR(INDEX(Lists!$J$4:$J$143,MATCH(121,$Y$2:$Y$141,0)),"")</f>
        <v/>
      </c>
      <c r="K122" t="str">
        <f>IFERROR(INDEX(Lists!$J$4:$J$143,MATCH(121,$Z$2:$Z$141,0)),"")</f>
        <v/>
      </c>
      <c r="M122" t="str">
        <f>IFERROR(INDEX(Lists!$J$4:$J$143,MATCH(121,$AA$2:$AA$141,0)),"")</f>
        <v/>
      </c>
      <c r="O122" t="str">
        <f>IFERROR(INDEX(Lists!$J$4:$J$143,MATCH(121,$AB$2:$AB$141,0)),"")</f>
        <v/>
      </c>
      <c r="Q122" t="str">
        <f>IFERROR(INDEX(Lists!$J$4:$J$143,MATCH(121,$AC$2:$AC$141,0)),"")</f>
        <v/>
      </c>
      <c r="S122" t="str">
        <f>IFERROR(INDEX(Lists!$J$4:$J$143,MATCH(121,$AD$2:$AD$141,0)),"")</f>
        <v/>
      </c>
      <c r="V122" t="str">
        <f>IF(OR(Lists!$J124="",Lists!$K124&lt;&gt;"Customer Support"),"",COUNTIFS(Lists!$K$4:'Lists'!$K124,"Customer Support",Lists!$J$4:'Lists'!$J124,"&lt;&gt;"))</f>
        <v/>
      </c>
      <c r="W122" t="str">
        <f>IF(OR(Lists!$J124="",Lists!$K124&lt;&gt;"Platform Operations"),"",COUNTIFS(Lists!$K$4:'Lists'!$K124,"Platform Operations",Lists!$J$4:'Lists'!$J124,"&lt;&gt;"))</f>
        <v/>
      </c>
      <c r="X122" t="str">
        <f>IF(OR(Lists!$J124="",Lists!$K124&lt;&gt;"Software Engineering"),"",COUNTIFS(Lists!$K$4:'Lists'!$K124,"Software Engineering",Lists!$J$4:'Lists'!$J124,"&lt;&gt;"))</f>
        <v/>
      </c>
      <c r="Y122" t="str">
        <f>IF(OR(Lists!$J124="",Lists!$K124&lt;&gt;"IT Operations"),"",COUNTIFS(Lists!$K$4:'Lists'!$K124,"IT Operations",Lists!$J$4:'Lists'!$J124,"&lt;&gt;"))</f>
        <v/>
      </c>
      <c r="Z122" t="str">
        <f>IF(OR(Lists!$J124="",Lists!$K124&lt;&gt;"Quality Assurance"),"",COUNTIFS(Lists!$K$4:'Lists'!$K124,"Quality Assurance",Lists!$J$4:'Lists'!$J124,"&lt;&gt;"))</f>
        <v/>
      </c>
      <c r="AA122" t="str">
        <f>IF(OR(Lists!$J124="",Lists!$K124&lt;&gt;"Compliance &amp; Core Training"),"",COUNTIFS(Lists!$K$4:'Lists'!$K124,"Compliance &amp; Core Training",Lists!$J$4:'Lists'!$J124,"&lt;&gt;"))</f>
        <v/>
      </c>
      <c r="AB122" t="str">
        <f>IF(OR(Lists!$J124="",Lists!$K124&lt;&gt;"Cloud &amp; Reliability"),"",COUNTIFS(Lists!$K$4:'Lists'!$K124,"Cloud &amp; Reliability",Lists!$J$4:'Lists'!$J124,"&lt;&gt;"))</f>
        <v/>
      </c>
      <c r="AC122" t="str">
        <f>IF(OR(Lists!$J124="",Lists!$K124&lt;&gt;"Data &amp; Analytics"),"",COUNTIFS(Lists!$K$4:'Lists'!$K124,"Data &amp; Analytics",Lists!$J$4:'Lists'!$J124,"&lt;&gt;"))</f>
        <v/>
      </c>
      <c r="AD122" t="str">
        <f>IF(OR(Lists!$J124="",Lists!$K124&lt;&gt;"Cybersecurity"),"",COUNTIFS(Lists!$K$4:'Lists'!$K124,"Cybersecurity",Lists!$J$4:'Lists'!$J124,"&lt;&gt;"))</f>
        <v/>
      </c>
      <c r="AE122" t="str">
        <f>IF('Role Requirements'!$B126="","",IF(COUNTIF('Role Requirements'!$B$6:$B126,'Role Requirements'!$B126)=1,COUNT($AE$1:AE121)+1,""))</f>
        <v/>
      </c>
    </row>
    <row r="123" spans="3:31">
      <c r="C123" t="str">
        <f>IFERROR(INDEX(Lists!$J$4:$J$143,MATCH(122,$V$2:$V$141,0)),"")</f>
        <v/>
      </c>
      <c r="E123" t="str">
        <f>IFERROR(INDEX(Lists!$J$4:$J$143,MATCH(122,$W$2:$W$141,0)),"")</f>
        <v/>
      </c>
      <c r="G123" t="str">
        <f>IFERROR(INDEX(Lists!$J$4:$J$143,MATCH(122,$X$2:$X$141,0)),"")</f>
        <v/>
      </c>
      <c r="I123" t="str">
        <f>IFERROR(INDEX(Lists!$J$4:$J$143,MATCH(122,$Y$2:$Y$141,0)),"")</f>
        <v/>
      </c>
      <c r="K123" t="str">
        <f>IFERROR(INDEX(Lists!$J$4:$J$143,MATCH(122,$Z$2:$Z$141,0)),"")</f>
        <v/>
      </c>
      <c r="M123" t="str">
        <f>IFERROR(INDEX(Lists!$J$4:$J$143,MATCH(122,$AA$2:$AA$141,0)),"")</f>
        <v/>
      </c>
      <c r="O123" t="str">
        <f>IFERROR(INDEX(Lists!$J$4:$J$143,MATCH(122,$AB$2:$AB$141,0)),"")</f>
        <v/>
      </c>
      <c r="Q123" t="str">
        <f>IFERROR(INDEX(Lists!$J$4:$J$143,MATCH(122,$AC$2:$AC$141,0)),"")</f>
        <v/>
      </c>
      <c r="S123" t="str">
        <f>IFERROR(INDEX(Lists!$J$4:$J$143,MATCH(122,$AD$2:$AD$141,0)),"")</f>
        <v/>
      </c>
      <c r="V123" t="str">
        <f>IF(OR(Lists!$J125="",Lists!$K125&lt;&gt;"Customer Support"),"",COUNTIFS(Lists!$K$4:'Lists'!$K125,"Customer Support",Lists!$J$4:'Lists'!$J125,"&lt;&gt;"))</f>
        <v/>
      </c>
      <c r="W123" t="str">
        <f>IF(OR(Lists!$J125="",Lists!$K125&lt;&gt;"Platform Operations"),"",COUNTIFS(Lists!$K$4:'Lists'!$K125,"Platform Operations",Lists!$J$4:'Lists'!$J125,"&lt;&gt;"))</f>
        <v/>
      </c>
      <c r="X123" t="str">
        <f>IF(OR(Lists!$J125="",Lists!$K125&lt;&gt;"Software Engineering"),"",COUNTIFS(Lists!$K$4:'Lists'!$K125,"Software Engineering",Lists!$J$4:'Lists'!$J125,"&lt;&gt;"))</f>
        <v/>
      </c>
      <c r="Y123" t="str">
        <f>IF(OR(Lists!$J125="",Lists!$K125&lt;&gt;"IT Operations"),"",COUNTIFS(Lists!$K$4:'Lists'!$K125,"IT Operations",Lists!$J$4:'Lists'!$J125,"&lt;&gt;"))</f>
        <v/>
      </c>
      <c r="Z123" t="str">
        <f>IF(OR(Lists!$J125="",Lists!$K125&lt;&gt;"Quality Assurance"),"",COUNTIFS(Lists!$K$4:'Lists'!$K125,"Quality Assurance",Lists!$J$4:'Lists'!$J125,"&lt;&gt;"))</f>
        <v/>
      </c>
      <c r="AA123" t="str">
        <f>IF(OR(Lists!$J125="",Lists!$K125&lt;&gt;"Compliance &amp; Core Training"),"",COUNTIFS(Lists!$K$4:'Lists'!$K125,"Compliance &amp; Core Training",Lists!$J$4:'Lists'!$J125,"&lt;&gt;"))</f>
        <v/>
      </c>
      <c r="AB123" t="str">
        <f>IF(OR(Lists!$J125="",Lists!$K125&lt;&gt;"Cloud &amp; Reliability"),"",COUNTIFS(Lists!$K$4:'Lists'!$K125,"Cloud &amp; Reliability",Lists!$J$4:'Lists'!$J125,"&lt;&gt;"))</f>
        <v/>
      </c>
      <c r="AC123" t="str">
        <f>IF(OR(Lists!$J125="",Lists!$K125&lt;&gt;"Data &amp; Analytics"),"",COUNTIFS(Lists!$K$4:'Lists'!$K125,"Data &amp; Analytics",Lists!$J$4:'Lists'!$J125,"&lt;&gt;"))</f>
        <v/>
      </c>
      <c r="AD123" t="str">
        <f>IF(OR(Lists!$J125="",Lists!$K125&lt;&gt;"Cybersecurity"),"",COUNTIFS(Lists!$K$4:'Lists'!$K125,"Cybersecurity",Lists!$J$4:'Lists'!$J125,"&lt;&gt;"))</f>
        <v/>
      </c>
      <c r="AE123" t="str">
        <f>IF('Role Requirements'!$B127="","",IF(COUNTIF('Role Requirements'!$B$6:$B127,'Role Requirements'!$B127)=1,COUNT($AE$1:AE122)+1,""))</f>
        <v/>
      </c>
    </row>
    <row r="124" spans="3:31">
      <c r="C124" t="str">
        <f>IFERROR(INDEX(Lists!$J$4:$J$143,MATCH(123,$V$2:$V$141,0)),"")</f>
        <v/>
      </c>
      <c r="E124" t="str">
        <f>IFERROR(INDEX(Lists!$J$4:$J$143,MATCH(123,$W$2:$W$141,0)),"")</f>
        <v/>
      </c>
      <c r="G124" t="str">
        <f>IFERROR(INDEX(Lists!$J$4:$J$143,MATCH(123,$X$2:$X$141,0)),"")</f>
        <v/>
      </c>
      <c r="I124" t="str">
        <f>IFERROR(INDEX(Lists!$J$4:$J$143,MATCH(123,$Y$2:$Y$141,0)),"")</f>
        <v/>
      </c>
      <c r="K124" t="str">
        <f>IFERROR(INDEX(Lists!$J$4:$J$143,MATCH(123,$Z$2:$Z$141,0)),"")</f>
        <v/>
      </c>
      <c r="M124" t="str">
        <f>IFERROR(INDEX(Lists!$J$4:$J$143,MATCH(123,$AA$2:$AA$141,0)),"")</f>
        <v/>
      </c>
      <c r="O124" t="str">
        <f>IFERROR(INDEX(Lists!$J$4:$J$143,MATCH(123,$AB$2:$AB$141,0)),"")</f>
        <v/>
      </c>
      <c r="Q124" t="str">
        <f>IFERROR(INDEX(Lists!$J$4:$J$143,MATCH(123,$AC$2:$AC$141,0)),"")</f>
        <v/>
      </c>
      <c r="S124" t="str">
        <f>IFERROR(INDEX(Lists!$J$4:$J$143,MATCH(123,$AD$2:$AD$141,0)),"")</f>
        <v/>
      </c>
      <c r="V124" t="str">
        <f>IF(OR(Lists!$J126="",Lists!$K126&lt;&gt;"Customer Support"),"",COUNTIFS(Lists!$K$4:'Lists'!$K126,"Customer Support",Lists!$J$4:'Lists'!$J126,"&lt;&gt;"))</f>
        <v/>
      </c>
      <c r="W124" t="str">
        <f>IF(OR(Lists!$J126="",Lists!$K126&lt;&gt;"Platform Operations"),"",COUNTIFS(Lists!$K$4:'Lists'!$K126,"Platform Operations",Lists!$J$4:'Lists'!$J126,"&lt;&gt;"))</f>
        <v/>
      </c>
      <c r="X124" t="str">
        <f>IF(OR(Lists!$J126="",Lists!$K126&lt;&gt;"Software Engineering"),"",COUNTIFS(Lists!$K$4:'Lists'!$K126,"Software Engineering",Lists!$J$4:'Lists'!$J126,"&lt;&gt;"))</f>
        <v/>
      </c>
      <c r="Y124" t="str">
        <f>IF(OR(Lists!$J126="",Lists!$K126&lt;&gt;"IT Operations"),"",COUNTIFS(Lists!$K$4:'Lists'!$K126,"IT Operations",Lists!$J$4:'Lists'!$J126,"&lt;&gt;"))</f>
        <v/>
      </c>
      <c r="Z124" t="str">
        <f>IF(OR(Lists!$J126="",Lists!$K126&lt;&gt;"Quality Assurance"),"",COUNTIFS(Lists!$K$4:'Lists'!$K126,"Quality Assurance",Lists!$J$4:'Lists'!$J126,"&lt;&gt;"))</f>
        <v/>
      </c>
      <c r="AA124" t="str">
        <f>IF(OR(Lists!$J126="",Lists!$K126&lt;&gt;"Compliance &amp; Core Training"),"",COUNTIFS(Lists!$K$4:'Lists'!$K126,"Compliance &amp; Core Training",Lists!$J$4:'Lists'!$J126,"&lt;&gt;"))</f>
        <v/>
      </c>
      <c r="AB124" t="str">
        <f>IF(OR(Lists!$J126="",Lists!$K126&lt;&gt;"Cloud &amp; Reliability"),"",COUNTIFS(Lists!$K$4:'Lists'!$K126,"Cloud &amp; Reliability",Lists!$J$4:'Lists'!$J126,"&lt;&gt;"))</f>
        <v/>
      </c>
      <c r="AC124" t="str">
        <f>IF(OR(Lists!$J126="",Lists!$K126&lt;&gt;"Data &amp; Analytics"),"",COUNTIFS(Lists!$K$4:'Lists'!$K126,"Data &amp; Analytics",Lists!$J$4:'Lists'!$J126,"&lt;&gt;"))</f>
        <v/>
      </c>
      <c r="AD124" t="str">
        <f>IF(OR(Lists!$J126="",Lists!$K126&lt;&gt;"Cybersecurity"),"",COUNTIFS(Lists!$K$4:'Lists'!$K126,"Cybersecurity",Lists!$J$4:'Lists'!$J126,"&lt;&gt;"))</f>
        <v/>
      </c>
      <c r="AE124" t="str">
        <f>IF('Role Requirements'!$B128="","",IF(COUNTIF('Role Requirements'!$B$6:$B128,'Role Requirements'!$B128)=1,COUNT($AE$1:AE123)+1,""))</f>
        <v/>
      </c>
    </row>
    <row r="125" spans="3:31">
      <c r="C125" t="str">
        <f>IFERROR(INDEX(Lists!$J$4:$J$143,MATCH(124,$V$2:$V$141,0)),"")</f>
        <v/>
      </c>
      <c r="E125" t="str">
        <f>IFERROR(INDEX(Lists!$J$4:$J$143,MATCH(124,$W$2:$W$141,0)),"")</f>
        <v/>
      </c>
      <c r="G125" t="str">
        <f>IFERROR(INDEX(Lists!$J$4:$J$143,MATCH(124,$X$2:$X$141,0)),"")</f>
        <v/>
      </c>
      <c r="I125" t="str">
        <f>IFERROR(INDEX(Lists!$J$4:$J$143,MATCH(124,$Y$2:$Y$141,0)),"")</f>
        <v/>
      </c>
      <c r="K125" t="str">
        <f>IFERROR(INDEX(Lists!$J$4:$J$143,MATCH(124,$Z$2:$Z$141,0)),"")</f>
        <v/>
      </c>
      <c r="M125" t="str">
        <f>IFERROR(INDEX(Lists!$J$4:$J$143,MATCH(124,$AA$2:$AA$141,0)),"")</f>
        <v/>
      </c>
      <c r="O125" t="str">
        <f>IFERROR(INDEX(Lists!$J$4:$J$143,MATCH(124,$AB$2:$AB$141,0)),"")</f>
        <v/>
      </c>
      <c r="Q125" t="str">
        <f>IFERROR(INDEX(Lists!$J$4:$J$143,MATCH(124,$AC$2:$AC$141,0)),"")</f>
        <v/>
      </c>
      <c r="S125" t="str">
        <f>IFERROR(INDEX(Lists!$J$4:$J$143,MATCH(124,$AD$2:$AD$141,0)),"")</f>
        <v/>
      </c>
      <c r="V125" t="str">
        <f>IF(OR(Lists!$J127="",Lists!$K127&lt;&gt;"Customer Support"),"",COUNTIFS(Lists!$K$4:'Lists'!$K127,"Customer Support",Lists!$J$4:'Lists'!$J127,"&lt;&gt;"))</f>
        <v/>
      </c>
      <c r="W125" t="str">
        <f>IF(OR(Lists!$J127="",Lists!$K127&lt;&gt;"Platform Operations"),"",COUNTIFS(Lists!$K$4:'Lists'!$K127,"Platform Operations",Lists!$J$4:'Lists'!$J127,"&lt;&gt;"))</f>
        <v/>
      </c>
      <c r="X125" t="str">
        <f>IF(OR(Lists!$J127="",Lists!$K127&lt;&gt;"Software Engineering"),"",COUNTIFS(Lists!$K$4:'Lists'!$K127,"Software Engineering",Lists!$J$4:'Lists'!$J127,"&lt;&gt;"))</f>
        <v/>
      </c>
      <c r="Y125" t="str">
        <f>IF(OR(Lists!$J127="",Lists!$K127&lt;&gt;"IT Operations"),"",COUNTIFS(Lists!$K$4:'Lists'!$K127,"IT Operations",Lists!$J$4:'Lists'!$J127,"&lt;&gt;"))</f>
        <v/>
      </c>
      <c r="Z125" t="str">
        <f>IF(OR(Lists!$J127="",Lists!$K127&lt;&gt;"Quality Assurance"),"",COUNTIFS(Lists!$K$4:'Lists'!$K127,"Quality Assurance",Lists!$J$4:'Lists'!$J127,"&lt;&gt;"))</f>
        <v/>
      </c>
      <c r="AA125" t="str">
        <f>IF(OR(Lists!$J127="",Lists!$K127&lt;&gt;"Compliance &amp; Core Training"),"",COUNTIFS(Lists!$K$4:'Lists'!$K127,"Compliance &amp; Core Training",Lists!$J$4:'Lists'!$J127,"&lt;&gt;"))</f>
        <v/>
      </c>
      <c r="AB125" t="str">
        <f>IF(OR(Lists!$J127="",Lists!$K127&lt;&gt;"Cloud &amp; Reliability"),"",COUNTIFS(Lists!$K$4:'Lists'!$K127,"Cloud &amp; Reliability",Lists!$J$4:'Lists'!$J127,"&lt;&gt;"))</f>
        <v/>
      </c>
      <c r="AC125" t="str">
        <f>IF(OR(Lists!$J127="",Lists!$K127&lt;&gt;"Data &amp; Analytics"),"",COUNTIFS(Lists!$K$4:'Lists'!$K127,"Data &amp; Analytics",Lists!$J$4:'Lists'!$J127,"&lt;&gt;"))</f>
        <v/>
      </c>
      <c r="AD125" t="str">
        <f>IF(OR(Lists!$J127="",Lists!$K127&lt;&gt;"Cybersecurity"),"",COUNTIFS(Lists!$K$4:'Lists'!$K127,"Cybersecurity",Lists!$J$4:'Lists'!$J127,"&lt;&gt;"))</f>
        <v/>
      </c>
      <c r="AE125" t="str">
        <f>IF('Role Requirements'!$B129="","",IF(COUNTIF('Role Requirements'!$B$6:$B129,'Role Requirements'!$B129)=1,COUNT($AE$1:AE124)+1,""))</f>
        <v/>
      </c>
    </row>
    <row r="126" spans="3:31">
      <c r="C126" t="str">
        <f>IFERROR(INDEX(Lists!$J$4:$J$143,MATCH(125,$V$2:$V$141,0)),"")</f>
        <v/>
      </c>
      <c r="E126" t="str">
        <f>IFERROR(INDEX(Lists!$J$4:$J$143,MATCH(125,$W$2:$W$141,0)),"")</f>
        <v/>
      </c>
      <c r="G126" t="str">
        <f>IFERROR(INDEX(Lists!$J$4:$J$143,MATCH(125,$X$2:$X$141,0)),"")</f>
        <v/>
      </c>
      <c r="I126" t="str">
        <f>IFERROR(INDEX(Lists!$J$4:$J$143,MATCH(125,$Y$2:$Y$141,0)),"")</f>
        <v/>
      </c>
      <c r="K126" t="str">
        <f>IFERROR(INDEX(Lists!$J$4:$J$143,MATCH(125,$Z$2:$Z$141,0)),"")</f>
        <v/>
      </c>
      <c r="M126" t="str">
        <f>IFERROR(INDEX(Lists!$J$4:$J$143,MATCH(125,$AA$2:$AA$141,0)),"")</f>
        <v/>
      </c>
      <c r="O126" t="str">
        <f>IFERROR(INDEX(Lists!$J$4:$J$143,MATCH(125,$AB$2:$AB$141,0)),"")</f>
        <v/>
      </c>
      <c r="Q126" t="str">
        <f>IFERROR(INDEX(Lists!$J$4:$J$143,MATCH(125,$AC$2:$AC$141,0)),"")</f>
        <v/>
      </c>
      <c r="S126" t="str">
        <f>IFERROR(INDEX(Lists!$J$4:$J$143,MATCH(125,$AD$2:$AD$141,0)),"")</f>
        <v/>
      </c>
      <c r="V126" t="str">
        <f>IF(OR(Lists!$J128="",Lists!$K128&lt;&gt;"Customer Support"),"",COUNTIFS(Lists!$K$4:'Lists'!$K128,"Customer Support",Lists!$J$4:'Lists'!$J128,"&lt;&gt;"))</f>
        <v/>
      </c>
      <c r="W126" t="str">
        <f>IF(OR(Lists!$J128="",Lists!$K128&lt;&gt;"Platform Operations"),"",COUNTIFS(Lists!$K$4:'Lists'!$K128,"Platform Operations",Lists!$J$4:'Lists'!$J128,"&lt;&gt;"))</f>
        <v/>
      </c>
      <c r="X126" t="str">
        <f>IF(OR(Lists!$J128="",Lists!$K128&lt;&gt;"Software Engineering"),"",COUNTIFS(Lists!$K$4:'Lists'!$K128,"Software Engineering",Lists!$J$4:'Lists'!$J128,"&lt;&gt;"))</f>
        <v/>
      </c>
      <c r="Y126" t="str">
        <f>IF(OR(Lists!$J128="",Lists!$K128&lt;&gt;"IT Operations"),"",COUNTIFS(Lists!$K$4:'Lists'!$K128,"IT Operations",Lists!$J$4:'Lists'!$J128,"&lt;&gt;"))</f>
        <v/>
      </c>
      <c r="Z126" t="str">
        <f>IF(OR(Lists!$J128="",Lists!$K128&lt;&gt;"Quality Assurance"),"",COUNTIFS(Lists!$K$4:'Lists'!$K128,"Quality Assurance",Lists!$J$4:'Lists'!$J128,"&lt;&gt;"))</f>
        <v/>
      </c>
      <c r="AA126" t="str">
        <f>IF(OR(Lists!$J128="",Lists!$K128&lt;&gt;"Compliance &amp; Core Training"),"",COUNTIFS(Lists!$K$4:'Lists'!$K128,"Compliance &amp; Core Training",Lists!$J$4:'Lists'!$J128,"&lt;&gt;"))</f>
        <v/>
      </c>
      <c r="AB126" t="str">
        <f>IF(OR(Lists!$J128="",Lists!$K128&lt;&gt;"Cloud &amp; Reliability"),"",COUNTIFS(Lists!$K$4:'Lists'!$K128,"Cloud &amp; Reliability",Lists!$J$4:'Lists'!$J128,"&lt;&gt;"))</f>
        <v/>
      </c>
      <c r="AC126" t="str">
        <f>IF(OR(Lists!$J128="",Lists!$K128&lt;&gt;"Data &amp; Analytics"),"",COUNTIFS(Lists!$K$4:'Lists'!$K128,"Data &amp; Analytics",Lists!$J$4:'Lists'!$J128,"&lt;&gt;"))</f>
        <v/>
      </c>
      <c r="AD126" t="str">
        <f>IF(OR(Lists!$J128="",Lists!$K128&lt;&gt;"Cybersecurity"),"",COUNTIFS(Lists!$K$4:'Lists'!$K128,"Cybersecurity",Lists!$J$4:'Lists'!$J128,"&lt;&gt;"))</f>
        <v/>
      </c>
      <c r="AE126" t="str">
        <f>IF('Role Requirements'!$B130="","",IF(COUNTIF('Role Requirements'!$B$6:$B130,'Role Requirements'!$B130)=1,COUNT($AE$1:AE125)+1,""))</f>
        <v/>
      </c>
    </row>
    <row r="127" spans="3:31">
      <c r="C127" t="str">
        <f>IFERROR(INDEX(Lists!$J$4:$J$143,MATCH(126,$V$2:$V$141,0)),"")</f>
        <v/>
      </c>
      <c r="E127" t="str">
        <f>IFERROR(INDEX(Lists!$J$4:$J$143,MATCH(126,$W$2:$W$141,0)),"")</f>
        <v/>
      </c>
      <c r="G127" t="str">
        <f>IFERROR(INDEX(Lists!$J$4:$J$143,MATCH(126,$X$2:$X$141,0)),"")</f>
        <v/>
      </c>
      <c r="I127" t="str">
        <f>IFERROR(INDEX(Lists!$J$4:$J$143,MATCH(126,$Y$2:$Y$141,0)),"")</f>
        <v/>
      </c>
      <c r="K127" t="str">
        <f>IFERROR(INDEX(Lists!$J$4:$J$143,MATCH(126,$Z$2:$Z$141,0)),"")</f>
        <v/>
      </c>
      <c r="M127" t="str">
        <f>IFERROR(INDEX(Lists!$J$4:$J$143,MATCH(126,$AA$2:$AA$141,0)),"")</f>
        <v/>
      </c>
      <c r="O127" t="str">
        <f>IFERROR(INDEX(Lists!$J$4:$J$143,MATCH(126,$AB$2:$AB$141,0)),"")</f>
        <v/>
      </c>
      <c r="Q127" t="str">
        <f>IFERROR(INDEX(Lists!$J$4:$J$143,MATCH(126,$AC$2:$AC$141,0)),"")</f>
        <v/>
      </c>
      <c r="S127" t="str">
        <f>IFERROR(INDEX(Lists!$J$4:$J$143,MATCH(126,$AD$2:$AD$141,0)),"")</f>
        <v/>
      </c>
      <c r="V127" t="str">
        <f>IF(OR(Lists!$J129="",Lists!$K129&lt;&gt;"Customer Support"),"",COUNTIFS(Lists!$K$4:'Lists'!$K129,"Customer Support",Lists!$J$4:'Lists'!$J129,"&lt;&gt;"))</f>
        <v/>
      </c>
      <c r="W127" t="str">
        <f>IF(OR(Lists!$J129="",Lists!$K129&lt;&gt;"Platform Operations"),"",COUNTIFS(Lists!$K$4:'Lists'!$K129,"Platform Operations",Lists!$J$4:'Lists'!$J129,"&lt;&gt;"))</f>
        <v/>
      </c>
      <c r="X127" t="str">
        <f>IF(OR(Lists!$J129="",Lists!$K129&lt;&gt;"Software Engineering"),"",COUNTIFS(Lists!$K$4:'Lists'!$K129,"Software Engineering",Lists!$J$4:'Lists'!$J129,"&lt;&gt;"))</f>
        <v/>
      </c>
      <c r="Y127" t="str">
        <f>IF(OR(Lists!$J129="",Lists!$K129&lt;&gt;"IT Operations"),"",COUNTIFS(Lists!$K$4:'Lists'!$K129,"IT Operations",Lists!$J$4:'Lists'!$J129,"&lt;&gt;"))</f>
        <v/>
      </c>
      <c r="Z127" t="str">
        <f>IF(OR(Lists!$J129="",Lists!$K129&lt;&gt;"Quality Assurance"),"",COUNTIFS(Lists!$K$4:'Lists'!$K129,"Quality Assurance",Lists!$J$4:'Lists'!$J129,"&lt;&gt;"))</f>
        <v/>
      </c>
      <c r="AA127" t="str">
        <f>IF(OR(Lists!$J129="",Lists!$K129&lt;&gt;"Compliance &amp; Core Training"),"",COUNTIFS(Lists!$K$4:'Lists'!$K129,"Compliance &amp; Core Training",Lists!$J$4:'Lists'!$J129,"&lt;&gt;"))</f>
        <v/>
      </c>
      <c r="AB127" t="str">
        <f>IF(OR(Lists!$J129="",Lists!$K129&lt;&gt;"Cloud &amp; Reliability"),"",COUNTIFS(Lists!$K$4:'Lists'!$K129,"Cloud &amp; Reliability",Lists!$J$4:'Lists'!$J129,"&lt;&gt;"))</f>
        <v/>
      </c>
      <c r="AC127" t="str">
        <f>IF(OR(Lists!$J129="",Lists!$K129&lt;&gt;"Data &amp; Analytics"),"",COUNTIFS(Lists!$K$4:'Lists'!$K129,"Data &amp; Analytics",Lists!$J$4:'Lists'!$J129,"&lt;&gt;"))</f>
        <v/>
      </c>
      <c r="AD127" t="str">
        <f>IF(OR(Lists!$J129="",Lists!$K129&lt;&gt;"Cybersecurity"),"",COUNTIFS(Lists!$K$4:'Lists'!$K129,"Cybersecurity",Lists!$J$4:'Lists'!$J129,"&lt;&gt;"))</f>
        <v/>
      </c>
      <c r="AE127" t="str">
        <f>IF('Role Requirements'!$B131="","",IF(COUNTIF('Role Requirements'!$B$6:$B131,'Role Requirements'!$B131)=1,COUNT($AE$1:AE126)+1,""))</f>
        <v/>
      </c>
    </row>
    <row r="128" spans="3:31">
      <c r="C128" t="str">
        <f>IFERROR(INDEX(Lists!$J$4:$J$143,MATCH(127,$V$2:$V$141,0)),"")</f>
        <v/>
      </c>
      <c r="E128" t="str">
        <f>IFERROR(INDEX(Lists!$J$4:$J$143,MATCH(127,$W$2:$W$141,0)),"")</f>
        <v/>
      </c>
      <c r="G128" t="str">
        <f>IFERROR(INDEX(Lists!$J$4:$J$143,MATCH(127,$X$2:$X$141,0)),"")</f>
        <v/>
      </c>
      <c r="I128" t="str">
        <f>IFERROR(INDEX(Lists!$J$4:$J$143,MATCH(127,$Y$2:$Y$141,0)),"")</f>
        <v/>
      </c>
      <c r="K128" t="str">
        <f>IFERROR(INDEX(Lists!$J$4:$J$143,MATCH(127,$Z$2:$Z$141,0)),"")</f>
        <v/>
      </c>
      <c r="M128" t="str">
        <f>IFERROR(INDEX(Lists!$J$4:$J$143,MATCH(127,$AA$2:$AA$141,0)),"")</f>
        <v/>
      </c>
      <c r="O128" t="str">
        <f>IFERROR(INDEX(Lists!$J$4:$J$143,MATCH(127,$AB$2:$AB$141,0)),"")</f>
        <v/>
      </c>
      <c r="Q128" t="str">
        <f>IFERROR(INDEX(Lists!$J$4:$J$143,MATCH(127,$AC$2:$AC$141,0)),"")</f>
        <v/>
      </c>
      <c r="S128" t="str">
        <f>IFERROR(INDEX(Lists!$J$4:$J$143,MATCH(127,$AD$2:$AD$141,0)),"")</f>
        <v/>
      </c>
      <c r="V128" t="str">
        <f>IF(OR(Lists!$J130="",Lists!$K130&lt;&gt;"Customer Support"),"",COUNTIFS(Lists!$K$4:'Lists'!$K130,"Customer Support",Lists!$J$4:'Lists'!$J130,"&lt;&gt;"))</f>
        <v/>
      </c>
      <c r="W128" t="str">
        <f>IF(OR(Lists!$J130="",Lists!$K130&lt;&gt;"Platform Operations"),"",COUNTIFS(Lists!$K$4:'Lists'!$K130,"Platform Operations",Lists!$J$4:'Lists'!$J130,"&lt;&gt;"))</f>
        <v/>
      </c>
      <c r="X128" t="str">
        <f>IF(OR(Lists!$J130="",Lists!$K130&lt;&gt;"Software Engineering"),"",COUNTIFS(Lists!$K$4:'Lists'!$K130,"Software Engineering",Lists!$J$4:'Lists'!$J130,"&lt;&gt;"))</f>
        <v/>
      </c>
      <c r="Y128" t="str">
        <f>IF(OR(Lists!$J130="",Lists!$K130&lt;&gt;"IT Operations"),"",COUNTIFS(Lists!$K$4:'Lists'!$K130,"IT Operations",Lists!$J$4:'Lists'!$J130,"&lt;&gt;"))</f>
        <v/>
      </c>
      <c r="Z128" t="str">
        <f>IF(OR(Lists!$J130="",Lists!$K130&lt;&gt;"Quality Assurance"),"",COUNTIFS(Lists!$K$4:'Lists'!$K130,"Quality Assurance",Lists!$J$4:'Lists'!$J130,"&lt;&gt;"))</f>
        <v/>
      </c>
      <c r="AA128" t="str">
        <f>IF(OR(Lists!$J130="",Lists!$K130&lt;&gt;"Compliance &amp; Core Training"),"",COUNTIFS(Lists!$K$4:'Lists'!$K130,"Compliance &amp; Core Training",Lists!$J$4:'Lists'!$J130,"&lt;&gt;"))</f>
        <v/>
      </c>
      <c r="AB128" t="str">
        <f>IF(OR(Lists!$J130="",Lists!$K130&lt;&gt;"Cloud &amp; Reliability"),"",COUNTIFS(Lists!$K$4:'Lists'!$K130,"Cloud &amp; Reliability",Lists!$J$4:'Lists'!$J130,"&lt;&gt;"))</f>
        <v/>
      </c>
      <c r="AC128" t="str">
        <f>IF(OR(Lists!$J130="",Lists!$K130&lt;&gt;"Data &amp; Analytics"),"",COUNTIFS(Lists!$K$4:'Lists'!$K130,"Data &amp; Analytics",Lists!$J$4:'Lists'!$J130,"&lt;&gt;"))</f>
        <v/>
      </c>
      <c r="AD128" t="str">
        <f>IF(OR(Lists!$J130="",Lists!$K130&lt;&gt;"Cybersecurity"),"",COUNTIFS(Lists!$K$4:'Lists'!$K130,"Cybersecurity",Lists!$J$4:'Lists'!$J130,"&lt;&gt;"))</f>
        <v/>
      </c>
      <c r="AE128" t="str">
        <f>IF('Role Requirements'!$B132="","",IF(COUNTIF('Role Requirements'!$B$6:$B132,'Role Requirements'!$B132)=1,COUNT($AE$1:AE127)+1,""))</f>
        <v/>
      </c>
    </row>
    <row r="129" spans="3:31">
      <c r="C129" t="str">
        <f>IFERROR(INDEX(Lists!$J$4:$J$143,MATCH(128,$V$2:$V$141,0)),"")</f>
        <v/>
      </c>
      <c r="E129" t="str">
        <f>IFERROR(INDEX(Lists!$J$4:$J$143,MATCH(128,$W$2:$W$141,0)),"")</f>
        <v/>
      </c>
      <c r="G129" t="str">
        <f>IFERROR(INDEX(Lists!$J$4:$J$143,MATCH(128,$X$2:$X$141,0)),"")</f>
        <v/>
      </c>
      <c r="I129" t="str">
        <f>IFERROR(INDEX(Lists!$J$4:$J$143,MATCH(128,$Y$2:$Y$141,0)),"")</f>
        <v/>
      </c>
      <c r="K129" t="str">
        <f>IFERROR(INDEX(Lists!$J$4:$J$143,MATCH(128,$Z$2:$Z$141,0)),"")</f>
        <v/>
      </c>
      <c r="M129" t="str">
        <f>IFERROR(INDEX(Lists!$J$4:$J$143,MATCH(128,$AA$2:$AA$141,0)),"")</f>
        <v/>
      </c>
      <c r="O129" t="str">
        <f>IFERROR(INDEX(Lists!$J$4:$J$143,MATCH(128,$AB$2:$AB$141,0)),"")</f>
        <v/>
      </c>
      <c r="Q129" t="str">
        <f>IFERROR(INDEX(Lists!$J$4:$J$143,MATCH(128,$AC$2:$AC$141,0)),"")</f>
        <v/>
      </c>
      <c r="S129" t="str">
        <f>IFERROR(INDEX(Lists!$J$4:$J$143,MATCH(128,$AD$2:$AD$141,0)),"")</f>
        <v/>
      </c>
      <c r="V129" t="str">
        <f>IF(OR(Lists!$J131="",Lists!$K131&lt;&gt;"Customer Support"),"",COUNTIFS(Lists!$K$4:'Lists'!$K131,"Customer Support",Lists!$J$4:'Lists'!$J131,"&lt;&gt;"))</f>
        <v/>
      </c>
      <c r="W129" t="str">
        <f>IF(OR(Lists!$J131="",Lists!$K131&lt;&gt;"Platform Operations"),"",COUNTIFS(Lists!$K$4:'Lists'!$K131,"Platform Operations",Lists!$J$4:'Lists'!$J131,"&lt;&gt;"))</f>
        <v/>
      </c>
      <c r="X129" t="str">
        <f>IF(OR(Lists!$J131="",Lists!$K131&lt;&gt;"Software Engineering"),"",COUNTIFS(Lists!$K$4:'Lists'!$K131,"Software Engineering",Lists!$J$4:'Lists'!$J131,"&lt;&gt;"))</f>
        <v/>
      </c>
      <c r="Y129" t="str">
        <f>IF(OR(Lists!$J131="",Lists!$K131&lt;&gt;"IT Operations"),"",COUNTIFS(Lists!$K$4:'Lists'!$K131,"IT Operations",Lists!$J$4:'Lists'!$J131,"&lt;&gt;"))</f>
        <v/>
      </c>
      <c r="Z129" t="str">
        <f>IF(OR(Lists!$J131="",Lists!$K131&lt;&gt;"Quality Assurance"),"",COUNTIFS(Lists!$K$4:'Lists'!$K131,"Quality Assurance",Lists!$J$4:'Lists'!$J131,"&lt;&gt;"))</f>
        <v/>
      </c>
      <c r="AA129" t="str">
        <f>IF(OR(Lists!$J131="",Lists!$K131&lt;&gt;"Compliance &amp; Core Training"),"",COUNTIFS(Lists!$K$4:'Lists'!$K131,"Compliance &amp; Core Training",Lists!$J$4:'Lists'!$J131,"&lt;&gt;"))</f>
        <v/>
      </c>
      <c r="AB129" t="str">
        <f>IF(OR(Lists!$J131="",Lists!$K131&lt;&gt;"Cloud &amp; Reliability"),"",COUNTIFS(Lists!$K$4:'Lists'!$K131,"Cloud &amp; Reliability",Lists!$J$4:'Lists'!$J131,"&lt;&gt;"))</f>
        <v/>
      </c>
      <c r="AC129" t="str">
        <f>IF(OR(Lists!$J131="",Lists!$K131&lt;&gt;"Data &amp; Analytics"),"",COUNTIFS(Lists!$K$4:'Lists'!$K131,"Data &amp; Analytics",Lists!$J$4:'Lists'!$J131,"&lt;&gt;"))</f>
        <v/>
      </c>
      <c r="AD129" t="str">
        <f>IF(OR(Lists!$J131="",Lists!$K131&lt;&gt;"Cybersecurity"),"",COUNTIFS(Lists!$K$4:'Lists'!$K131,"Cybersecurity",Lists!$J$4:'Lists'!$J131,"&lt;&gt;"))</f>
        <v/>
      </c>
      <c r="AE129" t="str">
        <f>IF('Role Requirements'!$B133="","",IF(COUNTIF('Role Requirements'!$B$6:$B133,'Role Requirements'!$B133)=1,COUNT($AE$1:AE128)+1,""))</f>
        <v/>
      </c>
    </row>
    <row r="130" spans="3:31">
      <c r="C130" t="str">
        <f>IFERROR(INDEX(Lists!$J$4:$J$143,MATCH(129,$V$2:$V$141,0)),"")</f>
        <v/>
      </c>
      <c r="E130" t="str">
        <f>IFERROR(INDEX(Lists!$J$4:$J$143,MATCH(129,$W$2:$W$141,0)),"")</f>
        <v/>
      </c>
      <c r="G130" t="str">
        <f>IFERROR(INDEX(Lists!$J$4:$J$143,MATCH(129,$X$2:$X$141,0)),"")</f>
        <v/>
      </c>
      <c r="I130" t="str">
        <f>IFERROR(INDEX(Lists!$J$4:$J$143,MATCH(129,$Y$2:$Y$141,0)),"")</f>
        <v/>
      </c>
      <c r="K130" t="str">
        <f>IFERROR(INDEX(Lists!$J$4:$J$143,MATCH(129,$Z$2:$Z$141,0)),"")</f>
        <v/>
      </c>
      <c r="M130" t="str">
        <f>IFERROR(INDEX(Lists!$J$4:$J$143,MATCH(129,$AA$2:$AA$141,0)),"")</f>
        <v/>
      </c>
      <c r="O130" t="str">
        <f>IFERROR(INDEX(Lists!$J$4:$J$143,MATCH(129,$AB$2:$AB$141,0)),"")</f>
        <v/>
      </c>
      <c r="Q130" t="str">
        <f>IFERROR(INDEX(Lists!$J$4:$J$143,MATCH(129,$AC$2:$AC$141,0)),"")</f>
        <v/>
      </c>
      <c r="S130" t="str">
        <f>IFERROR(INDEX(Lists!$J$4:$J$143,MATCH(129,$AD$2:$AD$141,0)),"")</f>
        <v/>
      </c>
      <c r="V130" t="str">
        <f>IF(OR(Lists!$J132="",Lists!$K132&lt;&gt;"Customer Support"),"",COUNTIFS(Lists!$K$4:'Lists'!$K132,"Customer Support",Lists!$J$4:'Lists'!$J132,"&lt;&gt;"))</f>
        <v/>
      </c>
      <c r="W130" t="str">
        <f>IF(OR(Lists!$J132="",Lists!$K132&lt;&gt;"Platform Operations"),"",COUNTIFS(Lists!$K$4:'Lists'!$K132,"Platform Operations",Lists!$J$4:'Lists'!$J132,"&lt;&gt;"))</f>
        <v/>
      </c>
      <c r="X130" t="str">
        <f>IF(OR(Lists!$J132="",Lists!$K132&lt;&gt;"Software Engineering"),"",COUNTIFS(Lists!$K$4:'Lists'!$K132,"Software Engineering",Lists!$J$4:'Lists'!$J132,"&lt;&gt;"))</f>
        <v/>
      </c>
      <c r="Y130" t="str">
        <f>IF(OR(Lists!$J132="",Lists!$K132&lt;&gt;"IT Operations"),"",COUNTIFS(Lists!$K$4:'Lists'!$K132,"IT Operations",Lists!$J$4:'Lists'!$J132,"&lt;&gt;"))</f>
        <v/>
      </c>
      <c r="Z130" t="str">
        <f>IF(OR(Lists!$J132="",Lists!$K132&lt;&gt;"Quality Assurance"),"",COUNTIFS(Lists!$K$4:'Lists'!$K132,"Quality Assurance",Lists!$J$4:'Lists'!$J132,"&lt;&gt;"))</f>
        <v/>
      </c>
      <c r="AA130" t="str">
        <f>IF(OR(Lists!$J132="",Lists!$K132&lt;&gt;"Compliance &amp; Core Training"),"",COUNTIFS(Lists!$K$4:'Lists'!$K132,"Compliance &amp; Core Training",Lists!$J$4:'Lists'!$J132,"&lt;&gt;"))</f>
        <v/>
      </c>
      <c r="AB130" t="str">
        <f>IF(OR(Lists!$J132="",Lists!$K132&lt;&gt;"Cloud &amp; Reliability"),"",COUNTIFS(Lists!$K$4:'Lists'!$K132,"Cloud &amp; Reliability",Lists!$J$4:'Lists'!$J132,"&lt;&gt;"))</f>
        <v/>
      </c>
      <c r="AC130" t="str">
        <f>IF(OR(Lists!$J132="",Lists!$K132&lt;&gt;"Data &amp; Analytics"),"",COUNTIFS(Lists!$K$4:'Lists'!$K132,"Data &amp; Analytics",Lists!$J$4:'Lists'!$J132,"&lt;&gt;"))</f>
        <v/>
      </c>
      <c r="AD130" t="str">
        <f>IF(OR(Lists!$J132="",Lists!$K132&lt;&gt;"Cybersecurity"),"",COUNTIFS(Lists!$K$4:'Lists'!$K132,"Cybersecurity",Lists!$J$4:'Lists'!$J132,"&lt;&gt;"))</f>
        <v/>
      </c>
      <c r="AE130" t="str">
        <f>IF('Role Requirements'!$B134="","",IF(COUNTIF('Role Requirements'!$B$6:$B134,'Role Requirements'!$B134)=1,COUNT($AE$1:AE129)+1,""))</f>
        <v/>
      </c>
    </row>
    <row r="131" spans="3:31">
      <c r="C131" t="str">
        <f>IFERROR(INDEX(Lists!$J$4:$J$143,MATCH(130,$V$2:$V$141,0)),"")</f>
        <v/>
      </c>
      <c r="E131" t="str">
        <f>IFERROR(INDEX(Lists!$J$4:$J$143,MATCH(130,$W$2:$W$141,0)),"")</f>
        <v/>
      </c>
      <c r="G131" t="str">
        <f>IFERROR(INDEX(Lists!$J$4:$J$143,MATCH(130,$X$2:$X$141,0)),"")</f>
        <v/>
      </c>
      <c r="I131" t="str">
        <f>IFERROR(INDEX(Lists!$J$4:$J$143,MATCH(130,$Y$2:$Y$141,0)),"")</f>
        <v/>
      </c>
      <c r="K131" t="str">
        <f>IFERROR(INDEX(Lists!$J$4:$J$143,MATCH(130,$Z$2:$Z$141,0)),"")</f>
        <v/>
      </c>
      <c r="M131" t="str">
        <f>IFERROR(INDEX(Lists!$J$4:$J$143,MATCH(130,$AA$2:$AA$141,0)),"")</f>
        <v/>
      </c>
      <c r="O131" t="str">
        <f>IFERROR(INDEX(Lists!$J$4:$J$143,MATCH(130,$AB$2:$AB$141,0)),"")</f>
        <v/>
      </c>
      <c r="Q131" t="str">
        <f>IFERROR(INDEX(Lists!$J$4:$J$143,MATCH(130,$AC$2:$AC$141,0)),"")</f>
        <v/>
      </c>
      <c r="S131" t="str">
        <f>IFERROR(INDEX(Lists!$J$4:$J$143,MATCH(130,$AD$2:$AD$141,0)),"")</f>
        <v/>
      </c>
      <c r="V131" t="str">
        <f>IF(OR(Lists!$J133="",Lists!$K133&lt;&gt;"Customer Support"),"",COUNTIFS(Lists!$K$4:'Lists'!$K133,"Customer Support",Lists!$J$4:'Lists'!$J133,"&lt;&gt;"))</f>
        <v/>
      </c>
      <c r="W131" t="str">
        <f>IF(OR(Lists!$J133="",Lists!$K133&lt;&gt;"Platform Operations"),"",COUNTIFS(Lists!$K$4:'Lists'!$K133,"Platform Operations",Lists!$J$4:'Lists'!$J133,"&lt;&gt;"))</f>
        <v/>
      </c>
      <c r="X131" t="str">
        <f>IF(OR(Lists!$J133="",Lists!$K133&lt;&gt;"Software Engineering"),"",COUNTIFS(Lists!$K$4:'Lists'!$K133,"Software Engineering",Lists!$J$4:'Lists'!$J133,"&lt;&gt;"))</f>
        <v/>
      </c>
      <c r="Y131" t="str">
        <f>IF(OR(Lists!$J133="",Lists!$K133&lt;&gt;"IT Operations"),"",COUNTIFS(Lists!$K$4:'Lists'!$K133,"IT Operations",Lists!$J$4:'Lists'!$J133,"&lt;&gt;"))</f>
        <v/>
      </c>
      <c r="Z131" t="str">
        <f>IF(OR(Lists!$J133="",Lists!$K133&lt;&gt;"Quality Assurance"),"",COUNTIFS(Lists!$K$4:'Lists'!$K133,"Quality Assurance",Lists!$J$4:'Lists'!$J133,"&lt;&gt;"))</f>
        <v/>
      </c>
      <c r="AA131" t="str">
        <f>IF(OR(Lists!$J133="",Lists!$K133&lt;&gt;"Compliance &amp; Core Training"),"",COUNTIFS(Lists!$K$4:'Lists'!$K133,"Compliance &amp; Core Training",Lists!$J$4:'Lists'!$J133,"&lt;&gt;"))</f>
        <v/>
      </c>
      <c r="AB131" t="str">
        <f>IF(OR(Lists!$J133="",Lists!$K133&lt;&gt;"Cloud &amp; Reliability"),"",COUNTIFS(Lists!$K$4:'Lists'!$K133,"Cloud &amp; Reliability",Lists!$J$4:'Lists'!$J133,"&lt;&gt;"))</f>
        <v/>
      </c>
      <c r="AC131" t="str">
        <f>IF(OR(Lists!$J133="",Lists!$K133&lt;&gt;"Data &amp; Analytics"),"",COUNTIFS(Lists!$K$4:'Lists'!$K133,"Data &amp; Analytics",Lists!$J$4:'Lists'!$J133,"&lt;&gt;"))</f>
        <v/>
      </c>
      <c r="AD131" t="str">
        <f>IF(OR(Lists!$J133="",Lists!$K133&lt;&gt;"Cybersecurity"),"",COUNTIFS(Lists!$K$4:'Lists'!$K133,"Cybersecurity",Lists!$J$4:'Lists'!$J133,"&lt;&gt;"))</f>
        <v/>
      </c>
      <c r="AE131" t="str">
        <f>IF('Role Requirements'!$B135="","",IF(COUNTIF('Role Requirements'!$B$6:$B135,'Role Requirements'!$B135)=1,COUNT($AE$1:AE130)+1,""))</f>
        <v/>
      </c>
    </row>
    <row r="132" spans="3:31">
      <c r="C132" t="str">
        <f>IFERROR(INDEX(Lists!$J$4:$J$143,MATCH(131,$V$2:$V$141,0)),"")</f>
        <v/>
      </c>
      <c r="E132" t="str">
        <f>IFERROR(INDEX(Lists!$J$4:$J$143,MATCH(131,$W$2:$W$141,0)),"")</f>
        <v/>
      </c>
      <c r="G132" t="str">
        <f>IFERROR(INDEX(Lists!$J$4:$J$143,MATCH(131,$X$2:$X$141,0)),"")</f>
        <v/>
      </c>
      <c r="I132" t="str">
        <f>IFERROR(INDEX(Lists!$J$4:$J$143,MATCH(131,$Y$2:$Y$141,0)),"")</f>
        <v/>
      </c>
      <c r="K132" t="str">
        <f>IFERROR(INDEX(Lists!$J$4:$J$143,MATCH(131,$Z$2:$Z$141,0)),"")</f>
        <v/>
      </c>
      <c r="M132" t="str">
        <f>IFERROR(INDEX(Lists!$J$4:$J$143,MATCH(131,$AA$2:$AA$141,0)),"")</f>
        <v/>
      </c>
      <c r="O132" t="str">
        <f>IFERROR(INDEX(Lists!$J$4:$J$143,MATCH(131,$AB$2:$AB$141,0)),"")</f>
        <v/>
      </c>
      <c r="Q132" t="str">
        <f>IFERROR(INDEX(Lists!$J$4:$J$143,MATCH(131,$AC$2:$AC$141,0)),"")</f>
        <v/>
      </c>
      <c r="S132" t="str">
        <f>IFERROR(INDEX(Lists!$J$4:$J$143,MATCH(131,$AD$2:$AD$141,0)),"")</f>
        <v/>
      </c>
      <c r="V132" t="str">
        <f>IF(OR(Lists!$J134="",Lists!$K134&lt;&gt;"Customer Support"),"",COUNTIFS(Lists!$K$4:'Lists'!$K134,"Customer Support",Lists!$J$4:'Lists'!$J134,"&lt;&gt;"))</f>
        <v/>
      </c>
      <c r="W132" t="str">
        <f>IF(OR(Lists!$J134="",Lists!$K134&lt;&gt;"Platform Operations"),"",COUNTIFS(Lists!$K$4:'Lists'!$K134,"Platform Operations",Lists!$J$4:'Lists'!$J134,"&lt;&gt;"))</f>
        <v/>
      </c>
      <c r="X132" t="str">
        <f>IF(OR(Lists!$J134="",Lists!$K134&lt;&gt;"Software Engineering"),"",COUNTIFS(Lists!$K$4:'Lists'!$K134,"Software Engineering",Lists!$J$4:'Lists'!$J134,"&lt;&gt;"))</f>
        <v/>
      </c>
      <c r="Y132" t="str">
        <f>IF(OR(Lists!$J134="",Lists!$K134&lt;&gt;"IT Operations"),"",COUNTIFS(Lists!$K$4:'Lists'!$K134,"IT Operations",Lists!$J$4:'Lists'!$J134,"&lt;&gt;"))</f>
        <v/>
      </c>
      <c r="Z132" t="str">
        <f>IF(OR(Lists!$J134="",Lists!$K134&lt;&gt;"Quality Assurance"),"",COUNTIFS(Lists!$K$4:'Lists'!$K134,"Quality Assurance",Lists!$J$4:'Lists'!$J134,"&lt;&gt;"))</f>
        <v/>
      </c>
      <c r="AA132" t="str">
        <f>IF(OR(Lists!$J134="",Lists!$K134&lt;&gt;"Compliance &amp; Core Training"),"",COUNTIFS(Lists!$K$4:'Lists'!$K134,"Compliance &amp; Core Training",Lists!$J$4:'Lists'!$J134,"&lt;&gt;"))</f>
        <v/>
      </c>
      <c r="AB132" t="str">
        <f>IF(OR(Lists!$J134="",Lists!$K134&lt;&gt;"Cloud &amp; Reliability"),"",COUNTIFS(Lists!$K$4:'Lists'!$K134,"Cloud &amp; Reliability",Lists!$J$4:'Lists'!$J134,"&lt;&gt;"))</f>
        <v/>
      </c>
      <c r="AC132" t="str">
        <f>IF(OR(Lists!$J134="",Lists!$K134&lt;&gt;"Data &amp; Analytics"),"",COUNTIFS(Lists!$K$4:'Lists'!$K134,"Data &amp; Analytics",Lists!$J$4:'Lists'!$J134,"&lt;&gt;"))</f>
        <v/>
      </c>
      <c r="AD132" t="str">
        <f>IF(OR(Lists!$J134="",Lists!$K134&lt;&gt;"Cybersecurity"),"",COUNTIFS(Lists!$K$4:'Lists'!$K134,"Cybersecurity",Lists!$J$4:'Lists'!$J134,"&lt;&gt;"))</f>
        <v/>
      </c>
      <c r="AE132" t="str">
        <f>IF('Role Requirements'!$B136="","",IF(COUNTIF('Role Requirements'!$B$6:$B136,'Role Requirements'!$B136)=1,COUNT($AE$1:AE131)+1,""))</f>
        <v/>
      </c>
    </row>
    <row r="133" spans="3:31">
      <c r="C133" t="str">
        <f>IFERROR(INDEX(Lists!$J$4:$J$143,MATCH(132,$V$2:$V$141,0)),"")</f>
        <v/>
      </c>
      <c r="E133" t="str">
        <f>IFERROR(INDEX(Lists!$J$4:$J$143,MATCH(132,$W$2:$W$141,0)),"")</f>
        <v/>
      </c>
      <c r="G133" t="str">
        <f>IFERROR(INDEX(Lists!$J$4:$J$143,MATCH(132,$X$2:$X$141,0)),"")</f>
        <v/>
      </c>
      <c r="I133" t="str">
        <f>IFERROR(INDEX(Lists!$J$4:$J$143,MATCH(132,$Y$2:$Y$141,0)),"")</f>
        <v/>
      </c>
      <c r="K133" t="str">
        <f>IFERROR(INDEX(Lists!$J$4:$J$143,MATCH(132,$Z$2:$Z$141,0)),"")</f>
        <v/>
      </c>
      <c r="M133" t="str">
        <f>IFERROR(INDEX(Lists!$J$4:$J$143,MATCH(132,$AA$2:$AA$141,0)),"")</f>
        <v/>
      </c>
      <c r="O133" t="str">
        <f>IFERROR(INDEX(Lists!$J$4:$J$143,MATCH(132,$AB$2:$AB$141,0)),"")</f>
        <v/>
      </c>
      <c r="Q133" t="str">
        <f>IFERROR(INDEX(Lists!$J$4:$J$143,MATCH(132,$AC$2:$AC$141,0)),"")</f>
        <v/>
      </c>
      <c r="S133" t="str">
        <f>IFERROR(INDEX(Lists!$J$4:$J$143,MATCH(132,$AD$2:$AD$141,0)),"")</f>
        <v/>
      </c>
      <c r="V133" t="str">
        <f>IF(OR(Lists!$J135="",Lists!$K135&lt;&gt;"Customer Support"),"",COUNTIFS(Lists!$K$4:'Lists'!$K135,"Customer Support",Lists!$J$4:'Lists'!$J135,"&lt;&gt;"))</f>
        <v/>
      </c>
      <c r="W133" t="str">
        <f>IF(OR(Lists!$J135="",Lists!$K135&lt;&gt;"Platform Operations"),"",COUNTIFS(Lists!$K$4:'Lists'!$K135,"Platform Operations",Lists!$J$4:'Lists'!$J135,"&lt;&gt;"))</f>
        <v/>
      </c>
      <c r="X133" t="str">
        <f>IF(OR(Lists!$J135="",Lists!$K135&lt;&gt;"Software Engineering"),"",COUNTIFS(Lists!$K$4:'Lists'!$K135,"Software Engineering",Lists!$J$4:'Lists'!$J135,"&lt;&gt;"))</f>
        <v/>
      </c>
      <c r="Y133" t="str">
        <f>IF(OR(Lists!$J135="",Lists!$K135&lt;&gt;"IT Operations"),"",COUNTIFS(Lists!$K$4:'Lists'!$K135,"IT Operations",Lists!$J$4:'Lists'!$J135,"&lt;&gt;"))</f>
        <v/>
      </c>
      <c r="Z133" t="str">
        <f>IF(OR(Lists!$J135="",Lists!$K135&lt;&gt;"Quality Assurance"),"",COUNTIFS(Lists!$K$4:'Lists'!$K135,"Quality Assurance",Lists!$J$4:'Lists'!$J135,"&lt;&gt;"))</f>
        <v/>
      </c>
      <c r="AA133" t="str">
        <f>IF(OR(Lists!$J135="",Lists!$K135&lt;&gt;"Compliance &amp; Core Training"),"",COUNTIFS(Lists!$K$4:'Lists'!$K135,"Compliance &amp; Core Training",Lists!$J$4:'Lists'!$J135,"&lt;&gt;"))</f>
        <v/>
      </c>
      <c r="AB133" t="str">
        <f>IF(OR(Lists!$J135="",Lists!$K135&lt;&gt;"Cloud &amp; Reliability"),"",COUNTIFS(Lists!$K$4:'Lists'!$K135,"Cloud &amp; Reliability",Lists!$J$4:'Lists'!$J135,"&lt;&gt;"))</f>
        <v/>
      </c>
      <c r="AC133" t="str">
        <f>IF(OR(Lists!$J135="",Lists!$K135&lt;&gt;"Data &amp; Analytics"),"",COUNTIFS(Lists!$K$4:'Lists'!$K135,"Data &amp; Analytics",Lists!$J$4:'Lists'!$J135,"&lt;&gt;"))</f>
        <v/>
      </c>
      <c r="AD133" t="str">
        <f>IF(OR(Lists!$J135="",Lists!$K135&lt;&gt;"Cybersecurity"),"",COUNTIFS(Lists!$K$4:'Lists'!$K135,"Cybersecurity",Lists!$J$4:'Lists'!$J135,"&lt;&gt;"))</f>
        <v/>
      </c>
      <c r="AE133" t="str">
        <f>IF('Role Requirements'!$B137="","",IF(COUNTIF('Role Requirements'!$B$6:$B137,'Role Requirements'!$B137)=1,COUNT($AE$1:AE132)+1,""))</f>
        <v/>
      </c>
    </row>
    <row r="134" spans="3:31">
      <c r="C134" t="str">
        <f>IFERROR(INDEX(Lists!$J$4:$J$143,MATCH(133,$V$2:$V$141,0)),"")</f>
        <v/>
      </c>
      <c r="E134" t="str">
        <f>IFERROR(INDEX(Lists!$J$4:$J$143,MATCH(133,$W$2:$W$141,0)),"")</f>
        <v/>
      </c>
      <c r="G134" t="str">
        <f>IFERROR(INDEX(Lists!$J$4:$J$143,MATCH(133,$X$2:$X$141,0)),"")</f>
        <v/>
      </c>
      <c r="I134" t="str">
        <f>IFERROR(INDEX(Lists!$J$4:$J$143,MATCH(133,$Y$2:$Y$141,0)),"")</f>
        <v/>
      </c>
      <c r="K134" t="str">
        <f>IFERROR(INDEX(Lists!$J$4:$J$143,MATCH(133,$Z$2:$Z$141,0)),"")</f>
        <v/>
      </c>
      <c r="M134" t="str">
        <f>IFERROR(INDEX(Lists!$J$4:$J$143,MATCH(133,$AA$2:$AA$141,0)),"")</f>
        <v/>
      </c>
      <c r="O134" t="str">
        <f>IFERROR(INDEX(Lists!$J$4:$J$143,MATCH(133,$AB$2:$AB$141,0)),"")</f>
        <v/>
      </c>
      <c r="Q134" t="str">
        <f>IFERROR(INDEX(Lists!$J$4:$J$143,MATCH(133,$AC$2:$AC$141,0)),"")</f>
        <v/>
      </c>
      <c r="S134" t="str">
        <f>IFERROR(INDEX(Lists!$J$4:$J$143,MATCH(133,$AD$2:$AD$141,0)),"")</f>
        <v/>
      </c>
      <c r="V134" t="str">
        <f>IF(OR(Lists!$J136="",Lists!$K136&lt;&gt;"Customer Support"),"",COUNTIFS(Lists!$K$4:'Lists'!$K136,"Customer Support",Lists!$J$4:'Lists'!$J136,"&lt;&gt;"))</f>
        <v/>
      </c>
      <c r="W134" t="str">
        <f>IF(OR(Lists!$J136="",Lists!$K136&lt;&gt;"Platform Operations"),"",COUNTIFS(Lists!$K$4:'Lists'!$K136,"Platform Operations",Lists!$J$4:'Lists'!$J136,"&lt;&gt;"))</f>
        <v/>
      </c>
      <c r="X134" t="str">
        <f>IF(OR(Lists!$J136="",Lists!$K136&lt;&gt;"Software Engineering"),"",COUNTIFS(Lists!$K$4:'Lists'!$K136,"Software Engineering",Lists!$J$4:'Lists'!$J136,"&lt;&gt;"))</f>
        <v/>
      </c>
      <c r="Y134" t="str">
        <f>IF(OR(Lists!$J136="",Lists!$K136&lt;&gt;"IT Operations"),"",COUNTIFS(Lists!$K$4:'Lists'!$K136,"IT Operations",Lists!$J$4:'Lists'!$J136,"&lt;&gt;"))</f>
        <v/>
      </c>
      <c r="Z134" t="str">
        <f>IF(OR(Lists!$J136="",Lists!$K136&lt;&gt;"Quality Assurance"),"",COUNTIFS(Lists!$K$4:'Lists'!$K136,"Quality Assurance",Lists!$J$4:'Lists'!$J136,"&lt;&gt;"))</f>
        <v/>
      </c>
      <c r="AA134" t="str">
        <f>IF(OR(Lists!$J136="",Lists!$K136&lt;&gt;"Compliance &amp; Core Training"),"",COUNTIFS(Lists!$K$4:'Lists'!$K136,"Compliance &amp; Core Training",Lists!$J$4:'Lists'!$J136,"&lt;&gt;"))</f>
        <v/>
      </c>
      <c r="AB134" t="str">
        <f>IF(OR(Lists!$J136="",Lists!$K136&lt;&gt;"Cloud &amp; Reliability"),"",COUNTIFS(Lists!$K$4:'Lists'!$K136,"Cloud &amp; Reliability",Lists!$J$4:'Lists'!$J136,"&lt;&gt;"))</f>
        <v/>
      </c>
      <c r="AC134" t="str">
        <f>IF(OR(Lists!$J136="",Lists!$K136&lt;&gt;"Data &amp; Analytics"),"",COUNTIFS(Lists!$K$4:'Lists'!$K136,"Data &amp; Analytics",Lists!$J$4:'Lists'!$J136,"&lt;&gt;"))</f>
        <v/>
      </c>
      <c r="AD134" t="str">
        <f>IF(OR(Lists!$J136="",Lists!$K136&lt;&gt;"Cybersecurity"),"",COUNTIFS(Lists!$K$4:'Lists'!$K136,"Cybersecurity",Lists!$J$4:'Lists'!$J136,"&lt;&gt;"))</f>
        <v/>
      </c>
      <c r="AE134" t="str">
        <f>IF('Role Requirements'!$B138="","",IF(COUNTIF('Role Requirements'!$B$6:$B138,'Role Requirements'!$B138)=1,COUNT($AE$1:AE133)+1,""))</f>
        <v/>
      </c>
    </row>
    <row r="135" spans="3:31">
      <c r="C135" t="str">
        <f>IFERROR(INDEX(Lists!$J$4:$J$143,MATCH(134,$V$2:$V$141,0)),"")</f>
        <v/>
      </c>
      <c r="E135" t="str">
        <f>IFERROR(INDEX(Lists!$J$4:$J$143,MATCH(134,$W$2:$W$141,0)),"")</f>
        <v/>
      </c>
      <c r="G135" t="str">
        <f>IFERROR(INDEX(Lists!$J$4:$J$143,MATCH(134,$X$2:$X$141,0)),"")</f>
        <v/>
      </c>
      <c r="I135" t="str">
        <f>IFERROR(INDEX(Lists!$J$4:$J$143,MATCH(134,$Y$2:$Y$141,0)),"")</f>
        <v/>
      </c>
      <c r="K135" t="str">
        <f>IFERROR(INDEX(Lists!$J$4:$J$143,MATCH(134,$Z$2:$Z$141,0)),"")</f>
        <v/>
      </c>
      <c r="M135" t="str">
        <f>IFERROR(INDEX(Lists!$J$4:$J$143,MATCH(134,$AA$2:$AA$141,0)),"")</f>
        <v/>
      </c>
      <c r="O135" t="str">
        <f>IFERROR(INDEX(Lists!$J$4:$J$143,MATCH(134,$AB$2:$AB$141,0)),"")</f>
        <v/>
      </c>
      <c r="Q135" t="str">
        <f>IFERROR(INDEX(Lists!$J$4:$J$143,MATCH(134,$AC$2:$AC$141,0)),"")</f>
        <v/>
      </c>
      <c r="S135" t="str">
        <f>IFERROR(INDEX(Lists!$J$4:$J$143,MATCH(134,$AD$2:$AD$141,0)),"")</f>
        <v/>
      </c>
      <c r="V135" t="str">
        <f>IF(OR(Lists!$J137="",Lists!$K137&lt;&gt;"Customer Support"),"",COUNTIFS(Lists!$K$4:'Lists'!$K137,"Customer Support",Lists!$J$4:'Lists'!$J137,"&lt;&gt;"))</f>
        <v/>
      </c>
      <c r="W135" t="str">
        <f>IF(OR(Lists!$J137="",Lists!$K137&lt;&gt;"Platform Operations"),"",COUNTIFS(Lists!$K$4:'Lists'!$K137,"Platform Operations",Lists!$J$4:'Lists'!$J137,"&lt;&gt;"))</f>
        <v/>
      </c>
      <c r="X135" t="str">
        <f>IF(OR(Lists!$J137="",Lists!$K137&lt;&gt;"Software Engineering"),"",COUNTIFS(Lists!$K$4:'Lists'!$K137,"Software Engineering",Lists!$J$4:'Lists'!$J137,"&lt;&gt;"))</f>
        <v/>
      </c>
      <c r="Y135" t="str">
        <f>IF(OR(Lists!$J137="",Lists!$K137&lt;&gt;"IT Operations"),"",COUNTIFS(Lists!$K$4:'Lists'!$K137,"IT Operations",Lists!$J$4:'Lists'!$J137,"&lt;&gt;"))</f>
        <v/>
      </c>
      <c r="Z135" t="str">
        <f>IF(OR(Lists!$J137="",Lists!$K137&lt;&gt;"Quality Assurance"),"",COUNTIFS(Lists!$K$4:'Lists'!$K137,"Quality Assurance",Lists!$J$4:'Lists'!$J137,"&lt;&gt;"))</f>
        <v/>
      </c>
      <c r="AA135" t="str">
        <f>IF(OR(Lists!$J137="",Lists!$K137&lt;&gt;"Compliance &amp; Core Training"),"",COUNTIFS(Lists!$K$4:'Lists'!$K137,"Compliance &amp; Core Training",Lists!$J$4:'Lists'!$J137,"&lt;&gt;"))</f>
        <v/>
      </c>
      <c r="AB135" t="str">
        <f>IF(OR(Lists!$J137="",Lists!$K137&lt;&gt;"Cloud &amp; Reliability"),"",COUNTIFS(Lists!$K$4:'Lists'!$K137,"Cloud &amp; Reliability",Lists!$J$4:'Lists'!$J137,"&lt;&gt;"))</f>
        <v/>
      </c>
      <c r="AC135" t="str">
        <f>IF(OR(Lists!$J137="",Lists!$K137&lt;&gt;"Data &amp; Analytics"),"",COUNTIFS(Lists!$K$4:'Lists'!$K137,"Data &amp; Analytics",Lists!$J$4:'Lists'!$J137,"&lt;&gt;"))</f>
        <v/>
      </c>
      <c r="AD135" t="str">
        <f>IF(OR(Lists!$J137="",Lists!$K137&lt;&gt;"Cybersecurity"),"",COUNTIFS(Lists!$K$4:'Lists'!$K137,"Cybersecurity",Lists!$J$4:'Lists'!$J137,"&lt;&gt;"))</f>
        <v/>
      </c>
      <c r="AE135" t="str">
        <f>IF('Role Requirements'!$B139="","",IF(COUNTIF('Role Requirements'!$B$6:$B139,'Role Requirements'!$B139)=1,COUNT($AE$1:AE134)+1,""))</f>
        <v/>
      </c>
    </row>
    <row r="136" spans="3:31">
      <c r="C136" t="str">
        <f>IFERROR(INDEX(Lists!$J$4:$J$143,MATCH(135,$V$2:$V$141,0)),"")</f>
        <v/>
      </c>
      <c r="E136" t="str">
        <f>IFERROR(INDEX(Lists!$J$4:$J$143,MATCH(135,$W$2:$W$141,0)),"")</f>
        <v/>
      </c>
      <c r="G136" t="str">
        <f>IFERROR(INDEX(Lists!$J$4:$J$143,MATCH(135,$X$2:$X$141,0)),"")</f>
        <v/>
      </c>
      <c r="I136" t="str">
        <f>IFERROR(INDEX(Lists!$J$4:$J$143,MATCH(135,$Y$2:$Y$141,0)),"")</f>
        <v/>
      </c>
      <c r="K136" t="str">
        <f>IFERROR(INDEX(Lists!$J$4:$J$143,MATCH(135,$Z$2:$Z$141,0)),"")</f>
        <v/>
      </c>
      <c r="M136" t="str">
        <f>IFERROR(INDEX(Lists!$J$4:$J$143,MATCH(135,$AA$2:$AA$141,0)),"")</f>
        <v/>
      </c>
      <c r="O136" t="str">
        <f>IFERROR(INDEX(Lists!$J$4:$J$143,MATCH(135,$AB$2:$AB$141,0)),"")</f>
        <v/>
      </c>
      <c r="Q136" t="str">
        <f>IFERROR(INDEX(Lists!$J$4:$J$143,MATCH(135,$AC$2:$AC$141,0)),"")</f>
        <v/>
      </c>
      <c r="S136" t="str">
        <f>IFERROR(INDEX(Lists!$J$4:$J$143,MATCH(135,$AD$2:$AD$141,0)),"")</f>
        <v/>
      </c>
      <c r="V136" t="str">
        <f>IF(OR(Lists!$J138="",Lists!$K138&lt;&gt;"Customer Support"),"",COUNTIFS(Lists!$K$4:'Lists'!$K138,"Customer Support",Lists!$J$4:'Lists'!$J138,"&lt;&gt;"))</f>
        <v/>
      </c>
      <c r="W136" t="str">
        <f>IF(OR(Lists!$J138="",Lists!$K138&lt;&gt;"Platform Operations"),"",COUNTIFS(Lists!$K$4:'Lists'!$K138,"Platform Operations",Lists!$J$4:'Lists'!$J138,"&lt;&gt;"))</f>
        <v/>
      </c>
      <c r="X136" t="str">
        <f>IF(OR(Lists!$J138="",Lists!$K138&lt;&gt;"Software Engineering"),"",COUNTIFS(Lists!$K$4:'Lists'!$K138,"Software Engineering",Lists!$J$4:'Lists'!$J138,"&lt;&gt;"))</f>
        <v/>
      </c>
      <c r="Y136" t="str">
        <f>IF(OR(Lists!$J138="",Lists!$K138&lt;&gt;"IT Operations"),"",COUNTIFS(Lists!$K$4:'Lists'!$K138,"IT Operations",Lists!$J$4:'Lists'!$J138,"&lt;&gt;"))</f>
        <v/>
      </c>
      <c r="Z136" t="str">
        <f>IF(OR(Lists!$J138="",Lists!$K138&lt;&gt;"Quality Assurance"),"",COUNTIFS(Lists!$K$4:'Lists'!$K138,"Quality Assurance",Lists!$J$4:'Lists'!$J138,"&lt;&gt;"))</f>
        <v/>
      </c>
      <c r="AA136" t="str">
        <f>IF(OR(Lists!$J138="",Lists!$K138&lt;&gt;"Compliance &amp; Core Training"),"",COUNTIFS(Lists!$K$4:'Lists'!$K138,"Compliance &amp; Core Training",Lists!$J$4:'Lists'!$J138,"&lt;&gt;"))</f>
        <v/>
      </c>
      <c r="AB136" t="str">
        <f>IF(OR(Lists!$J138="",Lists!$K138&lt;&gt;"Cloud &amp; Reliability"),"",COUNTIFS(Lists!$K$4:'Lists'!$K138,"Cloud &amp; Reliability",Lists!$J$4:'Lists'!$J138,"&lt;&gt;"))</f>
        <v/>
      </c>
      <c r="AC136" t="str">
        <f>IF(OR(Lists!$J138="",Lists!$K138&lt;&gt;"Data &amp; Analytics"),"",COUNTIFS(Lists!$K$4:'Lists'!$K138,"Data &amp; Analytics",Lists!$J$4:'Lists'!$J138,"&lt;&gt;"))</f>
        <v/>
      </c>
      <c r="AD136" t="str">
        <f>IF(OR(Lists!$J138="",Lists!$K138&lt;&gt;"Cybersecurity"),"",COUNTIFS(Lists!$K$4:'Lists'!$K138,"Cybersecurity",Lists!$J$4:'Lists'!$J138,"&lt;&gt;"))</f>
        <v/>
      </c>
      <c r="AE136" t="str">
        <f>IF('Role Requirements'!$B140="","",IF(COUNTIF('Role Requirements'!$B$6:$B140,'Role Requirements'!$B140)=1,COUNT($AE$1:AE135)+1,""))</f>
        <v/>
      </c>
    </row>
    <row r="137" spans="3:31">
      <c r="C137" t="str">
        <f>IFERROR(INDEX(Lists!$J$4:$J$143,MATCH(136,$V$2:$V$141,0)),"")</f>
        <v/>
      </c>
      <c r="E137" t="str">
        <f>IFERROR(INDEX(Lists!$J$4:$J$143,MATCH(136,$W$2:$W$141,0)),"")</f>
        <v/>
      </c>
      <c r="G137" t="str">
        <f>IFERROR(INDEX(Lists!$J$4:$J$143,MATCH(136,$X$2:$X$141,0)),"")</f>
        <v/>
      </c>
      <c r="I137" t="str">
        <f>IFERROR(INDEX(Lists!$J$4:$J$143,MATCH(136,$Y$2:$Y$141,0)),"")</f>
        <v/>
      </c>
      <c r="K137" t="str">
        <f>IFERROR(INDEX(Lists!$J$4:$J$143,MATCH(136,$Z$2:$Z$141,0)),"")</f>
        <v/>
      </c>
      <c r="M137" t="str">
        <f>IFERROR(INDEX(Lists!$J$4:$J$143,MATCH(136,$AA$2:$AA$141,0)),"")</f>
        <v/>
      </c>
      <c r="O137" t="str">
        <f>IFERROR(INDEX(Lists!$J$4:$J$143,MATCH(136,$AB$2:$AB$141,0)),"")</f>
        <v/>
      </c>
      <c r="Q137" t="str">
        <f>IFERROR(INDEX(Lists!$J$4:$J$143,MATCH(136,$AC$2:$AC$141,0)),"")</f>
        <v/>
      </c>
      <c r="S137" t="str">
        <f>IFERROR(INDEX(Lists!$J$4:$J$143,MATCH(136,$AD$2:$AD$141,0)),"")</f>
        <v/>
      </c>
      <c r="V137" t="str">
        <f>IF(OR(Lists!$J139="",Lists!$K139&lt;&gt;"Customer Support"),"",COUNTIFS(Lists!$K$4:'Lists'!$K139,"Customer Support",Lists!$J$4:'Lists'!$J139,"&lt;&gt;"))</f>
        <v/>
      </c>
      <c r="W137" t="str">
        <f>IF(OR(Lists!$J139="",Lists!$K139&lt;&gt;"Platform Operations"),"",COUNTIFS(Lists!$K$4:'Lists'!$K139,"Platform Operations",Lists!$J$4:'Lists'!$J139,"&lt;&gt;"))</f>
        <v/>
      </c>
      <c r="X137" t="str">
        <f>IF(OR(Lists!$J139="",Lists!$K139&lt;&gt;"Software Engineering"),"",COUNTIFS(Lists!$K$4:'Lists'!$K139,"Software Engineering",Lists!$J$4:'Lists'!$J139,"&lt;&gt;"))</f>
        <v/>
      </c>
      <c r="Y137" t="str">
        <f>IF(OR(Lists!$J139="",Lists!$K139&lt;&gt;"IT Operations"),"",COUNTIFS(Lists!$K$4:'Lists'!$K139,"IT Operations",Lists!$J$4:'Lists'!$J139,"&lt;&gt;"))</f>
        <v/>
      </c>
      <c r="Z137" t="str">
        <f>IF(OR(Lists!$J139="",Lists!$K139&lt;&gt;"Quality Assurance"),"",COUNTIFS(Lists!$K$4:'Lists'!$K139,"Quality Assurance",Lists!$J$4:'Lists'!$J139,"&lt;&gt;"))</f>
        <v/>
      </c>
      <c r="AA137" t="str">
        <f>IF(OR(Lists!$J139="",Lists!$K139&lt;&gt;"Compliance &amp; Core Training"),"",COUNTIFS(Lists!$K$4:'Lists'!$K139,"Compliance &amp; Core Training",Lists!$J$4:'Lists'!$J139,"&lt;&gt;"))</f>
        <v/>
      </c>
      <c r="AB137" t="str">
        <f>IF(OR(Lists!$J139="",Lists!$K139&lt;&gt;"Cloud &amp; Reliability"),"",COUNTIFS(Lists!$K$4:'Lists'!$K139,"Cloud &amp; Reliability",Lists!$J$4:'Lists'!$J139,"&lt;&gt;"))</f>
        <v/>
      </c>
      <c r="AC137" t="str">
        <f>IF(OR(Lists!$J139="",Lists!$K139&lt;&gt;"Data &amp; Analytics"),"",COUNTIFS(Lists!$K$4:'Lists'!$K139,"Data &amp; Analytics",Lists!$J$4:'Lists'!$J139,"&lt;&gt;"))</f>
        <v/>
      </c>
      <c r="AD137" t="str">
        <f>IF(OR(Lists!$J139="",Lists!$K139&lt;&gt;"Cybersecurity"),"",COUNTIFS(Lists!$K$4:'Lists'!$K139,"Cybersecurity",Lists!$J$4:'Lists'!$J139,"&lt;&gt;"))</f>
        <v/>
      </c>
      <c r="AE137" t="str">
        <f>IF('Role Requirements'!$B141="","",IF(COUNTIF('Role Requirements'!$B$6:$B141,'Role Requirements'!$B141)=1,COUNT($AE$1:AE136)+1,""))</f>
        <v/>
      </c>
    </row>
    <row r="138" spans="3:31">
      <c r="C138" t="str">
        <f>IFERROR(INDEX(Lists!$J$4:$J$143,MATCH(137,$V$2:$V$141,0)),"")</f>
        <v/>
      </c>
      <c r="E138" t="str">
        <f>IFERROR(INDEX(Lists!$J$4:$J$143,MATCH(137,$W$2:$W$141,0)),"")</f>
        <v/>
      </c>
      <c r="G138" t="str">
        <f>IFERROR(INDEX(Lists!$J$4:$J$143,MATCH(137,$X$2:$X$141,0)),"")</f>
        <v/>
      </c>
      <c r="I138" t="str">
        <f>IFERROR(INDEX(Lists!$J$4:$J$143,MATCH(137,$Y$2:$Y$141,0)),"")</f>
        <v/>
      </c>
      <c r="K138" t="str">
        <f>IFERROR(INDEX(Lists!$J$4:$J$143,MATCH(137,$Z$2:$Z$141,0)),"")</f>
        <v/>
      </c>
      <c r="M138" t="str">
        <f>IFERROR(INDEX(Lists!$J$4:$J$143,MATCH(137,$AA$2:$AA$141,0)),"")</f>
        <v/>
      </c>
      <c r="O138" t="str">
        <f>IFERROR(INDEX(Lists!$J$4:$J$143,MATCH(137,$AB$2:$AB$141,0)),"")</f>
        <v/>
      </c>
      <c r="Q138" t="str">
        <f>IFERROR(INDEX(Lists!$J$4:$J$143,MATCH(137,$AC$2:$AC$141,0)),"")</f>
        <v/>
      </c>
      <c r="S138" t="str">
        <f>IFERROR(INDEX(Lists!$J$4:$J$143,MATCH(137,$AD$2:$AD$141,0)),"")</f>
        <v/>
      </c>
      <c r="V138" t="str">
        <f>IF(OR(Lists!$J140="",Lists!$K140&lt;&gt;"Customer Support"),"",COUNTIFS(Lists!$K$4:'Lists'!$K140,"Customer Support",Lists!$J$4:'Lists'!$J140,"&lt;&gt;"))</f>
        <v/>
      </c>
      <c r="W138" t="str">
        <f>IF(OR(Lists!$J140="",Lists!$K140&lt;&gt;"Platform Operations"),"",COUNTIFS(Lists!$K$4:'Lists'!$K140,"Platform Operations",Lists!$J$4:'Lists'!$J140,"&lt;&gt;"))</f>
        <v/>
      </c>
      <c r="X138" t="str">
        <f>IF(OR(Lists!$J140="",Lists!$K140&lt;&gt;"Software Engineering"),"",COUNTIFS(Lists!$K$4:'Lists'!$K140,"Software Engineering",Lists!$J$4:'Lists'!$J140,"&lt;&gt;"))</f>
        <v/>
      </c>
      <c r="Y138" t="str">
        <f>IF(OR(Lists!$J140="",Lists!$K140&lt;&gt;"IT Operations"),"",COUNTIFS(Lists!$K$4:'Lists'!$K140,"IT Operations",Lists!$J$4:'Lists'!$J140,"&lt;&gt;"))</f>
        <v/>
      </c>
      <c r="Z138" t="str">
        <f>IF(OR(Lists!$J140="",Lists!$K140&lt;&gt;"Quality Assurance"),"",COUNTIFS(Lists!$K$4:'Lists'!$K140,"Quality Assurance",Lists!$J$4:'Lists'!$J140,"&lt;&gt;"))</f>
        <v/>
      </c>
      <c r="AA138" t="str">
        <f>IF(OR(Lists!$J140="",Lists!$K140&lt;&gt;"Compliance &amp; Core Training"),"",COUNTIFS(Lists!$K$4:'Lists'!$K140,"Compliance &amp; Core Training",Lists!$J$4:'Lists'!$J140,"&lt;&gt;"))</f>
        <v/>
      </c>
      <c r="AB138" t="str">
        <f>IF(OR(Lists!$J140="",Lists!$K140&lt;&gt;"Cloud &amp; Reliability"),"",COUNTIFS(Lists!$K$4:'Lists'!$K140,"Cloud &amp; Reliability",Lists!$J$4:'Lists'!$J140,"&lt;&gt;"))</f>
        <v/>
      </c>
      <c r="AC138" t="str">
        <f>IF(OR(Lists!$J140="",Lists!$K140&lt;&gt;"Data &amp; Analytics"),"",COUNTIFS(Lists!$K$4:'Lists'!$K140,"Data &amp; Analytics",Lists!$J$4:'Lists'!$J140,"&lt;&gt;"))</f>
        <v/>
      </c>
      <c r="AD138" t="str">
        <f>IF(OR(Lists!$J140="",Lists!$K140&lt;&gt;"Cybersecurity"),"",COUNTIFS(Lists!$K$4:'Lists'!$K140,"Cybersecurity",Lists!$J$4:'Lists'!$J140,"&lt;&gt;"))</f>
        <v/>
      </c>
      <c r="AE138" t="str">
        <f>IF('Role Requirements'!$B142="","",IF(COUNTIF('Role Requirements'!$B$6:$B142,'Role Requirements'!$B142)=1,COUNT($AE$1:AE137)+1,""))</f>
        <v/>
      </c>
    </row>
    <row r="139" spans="3:31">
      <c r="C139" t="str">
        <f>IFERROR(INDEX(Lists!$J$4:$J$143,MATCH(138,$V$2:$V$141,0)),"")</f>
        <v/>
      </c>
      <c r="E139" t="str">
        <f>IFERROR(INDEX(Lists!$J$4:$J$143,MATCH(138,$W$2:$W$141,0)),"")</f>
        <v/>
      </c>
      <c r="G139" t="str">
        <f>IFERROR(INDEX(Lists!$J$4:$J$143,MATCH(138,$X$2:$X$141,0)),"")</f>
        <v/>
      </c>
      <c r="I139" t="str">
        <f>IFERROR(INDEX(Lists!$J$4:$J$143,MATCH(138,$Y$2:$Y$141,0)),"")</f>
        <v/>
      </c>
      <c r="K139" t="str">
        <f>IFERROR(INDEX(Lists!$J$4:$J$143,MATCH(138,$Z$2:$Z$141,0)),"")</f>
        <v/>
      </c>
      <c r="M139" t="str">
        <f>IFERROR(INDEX(Lists!$J$4:$J$143,MATCH(138,$AA$2:$AA$141,0)),"")</f>
        <v/>
      </c>
      <c r="O139" t="str">
        <f>IFERROR(INDEX(Lists!$J$4:$J$143,MATCH(138,$AB$2:$AB$141,0)),"")</f>
        <v/>
      </c>
      <c r="Q139" t="str">
        <f>IFERROR(INDEX(Lists!$J$4:$J$143,MATCH(138,$AC$2:$AC$141,0)),"")</f>
        <v/>
      </c>
      <c r="S139" t="str">
        <f>IFERROR(INDEX(Lists!$J$4:$J$143,MATCH(138,$AD$2:$AD$141,0)),"")</f>
        <v/>
      </c>
      <c r="V139" t="str">
        <f>IF(OR(Lists!$J141="",Lists!$K141&lt;&gt;"Customer Support"),"",COUNTIFS(Lists!$K$4:'Lists'!$K141,"Customer Support",Lists!$J$4:'Lists'!$J141,"&lt;&gt;"))</f>
        <v/>
      </c>
      <c r="W139" t="str">
        <f>IF(OR(Lists!$J141="",Lists!$K141&lt;&gt;"Platform Operations"),"",COUNTIFS(Lists!$K$4:'Lists'!$K141,"Platform Operations",Lists!$J$4:'Lists'!$J141,"&lt;&gt;"))</f>
        <v/>
      </c>
      <c r="X139" t="str">
        <f>IF(OR(Lists!$J141="",Lists!$K141&lt;&gt;"Software Engineering"),"",COUNTIFS(Lists!$K$4:'Lists'!$K141,"Software Engineering",Lists!$J$4:'Lists'!$J141,"&lt;&gt;"))</f>
        <v/>
      </c>
      <c r="Y139" t="str">
        <f>IF(OR(Lists!$J141="",Lists!$K141&lt;&gt;"IT Operations"),"",COUNTIFS(Lists!$K$4:'Lists'!$K141,"IT Operations",Lists!$J$4:'Lists'!$J141,"&lt;&gt;"))</f>
        <v/>
      </c>
      <c r="Z139" t="str">
        <f>IF(OR(Lists!$J141="",Lists!$K141&lt;&gt;"Quality Assurance"),"",COUNTIFS(Lists!$K$4:'Lists'!$K141,"Quality Assurance",Lists!$J$4:'Lists'!$J141,"&lt;&gt;"))</f>
        <v/>
      </c>
      <c r="AA139" t="str">
        <f>IF(OR(Lists!$J141="",Lists!$K141&lt;&gt;"Compliance &amp; Core Training"),"",COUNTIFS(Lists!$K$4:'Lists'!$K141,"Compliance &amp; Core Training",Lists!$J$4:'Lists'!$J141,"&lt;&gt;"))</f>
        <v/>
      </c>
      <c r="AB139" t="str">
        <f>IF(OR(Lists!$J141="",Lists!$K141&lt;&gt;"Cloud &amp; Reliability"),"",COUNTIFS(Lists!$K$4:'Lists'!$K141,"Cloud &amp; Reliability",Lists!$J$4:'Lists'!$J141,"&lt;&gt;"))</f>
        <v/>
      </c>
      <c r="AC139" t="str">
        <f>IF(OR(Lists!$J141="",Lists!$K141&lt;&gt;"Data &amp; Analytics"),"",COUNTIFS(Lists!$K$4:'Lists'!$K141,"Data &amp; Analytics",Lists!$J$4:'Lists'!$J141,"&lt;&gt;"))</f>
        <v/>
      </c>
      <c r="AD139" t="str">
        <f>IF(OR(Lists!$J141="",Lists!$K141&lt;&gt;"Cybersecurity"),"",COUNTIFS(Lists!$K$4:'Lists'!$K141,"Cybersecurity",Lists!$J$4:'Lists'!$J141,"&lt;&gt;"))</f>
        <v/>
      </c>
      <c r="AE139" t="str">
        <f>IF('Role Requirements'!$B143="","",IF(COUNTIF('Role Requirements'!$B$6:$B143,'Role Requirements'!$B143)=1,COUNT($AE$1:AE138)+1,""))</f>
        <v/>
      </c>
    </row>
    <row r="140" spans="3:31">
      <c r="C140" t="str">
        <f>IFERROR(INDEX(Lists!$J$4:$J$143,MATCH(139,$V$2:$V$141,0)),"")</f>
        <v/>
      </c>
      <c r="E140" t="str">
        <f>IFERROR(INDEX(Lists!$J$4:$J$143,MATCH(139,$W$2:$W$141,0)),"")</f>
        <v/>
      </c>
      <c r="G140" t="str">
        <f>IFERROR(INDEX(Lists!$J$4:$J$143,MATCH(139,$X$2:$X$141,0)),"")</f>
        <v/>
      </c>
      <c r="I140" t="str">
        <f>IFERROR(INDEX(Lists!$J$4:$J$143,MATCH(139,$Y$2:$Y$141,0)),"")</f>
        <v/>
      </c>
      <c r="K140" t="str">
        <f>IFERROR(INDEX(Lists!$J$4:$J$143,MATCH(139,$Z$2:$Z$141,0)),"")</f>
        <v/>
      </c>
      <c r="M140" t="str">
        <f>IFERROR(INDEX(Lists!$J$4:$J$143,MATCH(139,$AA$2:$AA$141,0)),"")</f>
        <v/>
      </c>
      <c r="O140" t="str">
        <f>IFERROR(INDEX(Lists!$J$4:$J$143,MATCH(139,$AB$2:$AB$141,0)),"")</f>
        <v/>
      </c>
      <c r="Q140" t="str">
        <f>IFERROR(INDEX(Lists!$J$4:$J$143,MATCH(139,$AC$2:$AC$141,0)),"")</f>
        <v/>
      </c>
      <c r="S140" t="str">
        <f>IFERROR(INDEX(Lists!$J$4:$J$143,MATCH(139,$AD$2:$AD$141,0)),"")</f>
        <v/>
      </c>
      <c r="V140" t="str">
        <f>IF(OR(Lists!$J142="",Lists!$K142&lt;&gt;"Customer Support"),"",COUNTIFS(Lists!$K$4:'Lists'!$K142,"Customer Support",Lists!$J$4:'Lists'!$J142,"&lt;&gt;"))</f>
        <v/>
      </c>
      <c r="W140" t="str">
        <f>IF(OR(Lists!$J142="",Lists!$K142&lt;&gt;"Platform Operations"),"",COUNTIFS(Lists!$K$4:'Lists'!$K142,"Platform Operations",Lists!$J$4:'Lists'!$J142,"&lt;&gt;"))</f>
        <v/>
      </c>
      <c r="X140" t="str">
        <f>IF(OR(Lists!$J142="",Lists!$K142&lt;&gt;"Software Engineering"),"",COUNTIFS(Lists!$K$4:'Lists'!$K142,"Software Engineering",Lists!$J$4:'Lists'!$J142,"&lt;&gt;"))</f>
        <v/>
      </c>
      <c r="Y140" t="str">
        <f>IF(OR(Lists!$J142="",Lists!$K142&lt;&gt;"IT Operations"),"",COUNTIFS(Lists!$K$4:'Lists'!$K142,"IT Operations",Lists!$J$4:'Lists'!$J142,"&lt;&gt;"))</f>
        <v/>
      </c>
      <c r="Z140" t="str">
        <f>IF(OR(Lists!$J142="",Lists!$K142&lt;&gt;"Quality Assurance"),"",COUNTIFS(Lists!$K$4:'Lists'!$K142,"Quality Assurance",Lists!$J$4:'Lists'!$J142,"&lt;&gt;"))</f>
        <v/>
      </c>
      <c r="AA140" t="str">
        <f>IF(OR(Lists!$J142="",Lists!$K142&lt;&gt;"Compliance &amp; Core Training"),"",COUNTIFS(Lists!$K$4:'Lists'!$K142,"Compliance &amp; Core Training",Lists!$J$4:'Lists'!$J142,"&lt;&gt;"))</f>
        <v/>
      </c>
      <c r="AB140" t="str">
        <f>IF(OR(Lists!$J142="",Lists!$K142&lt;&gt;"Cloud &amp; Reliability"),"",COUNTIFS(Lists!$K$4:'Lists'!$K142,"Cloud &amp; Reliability",Lists!$J$4:'Lists'!$J142,"&lt;&gt;"))</f>
        <v/>
      </c>
      <c r="AC140" t="str">
        <f>IF(OR(Lists!$J142="",Lists!$K142&lt;&gt;"Data &amp; Analytics"),"",COUNTIFS(Lists!$K$4:'Lists'!$K142,"Data &amp; Analytics",Lists!$J$4:'Lists'!$J142,"&lt;&gt;"))</f>
        <v/>
      </c>
      <c r="AD140" t="str">
        <f>IF(OR(Lists!$J142="",Lists!$K142&lt;&gt;"Cybersecurity"),"",COUNTIFS(Lists!$K$4:'Lists'!$K142,"Cybersecurity",Lists!$J$4:'Lists'!$J142,"&lt;&gt;"))</f>
        <v/>
      </c>
      <c r="AE140" t="str">
        <f>IF('Role Requirements'!$B144="","",IF(COUNTIF('Role Requirements'!$B$6:$B144,'Role Requirements'!$B144)=1,COUNT($AE$1:AE139)+1,""))</f>
        <v/>
      </c>
    </row>
    <row r="141" spans="3:31">
      <c r="C141" t="str">
        <f>IFERROR(INDEX(Lists!$J$4:$J$143,MATCH(140,$V$2:$V$141,0)),"")</f>
        <v/>
      </c>
      <c r="E141" t="str">
        <f>IFERROR(INDEX(Lists!$J$4:$J$143,MATCH(140,$W$2:$W$141,0)),"")</f>
        <v/>
      </c>
      <c r="G141" t="str">
        <f>IFERROR(INDEX(Lists!$J$4:$J$143,MATCH(140,$X$2:$X$141,0)),"")</f>
        <v/>
      </c>
      <c r="I141" t="str">
        <f>IFERROR(INDEX(Lists!$J$4:$J$143,MATCH(140,$Y$2:$Y$141,0)),"")</f>
        <v/>
      </c>
      <c r="K141" t="str">
        <f>IFERROR(INDEX(Lists!$J$4:$J$143,MATCH(140,$Z$2:$Z$141,0)),"")</f>
        <v/>
      </c>
      <c r="M141" t="str">
        <f>IFERROR(INDEX(Lists!$J$4:$J$143,MATCH(140,$AA$2:$AA$141,0)),"")</f>
        <v/>
      </c>
      <c r="O141" t="str">
        <f>IFERROR(INDEX(Lists!$J$4:$J$143,MATCH(140,$AB$2:$AB$141,0)),"")</f>
        <v/>
      </c>
      <c r="Q141" t="str">
        <f>IFERROR(INDEX(Lists!$J$4:$J$143,MATCH(140,$AC$2:$AC$141,0)),"")</f>
        <v/>
      </c>
      <c r="S141" t="str">
        <f>IFERROR(INDEX(Lists!$J$4:$J$143,MATCH(140,$AD$2:$AD$141,0)),"")</f>
        <v/>
      </c>
      <c r="V141" t="str">
        <f>IF(OR(Lists!$J143="",Lists!$K143&lt;&gt;"Customer Support"),"",COUNTIFS(Lists!$K$4:'Lists'!$K143,"Customer Support",Lists!$J$4:'Lists'!$J143,"&lt;&gt;"))</f>
        <v/>
      </c>
      <c r="W141" t="str">
        <f>IF(OR(Lists!$J143="",Lists!$K143&lt;&gt;"Platform Operations"),"",COUNTIFS(Lists!$K$4:'Lists'!$K143,"Platform Operations",Lists!$J$4:'Lists'!$J143,"&lt;&gt;"))</f>
        <v/>
      </c>
      <c r="X141" t="str">
        <f>IF(OR(Lists!$J143="",Lists!$K143&lt;&gt;"Software Engineering"),"",COUNTIFS(Lists!$K$4:'Lists'!$K143,"Software Engineering",Lists!$J$4:'Lists'!$J143,"&lt;&gt;"))</f>
        <v/>
      </c>
      <c r="Y141" t="str">
        <f>IF(OR(Lists!$J143="",Lists!$K143&lt;&gt;"IT Operations"),"",COUNTIFS(Lists!$K$4:'Lists'!$K143,"IT Operations",Lists!$J$4:'Lists'!$J143,"&lt;&gt;"))</f>
        <v/>
      </c>
      <c r="Z141" t="str">
        <f>IF(OR(Lists!$J143="",Lists!$K143&lt;&gt;"Quality Assurance"),"",COUNTIFS(Lists!$K$4:'Lists'!$K143,"Quality Assurance",Lists!$J$4:'Lists'!$J143,"&lt;&gt;"))</f>
        <v/>
      </c>
      <c r="AA141" t="str">
        <f>IF(OR(Lists!$J143="",Lists!$K143&lt;&gt;"Compliance &amp; Core Training"),"",COUNTIFS(Lists!$K$4:'Lists'!$K143,"Compliance &amp; Core Training",Lists!$J$4:'Lists'!$J143,"&lt;&gt;"))</f>
        <v/>
      </c>
      <c r="AB141" t="str">
        <f>IF(OR(Lists!$J143="",Lists!$K143&lt;&gt;"Cloud &amp; Reliability"),"",COUNTIFS(Lists!$K$4:'Lists'!$K143,"Cloud &amp; Reliability",Lists!$J$4:'Lists'!$J143,"&lt;&gt;"))</f>
        <v/>
      </c>
      <c r="AC141" t="str">
        <f>IF(OR(Lists!$J143="",Lists!$K143&lt;&gt;"Data &amp; Analytics"),"",COUNTIFS(Lists!$K$4:'Lists'!$K143,"Data &amp; Analytics",Lists!$J$4:'Lists'!$J143,"&lt;&gt;"))</f>
        <v/>
      </c>
      <c r="AD141" t="str">
        <f>IF(OR(Lists!$J143="",Lists!$K143&lt;&gt;"Cybersecurity"),"",COUNTIFS(Lists!$K$4:'Lists'!$K143,"Cybersecurity",Lists!$J$4:'Lists'!$J143,"&lt;&gt;"))</f>
        <v/>
      </c>
      <c r="AE141" t="str">
        <f>IF('Role Requirements'!$B145="","",IF(COUNTIF('Role Requirements'!$B$6:$B145,'Role Requirements'!$B145)=1,COUNT($AE$1:AE140)+1,""))</f>
        <v/>
      </c>
    </row>
    <row r="142" spans="3:31">
      <c r="AE142" t="str">
        <f>IF('Role Requirements'!$B146="","",IF(COUNTIF('Role Requirements'!$B$6:$B146,'Role Requirements'!$B146)=1,COUNT($AE$1:AE141)+1,""))</f>
        <v/>
      </c>
    </row>
    <row r="143" spans="3:31">
      <c r="AE143" t="str">
        <f>IF('Role Requirements'!$B147="","",IF(COUNTIF('Role Requirements'!$B$6:$B147,'Role Requirements'!$B147)=1,COUNT($AE$1:AE142)+1,""))</f>
        <v/>
      </c>
    </row>
    <row r="144" spans="3:31">
      <c r="AE144" t="str">
        <f>IF('Role Requirements'!$B148="","",IF(COUNTIF('Role Requirements'!$B$6:$B148,'Role Requirements'!$B148)=1,COUNT($AE$1:AE143)+1,""))</f>
        <v/>
      </c>
    </row>
    <row r="145" spans="31:31">
      <c r="AE145" t="str">
        <f>IF('Role Requirements'!$B149="","",IF(COUNTIF('Role Requirements'!$B$6:$B149,'Role Requirements'!$B149)=1,COUNT($AE$1:AE144)+1,""))</f>
        <v/>
      </c>
    </row>
    <row r="146" spans="31:31">
      <c r="AE146" t="str">
        <f>IF('Role Requirements'!$B150="","",IF(COUNTIF('Role Requirements'!$B$6:$B150,'Role Requirements'!$B150)=1,COUNT($AE$1:AE145)+1,""))</f>
        <v/>
      </c>
    </row>
    <row r="147" spans="31:31">
      <c r="AE147" t="str">
        <f>IF('Role Requirements'!$B151="","",IF(COUNTIF('Role Requirements'!$B$6:$B151,'Role Requirements'!$B151)=1,COUNT($AE$1:AE146)+1,""))</f>
        <v/>
      </c>
    </row>
    <row r="148" spans="31:31">
      <c r="AE148" t="str">
        <f>IF('Role Requirements'!$B152="","",IF(COUNTIF('Role Requirements'!$B$6:$B152,'Role Requirements'!$B152)=1,COUNT($AE$1:AE147)+1,""))</f>
        <v/>
      </c>
    </row>
    <row r="149" spans="31:31">
      <c r="AE149" t="str">
        <f>IF('Role Requirements'!$B153="","",IF(COUNTIF('Role Requirements'!$B$6:$B153,'Role Requirements'!$B153)=1,COUNT($AE$1:AE148)+1,""))</f>
        <v/>
      </c>
    </row>
    <row r="150" spans="31:31">
      <c r="AE150" t="str">
        <f>IF('Role Requirements'!$B154="","",IF(COUNTIF('Role Requirements'!$B$6:$B154,'Role Requirements'!$B154)=1,COUNT($AE$1:AE149)+1,""))</f>
        <v/>
      </c>
    </row>
    <row r="151" spans="31:31">
      <c r="AE151" t="str">
        <f>IF('Role Requirements'!$B155="","",IF(COUNTIF('Role Requirements'!$B$6:$B155,'Role Requirements'!$B155)=1,COUNT($AE$1:AE150)+1,""))</f>
        <v/>
      </c>
    </row>
    <row r="152" spans="31:31">
      <c r="AE152" t="str">
        <f>IF('Role Requirements'!$B156="","",IF(COUNTIF('Role Requirements'!$B$6:$B156,'Role Requirements'!$B156)=1,COUNT($AE$1:AE151)+1,""))</f>
        <v/>
      </c>
    </row>
    <row r="153" spans="31:31">
      <c r="AE153" t="str">
        <f>IF('Role Requirements'!$B157="","",IF(COUNTIF('Role Requirements'!$B$6:$B157,'Role Requirements'!$B157)=1,COUNT($AE$1:AE152)+1,""))</f>
        <v/>
      </c>
    </row>
    <row r="154" spans="31:31">
      <c r="AE154" t="str">
        <f>IF('Role Requirements'!$B158="","",IF(COUNTIF('Role Requirements'!$B$6:$B158,'Role Requirements'!$B158)=1,COUNT($AE$1:AE153)+1,""))</f>
        <v/>
      </c>
    </row>
    <row r="155" spans="31:31">
      <c r="AE155" t="str">
        <f>IF('Role Requirements'!$B159="","",IF(COUNTIF('Role Requirements'!$B$6:$B159,'Role Requirements'!$B159)=1,COUNT($AE$1:AE154)+1,""))</f>
        <v/>
      </c>
    </row>
    <row r="156" spans="31:31">
      <c r="AE156" t="str">
        <f>IF('Role Requirements'!$B160="","",IF(COUNTIF('Role Requirements'!$B$6:$B160,'Role Requirements'!$B160)=1,COUNT($AE$1:AE155)+1,""))</f>
        <v/>
      </c>
    </row>
    <row r="157" spans="31:31">
      <c r="AE157" t="str">
        <f>IF('Role Requirements'!$B161="","",IF(COUNTIF('Role Requirements'!$B$6:$B161,'Role Requirements'!$B161)=1,COUNT($AE$1:AE156)+1,""))</f>
        <v/>
      </c>
    </row>
    <row r="158" spans="31:31">
      <c r="AE158" t="str">
        <f>IF('Role Requirements'!$B162="","",IF(COUNTIF('Role Requirements'!$B$6:$B162,'Role Requirements'!$B162)=1,COUNT($AE$1:AE157)+1,""))</f>
        <v/>
      </c>
    </row>
    <row r="159" spans="31:31">
      <c r="AE159" t="str">
        <f>IF('Role Requirements'!$B163="","",IF(COUNTIF('Role Requirements'!$B$6:$B163,'Role Requirements'!$B163)=1,COUNT($AE$1:AE158)+1,""))</f>
        <v/>
      </c>
    </row>
    <row r="160" spans="31:31">
      <c r="AE160" t="str">
        <f>IF('Role Requirements'!$B164="","",IF(COUNTIF('Role Requirements'!$B$6:$B164,'Role Requirements'!$B164)=1,COUNT($AE$1:AE159)+1,""))</f>
        <v/>
      </c>
    </row>
    <row r="161" spans="31:31">
      <c r="AE161" t="str">
        <f>IF('Role Requirements'!$B165="","",IF(COUNTIF('Role Requirements'!$B$6:$B165,'Role Requirements'!$B165)=1,COUNT($AE$1:AE160)+1,""))</f>
        <v/>
      </c>
    </row>
    <row r="162" spans="31:31">
      <c r="AE162" t="str">
        <f>IF('Role Requirements'!$B166="","",IF(COUNTIF('Role Requirements'!$B$6:$B166,'Role Requirements'!$B166)=1,COUNT($AE$1:AE161)+1,""))</f>
        <v/>
      </c>
    </row>
    <row r="163" spans="31:31">
      <c r="AE163" t="str">
        <f>IF('Role Requirements'!$B167="","",IF(COUNTIF('Role Requirements'!$B$6:$B167,'Role Requirements'!$B167)=1,COUNT($AE$1:AE162)+1,""))</f>
        <v/>
      </c>
    </row>
    <row r="164" spans="31:31">
      <c r="AE164" t="str">
        <f>IF('Role Requirements'!$B168="","",IF(COUNTIF('Role Requirements'!$B$6:$B168,'Role Requirements'!$B168)=1,COUNT($AE$1:AE163)+1,""))</f>
        <v/>
      </c>
    </row>
    <row r="165" spans="31:31">
      <c r="AE165" t="str">
        <f>IF('Role Requirements'!$B169="","",IF(COUNTIF('Role Requirements'!$B$6:$B169,'Role Requirements'!$B169)=1,COUNT($AE$1:AE164)+1,""))</f>
        <v/>
      </c>
    </row>
    <row r="166" spans="31:31">
      <c r="AE166" t="str">
        <f>IF('Role Requirements'!$B170="","",IF(COUNTIF('Role Requirements'!$B$6:$B170,'Role Requirements'!$B170)=1,COUNT($AE$1:AE165)+1,""))</f>
        <v/>
      </c>
    </row>
    <row r="167" spans="31:31">
      <c r="AE167" t="str">
        <f>IF('Role Requirements'!$B171="","",IF(COUNTIF('Role Requirements'!$B$6:$B171,'Role Requirements'!$B171)=1,COUNT($AE$1:AE166)+1,""))</f>
        <v/>
      </c>
    </row>
    <row r="168" spans="31:31">
      <c r="AE168" t="str">
        <f>IF('Role Requirements'!$B172="","",IF(COUNTIF('Role Requirements'!$B$6:$B172,'Role Requirements'!$B172)=1,COUNT($AE$1:AE167)+1,""))</f>
        <v/>
      </c>
    </row>
    <row r="169" spans="31:31">
      <c r="AE169" t="str">
        <f>IF('Role Requirements'!$B173="","",IF(COUNTIF('Role Requirements'!$B$6:$B173,'Role Requirements'!$B173)=1,COUNT($AE$1:AE168)+1,""))</f>
        <v/>
      </c>
    </row>
    <row r="170" spans="31:31">
      <c r="AE170" t="str">
        <f>IF('Role Requirements'!$B174="","",IF(COUNTIF('Role Requirements'!$B$6:$B174,'Role Requirements'!$B174)=1,COUNT($AE$1:AE169)+1,""))</f>
        <v/>
      </c>
    </row>
    <row r="171" spans="31:31">
      <c r="AE171" t="str">
        <f>IF('Role Requirements'!$B175="","",IF(COUNTIF('Role Requirements'!$B$6:$B175,'Role Requirements'!$B175)=1,COUNT($AE$1:AE170)+1,""))</f>
        <v/>
      </c>
    </row>
    <row r="172" spans="31:31">
      <c r="AE172" t="str">
        <f>IF('Role Requirements'!$B176="","",IF(COUNTIF('Role Requirements'!$B$6:$B176,'Role Requirements'!$B176)=1,COUNT($AE$1:AE171)+1,""))</f>
        <v/>
      </c>
    </row>
    <row r="173" spans="31:31">
      <c r="AE173" t="str">
        <f>IF('Role Requirements'!$B177="","",IF(COUNTIF('Role Requirements'!$B$6:$B177,'Role Requirements'!$B177)=1,COUNT($AE$1:AE172)+1,""))</f>
        <v/>
      </c>
    </row>
    <row r="174" spans="31:31">
      <c r="AE174" t="str">
        <f>IF('Role Requirements'!$B178="","",IF(COUNTIF('Role Requirements'!$B$6:$B178,'Role Requirements'!$B178)=1,COUNT($AE$1:AE173)+1,""))</f>
        <v/>
      </c>
    </row>
    <row r="175" spans="31:31">
      <c r="AE175" t="str">
        <f>IF('Role Requirements'!$B179="","",IF(COUNTIF('Role Requirements'!$B$6:$B179,'Role Requirements'!$B179)=1,COUNT($AE$1:AE174)+1,""))</f>
        <v/>
      </c>
    </row>
    <row r="176" spans="31:31">
      <c r="AE176" t="str">
        <f>IF('Role Requirements'!$B180="","",IF(COUNTIF('Role Requirements'!$B$6:$B180,'Role Requirements'!$B180)=1,COUNT($AE$1:AE175)+1,""))</f>
        <v/>
      </c>
    </row>
    <row r="177" spans="31:31">
      <c r="AE177" t="str">
        <f>IF('Role Requirements'!$B181="","",IF(COUNTIF('Role Requirements'!$B$6:$B181,'Role Requirements'!$B181)=1,COUNT($AE$1:AE176)+1,""))</f>
        <v/>
      </c>
    </row>
    <row r="178" spans="31:31">
      <c r="AE178" t="str">
        <f>IF('Role Requirements'!$B182="","",IF(COUNTIF('Role Requirements'!$B$6:$B182,'Role Requirements'!$B182)=1,COUNT($AE$1:AE177)+1,""))</f>
        <v/>
      </c>
    </row>
    <row r="179" spans="31:31">
      <c r="AE179" t="str">
        <f>IF('Role Requirements'!$B183="","",IF(COUNTIF('Role Requirements'!$B$6:$B183,'Role Requirements'!$B183)=1,COUNT($AE$1:AE178)+1,""))</f>
        <v/>
      </c>
    </row>
    <row r="180" spans="31:31">
      <c r="AE180" t="str">
        <f>IF('Role Requirements'!$B184="","",IF(COUNTIF('Role Requirements'!$B$6:$B184,'Role Requirements'!$B184)=1,COUNT($AE$1:AE179)+1,""))</f>
        <v/>
      </c>
    </row>
    <row r="181" spans="31:31">
      <c r="AE181" t="str">
        <f>IF('Role Requirements'!$B185="","",IF(COUNTIF('Role Requirements'!$B$6:$B185,'Role Requirements'!$B185)=1,COUNT($AE$1:AE180)+1,""))</f>
        <v/>
      </c>
    </row>
    <row r="182" spans="31:31">
      <c r="AE182" t="str">
        <f>IF('Role Requirements'!$B186="","",IF(COUNTIF('Role Requirements'!$B$6:$B186,'Role Requirements'!$B186)=1,COUNT($AE$1:AE181)+1,""))</f>
        <v/>
      </c>
    </row>
    <row r="183" spans="31:31">
      <c r="AE183" t="str">
        <f>IF('Role Requirements'!$B187="","",IF(COUNTIF('Role Requirements'!$B$6:$B187,'Role Requirements'!$B187)=1,COUNT($AE$1:AE182)+1,""))</f>
        <v/>
      </c>
    </row>
    <row r="184" spans="31:31">
      <c r="AE184" t="str">
        <f>IF('Role Requirements'!$B188="","",IF(COUNTIF('Role Requirements'!$B$6:$B188,'Role Requirements'!$B188)=1,COUNT($AE$1:AE183)+1,""))</f>
        <v/>
      </c>
    </row>
    <row r="185" spans="31:31">
      <c r="AE185" t="str">
        <f>IF('Role Requirements'!$B189="","",IF(COUNTIF('Role Requirements'!$B$6:$B189,'Role Requirements'!$B189)=1,COUNT($AE$1:AE184)+1,""))</f>
        <v/>
      </c>
    </row>
    <row r="186" spans="31:31">
      <c r="AE186" t="str">
        <f>IF('Role Requirements'!$B190="","",IF(COUNTIF('Role Requirements'!$B$6:$B190,'Role Requirements'!$B190)=1,COUNT($AE$1:AE185)+1,""))</f>
        <v/>
      </c>
    </row>
    <row r="187" spans="31:31">
      <c r="AE187" t="str">
        <f>IF('Role Requirements'!$B191="","",IF(COUNTIF('Role Requirements'!$B$6:$B191,'Role Requirements'!$B191)=1,COUNT($AE$1:AE186)+1,""))</f>
        <v/>
      </c>
    </row>
    <row r="188" spans="31:31">
      <c r="AE188" t="str">
        <f>IF('Role Requirements'!$B192="","",IF(COUNTIF('Role Requirements'!$B$6:$B192,'Role Requirements'!$B192)=1,COUNT($AE$1:AE187)+1,""))</f>
        <v/>
      </c>
    </row>
    <row r="189" spans="31:31">
      <c r="AE189" t="str">
        <f>IF('Role Requirements'!$B193="","",IF(COUNTIF('Role Requirements'!$B$6:$B193,'Role Requirements'!$B193)=1,COUNT($AE$1:AE188)+1,""))</f>
        <v/>
      </c>
    </row>
    <row r="190" spans="31:31">
      <c r="AE190" t="str">
        <f>IF('Role Requirements'!$B194="","",IF(COUNTIF('Role Requirements'!$B$6:$B194,'Role Requirements'!$B194)=1,COUNT($AE$1:AE189)+1,""))</f>
        <v/>
      </c>
    </row>
    <row r="191" spans="31:31">
      <c r="AE191" t="str">
        <f>IF('Role Requirements'!$B195="","",IF(COUNTIF('Role Requirements'!$B$6:$B195,'Role Requirements'!$B195)=1,COUNT($AE$1:AE190)+1,""))</f>
        <v/>
      </c>
    </row>
    <row r="192" spans="31:31">
      <c r="AE192" t="str">
        <f>IF('Role Requirements'!$B196="","",IF(COUNTIF('Role Requirements'!$B$6:$B196,'Role Requirements'!$B196)=1,COUNT($AE$1:AE191)+1,""))</f>
        <v/>
      </c>
    </row>
    <row r="193" spans="31:31">
      <c r="AE193" t="str">
        <f>IF('Role Requirements'!$B197="","",IF(COUNTIF('Role Requirements'!$B$6:$B197,'Role Requirements'!$B197)=1,COUNT($AE$1:AE192)+1,""))</f>
        <v/>
      </c>
    </row>
    <row r="194" spans="31:31">
      <c r="AE194" t="str">
        <f>IF('Role Requirements'!$B198="","",IF(COUNTIF('Role Requirements'!$B$6:$B198,'Role Requirements'!$B198)=1,COUNT($AE$1:AE193)+1,""))</f>
        <v/>
      </c>
    </row>
    <row r="195" spans="31:31">
      <c r="AE195" t="str">
        <f>IF('Role Requirements'!$B199="","",IF(COUNTIF('Role Requirements'!$B$6:$B199,'Role Requirements'!$B199)=1,COUNT($AE$1:AE194)+1,""))</f>
        <v/>
      </c>
    </row>
    <row r="196" spans="31:31">
      <c r="AE196" t="str">
        <f>IF('Role Requirements'!$B200="","",IF(COUNTIF('Role Requirements'!$B$6:$B200,'Role Requirements'!$B200)=1,COUNT($AE$1:AE195)+1,""))</f>
        <v/>
      </c>
    </row>
    <row r="197" spans="31:31">
      <c r="AE197" t="str">
        <f>IF('Role Requirements'!$B201="","",IF(COUNTIF('Role Requirements'!$B$6:$B201,'Role Requirements'!$B201)=1,COUNT($AE$1:AE196)+1,""))</f>
        <v/>
      </c>
    </row>
    <row r="198" spans="31:31">
      <c r="AE198" t="str">
        <f>IF('Role Requirements'!$B202="","",IF(COUNTIF('Role Requirements'!$B$6:$B202,'Role Requirements'!$B202)=1,COUNT($AE$1:AE197)+1,""))</f>
        <v/>
      </c>
    </row>
    <row r="199" spans="31:31">
      <c r="AE199" t="str">
        <f>IF('Role Requirements'!$B203="","",IF(COUNTIF('Role Requirements'!$B$6:$B203,'Role Requirements'!$B203)=1,COUNT($AE$1:AE198)+1,""))</f>
        <v/>
      </c>
    </row>
    <row r="200" spans="31:31">
      <c r="AE200" t="str">
        <f>IF('Role Requirements'!$B204="","",IF(COUNTIF('Role Requirements'!$B$6:$B204,'Role Requirements'!$B204)=1,COUNT($AE$1:AE199)+1,""))</f>
        <v/>
      </c>
    </row>
    <row r="201" spans="31:31">
      <c r="AE201" t="str">
        <f>IF('Role Requirements'!$B205="","",IF(COUNTIF('Role Requirements'!$B$6:$B205,'Role Requirements'!$B205)=1,COUNT($AE$1:AE200)+1,""))</f>
        <v/>
      </c>
    </row>
    <row r="202" spans="31:31">
      <c r="AE202" t="str">
        <f>IF('Role Requirements'!$B206="","",IF(COUNTIF('Role Requirements'!$B$6:$B206,'Role Requirements'!$B206)=1,COUNT($AE$1:AE201)+1,""))</f>
        <v/>
      </c>
    </row>
    <row r="203" spans="31:31">
      <c r="AE203" t="str">
        <f>IF('Role Requirements'!$B207="","",IF(COUNTIF('Role Requirements'!$B$6:$B207,'Role Requirements'!$B207)=1,COUNT($AE$1:AE202)+1,""))</f>
        <v/>
      </c>
    </row>
    <row r="204" spans="31:31">
      <c r="AE204" t="str">
        <f>IF('Role Requirements'!$B208="","",IF(COUNTIF('Role Requirements'!$B$6:$B208,'Role Requirements'!$B208)=1,COUNT($AE$1:AE203)+1,""))</f>
        <v/>
      </c>
    </row>
    <row r="205" spans="31:31">
      <c r="AE205" t="str">
        <f>IF('Role Requirements'!$B209="","",IF(COUNTIF('Role Requirements'!$B$6:$B209,'Role Requirements'!$B209)=1,COUNT($AE$1:AE204)+1,""))</f>
        <v/>
      </c>
    </row>
    <row r="206" spans="31:31">
      <c r="AE206" t="str">
        <f>IF('Role Requirements'!$B210="","",IF(COUNTIF('Role Requirements'!$B$6:$B210,'Role Requirements'!$B210)=1,COUNT($AE$1:AE205)+1,""))</f>
        <v/>
      </c>
    </row>
    <row r="207" spans="31:31">
      <c r="AE207" t="str">
        <f>IF('Role Requirements'!$B211="","",IF(COUNTIF('Role Requirements'!$B$6:$B211,'Role Requirements'!$B211)=1,COUNT($AE$1:AE206)+1,""))</f>
        <v/>
      </c>
    </row>
    <row r="208" spans="31:31">
      <c r="AE208" t="str">
        <f>IF('Role Requirements'!$B212="","",IF(COUNTIF('Role Requirements'!$B$6:$B212,'Role Requirements'!$B212)=1,COUNT($AE$1:AE207)+1,""))</f>
        <v/>
      </c>
    </row>
    <row r="209" spans="31:31">
      <c r="AE209" t="str">
        <f>IF('Role Requirements'!$B213="","",IF(COUNTIF('Role Requirements'!$B$6:$B213,'Role Requirements'!$B213)=1,COUNT($AE$1:AE208)+1,""))</f>
        <v/>
      </c>
    </row>
    <row r="210" spans="31:31">
      <c r="AE210" t="str">
        <f>IF('Role Requirements'!$B214="","",IF(COUNTIF('Role Requirements'!$B$6:$B214,'Role Requirements'!$B214)=1,COUNT($AE$1:AE209)+1,""))</f>
        <v/>
      </c>
    </row>
    <row r="211" spans="31:31">
      <c r="AE211" t="str">
        <f>IF('Role Requirements'!$B215="","",IF(COUNTIF('Role Requirements'!$B$6:$B215,'Role Requirements'!$B215)=1,COUNT($AE$1:AE210)+1,""))</f>
        <v/>
      </c>
    </row>
    <row r="212" spans="31:31">
      <c r="AE212" t="str">
        <f>IF('Role Requirements'!$B216="","",IF(COUNTIF('Role Requirements'!$B$6:$B216,'Role Requirements'!$B216)=1,COUNT($AE$1:AE211)+1,""))</f>
        <v/>
      </c>
    </row>
    <row r="213" spans="31:31">
      <c r="AE213" t="str">
        <f>IF('Role Requirements'!$B217="","",IF(COUNTIF('Role Requirements'!$B$6:$B217,'Role Requirements'!$B217)=1,COUNT($AE$1:AE212)+1,""))</f>
        <v/>
      </c>
    </row>
    <row r="214" spans="31:31">
      <c r="AE214" t="str">
        <f>IF('Role Requirements'!$B218="","",IF(COUNTIF('Role Requirements'!$B$6:$B218,'Role Requirements'!$B218)=1,COUNT($AE$1:AE213)+1,""))</f>
        <v/>
      </c>
    </row>
    <row r="215" spans="31:31">
      <c r="AE215" t="str">
        <f>IF('Role Requirements'!$B219="","",IF(COUNTIF('Role Requirements'!$B$6:$B219,'Role Requirements'!$B219)=1,COUNT($AE$1:AE214)+1,""))</f>
        <v/>
      </c>
    </row>
    <row r="216" spans="31:31">
      <c r="AE216" t="str">
        <f>IF('Role Requirements'!$B220="","",IF(COUNTIF('Role Requirements'!$B$6:$B220,'Role Requirements'!$B220)=1,COUNT($AE$1:AE215)+1,""))</f>
        <v/>
      </c>
    </row>
    <row r="217" spans="31:31">
      <c r="AE217" t="str">
        <f>IF('Role Requirements'!$B221="","",IF(COUNTIF('Role Requirements'!$B$6:$B221,'Role Requirements'!$B221)=1,COUNT($AE$1:AE216)+1,""))</f>
        <v/>
      </c>
    </row>
    <row r="218" spans="31:31">
      <c r="AE218" t="str">
        <f>IF('Role Requirements'!$B222="","",IF(COUNTIF('Role Requirements'!$B$6:$B222,'Role Requirements'!$B222)=1,COUNT($AE$1:AE217)+1,""))</f>
        <v/>
      </c>
    </row>
    <row r="219" spans="31:31">
      <c r="AE219" t="str">
        <f>IF('Role Requirements'!$B223="","",IF(COUNTIF('Role Requirements'!$B$6:$B223,'Role Requirements'!$B223)=1,COUNT($AE$1:AE218)+1,""))</f>
        <v/>
      </c>
    </row>
    <row r="220" spans="31:31">
      <c r="AE220" t="str">
        <f>IF('Role Requirements'!$B224="","",IF(COUNTIF('Role Requirements'!$B$6:$B224,'Role Requirements'!$B224)=1,COUNT($AE$1:AE219)+1,""))</f>
        <v/>
      </c>
    </row>
    <row r="221" spans="31:31">
      <c r="AE221" t="str">
        <f>IF('Role Requirements'!$B225="","",IF(COUNTIF('Role Requirements'!$B$6:$B225,'Role Requirements'!$B225)=1,COUNT($AE$1:AE220)+1,""))</f>
        <v/>
      </c>
    </row>
    <row r="222" spans="31:31">
      <c r="AE222" t="str">
        <f>IF('Role Requirements'!$B226="","",IF(COUNTIF('Role Requirements'!$B$6:$B226,'Role Requirements'!$B226)=1,COUNT($AE$1:AE221)+1,""))</f>
        <v/>
      </c>
    </row>
    <row r="223" spans="31:31">
      <c r="AE223" t="str">
        <f>IF('Role Requirements'!$B227="","",IF(COUNTIF('Role Requirements'!$B$6:$B227,'Role Requirements'!$B227)=1,COUNT($AE$1:AE222)+1,""))</f>
        <v/>
      </c>
    </row>
    <row r="224" spans="31:31">
      <c r="AE224" t="str">
        <f>IF('Role Requirements'!$B228="","",IF(COUNTIF('Role Requirements'!$B$6:$B228,'Role Requirements'!$B228)=1,COUNT($AE$1:AE223)+1,""))</f>
        <v/>
      </c>
    </row>
    <row r="225" spans="31:31">
      <c r="AE225" t="str">
        <f>IF('Role Requirements'!$B229="","",IF(COUNTIF('Role Requirements'!$B$6:$B229,'Role Requirements'!$B229)=1,COUNT($AE$1:AE224)+1,""))</f>
        <v/>
      </c>
    </row>
    <row r="226" spans="31:31">
      <c r="AE226" t="str">
        <f>IF('Role Requirements'!$B230="","",IF(COUNTIF('Role Requirements'!$B$6:$B230,'Role Requirements'!$B230)=1,COUNT($AE$1:AE225)+1,""))</f>
        <v/>
      </c>
    </row>
    <row r="227" spans="31:31">
      <c r="AE227" t="str">
        <f>IF('Role Requirements'!$B231="","",IF(COUNTIF('Role Requirements'!$B$6:$B231,'Role Requirements'!$B231)=1,COUNT($AE$1:AE226)+1,""))</f>
        <v/>
      </c>
    </row>
    <row r="228" spans="31:31">
      <c r="AE228" t="str">
        <f>IF('Role Requirements'!$B232="","",IF(COUNTIF('Role Requirements'!$B$6:$B232,'Role Requirements'!$B232)=1,COUNT($AE$1:AE227)+1,""))</f>
        <v/>
      </c>
    </row>
    <row r="229" spans="31:31">
      <c r="AE229" t="str">
        <f>IF('Role Requirements'!$B233="","",IF(COUNTIF('Role Requirements'!$B$6:$B233,'Role Requirements'!$B233)=1,COUNT($AE$1:AE228)+1,""))</f>
        <v/>
      </c>
    </row>
    <row r="230" spans="31:31">
      <c r="AE230" t="str">
        <f>IF('Role Requirements'!$B234="","",IF(COUNTIF('Role Requirements'!$B$6:$B234,'Role Requirements'!$B234)=1,COUNT($AE$1:AE229)+1,""))</f>
        <v/>
      </c>
    </row>
    <row r="231" spans="31:31">
      <c r="AE231" t="str">
        <f>IF('Role Requirements'!$B235="","",IF(COUNTIF('Role Requirements'!$B$6:$B235,'Role Requirements'!$B235)=1,COUNT($AE$1:AE230)+1,""))</f>
        <v/>
      </c>
    </row>
    <row r="232" spans="31:31">
      <c r="AE232" t="str">
        <f>IF('Role Requirements'!$B236="","",IF(COUNTIF('Role Requirements'!$B$6:$B236,'Role Requirements'!$B236)=1,COUNT($AE$1:AE231)+1,""))</f>
        <v/>
      </c>
    </row>
    <row r="233" spans="31:31">
      <c r="AE233" t="str">
        <f>IF('Role Requirements'!$B237="","",IF(COUNTIF('Role Requirements'!$B$6:$B237,'Role Requirements'!$B237)=1,COUNT($AE$1:AE232)+1,""))</f>
        <v/>
      </c>
    </row>
    <row r="234" spans="31:31">
      <c r="AE234" t="str">
        <f>IF('Role Requirements'!$B238="","",IF(COUNTIF('Role Requirements'!$B$6:$B238,'Role Requirements'!$B238)=1,COUNT($AE$1:AE233)+1,""))</f>
        <v/>
      </c>
    </row>
    <row r="235" spans="31:31">
      <c r="AE235" t="str">
        <f>IF('Role Requirements'!$B239="","",IF(COUNTIF('Role Requirements'!$B$6:$B239,'Role Requirements'!$B239)=1,COUNT($AE$1:AE234)+1,""))</f>
        <v/>
      </c>
    </row>
    <row r="236" spans="31:31">
      <c r="AE236" t="str">
        <f>IF('Role Requirements'!$B240="","",IF(COUNTIF('Role Requirements'!$B$6:$B240,'Role Requirements'!$B240)=1,COUNT($AE$1:AE235)+1,""))</f>
        <v/>
      </c>
    </row>
    <row r="237" spans="31:31">
      <c r="AE237" t="str">
        <f>IF('Role Requirements'!$B241="","",IF(COUNTIF('Role Requirements'!$B$6:$B241,'Role Requirements'!$B241)=1,COUNT($AE$1:AE236)+1,""))</f>
        <v/>
      </c>
    </row>
    <row r="238" spans="31:31">
      <c r="AE238" t="str">
        <f>IF('Role Requirements'!$B242="","",IF(COUNTIF('Role Requirements'!$B$6:$B242,'Role Requirements'!$B242)=1,COUNT($AE$1:AE237)+1,""))</f>
        <v/>
      </c>
    </row>
    <row r="239" spans="31:31">
      <c r="AE239" t="str">
        <f>IF('Role Requirements'!$B243="","",IF(COUNTIF('Role Requirements'!$B$6:$B243,'Role Requirements'!$B243)=1,COUNT($AE$1:AE238)+1,""))</f>
        <v/>
      </c>
    </row>
    <row r="240" spans="31:31">
      <c r="AE240" t="str">
        <f>IF('Role Requirements'!$B244="","",IF(COUNTIF('Role Requirements'!$B$6:$B244,'Role Requirements'!$B244)=1,COUNT($AE$1:AE239)+1,""))</f>
        <v/>
      </c>
    </row>
    <row r="241" spans="31:31">
      <c r="AE241" t="str">
        <f>IF('Role Requirements'!$B245="","",IF(COUNTIF('Role Requirements'!$B$6:$B245,'Role Requirements'!$B245)=1,COUNT($AE$1:AE240)+1,""))</f>
        <v/>
      </c>
    </row>
    <row r="242" spans="31:31">
      <c r="AE242" t="str">
        <f>IF('Role Requirements'!$B246="","",IF(COUNTIF('Role Requirements'!$B$6:$B246,'Role Requirements'!$B246)=1,COUNT($AE$1:AE241)+1,""))</f>
        <v/>
      </c>
    </row>
    <row r="243" spans="31:31">
      <c r="AE243" t="str">
        <f>IF('Role Requirements'!$B247="","",IF(COUNTIF('Role Requirements'!$B$6:$B247,'Role Requirements'!$B247)=1,COUNT($AE$1:AE242)+1,""))</f>
        <v/>
      </c>
    </row>
    <row r="244" spans="31:31">
      <c r="AE244" t="str">
        <f>IF('Role Requirements'!$B248="","",IF(COUNTIF('Role Requirements'!$B$6:$B248,'Role Requirements'!$B248)=1,COUNT($AE$1:AE243)+1,""))</f>
        <v/>
      </c>
    </row>
    <row r="245" spans="31:31">
      <c r="AE245" t="str">
        <f>IF('Role Requirements'!$B249="","",IF(COUNTIF('Role Requirements'!$B$6:$B249,'Role Requirements'!$B249)=1,COUNT($AE$1:AE244)+1,""))</f>
        <v/>
      </c>
    </row>
    <row r="246" spans="31:31">
      <c r="AE246" t="str">
        <f>IF('Role Requirements'!$B250="","",IF(COUNTIF('Role Requirements'!$B$6:$B250,'Role Requirements'!$B250)=1,COUNT($AE$1:AE245)+1,""))</f>
        <v/>
      </c>
    </row>
    <row r="247" spans="31:31">
      <c r="AE247" t="str">
        <f>IF('Role Requirements'!$B251="","",IF(COUNTIF('Role Requirements'!$B$6:$B251,'Role Requirements'!$B251)=1,COUNT($AE$1:AE246)+1,""))</f>
        <v/>
      </c>
    </row>
    <row r="248" spans="31:31">
      <c r="AE248" t="str">
        <f>IF('Role Requirements'!$B252="","",IF(COUNTIF('Role Requirements'!$B$6:$B252,'Role Requirements'!$B252)=1,COUNT($AE$1:AE247)+1,""))</f>
        <v/>
      </c>
    </row>
    <row r="249" spans="31:31">
      <c r="AE249" t="str">
        <f>IF('Role Requirements'!$B253="","",IF(COUNTIF('Role Requirements'!$B$6:$B253,'Role Requirements'!$B253)=1,COUNT($AE$1:AE248)+1,""))</f>
        <v/>
      </c>
    </row>
    <row r="250" spans="31:31">
      <c r="AE250" t="str">
        <f>IF('Role Requirements'!$B254="","",IF(COUNTIF('Role Requirements'!$B$6:$B254,'Role Requirements'!$B254)=1,COUNT($AE$1:AE249)+1,""))</f>
        <v/>
      </c>
    </row>
    <row r="251" spans="31:31">
      <c r="AE251" t="str">
        <f>IF('Role Requirements'!$B255="","",IF(COUNTIF('Role Requirements'!$B$6:$B255,'Role Requirements'!$B255)=1,COUNT($AE$1:AE250)+1,""))</f>
        <v/>
      </c>
    </row>
    <row r="252" spans="31:31">
      <c r="AE252" t="str">
        <f>IF('Role Requirements'!$B256="","",IF(COUNTIF('Role Requirements'!$B$6:$B256,'Role Requirements'!$B256)=1,COUNT($AE$1:AE251)+1,""))</f>
        <v/>
      </c>
    </row>
    <row r="253" spans="31:31">
      <c r="AE253" t="str">
        <f>IF('Role Requirements'!$B257="","",IF(COUNTIF('Role Requirements'!$B$6:$B257,'Role Requirements'!$B257)=1,COUNT($AE$1:AE252)+1,""))</f>
        <v/>
      </c>
    </row>
    <row r="254" spans="31:31">
      <c r="AE254" t="str">
        <f>IF('Role Requirements'!$B258="","",IF(COUNTIF('Role Requirements'!$B$6:$B258,'Role Requirements'!$B258)=1,COUNT($AE$1:AE253)+1,""))</f>
        <v/>
      </c>
    </row>
    <row r="255" spans="31:31">
      <c r="AE255" t="str">
        <f>IF('Role Requirements'!$B259="","",IF(COUNTIF('Role Requirements'!$B$6:$B259,'Role Requirements'!$B259)=1,COUNT($AE$1:AE254)+1,""))</f>
        <v/>
      </c>
    </row>
    <row r="256" spans="31:31">
      <c r="AE256" t="str">
        <f>IF('Role Requirements'!$B260="","",IF(COUNTIF('Role Requirements'!$B$6:$B260,'Role Requirements'!$B260)=1,COUNT($AE$1:AE255)+1,""))</f>
        <v/>
      </c>
    </row>
    <row r="257" spans="31:31">
      <c r="AE257" t="str">
        <f>IF('Role Requirements'!$B261="","",IF(COUNTIF('Role Requirements'!$B$6:$B261,'Role Requirements'!$B261)=1,COUNT($AE$1:AE256)+1,""))</f>
        <v/>
      </c>
    </row>
    <row r="258" spans="31:31">
      <c r="AE258" t="str">
        <f>IF('Role Requirements'!$B262="","",IF(COUNTIF('Role Requirements'!$B$6:$B262,'Role Requirements'!$B262)=1,COUNT($AE$1:AE257)+1,""))</f>
        <v/>
      </c>
    </row>
    <row r="259" spans="31:31">
      <c r="AE259" t="str">
        <f>IF('Role Requirements'!$B263="","",IF(COUNTIF('Role Requirements'!$B$6:$B263,'Role Requirements'!$B263)=1,COUNT($AE$1:AE258)+1,""))</f>
        <v/>
      </c>
    </row>
    <row r="260" spans="31:31">
      <c r="AE260" t="str">
        <f>IF('Role Requirements'!$B264="","",IF(COUNTIF('Role Requirements'!$B$6:$B264,'Role Requirements'!$B264)=1,COUNT($AE$1:AE259)+1,""))</f>
        <v/>
      </c>
    </row>
    <row r="261" spans="31:31">
      <c r="AE261" t="str">
        <f>IF('Role Requirements'!$B265="","",IF(COUNTIF('Role Requirements'!$B$6:$B265,'Role Requirements'!$B265)=1,COUNT($AE$1:AE260)+1,""))</f>
        <v/>
      </c>
    </row>
    <row r="262" spans="31:31">
      <c r="AE262" t="str">
        <f>IF('Role Requirements'!$B266="","",IF(COUNTIF('Role Requirements'!$B$6:$B266,'Role Requirements'!$B266)=1,COUNT($AE$1:AE261)+1,""))</f>
        <v/>
      </c>
    </row>
    <row r="263" spans="31:31">
      <c r="AE263" t="str">
        <f>IF('Role Requirements'!$B267="","",IF(COUNTIF('Role Requirements'!$B$6:$B267,'Role Requirements'!$B267)=1,COUNT($AE$1:AE262)+1,""))</f>
        <v/>
      </c>
    </row>
    <row r="264" spans="31:31">
      <c r="AE264" t="str">
        <f>IF('Role Requirements'!$B268="","",IF(COUNTIF('Role Requirements'!$B$6:$B268,'Role Requirements'!$B268)=1,COUNT($AE$1:AE263)+1,""))</f>
        <v/>
      </c>
    </row>
    <row r="265" spans="31:31">
      <c r="AE265" t="str">
        <f>IF('Role Requirements'!$B269="","",IF(COUNTIF('Role Requirements'!$B$6:$B269,'Role Requirements'!$B269)=1,COUNT($AE$1:AE264)+1,""))</f>
        <v/>
      </c>
    </row>
    <row r="266" spans="31:31">
      <c r="AE266" t="str">
        <f>IF('Role Requirements'!$B270="","",IF(COUNTIF('Role Requirements'!$B$6:$B270,'Role Requirements'!$B270)=1,COUNT($AE$1:AE265)+1,""))</f>
        <v/>
      </c>
    </row>
    <row r="267" spans="31:31">
      <c r="AE267" t="str">
        <f>IF('Role Requirements'!$B271="","",IF(COUNTIF('Role Requirements'!$B$6:$B271,'Role Requirements'!$B271)=1,COUNT($AE$1:AE266)+1,""))</f>
        <v/>
      </c>
    </row>
    <row r="268" spans="31:31">
      <c r="AE268" t="str">
        <f>IF('Role Requirements'!$B272="","",IF(COUNTIF('Role Requirements'!$B$6:$B272,'Role Requirements'!$B272)=1,COUNT($AE$1:AE267)+1,""))</f>
        <v/>
      </c>
    </row>
    <row r="269" spans="31:31">
      <c r="AE269" t="str">
        <f>IF('Role Requirements'!$B273="","",IF(COUNTIF('Role Requirements'!$B$6:$B273,'Role Requirements'!$B273)=1,COUNT($AE$1:AE268)+1,""))</f>
        <v/>
      </c>
    </row>
    <row r="270" spans="31:31">
      <c r="AE270" t="str">
        <f>IF('Role Requirements'!$B274="","",IF(COUNTIF('Role Requirements'!$B$6:$B274,'Role Requirements'!$B274)=1,COUNT($AE$1:AE269)+1,""))</f>
        <v/>
      </c>
    </row>
    <row r="271" spans="31:31">
      <c r="AE271" t="str">
        <f>IF('Role Requirements'!$B275="","",IF(COUNTIF('Role Requirements'!$B$6:$B275,'Role Requirements'!$B275)=1,COUNT($AE$1:AE270)+1,""))</f>
        <v/>
      </c>
    </row>
    <row r="272" spans="31:31">
      <c r="AE272" t="str">
        <f>IF('Role Requirements'!$B276="","",IF(COUNTIF('Role Requirements'!$B$6:$B276,'Role Requirements'!$B276)=1,COUNT($AE$1:AE271)+1,""))</f>
        <v/>
      </c>
    </row>
    <row r="273" spans="31:31">
      <c r="AE273" t="str">
        <f>IF('Role Requirements'!$B277="","",IF(COUNTIF('Role Requirements'!$B$6:$B277,'Role Requirements'!$B277)=1,COUNT($AE$1:AE272)+1,""))</f>
        <v/>
      </c>
    </row>
    <row r="274" spans="31:31">
      <c r="AE274" t="str">
        <f>IF('Role Requirements'!$B278="","",IF(COUNTIF('Role Requirements'!$B$6:$B278,'Role Requirements'!$B278)=1,COUNT($AE$1:AE273)+1,""))</f>
        <v/>
      </c>
    </row>
    <row r="275" spans="31:31">
      <c r="AE275" t="str">
        <f>IF('Role Requirements'!$B279="","",IF(COUNTIF('Role Requirements'!$B$6:$B279,'Role Requirements'!$B279)=1,COUNT($AE$1:AE274)+1,""))</f>
        <v/>
      </c>
    </row>
    <row r="276" spans="31:31">
      <c r="AE276" t="str">
        <f>IF('Role Requirements'!$B280="","",IF(COUNTIF('Role Requirements'!$B$6:$B280,'Role Requirements'!$B280)=1,COUNT($AE$1:AE275)+1,""))</f>
        <v/>
      </c>
    </row>
    <row r="277" spans="31:31">
      <c r="AE277" t="str">
        <f>IF('Role Requirements'!$B281="","",IF(COUNTIF('Role Requirements'!$B$6:$B281,'Role Requirements'!$B281)=1,COUNT($AE$1:AE276)+1,""))</f>
        <v/>
      </c>
    </row>
    <row r="278" spans="31:31">
      <c r="AE278" t="str">
        <f>IF('Role Requirements'!$B282="","",IF(COUNTIF('Role Requirements'!$B$6:$B282,'Role Requirements'!$B282)=1,COUNT($AE$1:AE277)+1,""))</f>
        <v/>
      </c>
    </row>
    <row r="279" spans="31:31">
      <c r="AE279" t="str">
        <f>IF('Role Requirements'!$B283="","",IF(COUNTIF('Role Requirements'!$B$6:$B283,'Role Requirements'!$B283)=1,COUNT($AE$1:AE278)+1,""))</f>
        <v/>
      </c>
    </row>
    <row r="280" spans="31:31">
      <c r="AE280" t="str">
        <f>IF('Role Requirements'!$B284="","",IF(COUNTIF('Role Requirements'!$B$6:$B284,'Role Requirements'!$B284)=1,COUNT($AE$1:AE279)+1,""))</f>
        <v/>
      </c>
    </row>
    <row r="281" spans="31:31">
      <c r="AE281" t="str">
        <f>IF('Role Requirements'!$B285="","",IF(COUNTIF('Role Requirements'!$B$6:$B285,'Role Requirements'!$B285)=1,COUNT($AE$1:AE280)+1,""))</f>
        <v/>
      </c>
    </row>
    <row r="282" spans="31:31">
      <c r="AE282" t="str">
        <f>IF('Role Requirements'!$B286="","",IF(COUNTIF('Role Requirements'!$B$6:$B286,'Role Requirements'!$B286)=1,COUNT($AE$1:AE281)+1,""))</f>
        <v/>
      </c>
    </row>
    <row r="283" spans="31:31">
      <c r="AE283" t="str">
        <f>IF('Role Requirements'!$B287="","",IF(COUNTIF('Role Requirements'!$B$6:$B287,'Role Requirements'!$B287)=1,COUNT($AE$1:AE282)+1,""))</f>
        <v/>
      </c>
    </row>
    <row r="284" spans="31:31">
      <c r="AE284" t="str">
        <f>IF('Role Requirements'!$B288="","",IF(COUNTIF('Role Requirements'!$B$6:$B288,'Role Requirements'!$B288)=1,COUNT($AE$1:AE283)+1,""))</f>
        <v/>
      </c>
    </row>
    <row r="285" spans="31:31">
      <c r="AE285" t="str">
        <f>IF('Role Requirements'!$B289="","",IF(COUNTIF('Role Requirements'!$B$6:$B289,'Role Requirements'!$B289)=1,COUNT($AE$1:AE284)+1,""))</f>
        <v/>
      </c>
    </row>
    <row r="286" spans="31:31">
      <c r="AE286" t="str">
        <f>IF('Role Requirements'!$B290="","",IF(COUNTIF('Role Requirements'!$B$6:$B290,'Role Requirements'!$B290)=1,COUNT($AE$1:AE285)+1,""))</f>
        <v/>
      </c>
    </row>
    <row r="287" spans="31:31">
      <c r="AE287" t="str">
        <f>IF('Role Requirements'!$B291="","",IF(COUNTIF('Role Requirements'!$B$6:$B291,'Role Requirements'!$B291)=1,COUNT($AE$1:AE286)+1,""))</f>
        <v/>
      </c>
    </row>
    <row r="288" spans="31:31">
      <c r="AE288" t="str">
        <f>IF('Role Requirements'!$B292="","",IF(COUNTIF('Role Requirements'!$B$6:$B292,'Role Requirements'!$B292)=1,COUNT($AE$1:AE287)+1,""))</f>
        <v/>
      </c>
    </row>
    <row r="289" spans="31:31">
      <c r="AE289" t="str">
        <f>IF('Role Requirements'!$B293="","",IF(COUNTIF('Role Requirements'!$B$6:$B293,'Role Requirements'!$B293)=1,COUNT($AE$1:AE288)+1,""))</f>
        <v/>
      </c>
    </row>
    <row r="290" spans="31:31">
      <c r="AE290" t="str">
        <f>IF('Role Requirements'!$B294="","",IF(COUNTIF('Role Requirements'!$B$6:$B294,'Role Requirements'!$B294)=1,COUNT($AE$1:AE289)+1,""))</f>
        <v/>
      </c>
    </row>
    <row r="291" spans="31:31">
      <c r="AE291" t="str">
        <f>IF('Role Requirements'!$B295="","",IF(COUNTIF('Role Requirements'!$B$6:$B295,'Role Requirements'!$B295)=1,COUNT($AE$1:AE290)+1,""))</f>
        <v/>
      </c>
    </row>
    <row r="292" spans="31:31">
      <c r="AE292" t="str">
        <f>IF('Role Requirements'!$B296="","",IF(COUNTIF('Role Requirements'!$B$6:$B296,'Role Requirements'!$B296)=1,COUNT($AE$1:AE291)+1,""))</f>
        <v/>
      </c>
    </row>
    <row r="293" spans="31:31">
      <c r="AE293" t="str">
        <f>IF('Role Requirements'!$B297="","",IF(COUNTIF('Role Requirements'!$B$6:$B297,'Role Requirements'!$B297)=1,COUNT($AE$1:AE292)+1,""))</f>
        <v/>
      </c>
    </row>
    <row r="294" spans="31:31">
      <c r="AE294" t="str">
        <f>IF('Role Requirements'!$B298="","",IF(COUNTIF('Role Requirements'!$B$6:$B298,'Role Requirements'!$B298)=1,COUNT($AE$1:AE293)+1,""))</f>
        <v/>
      </c>
    </row>
    <row r="295" spans="31:31">
      <c r="AE295" t="str">
        <f>IF('Role Requirements'!$B299="","",IF(COUNTIF('Role Requirements'!$B$6:$B299,'Role Requirements'!$B299)=1,COUNT($AE$1:AE294)+1,""))</f>
        <v/>
      </c>
    </row>
    <row r="296" spans="31:31">
      <c r="AE296" t="str">
        <f>IF('Role Requirements'!$B300="","",IF(COUNTIF('Role Requirements'!$B$6:$B300,'Role Requirements'!$B300)=1,COUNT($AE$1:AE295)+1,""))</f>
        <v/>
      </c>
    </row>
    <row r="297" spans="31:31">
      <c r="AE297" t="str">
        <f>IF('Role Requirements'!$B301="","",IF(COUNTIF('Role Requirements'!$B$6:$B301,'Role Requirements'!$B301)=1,COUNT($AE$1:AE296)+1,""))</f>
        <v/>
      </c>
    </row>
    <row r="298" spans="31:31">
      <c r="AE298" t="str">
        <f>IF('Role Requirements'!$B302="","",IF(COUNTIF('Role Requirements'!$B$6:$B302,'Role Requirements'!$B302)=1,COUNT($AE$1:AE297)+1,""))</f>
        <v/>
      </c>
    </row>
    <row r="299" spans="31:31">
      <c r="AE299" t="str">
        <f>IF('Role Requirements'!$B303="","",IF(COUNTIF('Role Requirements'!$B$6:$B303,'Role Requirements'!$B303)=1,COUNT($AE$1:AE298)+1,""))</f>
        <v/>
      </c>
    </row>
    <row r="300" spans="31:31">
      <c r="AE300" t="str">
        <f>IF('Role Requirements'!$B304="","",IF(COUNTIF('Role Requirements'!$B$6:$B304,'Role Requirements'!$B304)=1,COUNT($AE$1:AE299)+1,""))</f>
        <v/>
      </c>
    </row>
    <row r="301" spans="31:31">
      <c r="AE301" t="str">
        <f>IF('Role Requirements'!$B305="","",IF(COUNTIF('Role Requirements'!$B$6:$B305,'Role Requirements'!$B305)=1,COUNT($AE$1:AE300)+1,""))</f>
        <v/>
      </c>
    </row>
    <row r="302" spans="31:31">
      <c r="AE302" t="str">
        <f>IF('Role Requirements'!$B306="","",IF(COUNTIF('Role Requirements'!$B$6:$B306,'Role Requirements'!$B306)=1,COUNT($AE$1:AE301)+1,""))</f>
        <v/>
      </c>
    </row>
    <row r="303" spans="31:31">
      <c r="AE303" t="str">
        <f>IF('Role Requirements'!$B307="","",IF(COUNTIF('Role Requirements'!$B$6:$B307,'Role Requirements'!$B307)=1,COUNT($AE$1:AE302)+1,""))</f>
        <v/>
      </c>
    </row>
    <row r="304" spans="31:31">
      <c r="AE304" t="str">
        <f>IF('Role Requirements'!$B308="","",IF(COUNTIF('Role Requirements'!$B$6:$B308,'Role Requirements'!$B308)=1,COUNT($AE$1:AE303)+1,""))</f>
        <v/>
      </c>
    </row>
    <row r="305" spans="31:31">
      <c r="AE305" t="str">
        <f>IF('Role Requirements'!$B309="","",IF(COUNTIF('Role Requirements'!$B$6:$B309,'Role Requirements'!$B309)=1,COUNT($AE$1:AE304)+1,""))</f>
        <v/>
      </c>
    </row>
    <row r="306" spans="31:31">
      <c r="AE306" t="str">
        <f>IF('Role Requirements'!$B310="","",IF(COUNTIF('Role Requirements'!$B$6:$B310,'Role Requirements'!$B310)=1,COUNT($AE$1:AE305)+1,""))</f>
        <v/>
      </c>
    </row>
    <row r="307" spans="31:31">
      <c r="AE307" t="str">
        <f>IF('Role Requirements'!$B311="","",IF(COUNTIF('Role Requirements'!$B$6:$B311,'Role Requirements'!$B311)=1,COUNT($AE$1:AE306)+1,""))</f>
        <v/>
      </c>
    </row>
    <row r="308" spans="31:31">
      <c r="AE308" t="str">
        <f>IF('Role Requirements'!$B312="","",IF(COUNTIF('Role Requirements'!$B$6:$B312,'Role Requirements'!$B312)=1,COUNT($AE$1:AE307)+1,""))</f>
        <v/>
      </c>
    </row>
    <row r="309" spans="31:31">
      <c r="AE309" t="str">
        <f>IF('Role Requirements'!$B313="","",IF(COUNTIF('Role Requirements'!$B$6:$B313,'Role Requirements'!$B313)=1,COUNT($AE$1:AE308)+1,""))</f>
        <v/>
      </c>
    </row>
    <row r="310" spans="31:31">
      <c r="AE310" t="str">
        <f>IF('Role Requirements'!$B314="","",IF(COUNTIF('Role Requirements'!$B$6:$B314,'Role Requirements'!$B314)=1,COUNT($AE$1:AE309)+1,""))</f>
        <v/>
      </c>
    </row>
    <row r="311" spans="31:31">
      <c r="AE311" t="str">
        <f>IF('Role Requirements'!$B315="","",IF(COUNTIF('Role Requirements'!$B$6:$B315,'Role Requirements'!$B315)=1,COUNT($AE$1:AE310)+1,""))</f>
        <v/>
      </c>
    </row>
    <row r="312" spans="31:31">
      <c r="AE312" t="str">
        <f>IF('Role Requirements'!$B316="","",IF(COUNTIF('Role Requirements'!$B$6:$B316,'Role Requirements'!$B316)=1,COUNT($AE$1:AE311)+1,""))</f>
        <v/>
      </c>
    </row>
    <row r="313" spans="31:31">
      <c r="AE313" t="str">
        <f>IF('Role Requirements'!$B317="","",IF(COUNTIF('Role Requirements'!$B$6:$B317,'Role Requirements'!$B317)=1,COUNT($AE$1:AE312)+1,""))</f>
        <v/>
      </c>
    </row>
    <row r="314" spans="31:31">
      <c r="AE314" t="str">
        <f>IF('Role Requirements'!$B318="","",IF(COUNTIF('Role Requirements'!$B$6:$B318,'Role Requirements'!$B318)=1,COUNT($AE$1:AE313)+1,""))</f>
        <v/>
      </c>
    </row>
    <row r="315" spans="31:31">
      <c r="AE315" t="str">
        <f>IF('Role Requirements'!$B319="","",IF(COUNTIF('Role Requirements'!$B$6:$B319,'Role Requirements'!$B319)=1,COUNT($AE$1:AE314)+1,""))</f>
        <v/>
      </c>
    </row>
    <row r="316" spans="31:31">
      <c r="AE316" t="str">
        <f>IF('Role Requirements'!$B320="","",IF(COUNTIF('Role Requirements'!$B$6:$B320,'Role Requirements'!$B320)=1,COUNT($AE$1:AE315)+1,""))</f>
        <v/>
      </c>
    </row>
    <row r="317" spans="31:31">
      <c r="AE317" t="str">
        <f>IF('Role Requirements'!$B321="","",IF(COUNTIF('Role Requirements'!$B$6:$B321,'Role Requirements'!$B321)=1,COUNT($AE$1:AE316)+1,""))</f>
        <v/>
      </c>
    </row>
    <row r="318" spans="31:31">
      <c r="AE318" t="str">
        <f>IF('Role Requirements'!$B322="","",IF(COUNTIF('Role Requirements'!$B$6:$B322,'Role Requirements'!$B322)=1,COUNT($AE$1:AE317)+1,""))</f>
        <v/>
      </c>
    </row>
    <row r="319" spans="31:31">
      <c r="AE319" t="str">
        <f>IF('Role Requirements'!$B323="","",IF(COUNTIF('Role Requirements'!$B$6:$B323,'Role Requirements'!$B323)=1,COUNT($AE$1:AE318)+1,""))</f>
        <v/>
      </c>
    </row>
    <row r="320" spans="31:31">
      <c r="AE320" t="str">
        <f>IF('Role Requirements'!$B324="","",IF(COUNTIF('Role Requirements'!$B$6:$B324,'Role Requirements'!$B324)=1,COUNT($AE$1:AE319)+1,""))</f>
        <v/>
      </c>
    </row>
    <row r="321" spans="31:31">
      <c r="AE321" t="str">
        <f>IF('Role Requirements'!$B325="","",IF(COUNTIF('Role Requirements'!$B$6:$B325,'Role Requirements'!$B325)=1,COUNT($AE$1:AE320)+1,""))</f>
        <v/>
      </c>
    </row>
    <row r="322" spans="31:31">
      <c r="AE322" t="str">
        <f>IF('Role Requirements'!$B326="","",IF(COUNTIF('Role Requirements'!$B$6:$B326,'Role Requirements'!$B326)=1,COUNT($AE$1:AE321)+1,""))</f>
        <v/>
      </c>
    </row>
    <row r="323" spans="31:31">
      <c r="AE323" t="str">
        <f>IF('Role Requirements'!$B327="","",IF(COUNTIF('Role Requirements'!$B$6:$B327,'Role Requirements'!$B327)=1,COUNT($AE$1:AE322)+1,""))</f>
        <v/>
      </c>
    </row>
    <row r="324" spans="31:31">
      <c r="AE324" t="str">
        <f>IF('Role Requirements'!$B328="","",IF(COUNTIF('Role Requirements'!$B$6:$B328,'Role Requirements'!$B328)=1,COUNT($AE$1:AE323)+1,""))</f>
        <v/>
      </c>
    </row>
    <row r="325" spans="31:31">
      <c r="AE325" t="str">
        <f>IF('Role Requirements'!$B329="","",IF(COUNTIF('Role Requirements'!$B$6:$B329,'Role Requirements'!$B329)=1,COUNT($AE$1:AE324)+1,""))</f>
        <v/>
      </c>
    </row>
    <row r="326" spans="31:31">
      <c r="AE326" t="str">
        <f>IF('Role Requirements'!$B330="","",IF(COUNTIF('Role Requirements'!$B$6:$B330,'Role Requirements'!$B330)=1,COUNT($AE$1:AE325)+1,""))</f>
        <v/>
      </c>
    </row>
    <row r="327" spans="31:31">
      <c r="AE327" t="str">
        <f>IF('Role Requirements'!$B331="","",IF(COUNTIF('Role Requirements'!$B$6:$B331,'Role Requirements'!$B331)=1,COUNT($AE$1:AE326)+1,""))</f>
        <v/>
      </c>
    </row>
    <row r="328" spans="31:31">
      <c r="AE328" t="str">
        <f>IF('Role Requirements'!$B332="","",IF(COUNTIF('Role Requirements'!$B$6:$B332,'Role Requirements'!$B332)=1,COUNT($AE$1:AE327)+1,""))</f>
        <v/>
      </c>
    </row>
    <row r="329" spans="31:31">
      <c r="AE329" t="str">
        <f>IF('Role Requirements'!$B333="","",IF(COUNTIF('Role Requirements'!$B$6:$B333,'Role Requirements'!$B333)=1,COUNT($AE$1:AE328)+1,""))</f>
        <v/>
      </c>
    </row>
    <row r="330" spans="31:31">
      <c r="AE330" t="str">
        <f>IF('Role Requirements'!$B334="","",IF(COUNTIF('Role Requirements'!$B$6:$B334,'Role Requirements'!$B334)=1,COUNT($AE$1:AE329)+1,""))</f>
        <v/>
      </c>
    </row>
    <row r="331" spans="31:31">
      <c r="AE331" t="str">
        <f>IF('Role Requirements'!$B335="","",IF(COUNTIF('Role Requirements'!$B$6:$B335,'Role Requirements'!$B335)=1,COUNT($AE$1:AE330)+1,""))</f>
        <v/>
      </c>
    </row>
    <row r="332" spans="31:31">
      <c r="AE332" t="str">
        <f>IF('Role Requirements'!$B336="","",IF(COUNTIF('Role Requirements'!$B$6:$B336,'Role Requirements'!$B336)=1,COUNT($AE$1:AE331)+1,""))</f>
        <v/>
      </c>
    </row>
    <row r="333" spans="31:31">
      <c r="AE333" t="str">
        <f>IF('Role Requirements'!$B337="","",IF(COUNTIF('Role Requirements'!$B$6:$B337,'Role Requirements'!$B337)=1,COUNT($AE$1:AE332)+1,""))</f>
        <v/>
      </c>
    </row>
    <row r="334" spans="31:31">
      <c r="AE334" t="str">
        <f>IF('Role Requirements'!$B338="","",IF(COUNTIF('Role Requirements'!$B$6:$B338,'Role Requirements'!$B338)=1,COUNT($AE$1:AE333)+1,""))</f>
        <v/>
      </c>
    </row>
    <row r="335" spans="31:31">
      <c r="AE335" t="str">
        <f>IF('Role Requirements'!$B339="","",IF(COUNTIF('Role Requirements'!$B$6:$B339,'Role Requirements'!$B339)=1,COUNT($AE$1:AE334)+1,""))</f>
        <v/>
      </c>
    </row>
    <row r="336" spans="31:31">
      <c r="AE336" t="str">
        <f>IF('Role Requirements'!$B340="","",IF(COUNTIF('Role Requirements'!$B$6:$B340,'Role Requirements'!$B340)=1,COUNT($AE$1:AE335)+1,""))</f>
        <v/>
      </c>
    </row>
    <row r="337" spans="31:31">
      <c r="AE337" t="str">
        <f>IF('Role Requirements'!$B341="","",IF(COUNTIF('Role Requirements'!$B$6:$B341,'Role Requirements'!$B341)=1,COUNT($AE$1:AE336)+1,""))</f>
        <v/>
      </c>
    </row>
    <row r="338" spans="31:31">
      <c r="AE338" t="str">
        <f>IF('Role Requirements'!$B342="","",IF(COUNTIF('Role Requirements'!$B$6:$B342,'Role Requirements'!$B342)=1,COUNT($AE$1:AE337)+1,""))</f>
        <v/>
      </c>
    </row>
    <row r="339" spans="31:31">
      <c r="AE339" t="str">
        <f>IF('Role Requirements'!$B343="","",IF(COUNTIF('Role Requirements'!$B$6:$B343,'Role Requirements'!$B343)=1,COUNT($AE$1:AE338)+1,""))</f>
        <v/>
      </c>
    </row>
    <row r="340" spans="31:31">
      <c r="AE340" t="str">
        <f>IF('Role Requirements'!$B344="","",IF(COUNTIF('Role Requirements'!$B$6:$B344,'Role Requirements'!$B344)=1,COUNT($AE$1:AE339)+1,""))</f>
        <v/>
      </c>
    </row>
    <row r="341" spans="31:31">
      <c r="AE341" t="str">
        <f>IF('Role Requirements'!$B345="","",IF(COUNTIF('Role Requirements'!$B$6:$B345,'Role Requirements'!$B345)=1,COUNT($AE$1:AE340)+1,""))</f>
        <v/>
      </c>
    </row>
    <row r="342" spans="31:31">
      <c r="AE342" t="str">
        <f>IF('Role Requirements'!$B346="","",IF(COUNTIF('Role Requirements'!$B$6:$B346,'Role Requirements'!$B346)=1,COUNT($AE$1:AE341)+1,""))</f>
        <v/>
      </c>
    </row>
    <row r="343" spans="31:31">
      <c r="AE343" t="str">
        <f>IF('Role Requirements'!$B347="","",IF(COUNTIF('Role Requirements'!$B$6:$B347,'Role Requirements'!$B347)=1,COUNT($AE$1:AE342)+1,""))</f>
        <v/>
      </c>
    </row>
    <row r="344" spans="31:31">
      <c r="AE344" t="str">
        <f>IF('Role Requirements'!$B348="","",IF(COUNTIF('Role Requirements'!$B$6:$B348,'Role Requirements'!$B348)=1,COUNT($AE$1:AE343)+1,""))</f>
        <v/>
      </c>
    </row>
    <row r="345" spans="31:31">
      <c r="AE345" t="str">
        <f>IF('Role Requirements'!$B349="","",IF(COUNTIF('Role Requirements'!$B$6:$B349,'Role Requirements'!$B349)=1,COUNT($AE$1:AE344)+1,""))</f>
        <v/>
      </c>
    </row>
    <row r="346" spans="31:31">
      <c r="AE346" t="str">
        <f>IF('Role Requirements'!$B350="","",IF(COUNTIF('Role Requirements'!$B$6:$B350,'Role Requirements'!$B350)=1,COUNT($AE$1:AE345)+1,""))</f>
        <v/>
      </c>
    </row>
    <row r="347" spans="31:31">
      <c r="AE347" t="str">
        <f>IF('Role Requirements'!$B351="","",IF(COUNTIF('Role Requirements'!$B$6:$B351,'Role Requirements'!$B351)=1,COUNT($AE$1:AE346)+1,""))</f>
        <v/>
      </c>
    </row>
    <row r="348" spans="31:31">
      <c r="AE348" t="str">
        <f>IF('Role Requirements'!$B352="","",IF(COUNTIF('Role Requirements'!$B$6:$B352,'Role Requirements'!$B352)=1,COUNT($AE$1:AE347)+1,""))</f>
        <v/>
      </c>
    </row>
    <row r="349" spans="31:31">
      <c r="AE349" t="str">
        <f>IF('Role Requirements'!$B353="","",IF(COUNTIF('Role Requirements'!$B$6:$B353,'Role Requirements'!$B353)=1,COUNT($AE$1:AE348)+1,""))</f>
        <v/>
      </c>
    </row>
    <row r="350" spans="31:31">
      <c r="AE350" t="str">
        <f>IF('Role Requirements'!$B354="","",IF(COUNTIF('Role Requirements'!$B$6:$B354,'Role Requirements'!$B354)=1,COUNT($AE$1:AE349)+1,""))</f>
        <v/>
      </c>
    </row>
    <row r="351" spans="31:31">
      <c r="AE351" t="str">
        <f>IF('Role Requirements'!$B355="","",IF(COUNTIF('Role Requirements'!$B$6:$B355,'Role Requirements'!$B355)=1,COUNT($AE$1:AE350)+1,""))</f>
        <v/>
      </c>
    </row>
    <row r="352" spans="31:31">
      <c r="AE352" t="str">
        <f>IF('Role Requirements'!$B356="","",IF(COUNTIF('Role Requirements'!$B$6:$B356,'Role Requirements'!$B356)=1,COUNT($AE$1:AE351)+1,""))</f>
        <v/>
      </c>
    </row>
    <row r="353" spans="31:31">
      <c r="AE353" t="str">
        <f>IF('Role Requirements'!$B357="","",IF(COUNTIF('Role Requirements'!$B$6:$B357,'Role Requirements'!$B357)=1,COUNT($AE$1:AE352)+1,""))</f>
        <v/>
      </c>
    </row>
    <row r="354" spans="31:31">
      <c r="AE354" t="str">
        <f>IF('Role Requirements'!$B358="","",IF(COUNTIF('Role Requirements'!$B$6:$B358,'Role Requirements'!$B358)=1,COUNT($AE$1:AE353)+1,""))</f>
        <v/>
      </c>
    </row>
    <row r="355" spans="31:31">
      <c r="AE355" t="str">
        <f>IF('Role Requirements'!$B359="","",IF(COUNTIF('Role Requirements'!$B$6:$B359,'Role Requirements'!$B359)=1,COUNT($AE$1:AE354)+1,""))</f>
        <v/>
      </c>
    </row>
    <row r="356" spans="31:31">
      <c r="AE356" t="str">
        <f>IF('Role Requirements'!$B360="","",IF(COUNTIF('Role Requirements'!$B$6:$B360,'Role Requirements'!$B360)=1,COUNT($AE$1:AE355)+1,""))</f>
        <v/>
      </c>
    </row>
    <row r="357" spans="31:31">
      <c r="AE357" t="str">
        <f>IF('Role Requirements'!$B361="","",IF(COUNTIF('Role Requirements'!$B$6:$B361,'Role Requirements'!$B361)=1,COUNT($AE$1:AE356)+1,""))</f>
        <v/>
      </c>
    </row>
    <row r="358" spans="31:31">
      <c r="AE358" t="str">
        <f>IF('Role Requirements'!$B362="","",IF(COUNTIF('Role Requirements'!$B$6:$B362,'Role Requirements'!$B362)=1,COUNT($AE$1:AE357)+1,""))</f>
        <v/>
      </c>
    </row>
    <row r="359" spans="31:31">
      <c r="AE359" t="str">
        <f>IF('Role Requirements'!$B363="","",IF(COUNTIF('Role Requirements'!$B$6:$B363,'Role Requirements'!$B363)=1,COUNT($AE$1:AE358)+1,""))</f>
        <v/>
      </c>
    </row>
    <row r="360" spans="31:31">
      <c r="AE360" t="str">
        <f>IF('Role Requirements'!$B364="","",IF(COUNTIF('Role Requirements'!$B$6:$B364,'Role Requirements'!$B364)=1,COUNT($AE$1:AE359)+1,""))</f>
        <v/>
      </c>
    </row>
    <row r="361" spans="31:31">
      <c r="AE361" t="str">
        <f>IF('Role Requirements'!$B365="","",IF(COUNTIF('Role Requirements'!$B$6:$B365,'Role Requirements'!$B365)=1,COUNT($AE$1:AE360)+1,""))</f>
        <v/>
      </c>
    </row>
    <row r="362" spans="31:31">
      <c r="AE362" t="str">
        <f>IF('Role Requirements'!$B366="","",IF(COUNTIF('Role Requirements'!$B$6:$B366,'Role Requirements'!$B366)=1,COUNT($AE$1:AE361)+1,""))</f>
        <v/>
      </c>
    </row>
    <row r="363" spans="31:31">
      <c r="AE363" t="str">
        <f>IF('Role Requirements'!$B367="","",IF(COUNTIF('Role Requirements'!$B$6:$B367,'Role Requirements'!$B367)=1,COUNT($AE$1:AE362)+1,""))</f>
        <v/>
      </c>
    </row>
    <row r="364" spans="31:31">
      <c r="AE364" t="str">
        <f>IF('Role Requirements'!$B368="","",IF(COUNTIF('Role Requirements'!$B$6:$B368,'Role Requirements'!$B368)=1,COUNT($AE$1:AE363)+1,""))</f>
        <v/>
      </c>
    </row>
    <row r="365" spans="31:31">
      <c r="AE365" t="str">
        <f>IF('Role Requirements'!$B369="","",IF(COUNTIF('Role Requirements'!$B$6:$B369,'Role Requirements'!$B369)=1,COUNT($AE$1:AE364)+1,""))</f>
        <v/>
      </c>
    </row>
    <row r="366" spans="31:31">
      <c r="AE366" t="str">
        <f>IF('Role Requirements'!$B370="","",IF(COUNTIF('Role Requirements'!$B$6:$B370,'Role Requirements'!$B370)=1,COUNT($AE$1:AE365)+1,""))</f>
        <v/>
      </c>
    </row>
    <row r="367" spans="31:31">
      <c r="AE367" t="str">
        <f>IF('Role Requirements'!$B371="","",IF(COUNTIF('Role Requirements'!$B$6:$B371,'Role Requirements'!$B371)=1,COUNT($AE$1:AE366)+1,""))</f>
        <v/>
      </c>
    </row>
    <row r="368" spans="31:31">
      <c r="AE368" t="str">
        <f>IF('Role Requirements'!$B372="","",IF(COUNTIF('Role Requirements'!$B$6:$B372,'Role Requirements'!$B372)=1,COUNT($AE$1:AE367)+1,""))</f>
        <v/>
      </c>
    </row>
    <row r="369" spans="31:31">
      <c r="AE369" t="str">
        <f>IF('Role Requirements'!$B373="","",IF(COUNTIF('Role Requirements'!$B$6:$B373,'Role Requirements'!$B373)=1,COUNT($AE$1:AE368)+1,""))</f>
        <v/>
      </c>
    </row>
    <row r="370" spans="31:31">
      <c r="AE370" t="str">
        <f>IF('Role Requirements'!$B374="","",IF(COUNTIF('Role Requirements'!$B$6:$B374,'Role Requirements'!$B374)=1,COUNT($AE$1:AE369)+1,""))</f>
        <v/>
      </c>
    </row>
    <row r="371" spans="31:31">
      <c r="AE371" t="str">
        <f>IF('Role Requirements'!$B375="","",IF(COUNTIF('Role Requirements'!$B$6:$B375,'Role Requirements'!$B375)=1,COUNT($AE$1:AE370)+1,""))</f>
        <v/>
      </c>
    </row>
    <row r="372" spans="31:31">
      <c r="AE372" t="str">
        <f>IF('Role Requirements'!$B376="","",IF(COUNTIF('Role Requirements'!$B$6:$B376,'Role Requirements'!$B376)=1,COUNT($AE$1:AE371)+1,""))</f>
        <v/>
      </c>
    </row>
    <row r="373" spans="31:31">
      <c r="AE373" t="str">
        <f>IF('Role Requirements'!$B377="","",IF(COUNTIF('Role Requirements'!$B$6:$B377,'Role Requirements'!$B377)=1,COUNT($AE$1:AE372)+1,""))</f>
        <v/>
      </c>
    </row>
    <row r="374" spans="31:31">
      <c r="AE374" t="str">
        <f>IF('Role Requirements'!$B378="","",IF(COUNTIF('Role Requirements'!$B$6:$B378,'Role Requirements'!$B378)=1,COUNT($AE$1:AE373)+1,""))</f>
        <v/>
      </c>
    </row>
    <row r="375" spans="31:31">
      <c r="AE375" t="str">
        <f>IF('Role Requirements'!$B379="","",IF(COUNTIF('Role Requirements'!$B$6:$B379,'Role Requirements'!$B379)=1,COUNT($AE$1:AE374)+1,""))</f>
        <v/>
      </c>
    </row>
    <row r="376" spans="31:31">
      <c r="AE376" t="str">
        <f>IF('Role Requirements'!$B380="","",IF(COUNTIF('Role Requirements'!$B$6:$B380,'Role Requirements'!$B380)=1,COUNT($AE$1:AE375)+1,""))</f>
        <v/>
      </c>
    </row>
    <row r="377" spans="31:31">
      <c r="AE377" t="str">
        <f>IF('Role Requirements'!$B381="","",IF(COUNTIF('Role Requirements'!$B$6:$B381,'Role Requirements'!$B381)=1,COUNT($AE$1:AE376)+1,""))</f>
        <v/>
      </c>
    </row>
    <row r="378" spans="31:31">
      <c r="AE378" t="str">
        <f>IF('Role Requirements'!$B382="","",IF(COUNTIF('Role Requirements'!$B$6:$B382,'Role Requirements'!$B382)=1,COUNT($AE$1:AE377)+1,""))</f>
        <v/>
      </c>
    </row>
    <row r="379" spans="31:31">
      <c r="AE379" t="str">
        <f>IF('Role Requirements'!$B383="","",IF(COUNTIF('Role Requirements'!$B$6:$B383,'Role Requirements'!$B383)=1,COUNT($AE$1:AE378)+1,""))</f>
        <v/>
      </c>
    </row>
    <row r="380" spans="31:31">
      <c r="AE380" t="str">
        <f>IF('Role Requirements'!$B384="","",IF(COUNTIF('Role Requirements'!$B$6:$B384,'Role Requirements'!$B384)=1,COUNT($AE$1:AE379)+1,""))</f>
        <v/>
      </c>
    </row>
    <row r="381" spans="31:31">
      <c r="AE381" t="str">
        <f>IF('Role Requirements'!$B385="","",IF(COUNTIF('Role Requirements'!$B$6:$B385,'Role Requirements'!$B385)=1,COUNT($AE$1:AE380)+1,""))</f>
        <v/>
      </c>
    </row>
    <row r="382" spans="31:31">
      <c r="AE382" t="str">
        <f>IF('Role Requirements'!$B386="","",IF(COUNTIF('Role Requirements'!$B$6:$B386,'Role Requirements'!$B386)=1,COUNT($AE$1:AE381)+1,""))</f>
        <v/>
      </c>
    </row>
    <row r="383" spans="31:31">
      <c r="AE383" t="str">
        <f>IF('Role Requirements'!$B387="","",IF(COUNTIF('Role Requirements'!$B$6:$B387,'Role Requirements'!$B387)=1,COUNT($AE$1:AE382)+1,""))</f>
        <v/>
      </c>
    </row>
    <row r="384" spans="31:31">
      <c r="AE384" t="str">
        <f>IF('Role Requirements'!$B388="","",IF(COUNTIF('Role Requirements'!$B$6:$B388,'Role Requirements'!$B388)=1,COUNT($AE$1:AE383)+1,""))</f>
        <v/>
      </c>
    </row>
    <row r="385" spans="31:31">
      <c r="AE385" t="str">
        <f>IF('Role Requirements'!$B389="","",IF(COUNTIF('Role Requirements'!$B$6:$B389,'Role Requirements'!$B389)=1,COUNT($AE$1:AE384)+1,""))</f>
        <v/>
      </c>
    </row>
    <row r="386" spans="31:31">
      <c r="AE386" t="str">
        <f>IF('Role Requirements'!$B390="","",IF(COUNTIF('Role Requirements'!$B$6:$B390,'Role Requirements'!$B390)=1,COUNT($AE$1:AE385)+1,""))</f>
        <v/>
      </c>
    </row>
    <row r="387" spans="31:31">
      <c r="AE387" t="str">
        <f>IF('Role Requirements'!$B391="","",IF(COUNTIF('Role Requirements'!$B$6:$B391,'Role Requirements'!$B391)=1,COUNT($AE$1:AE386)+1,""))</f>
        <v/>
      </c>
    </row>
    <row r="388" spans="31:31">
      <c r="AE388" t="str">
        <f>IF('Role Requirements'!$B392="","",IF(COUNTIF('Role Requirements'!$B$6:$B392,'Role Requirements'!$B392)=1,COUNT($AE$1:AE387)+1,""))</f>
        <v/>
      </c>
    </row>
    <row r="389" spans="31:31">
      <c r="AE389" t="str">
        <f>IF('Role Requirements'!$B393="","",IF(COUNTIF('Role Requirements'!$B$6:$B393,'Role Requirements'!$B393)=1,COUNT($AE$1:AE388)+1,""))</f>
        <v/>
      </c>
    </row>
    <row r="390" spans="31:31">
      <c r="AE390" t="str">
        <f>IF('Role Requirements'!$B394="","",IF(COUNTIF('Role Requirements'!$B$6:$B394,'Role Requirements'!$B394)=1,COUNT($AE$1:AE389)+1,""))</f>
        <v/>
      </c>
    </row>
    <row r="391" spans="31:31">
      <c r="AE391" t="str">
        <f>IF('Role Requirements'!$B395="","",IF(COUNTIF('Role Requirements'!$B$6:$B395,'Role Requirements'!$B395)=1,COUNT($AE$1:AE390)+1,""))</f>
        <v/>
      </c>
    </row>
    <row r="392" spans="31:31">
      <c r="AE392" t="str">
        <f>IF('Role Requirements'!$B396="","",IF(COUNTIF('Role Requirements'!$B$6:$B396,'Role Requirements'!$B396)=1,COUNT($AE$1:AE391)+1,""))</f>
        <v/>
      </c>
    </row>
    <row r="393" spans="31:31">
      <c r="AE393" t="str">
        <f>IF('Role Requirements'!$B397="","",IF(COUNTIF('Role Requirements'!$B$6:$B397,'Role Requirements'!$B397)=1,COUNT($AE$1:AE392)+1,""))</f>
        <v/>
      </c>
    </row>
    <row r="394" spans="31:31">
      <c r="AE394" t="str">
        <f>IF('Role Requirements'!$B398="","",IF(COUNTIF('Role Requirements'!$B$6:$B398,'Role Requirements'!$B398)=1,COUNT($AE$1:AE393)+1,""))</f>
        <v/>
      </c>
    </row>
    <row r="395" spans="31:31">
      <c r="AE395" t="str">
        <f>IF('Role Requirements'!$B399="","",IF(COUNTIF('Role Requirements'!$B$6:$B399,'Role Requirements'!$B399)=1,COUNT($AE$1:AE394)+1,""))</f>
        <v/>
      </c>
    </row>
    <row r="396" spans="31:31">
      <c r="AE396" t="str">
        <f>IF('Role Requirements'!$B400="","",IF(COUNTIF('Role Requirements'!$B$6:$B400,'Role Requirements'!$B400)=1,COUNT($AE$1:AE395)+1,""))</f>
        <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How to Use</vt:lpstr>
      <vt:lpstr>HR Quick View</vt:lpstr>
      <vt:lpstr>Skill Management</vt:lpstr>
      <vt:lpstr>Employee Transcript</vt:lpstr>
      <vt:lpstr>Competency Event Log</vt:lpstr>
      <vt:lpstr>Skills Matrix</vt:lpstr>
      <vt:lpstr>Training Plan</vt:lpstr>
      <vt:lpstr>Certifications</vt:lpstr>
      <vt:lpstr>Role Requirements</vt:lpstr>
      <vt:lpstr>Lists</vt:lpstr>
      <vt:lpstr>_Dropdowns</vt:lpstr>
      <vt:lpstr>DepartmentCatalog</vt:lpstr>
      <vt:lpstr>DeptPairCatalog</vt:lpstr>
      <vt:lpstr>EmployeeCatalog</vt:lpstr>
      <vt:lpstr>HRViewCatalog</vt:lpstr>
      <vt:lpstr>MasterSkillCatalog</vt:lpstr>
      <vt:lpstr>ShiftCatalog</vt:lpstr>
      <vt:lpstr>SkillCatalog</vt:lpstr>
      <vt:lpstr>SkillManagementViewCatalog</vt:lpstr>
      <vt:lpstr>Skills_Finishing_FPI</vt:lpstr>
      <vt:lpstr>Skills_Foundry</vt:lpstr>
      <vt:lpstr>Skills_Heat_Treat</vt:lpstr>
      <vt:lpstr>Skills_Mid_Finishing</vt:lpstr>
      <vt:lpstr>Skills_Pre_Finishing</vt:lpstr>
      <vt:lpstr>Skills_Safety_Misc</vt:lpstr>
      <vt:lpstr>Skills_Shell</vt:lpstr>
      <vt:lpstr>Skills_Wax</vt:lpstr>
      <vt:lpstr>Skills_X_Ray</vt:lpstr>
      <vt:lpstr>SkillViewCatalog</vt:lpstr>
      <vt:lpstr>TrainingProfileCatalog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Moon, Avery</cp:lastModifiedBy>
  <dcterms:created xsi:type="dcterms:W3CDTF">2026-08-18T02:08:46Z</dcterms:created>
  <dcterms:modified xsi:type="dcterms:W3CDTF">2026-08-18T21:08:36Z</dcterms:modified>
</cp:coreProperties>
</file>